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International - Fields" sheetId="1" r:id="rId4"/>
    <sheet state="visible" name="Field Reference Guide" sheetId="2" r:id="rId5"/>
    <sheet state="visible" name="Term Reference Guide" sheetId="3" r:id="rId6"/>
    <sheet state="hidden" name="International - Values" sheetId="4" r:id="rId7"/>
    <sheet state="hidden" name="Canada - Fields" sheetId="5" r:id="rId8"/>
    <sheet state="hidden" name="Canada - Values" sheetId="6" r:id="rId9"/>
    <sheet state="hidden" name="Mapping" sheetId="7" r:id="rId10"/>
    <sheet state="hidden" name="Ontology-based" sheetId="8" r:id="rId11"/>
    <sheet state="hidden" name="ODM" sheetId="9" r:id="rId12"/>
    <sheet state="hidden" name="Ontology-ODM Mapping" sheetId="10" r:id="rId13"/>
    <sheet state="visible" name="Version Tracking" sheetId="11" r:id="rId14"/>
    <sheet state="hidden" name="Templates" sheetId="12" r:id="rId15"/>
  </sheets>
  <definedNames>
    <definedName hidden="1" localSheetId="1" name="_xlnm._FilterDatabase">'Field Reference Guide'!$A$5:$AB$1000</definedName>
    <definedName hidden="1" localSheetId="3" name="_xlnm._FilterDatabase">'International - Values'!$A$1:$CS$806</definedName>
    <definedName hidden="1" localSheetId="11" name="_xlnm._FilterDatabase">Templates!$A$1:$G$1000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1">
      <text>
        <t xml:space="preserve">Imported from https://docs.google.com/spreadsheets/d/1NstVkNyMv132LYxaKGuXqEBScLi0RERHb0zkcgSuNZQ/edit#gid=1674924617&amp;range=A225</t>
      </text>
    </comment>
  </commentList>
</comments>
</file>

<file path=xl/sharedStrings.xml><?xml version="1.0" encoding="utf-8"?>
<sst xmlns="http://schemas.openxmlformats.org/spreadsheetml/2006/main" count="9587" uniqueCount="3170">
  <si>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</si>
  <si>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</si>
  <si>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</si>
  <si>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</si>
  <si>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</si>
  <si>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</si>
  <si>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</si>
  <si>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</si>
  <si>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</si>
  <si>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</si>
  <si>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</si>
  <si>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</si>
  <si>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</si>
  <si>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</si>
  <si>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</si>
  <si>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rFont val="Arial"/>
        <b/>
        <color theme="1"/>
      </rPr>
      <t xml:space="preserve">IMPORTANT: </t>
    </r>
    <r>
      <rPr>
        <rFont val="Arial"/>
        <b val="0"/>
        <color theme="1"/>
      </rPr>
      <t>Only labels and/or IDs will be deprecated, always with replacement version provided. If a term changes in its meaning, a new term will be created.</t>
    </r>
  </si>
  <si>
    <t>field name in purple = recommended</t>
  </si>
  <si>
    <t>field name in white = optional</t>
  </si>
  <si>
    <t>Database identifiers</t>
  </si>
  <si>
    <t>GENEPIO:0001122</t>
  </si>
  <si>
    <t>specimen collector sample ID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</si>
  <si>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</si>
  <si>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</si>
  <si>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</si>
  <si>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</si>
  <si>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1.0.0</t>
  </si>
  <si>
    <t>specimen collector subsample ID</t>
  </si>
  <si>
    <t>GENEPIO:0100752</t>
  </si>
  <si>
    <t>The user-defined identifier assigned to a portion of the original sample.</t>
  </si>
  <si>
    <t xml:space="preserve">Store the ID for the subsample/aliquot. </t>
  </si>
  <si>
    <t>ASDFG123_12</t>
  </si>
  <si>
    <t>pooled sample ID</t>
  </si>
  <si>
    <t>GENEPIO:0100996</t>
  </si>
  <si>
    <t>The user-defined identifier assigned to a combined (pooled) set of samples.</t>
  </si>
  <si>
    <t>If the sample being analyzed is the result of pooling individual samples, rename the pooled sample with a new identifier. Store the pooled sample ID.</t>
  </si>
  <si>
    <t>12345AYZ</t>
  </si>
  <si>
    <t>metagenome-assembled genome (MAG) ID</t>
  </si>
  <si>
    <t>GENEPIO:0100753</t>
  </si>
  <si>
    <t>The user-defined identifier assigned to a genome reconstructed from metagenomic data.</t>
  </si>
  <si>
    <t>Store the MAG ID.</t>
  </si>
  <si>
    <t>XYZ1234.1</t>
  </si>
  <si>
    <t>specimen collector project ID</t>
  </si>
  <si>
    <t>GENEPIO:0100918</t>
  </si>
  <si>
    <t>The user-defined project name assigned to a sequencing project.</t>
  </si>
  <si>
    <t>If the sample was collected or analyzed under the umbrella of a specific project, include the name of that project here.</t>
  </si>
  <si>
    <t>BioProject accession</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</si>
  <si>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</si>
  <si>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</si>
  <si>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</si>
  <si>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</si>
  <si>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BioSample accession</t>
  </si>
  <si>
    <t>GENEPIO:0001139</t>
  </si>
  <si>
    <r>
      <rPr>
        <rFont val="Arial"/>
        <color theme="1"/>
      </rPr>
      <t>The identifier assigned to a BioSample in INSDC</t>
    </r>
    <r>
      <rPr>
        <rFont val="Arial"/>
        <i/>
        <color theme="1"/>
      </rPr>
      <t xml:space="preserve"> </t>
    </r>
    <r>
      <rPr>
        <rFont val="Arial"/>
        <color theme="1"/>
      </rPr>
      <t>(i.e., ENA, NCBI, or DDBJ) archives.</t>
    </r>
  </si>
  <si>
    <t>Store the accession returned from the BioSample submission. NCBI BioSamples will have the prefix SAMN, ENA have the prefix SAMEA, DDBJ have SAMD</t>
  </si>
  <si>
    <t>SAMN14180202, SAMD00000001,  SAMEA00000001</t>
  </si>
  <si>
    <t>GenBank accession (versioned)</t>
  </si>
  <si>
    <t>GENEPIO:0100754</t>
  </si>
  <si>
    <t>The unique identifier assigned to an assembly or consensus sequence in GenBank archives.</t>
  </si>
  <si>
    <t xml:space="preserve">Store the versioned GenBank accession assigned to the submitted sequence. </t>
  </si>
  <si>
    <t xml:space="preserve">LZ986655.1
</t>
  </si>
  <si>
    <t>INSDC sequence read accession</t>
  </si>
  <si>
    <t>GENEPIO:0101203</t>
  </si>
  <si>
    <t>The identifier assigned to a sequence in one of the International Nucleotide Sequence Database Collaboration (INSDC) repositories.</t>
  </si>
  <si>
    <t>Store the accession assigned to the submitted sequence. European Nucleotide Archive (ENA) sequence accessions start with ERR, NCBI-SRA accessions start with SRR,  DNA Data Bank of Japan (DDBJ) accessions start with DRR and Genome Sequence Archive (GSA) accessions start with CRR.</t>
  </si>
  <si>
    <t>ERR123456, DRR123456, CRR123456</t>
  </si>
  <si>
    <t>2.0.0</t>
  </si>
  <si>
    <t>GISAID accession</t>
  </si>
  <si>
    <t>GENEPIO:0001147</t>
  </si>
  <si>
    <t>The identifier assigned to a sequence in GISAID (the Global Initiative on Sharing All Influenza Data) archives.</t>
  </si>
  <si>
    <t>Store the accession assigned to the submitted sequence. GISAID accessions start with EPI.</t>
  </si>
  <si>
    <t>EPI_ISL_402131</t>
  </si>
  <si>
    <t>GISAID virus name</t>
  </si>
  <si>
    <t>GENEPIO:0100282</t>
  </si>
  <si>
    <t>The user-defined GISAID virus name assigned to the sequence.</t>
  </si>
  <si>
    <t>GISAID virus names should be in the format "hCoV-19/Country/Identifier/year".</t>
  </si>
  <si>
    <t>hCoV-19/Canada/prov_rona_99/2020</t>
  </si>
  <si>
    <t>Enterobase accession</t>
  </si>
  <si>
    <t>GENEPIO:0100759</t>
  </si>
  <si>
    <t>The identifier assigned to a sequence in Enterobase archives.</t>
  </si>
  <si>
    <t>Store the barcode assigned to the submitted sequence. Enterobase barcodes start with different 3 letter codes depending on the organism.</t>
  </si>
  <si>
    <t>SAL_AA0019AA_ST</t>
  </si>
  <si>
    <t>sampling site ID</t>
  </si>
  <si>
    <t>GENEPIO:0100760</t>
  </si>
  <si>
    <t>The user-defined identifier assigned to a specific location from which samples are taken.</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</si>
  <si>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</si>
  <si>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</si>
  <si>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sampling event ID</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</si>
  <si>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</si>
  <si>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</si>
  <si>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</si>
  <si>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</si>
  <si>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Sample collection and processing</t>
  </si>
  <si>
    <t/>
  </si>
  <si>
    <t>GENEPIO:0001150</t>
  </si>
  <si>
    <t>sample collection data steward name</t>
  </si>
  <si>
    <t>GENEPIO:0100762</t>
  </si>
  <si>
    <t>A sample collection data field which describes the name of the individual responsible for the data governance, (meta)data usage and distribution of the sample.</t>
  </si>
  <si>
    <t>Provide the name of the sample collection data steward.</t>
  </si>
  <si>
    <t>Joe Bloggs</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</si>
  <si>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</si>
  <si>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</si>
  <si>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</si>
  <si>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</si>
  <si>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</si>
  <si>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</si>
  <si>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</si>
  <si>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</si>
  <si>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 e.g. johnnyblogs@lab.ca, or RespLab@lab.ca</t>
  </si>
  <si>
    <t>WaterTester@facility.ca</t>
  </si>
  <si>
    <t>geo loc name (country)</t>
  </si>
  <si>
    <t>GENEPIO:0001181</t>
  </si>
  <si>
    <t>The country of origin of the sample.</t>
  </si>
  <si>
    <t>If known, select a value from the pick list.</t>
  </si>
  <si>
    <t>Canada</t>
  </si>
  <si>
    <t>geo loc name (state/province/territory)</t>
  </si>
  <si>
    <t>GENEPIO:0001185</t>
  </si>
  <si>
    <t>The state/province/territory of origin of the sample.</t>
  </si>
  <si>
    <t>Provide the state/province/territory name from the GAZ geography ontology. Search for geography terms here: https://www.ebi.ac.uk/ols/ontologies/gaz</t>
  </si>
  <si>
    <t>Western Cape</t>
  </si>
  <si>
    <t>geo loc name (county/region)</t>
  </si>
  <si>
    <t>GENEPIO:0100280</t>
  </si>
  <si>
    <t>The county/region of origin of the sample.</t>
  </si>
  <si>
    <t>Provide the county/region name from the GAZ geography ontology. Search for geography terms here: https://www.ebi.ac.uk/ols/ontologies/gaz</t>
  </si>
  <si>
    <t>Derbyshire</t>
  </si>
  <si>
    <t>geo loc name (city)</t>
  </si>
  <si>
    <t>GENEPIO:0001189</t>
  </si>
  <si>
    <t>The city of origin of the sample.</t>
  </si>
  <si>
    <t>Provide the city name from the GAZ geography ontology. Search for geography terms here: https://www.ebi.ac.uk/ols/ontologies/gaz</t>
  </si>
  <si>
    <t>Vancouver</t>
  </si>
  <si>
    <t>geo loc name (site)</t>
  </si>
  <si>
    <t>GENEPIO:0100436</t>
  </si>
  <si>
    <t>The name of a specific geographical location e.g. Credit River (rather than river).</t>
  </si>
  <si>
    <t>Provide the name of the specific geographical site using a specific noun (a word that names a certain place, thing).</t>
  </si>
  <si>
    <t>Credit River</t>
  </si>
  <si>
    <t>geo loc latitude</t>
  </si>
  <si>
    <t>GENEPIO:0100309</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</si>
  <si>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</si>
  <si>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</si>
  <si>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</si>
  <si>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geo loc longitude</t>
  </si>
  <si>
    <t>GENEPIO:0100310</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</si>
  <si>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</si>
  <si>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</si>
  <si>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</si>
  <si>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watershed shapefile availability</t>
  </si>
  <si>
    <t>GENEPIO:0100919</t>
  </si>
  <si>
    <t>The availability status of a shapefile descriping the catchment contributing to a watershed.</t>
  </si>
  <si>
    <t>Select a value from the picklist to describe whether or not a watershed shapefile would be available upon request.</t>
  </si>
  <si>
    <t>watershed shapefile available</t>
  </si>
  <si>
    <t>watershed shapefile filename</t>
  </si>
  <si>
    <t>GENEPIO:0100920</t>
  </si>
  <si>
    <t>The name of the watershed shapefile.</t>
  </si>
  <si>
    <t>Provide the shapefile filename corresponding to the watershed from which the sample was taken. If there are multiple files associated with the watershed, provide all names separated by commas.</t>
  </si>
  <si>
    <t>siteAD17.shp, siteAD17.kml</t>
  </si>
  <si>
    <t>organism</t>
  </si>
  <si>
    <t>GENEPIO:0001191</t>
  </si>
  <si>
    <t>Taxonomic name of the organism.</t>
  </si>
  <si>
    <r>
      <rPr/>
      <t xml:space="preserve">Provide the official nomenclature for the organism present in the sample. Search for taxonomic names here: </t>
    </r>
    <r>
      <rPr>
        <color rgb="FF1155CC"/>
        <u/>
      </rPr>
      <t>ncbi.nlm.nih.gov/taxonomy.</t>
    </r>
  </si>
  <si>
    <t>Severe acute respiratory syndrome coronavirus 2</t>
  </si>
  <si>
    <t>purpose of 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</si>
  <si>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</si>
  <si>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</si>
  <si>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</si>
  <si>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</si>
  <si>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scale of sampling</t>
  </si>
  <si>
    <t>GENEPIO:0100877</t>
  </si>
  <si>
    <t>The range of locations or entities sampled expressed in general terms.</t>
  </si>
  <si>
    <t>Provide the scale of wastewater sampling by selecting a value from the picklist.</t>
  </si>
  <si>
    <t>Community-level surveillance</t>
  </si>
  <si>
    <t>sample received date</t>
  </si>
  <si>
    <t>GENEPIO:0001179</t>
  </si>
  <si>
    <t>The date on which the sample was received.</t>
  </si>
  <si>
    <t>Provide the sample received date in ISO 8601 format, i.e. "YYYY-MM-DD".</t>
  </si>
  <si>
    <t>sample collection date</t>
  </si>
  <si>
    <t>GENEPIO:0001174</t>
  </si>
  <si>
    <t>The date on which the sample was collected, or sampling began for a continuous sample.</t>
  </si>
  <si>
    <t>If your sample is a continuous sample please use this field to capture your start date. 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</si>
  <si>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end date</t>
  </si>
  <si>
    <t>GENEPIO:0101071</t>
  </si>
  <si>
    <t>The date on which sample collection ended for a continuous sample.</t>
  </si>
  <si>
    <t>Provide the date that sample collection ended in ISO 8601 format i.e. YYYY-MM-DD</t>
  </si>
  <si>
    <t>sample processing date</t>
  </si>
  <si>
    <t>GENEPIO:0100763</t>
  </si>
  <si>
    <t>The date on which the sample was processed.</t>
  </si>
  <si>
    <t>Provide the sample processed date in ISO 8601 format, i.e. "YYYY-MM-DD". The sample may be collected and processed (e.g. filtered, extraction) on the same day, or on different dates.</t>
  </si>
  <si>
    <t>sample collection start time</t>
  </si>
  <si>
    <t>GENEPIO:0101072</t>
  </si>
  <si>
    <t>The time at which sample collection began.</t>
  </si>
  <si>
    <t>Provide this time in ISO 8601 24hr format, in your local time.</t>
  </si>
  <si>
    <t>17:15 PST</t>
  </si>
  <si>
    <t>sample collection end time</t>
  </si>
  <si>
    <t>GENEPIO:0101073</t>
  </si>
  <si>
    <t>The time at which sample collection ended.</t>
  </si>
  <si>
    <t>19:15 PST</t>
  </si>
  <si>
    <t>sample collection time of day</t>
  </si>
  <si>
    <t>GENEPIO:0100765</t>
  </si>
  <si>
    <t>The descriptive time of day during which the sample was collected.</t>
  </si>
  <si>
    <t>If known, fill in sample collection time. Otherwise, select a value from the pick list for sample collection time of day to approximate the timing. The time of sample processing matters especially for grab samples, as fecal concentration in wastewater fluctuates over the course of the day.</t>
  </si>
  <si>
    <t>Morning</t>
  </si>
  <si>
    <t>sample collection time duration value</t>
  </si>
  <si>
    <t>GENEPIO:0100766</t>
  </si>
  <si>
    <t>The amount of time over which the sample was collected.</t>
  </si>
  <si>
    <t>Provide the numerical value of time.</t>
  </si>
  <si>
    <t>sample collection time duration unit</t>
  </si>
  <si>
    <t>GENEPIO:0100767</t>
  </si>
  <si>
    <t>The units of the time duration measurement of sample collection.</t>
  </si>
  <si>
    <t>Provide the units from the pick list.</t>
  </si>
  <si>
    <t>Hour</t>
  </si>
  <si>
    <t>presampling activity</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</si>
  <si>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</si>
  <si>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</si>
  <si>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</si>
  <si>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</si>
  <si>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presampling activity details</t>
  </si>
  <si>
    <t>GENEPIO:0100434</t>
  </si>
  <si>
    <t>The details of the activities or variables that affected the sample collected.</t>
  </si>
  <si>
    <t>Briefly describe the presampling activities using free text.</t>
  </si>
  <si>
    <t>Agricultural waste from large farm contributes waste to the site sampled.</t>
  </si>
  <si>
    <t>sample volume measurement value</t>
  </si>
  <si>
    <t>GENEPIO:0100768</t>
  </si>
  <si>
    <t>The numerical value of the volume measurement of the sample collected.</t>
  </si>
  <si>
    <t>Provide the numerical value of volume.</t>
  </si>
  <si>
    <t>sample volume measurement unit</t>
  </si>
  <si>
    <t>GENEPIO:0100769</t>
  </si>
  <si>
    <t>The units of the volume measurement of the sample collected.</t>
  </si>
  <si>
    <t>mL</t>
  </si>
  <si>
    <t>sample storage method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</si>
  <si>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</si>
  <si>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</si>
  <si>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</si>
  <si>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</si>
  <si>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sample storage medium</t>
  </si>
  <si>
    <t>GENEPIO:0100449</t>
  </si>
  <si>
    <t>The medium in which a sample is stored.</t>
  </si>
  <si>
    <t>Provide the name of the transport medium or storage medium used for this sample. If none was used, leave blank or write "None".</t>
  </si>
  <si>
    <t>Cary-Blair transport medium</t>
  </si>
  <si>
    <t>sample storage duration value</t>
  </si>
  <si>
    <t>GENEPIO:0101014</t>
  </si>
  <si>
    <t>The numerical value of the time measurement during which a sample is in storage.</t>
  </si>
  <si>
    <t>sample storage duration unit</t>
  </si>
  <si>
    <t>GENEPIO:0101015</t>
  </si>
  <si>
    <t>The units of a measured sample storage duration.</t>
  </si>
  <si>
    <t>Day</t>
  </si>
  <si>
    <t>specimen processing</t>
  </si>
  <si>
    <t>GENEPIO:0001253</t>
  </si>
  <si>
    <t>Any processing applied to the sample during or after receiving the sample.</t>
  </si>
  <si>
    <t>Select processes from the picklist that were applied to this sample.</t>
  </si>
  <si>
    <t>Centrifugation</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</si>
  <si>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</si>
  <si>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</si>
  <si>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</si>
  <si>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</si>
  <si>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</si>
  <si>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experimental protocol field</t>
  </si>
  <si>
    <t>GENEPIO:0101029</t>
  </si>
  <si>
    <t>The name of the overarching experimental methodology that was used to process the biomaterial.</t>
  </si>
  <si>
    <t>Provide the name of the methodology used in your study. If available, provide a link to the protocol.</t>
  </si>
  <si>
    <t>environmental site</t>
  </si>
  <si>
    <t>GENEPIO:0001232</t>
  </si>
  <si>
    <t>An environmental location may describe a site in the natural or built environment e.g. contact surface, metal can, hospital, wet market, bat cave.</t>
  </si>
  <si>
    <t>Provide a descriptor of the environmental site sampled. Use the picklist provided in the template. If not applicable, choose a null value.</t>
  </si>
  <si>
    <t>Meat processing plant</t>
  </si>
  <si>
    <t>environmental material</t>
  </si>
  <si>
    <t>GENEPIO:0001223</t>
  </si>
  <si>
    <t>A substance obtained from the natural or man-made environment e.g. soil, water, sewage.</t>
  </si>
  <si>
    <t>Provide a descriptor of the environmental material sampled. Use the picklist provided in the template. If not applicable, choose a null value.</t>
  </si>
  <si>
    <t>Raw wastewater</t>
  </si>
  <si>
    <t>environmental material properties</t>
  </si>
  <si>
    <t>GENEPIO:0100770</t>
  </si>
  <si>
    <t>The properties, characteristics and qualities of a substance obtained from an environment.</t>
  </si>
  <si>
    <t>Provide the environmental material properties by selecting descriptors from the pick list.</t>
  </si>
  <si>
    <t>Stagnant</t>
  </si>
  <si>
    <t>wastewater system type</t>
  </si>
  <si>
    <t>GENEPIO:0100771</t>
  </si>
  <si>
    <t>The type or classification of a wastewater system e.g. sanitary sewer, combined sewer</t>
  </si>
  <si>
    <t>Provide the classification of the wastewater system by selecting from the provided pick list.</t>
  </si>
  <si>
    <t>Sanitary sewer</t>
  </si>
  <si>
    <t>experimental specimen role type</t>
  </si>
  <si>
    <t>GENEPIO:0100921</t>
  </si>
  <si>
    <t>The type of role that the sample represents in the experiment.</t>
  </si>
  <si>
    <t>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t>
  </si>
  <si>
    <t>Positive experimental control</t>
  </si>
  <si>
    <t>experimental control details</t>
  </si>
  <si>
    <t>GENEPIO:0100922</t>
  </si>
  <si>
    <t>The details regarding the type of control that the sample represents in the experiment.</t>
  </si>
  <si>
    <t>Provide details regarding the nature of the reference strain used as a control, or what is was used to monitor.</t>
  </si>
  <si>
    <t>Human coronavirus 229E (HCoV-229E) spiked in sample as process control</t>
  </si>
  <si>
    <t>collection device</t>
  </si>
  <si>
    <t>GENEPIO:0001234</t>
  </si>
  <si>
    <r>
      <rPr>
        <rFont val="Arial"/>
        <color theme="1"/>
      </rPr>
      <t xml:space="preserve">The instrument or container used to collect the sample e.g. </t>
    </r>
    <r>
      <rPr>
        <rFont val="Arial"/>
        <i/>
        <color theme="1"/>
      </rPr>
      <t>grab sampler</t>
    </r>
    <r>
      <rPr>
        <rFont val="Arial"/>
        <color theme="1"/>
      </rPr>
      <t>.</t>
    </r>
  </si>
  <si>
    <t>Provide a descriptor of the device used for sampling. Use the picklist provided in the template. If not applicable, choose a null value.</t>
  </si>
  <si>
    <t>Automatic flow-proportional sampler</t>
  </si>
  <si>
    <t>collection method</t>
  </si>
  <si>
    <t>GENEPIO:0001241</t>
  </si>
  <si>
    <t>The process used to collect the sample.</t>
  </si>
  <si>
    <t>Provide a descriptor of the collection method used for sampling. Use the picklist provided in the template. If not applicable, choose a null value.</t>
  </si>
  <si>
    <t>Automatic composite sampling</t>
  </si>
  <si>
    <t>nucleic acid extraction method</t>
  </si>
  <si>
    <t>GENEPIO:0100939</t>
  </si>
  <si>
    <t>The process used to extract genomic material from a sample.</t>
  </si>
  <si>
    <t>Briefly describe the extraction method used.</t>
  </si>
  <si>
    <t>Direct wastewater RNA capture and purification via the "Sewage, Salt, Silica and SARS-CoV-2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</si>
  <si>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</si>
  <si>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</si>
  <si>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</si>
  <si>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</si>
  <si>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</si>
  <si>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endogenous control details</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</si>
  <si>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</si>
  <si>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</si>
  <si>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</si>
  <si>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Pepper mild mottle virus (PMMoV) detected</t>
  </si>
  <si>
    <t>extraction recovery efficiency measurement value</t>
  </si>
  <si>
    <t>GENEPIO:0100924</t>
  </si>
  <si>
    <t>The recovery efficiency of an extraction, calculated as the amount of a synthetic or endogenous compound identified in the sample relative to the amount expected.</t>
  </si>
  <si>
    <t>Provide value as a percent.</t>
  </si>
  <si>
    <t>extraction recovery efficiency measurement method</t>
  </si>
  <si>
    <t>GENEPIO:0100925</t>
  </si>
  <si>
    <t>The method by which recovery efficiency of an extraction was calculated.</t>
  </si>
  <si>
    <t>Provide a brief description of how extraction recovery efficiency was measured or estimated.</t>
  </si>
  <si>
    <t>Spiked in synthetic material into wastewater sample and into water control and compared recovery.</t>
  </si>
  <si>
    <t>Environmental conditions and measurements</t>
  </si>
  <si>
    <t>GENEPIO:0100940</t>
  </si>
  <si>
    <t>water catchment area human population measurement value</t>
  </si>
  <si>
    <t>GENEPIO:0100773</t>
  </si>
  <si>
    <t>The numerical value of the human population measurement that contributes to the composition of water in a catchment area.</t>
  </si>
  <si>
    <t>Where known, provide the numerical value of population size, i.e. the number of people.</t>
  </si>
  <si>
    <t>water catchment area human population bin</t>
  </si>
  <si>
    <t>GENEPIO:0100774</t>
  </si>
  <si>
    <t>The human population range of the water catchment that contributes effluent to a wastewater site.</t>
  </si>
  <si>
    <t>Where catchment population is not well known, provide an estimation of population size by selecting a value from the picklist.</t>
  </si>
  <si>
    <t>1,000 - 10,000 people</t>
  </si>
  <si>
    <t>water catchment area human population measurement method</t>
  </si>
  <si>
    <t>GENEPIO:0100775</t>
  </si>
  <si>
    <t>The method by which a water catchment 's human population size was measured or estimated</t>
  </si>
  <si>
    <t>Provide a brief description of how catchment population size was measured or estimated.</t>
  </si>
  <si>
    <t>population of jurisdiction encompassing the wastewater service area</t>
  </si>
  <si>
    <t>water catchment area human population density value</t>
  </si>
  <si>
    <t>GENEPIO:0100776</t>
  </si>
  <si>
    <t xml:space="preserve">The numerical value describing the number of humans per geographical area in a water catchment. </t>
  </si>
  <si>
    <t xml:space="preserve">Provide the numerical value of the population density in the catchement area. </t>
  </si>
  <si>
    <t>water catchment area human population density unit</t>
  </si>
  <si>
    <t>GENEPIO:0100777</t>
  </si>
  <si>
    <t xml:space="preserve">The unit describing the number of humans per geographical area in a water catchment. </t>
  </si>
  <si>
    <t xml:space="preserve">Provide the unit of the population density in the catchement area. </t>
  </si>
  <si>
    <t>persons per Km^2</t>
  </si>
  <si>
    <t>populated area type</t>
  </si>
  <si>
    <t>GENEPIO:0100778</t>
  </si>
  <si>
    <t>A type of area that is populated by humans to different degrees.</t>
  </si>
  <si>
    <t>Provide the populated area type from the pick list.</t>
  </si>
  <si>
    <t>Urban area</t>
  </si>
  <si>
    <t>sampling weather conditions</t>
  </si>
  <si>
    <t>GENEPIO:0100779</t>
  </si>
  <si>
    <t>The state of the atmosphere at a place and time as regards heat, dryness, sunshine, wind, rain, etc.</t>
  </si>
  <si>
    <t>Provide the weather conditions at the time of sample collection.</t>
  </si>
  <si>
    <t xml:space="preserve">Rain </t>
  </si>
  <si>
    <t>presampling weather conditions</t>
  </si>
  <si>
    <t>GENEPIO:0100780</t>
  </si>
  <si>
    <t>Weather conditions prior to collection that may affect the sample.</t>
  </si>
  <si>
    <t>Provide the weather conditions prior to sample collection.</t>
  </si>
  <si>
    <t>Drizzle</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</si>
  <si>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</si>
  <si>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</si>
  <si>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</si>
  <si>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</si>
  <si>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</si>
  <si>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</si>
  <si>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</si>
  <si>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</si>
  <si>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</si>
  <si>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precipitation measurement method</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</si>
  <si>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</si>
  <si>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</si>
  <si>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</si>
  <si>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</si>
  <si>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ambient temperature measurement value</t>
  </si>
  <si>
    <t>GENEPIO:0100935</t>
  </si>
  <si>
    <t>The numerical value of a measurement of the ambient temperature.</t>
  </si>
  <si>
    <t>Provide the numerical value of the measured temperature.</t>
  </si>
  <si>
    <t>ambient temperature measurement unit</t>
  </si>
  <si>
    <t>GENEPIO:0100936</t>
  </si>
  <si>
    <t>The units of a measurement of the ambient temperature.</t>
  </si>
  <si>
    <t>Provide the units of the measured temperature.</t>
  </si>
  <si>
    <t>degree Celsius (C)</t>
  </si>
  <si>
    <t>pH measurement value</t>
  </si>
  <si>
    <t>GENEPIO:0001736</t>
  </si>
  <si>
    <t>The measured pH value indicating the acidity or basicity(alkalinity) of an aqueous solution.</t>
  </si>
  <si>
    <t>Provide the numerical value of the measured pH.</t>
  </si>
  <si>
    <t>pH measurement method</t>
  </si>
  <si>
    <t>GENEPIO:0100781</t>
  </si>
  <si>
    <t>The process used to measure pH value.</t>
  </si>
  <si>
    <t>Provide the name of the procedure or technology used to measure pH.</t>
  </si>
  <si>
    <t>pH test strip (litmus test)</t>
  </si>
  <si>
    <t>total daily flow rate measurement value</t>
  </si>
  <si>
    <t>GENEPIO:0100905</t>
  </si>
  <si>
    <t>The numerical value of a measured fluid flow rate over the course of a day.</t>
  </si>
  <si>
    <t>Provide the numerical value of the measured flow rate.</t>
  </si>
  <si>
    <t>total daily flow rate measurement unit</t>
  </si>
  <si>
    <t>GENEPIO:0100906</t>
  </si>
  <si>
    <t>The units of a measured fluid flow rate over the course of a day.</t>
  </si>
  <si>
    <t>Provide the units of the measured flow rate by selecting a value from the pick list.</t>
  </si>
  <si>
    <t>million gallons per day (MGD)</t>
  </si>
  <si>
    <t>total daily flow rate measurement method</t>
  </si>
  <si>
    <t>GENEPIO:0100907</t>
  </si>
  <si>
    <t>The process used to measure total daily fluid flow rate.</t>
  </si>
  <si>
    <t>Provide the name of the procedure or technology used to measure flow rate.</t>
  </si>
  <si>
    <t>Flow meter</t>
  </si>
  <si>
    <t>instantaneous flow rate measurement value</t>
  </si>
  <si>
    <t>GENEPIO:0100908</t>
  </si>
  <si>
    <t>The numerical value of a measured instantaneous fluid flow rate.</t>
  </si>
  <si>
    <t>instantaneous flow rate measurement unit</t>
  </si>
  <si>
    <t>GENEPIO:0100909</t>
  </si>
  <si>
    <t>The units of a measured instantaneous fluid flow rate.</t>
  </si>
  <si>
    <t>cubic meter per hour (m^3/h)</t>
  </si>
  <si>
    <t>instantaneous flow rate measurement method</t>
  </si>
  <si>
    <t>GENEPIO:0100910</t>
  </si>
  <si>
    <t>The process used to measure instantaneous fluid flow rate.</t>
  </si>
  <si>
    <t>turbidity measurement value</t>
  </si>
  <si>
    <t>GENEPIO:0100783</t>
  </si>
  <si>
    <t>The numerical value of a measurement of turbidity.</t>
  </si>
  <si>
    <t>Provide the numerical value of the measured turbidity.</t>
  </si>
  <si>
    <t>turbidity measurement unit</t>
  </si>
  <si>
    <t>GENEPIO:0100914</t>
  </si>
  <si>
    <t>The units of a measurement of turbidity.</t>
  </si>
  <si>
    <t>Provide the units of the measured turbidity by selecting a value from the pick list.</t>
  </si>
  <si>
    <t>nephelometric turbidity unit (NTU)</t>
  </si>
  <si>
    <t>turbidity measurement method</t>
  </si>
  <si>
    <t>GENEPIO:0101013</t>
  </si>
  <si>
    <t>The process used to measure turbidity.</t>
  </si>
  <si>
    <t>Provide the name of the procedure or technology used to measure turbidity.</t>
  </si>
  <si>
    <t>Nephelometric method</t>
  </si>
  <si>
    <t>dissolved oxygen measurement value</t>
  </si>
  <si>
    <t>GENEPIO:0100915</t>
  </si>
  <si>
    <t>The numerical value of a measurement of dissolved oxygen.</t>
  </si>
  <si>
    <t>Provide the numerical value of the measured dissolved oxygen.</t>
  </si>
  <si>
    <t>dissolved oxygen measurement unit</t>
  </si>
  <si>
    <t>GENEPIO:0100784</t>
  </si>
  <si>
    <t>The units of a measurement of dissolved oxygen.</t>
  </si>
  <si>
    <t>Provide the units of the measured dissolved oxygen by selecting a value from the pick list.</t>
  </si>
  <si>
    <t>part per million (ppm)</t>
  </si>
  <si>
    <t>dissolved oxygen measurement method</t>
  </si>
  <si>
    <t>GENEPIO:0100785</t>
  </si>
  <si>
    <t>The method used to measure dissolved oxygen.</t>
  </si>
  <si>
    <t>Provide the name of the procedure or technology used to measure dissolved oxygen.</t>
  </si>
  <si>
    <t>Dissolved oxygen meter in vertical direction</t>
  </si>
  <si>
    <t>oxygen reduction potential (ORP) measurement value</t>
  </si>
  <si>
    <t>GENEPIO:0100917</t>
  </si>
  <si>
    <t>The numerical value of a measurement of oxygen reduction potential (ORP).</t>
  </si>
  <si>
    <t>Provide the numerical value of the measured oxygen reduction potential.</t>
  </si>
  <si>
    <t>oxygen reduction potential (ORP) measurement unit</t>
  </si>
  <si>
    <t>GENEPIO:0100786</t>
  </si>
  <si>
    <t>The units of a measurement of oxygen reduction potential (ORP).</t>
  </si>
  <si>
    <t>Provide the units of the measured oxygen reduction potential by selecting a value from the pick list.</t>
  </si>
  <si>
    <t>milliVolt (mV)</t>
  </si>
  <si>
    <t>oxygen reduction potential (ORP) measurement method</t>
  </si>
  <si>
    <t>GENEPIO:0100787</t>
  </si>
  <si>
    <t>The method used to measure oxygen reduction potential (ORP).</t>
  </si>
  <si>
    <t>Provide the name of the procedure or technology used to measure oxygen reduction potential.</t>
  </si>
  <si>
    <t>ORP sensor</t>
  </si>
  <si>
    <t>chemical oxygen demand (COD) measurement value</t>
  </si>
  <si>
    <t>GENEPIO:0100788</t>
  </si>
  <si>
    <t>The measured value from a chemical oxygen demand (COD) test.</t>
  </si>
  <si>
    <t>Provide the numerical value of the COD test result.</t>
  </si>
  <si>
    <t>chemical oxygen demand (COD) measurement unit</t>
  </si>
  <si>
    <t>GENEPIO:0100789</t>
  </si>
  <si>
    <t>The units associated with a value from a chemical oxygen demand (COD) test.</t>
  </si>
  <si>
    <t>Provide the units of the COD test result.</t>
  </si>
  <si>
    <t>milligram per liter (mg/L)</t>
  </si>
  <si>
    <t>chemical oxygen demand (COD) measurement method</t>
  </si>
  <si>
    <t>GENEPIO:0100790</t>
  </si>
  <si>
    <t>The method used to measure chemical oxygen demand (COD).</t>
  </si>
  <si>
    <t>Provide the name of the procedure or technology used to measure COD.</t>
  </si>
  <si>
    <t>Hach LCK test kit</t>
  </si>
  <si>
    <t>carbonaceous biochemical oxygen demand (CBOD) measurement value</t>
  </si>
  <si>
    <t>GENEPIO:0100791</t>
  </si>
  <si>
    <t>The numerical value of a measurement of carbonaceous biochemical oxygen demand (CBOD).</t>
  </si>
  <si>
    <t>Provide the numerical value of the measured CBOD.</t>
  </si>
  <si>
    <t>carbonaceous biochemical oxygen demand (CBOD) measurement unit</t>
  </si>
  <si>
    <t>GENEPIO:0100792</t>
  </si>
  <si>
    <t>The units of a measurement of carbonaceous biochemical oxygen demand (CBOD).</t>
  </si>
  <si>
    <t>Provide the units of the measured CBOD by selecting a value from the pick list.</t>
  </si>
  <si>
    <t>carbonaceous biochemical oxygen demand (CBOD) measurement method</t>
  </si>
  <si>
    <t>GENEPIO:0100793</t>
  </si>
  <si>
    <t>The method used to measure carbonaceous biochemical oxygen demand (CBOD).</t>
  </si>
  <si>
    <t>Provide the name of the procedure or technology used to measure CBOD.</t>
  </si>
  <si>
    <t>CBOD measurement by optical probe</t>
  </si>
  <si>
    <t>total suspended solids (TSS) measurement value</t>
  </si>
  <si>
    <t>GENEPIO:0100794</t>
  </si>
  <si>
    <t>The mass of suspended particulates, both organic and inorganic in a sample.</t>
  </si>
  <si>
    <t>Provide the numerical value of the measured TSS.</t>
  </si>
  <si>
    <t>total suspended solids (TSS) measurement unit</t>
  </si>
  <si>
    <t>GENEPIO:0100795</t>
  </si>
  <si>
    <t>The units associated with a value from a total suspended solids (TSS) test.</t>
  </si>
  <si>
    <t>Provide the units of the measured TSS.</t>
  </si>
  <si>
    <t>percent (%)</t>
  </si>
  <si>
    <t>total suspended solids (TSS) measurement method</t>
  </si>
  <si>
    <t>GENEPIO:0100796</t>
  </si>
  <si>
    <t>The method used to measure total suspended solids (TSS).</t>
  </si>
  <si>
    <t>Provide the name of the procedure or technology used to measure TSS.</t>
  </si>
  <si>
    <t>Vacuum filter through a 2-micron filter, then oven-dried and weighed sample</t>
  </si>
  <si>
    <t>total dissolved solids (TDS) measurement value</t>
  </si>
  <si>
    <t>GENEPIO:0100797</t>
  </si>
  <si>
    <t>The numerical value from a total dissolved solids (TDS) test.</t>
  </si>
  <si>
    <t>Provide the numerical value of the measured TDS.</t>
  </si>
  <si>
    <t>total dissolved solids (TDS) measurement unit</t>
  </si>
  <si>
    <t>GENEPIO:0100798</t>
  </si>
  <si>
    <t>The units associated with a value from a total dissolved solids (TDS) test.</t>
  </si>
  <si>
    <t>Provide the units of the measured TDS.</t>
  </si>
  <si>
    <t>total dissolved solids (TDS) measurement method</t>
  </si>
  <si>
    <t>GENEPIO:0100799</t>
  </si>
  <si>
    <t>The method used to measure total dissolved solids (TDS).</t>
  </si>
  <si>
    <t>Provide the name of the procedure or technology used to measure TDS.</t>
  </si>
  <si>
    <t>Subtract calculated TSS from calculated TS</t>
  </si>
  <si>
    <t>total solids (TS) measurement value</t>
  </si>
  <si>
    <t>GENEPIO:0100800</t>
  </si>
  <si>
    <t>The numerical value from a total solids (TS) test.</t>
  </si>
  <si>
    <t>Provide the numerical value of the measured TS.</t>
  </si>
  <si>
    <t>total solids (TS) measurement unit</t>
  </si>
  <si>
    <t>GENEPIO:0100801</t>
  </si>
  <si>
    <t>The units associated with a value from a total solids (TS) test.</t>
  </si>
  <si>
    <t>Provide the units of the measured TS.</t>
  </si>
  <si>
    <t>total solids (TS) measurement method</t>
  </si>
  <si>
    <t>GENEPIO:0100802</t>
  </si>
  <si>
    <t>The method used to measure total solids (TS).</t>
  </si>
  <si>
    <t>Provide the name of the procedure or technology used to measure TS.</t>
  </si>
  <si>
    <t>Gravimetric method by oven drying, then weighing</t>
  </si>
  <si>
    <t>alkalinity measurement value</t>
  </si>
  <si>
    <t>GENEPIO:0100878</t>
  </si>
  <si>
    <t>The numerical value of a measurement of alkalinity.</t>
  </si>
  <si>
    <t>Provide the numerical value of the measured alkalinity.</t>
  </si>
  <si>
    <t>alkalinity measurement unit</t>
  </si>
  <si>
    <t>GENEPIO:0100879</t>
  </si>
  <si>
    <t>The units of a measurement of alkalinity.</t>
  </si>
  <si>
    <t>Provide the units of the measured alkalinity.</t>
  </si>
  <si>
    <t>milligram per liter of calcium carbonate (mg/L CaCO3)</t>
  </si>
  <si>
    <t>alkalinity measurement method</t>
  </si>
  <si>
    <t>GENEPIO:0100880</t>
  </si>
  <si>
    <t>The process used to measure alkalinity.</t>
  </si>
  <si>
    <t>Provide the name of the procedure or technology used to measure alkalinity.</t>
  </si>
  <si>
    <t>Titration method</t>
  </si>
  <si>
    <t>conductivity measurement value</t>
  </si>
  <si>
    <t>GENEPIO:0100916</t>
  </si>
  <si>
    <t>The numerical value of a measurement of conductivity.</t>
  </si>
  <si>
    <t>Provide the numerical value of the measured conductivity.</t>
  </si>
  <si>
    <t>conductivity measurement unit</t>
  </si>
  <si>
    <t>GENEPIO:0100803</t>
  </si>
  <si>
    <t>The units of a measurement of conductivity.</t>
  </si>
  <si>
    <t>Provide the units of the measured conductivity.</t>
  </si>
  <si>
    <t>microSiemen per centimeter (μS/cm)</t>
  </si>
  <si>
    <t>conductivity measurement method</t>
  </si>
  <si>
    <t>GENEPIO:0100804</t>
  </si>
  <si>
    <t>The method used to measure conductivity.</t>
  </si>
  <si>
    <t>Provide the name of the procedure or technology used to measure conductivity.</t>
  </si>
  <si>
    <t>Conductivity electrode and meter</t>
  </si>
  <si>
    <t>salinity measurement value</t>
  </si>
  <si>
    <t>GENEPIO:0100805</t>
  </si>
  <si>
    <t>The numerical value of a measurement of salinity.</t>
  </si>
  <si>
    <t>Provide the numerical value of the measured salinity.</t>
  </si>
  <si>
    <t>salinity measurement unit</t>
  </si>
  <si>
    <t>GENEPIO:0100806</t>
  </si>
  <si>
    <t>The units of a measurement of salinity.</t>
  </si>
  <si>
    <t>Provide the units of the measured salinity.</t>
  </si>
  <si>
    <t>practical salinity unit (PSU)</t>
  </si>
  <si>
    <t>salinity measurement method</t>
  </si>
  <si>
    <t>GENEPIO:0100807</t>
  </si>
  <si>
    <t>The method used to measure salinity.</t>
  </si>
  <si>
    <t>Provide the name of the procedure or technology used to measure salinity.</t>
  </si>
  <si>
    <t>conductivity meter</t>
  </si>
  <si>
    <t>total nitrogen (TN) measurement value</t>
  </si>
  <si>
    <t>GENEPIO:0100808</t>
  </si>
  <si>
    <t>The numerical value of a measurement of total nitrogen (TN).</t>
  </si>
  <si>
    <t>Provide the numerical value of the measured TN.</t>
  </si>
  <si>
    <t>total nitrogen (TN) measurement unit</t>
  </si>
  <si>
    <t>GENEPIO:0100809</t>
  </si>
  <si>
    <t>The units of a measurement of total nitrogen (TN).</t>
  </si>
  <si>
    <t>Provide the units of the measured TN.</t>
  </si>
  <si>
    <t>total nitrogen (TN) measurement method</t>
  </si>
  <si>
    <t>GENEPIO:0100810</t>
  </si>
  <si>
    <t>The method used to measure total nitrogen (TN).</t>
  </si>
  <si>
    <t>Provide the name of the procedure or technology used to measure TN.</t>
  </si>
  <si>
    <t>Hach total nitrogen spectrophotometric test</t>
  </si>
  <si>
    <t>total phosphorus (TP) measurement value</t>
  </si>
  <si>
    <t>GENEPIO:0100811</t>
  </si>
  <si>
    <t>The numerical value of a measurement of total phosphorus (TP).</t>
  </si>
  <si>
    <t>Provide the numerical value of the measured TP.</t>
  </si>
  <si>
    <t>total phosphorus (TP) measurement unit</t>
  </si>
  <si>
    <t>GENEPIO:0100812</t>
  </si>
  <si>
    <t>The units of a measurement of total phosphorus (TP).</t>
  </si>
  <si>
    <t>Provide the units of the measured TP.</t>
  </si>
  <si>
    <t>milligrams orthophosphate as phosphorus per liter (mg PO4-P/L)</t>
  </si>
  <si>
    <t>total phosphorus (TP) measurement method</t>
  </si>
  <si>
    <t>GENEPIO:0100813</t>
  </si>
  <si>
    <t>The method used to measure total phosphorus (TP).</t>
  </si>
  <si>
    <t>Provide the name of the procedure or technology used to measure TP.</t>
  </si>
  <si>
    <t>Merck phosphate spectrophotometric test kit</t>
  </si>
  <si>
    <t>fecal contamination indicator</t>
  </si>
  <si>
    <t>GENEPIO:0100814</t>
  </si>
  <si>
    <t>A gene, virus, bacteria, or substance used to measure the sanitary quality of water in regards to fecal contamination.</t>
  </si>
  <si>
    <t>If a fecal contamination indicator was measured, select it from the picklist.</t>
  </si>
  <si>
    <t>crAssphage</t>
  </si>
  <si>
    <t>fecal contamination value</t>
  </si>
  <si>
    <t>GENEPIO:0100815</t>
  </si>
  <si>
    <t>The numerical value of a measurement of fecal contamination.</t>
  </si>
  <si>
    <t>Provide the numerical value of the measured fecal contamination.</t>
  </si>
  <si>
    <t>fecal contamination unit</t>
  </si>
  <si>
    <t>GENEPIO:0100816</t>
  </si>
  <si>
    <t>The units of a measurement of fecal contamination.</t>
  </si>
  <si>
    <t>Provide the units of the measured fecal contamination.</t>
  </si>
  <si>
    <t>cycle threshold (Ct) / quantification cycle (Cq)</t>
  </si>
  <si>
    <t>fecal contamination method</t>
  </si>
  <si>
    <t>GENEPIO:0100817</t>
  </si>
  <si>
    <t>The method used to measure fecal contamination.</t>
  </si>
  <si>
    <t>Provide the name of the procedure or technology used to measure fecal contamination.</t>
  </si>
  <si>
    <t>quantitative PCR assay</t>
  </si>
  <si>
    <t>fecal coliform count value</t>
  </si>
  <si>
    <t>GENEPIO:0100818</t>
  </si>
  <si>
    <t>The numerical value of a measurement of fecal coliforms within a sample.</t>
  </si>
  <si>
    <t>Provide the numerical value of the measured fecal coliforms.</t>
  </si>
  <si>
    <t>fecal coliform count unit</t>
  </si>
  <si>
    <t>GENEPIO:0100819</t>
  </si>
  <si>
    <t>The units of a measurement of fecal coliforms.</t>
  </si>
  <si>
    <t>Provide the units of the measured fecal coliforms.</t>
  </si>
  <si>
    <t>most probable number per milliliter (MPN/mL)</t>
  </si>
  <si>
    <t>fecal coliform count method</t>
  </si>
  <si>
    <t>GENEPIO:0100820</t>
  </si>
  <si>
    <t>The method used to measure fecal coliforms.</t>
  </si>
  <si>
    <t>Provide the name of the procedure or technology used to measure fecal coliforms.</t>
  </si>
  <si>
    <t>MPN method via serial dilutions until lack of growth</t>
  </si>
  <si>
    <t>urinary contamination indicator</t>
  </si>
  <si>
    <t>GENEPIO:0100837</t>
  </si>
  <si>
    <t>A gene, virus, bacteria, or substance used to measure the sanitary quality of water in regards to urinary contamination.</t>
  </si>
  <si>
    <t>If a urinary contamination indicator was measured, select it from the picklist.</t>
  </si>
  <si>
    <t>urobilin</t>
  </si>
  <si>
    <t>urinary contamination value</t>
  </si>
  <si>
    <t>GENEPIO:0100838</t>
  </si>
  <si>
    <t>The numerical value of a measurement of urinary contamination.</t>
  </si>
  <si>
    <t>Provide the numerical value of the measured urinary contamination.</t>
  </si>
  <si>
    <t>urinary contamination unit</t>
  </si>
  <si>
    <t>GENEPIO:0100839</t>
  </si>
  <si>
    <t>The units of a measurement of urinary contamination.</t>
  </si>
  <si>
    <t>Provide the units of the measured urinary contamination.</t>
  </si>
  <si>
    <t xml:space="preserve">nanograms per liter </t>
  </si>
  <si>
    <t>urinary contamination method</t>
  </si>
  <si>
    <t>GENEPIO:0100840</t>
  </si>
  <si>
    <t>The method used to measure urinary contamination.</t>
  </si>
  <si>
    <t>Provide the name of the procedure or technology used to measure urinary contamination.</t>
  </si>
  <si>
    <t>sample temperature value (at collection)</t>
  </si>
  <si>
    <t>GENEPIO:0100821</t>
  </si>
  <si>
    <t>The numerical value of a measurement of temperature of a sample at collection.</t>
  </si>
  <si>
    <t>sample temperature unit (at collection)</t>
  </si>
  <si>
    <t>GENEPIO:0100822</t>
  </si>
  <si>
    <t>The units of a measurement of temperature of a sample at the time of collection.</t>
  </si>
  <si>
    <t>sample temperature value (when received)</t>
  </si>
  <si>
    <t>GENEPIO:0100823</t>
  </si>
  <si>
    <t>The numerical value of a measurement of temperature of a sample upon receipt.</t>
  </si>
  <si>
    <t>sample temperature unit (when received)</t>
  </si>
  <si>
    <t>GENEPIO:0100824</t>
  </si>
  <si>
    <t>The units of a measurement of temperature of a sample at the time upon receipt.</t>
  </si>
  <si>
    <t>Strain and isolation information</t>
  </si>
  <si>
    <t>GENEPIO:0100453</t>
  </si>
  <si>
    <t>microbiological 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</si>
  <si>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</si>
  <si>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</si>
  <si>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</si>
  <si>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</si>
  <si>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</si>
  <si>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</si>
  <si>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</si>
  <si>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If the isolate represents or is derived from, a lab reference strain or strain from a type culture collection, provide the strain identifier.</t>
  </si>
  <si>
    <t>K12</t>
  </si>
  <si>
    <t>isolate ID</t>
  </si>
  <si>
    <t>GENEPIO:0100456</t>
  </si>
  <si>
    <t>The user-defined identifier for the isolate, as provided by the laboratory that originally isolated the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</si>
  <si>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</si>
  <si>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</si>
  <si>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 isolate 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</si>
  <si>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</si>
  <si>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</si>
  <si>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An example of a properly formatted alternative_isolate_identifier would be e.g. XYZ4567[CFIA]. Multiple alternative isolate IDs can be provided, separated by semi-colons.</t>
  </si>
  <si>
    <t>GHIF3456[PHAC]; QWICK222[CFIA]</t>
  </si>
  <si>
    <t>progeny isolate 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</si>
  <si>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</si>
  <si>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</si>
  <si>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</si>
  <si>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</si>
  <si>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isolated 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</si>
  <si>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</si>
  <si>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</si>
  <si>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</si>
  <si>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Public Health Agency of Canada (PHAC) [GENEPIO:0100551]</t>
  </si>
  <si>
    <t>isolated by laboratory 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</si>
  <si>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</si>
  <si>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</si>
  <si>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</si>
  <si>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Topp Lab</t>
  </si>
  <si>
    <t>isolated by contact 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</si>
  <si>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</si>
  <si>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</si>
  <si>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</si>
  <si>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Enterics Lab Manager</t>
  </si>
  <si>
    <t>isolated by contact 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</si>
  <si>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</si>
  <si>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</si>
  <si>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</si>
  <si>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</si>
  <si>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 date</t>
  </si>
  <si>
    <t>GENEPIO:0100465</t>
  </si>
  <si>
    <t>The date on which the isolate was isolated from a sample.</t>
  </si>
  <si>
    <t>Provide the date according to the ISO 8601 standard "YYYY-MM-DD", "YYYY-MM" or "YYYY".</t>
  </si>
  <si>
    <t>isolate received date</t>
  </si>
  <si>
    <t>GENEPIO:0100466</t>
  </si>
  <si>
    <t>The date on which the isolate was received by the laboratory.</t>
  </si>
  <si>
    <t>serovar</t>
  </si>
  <si>
    <t>GENEPIO:0100467</t>
  </si>
  <si>
    <t>The serovar of the organism.</t>
  </si>
  <si>
    <t>Only include this information if it has been determined by traditional serological methods or a validated in silico prediction tool e.g. SISTR.</t>
  </si>
  <si>
    <t>Heidelberg</t>
  </si>
  <si>
    <t>serotyping 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</si>
  <si>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</si>
  <si>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</si>
  <si>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</si>
  <si>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</si>
  <si>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</si>
  <si>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</si>
  <si>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</si>
  <si>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</si>
  <si>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</si>
  <si>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</si>
  <si>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</si>
  <si>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</si>
  <si>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</si>
  <si>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</si>
  <si>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</si>
  <si>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purpose of sequencing details</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</si>
  <si>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</si>
  <si>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</si>
  <si>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</si>
  <si>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Investigating schools/universities</t>
  </si>
  <si>
    <t>sequenced 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</si>
  <si>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</si>
  <si>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</si>
  <si>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</si>
  <si>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3.0.0</t>
  </si>
  <si>
    <t>sequenced by contact 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</si>
  <si>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</si>
  <si>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</si>
  <si>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</si>
  <si>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 by contact email</t>
  </si>
  <si>
    <t>GENEPIO:0100422</t>
  </si>
  <si>
    <t>The email address of the contact responsible for follow-up regarding the sequence.</t>
  </si>
  <si>
    <t>sequence submitted by</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</si>
  <si>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</si>
  <si>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</si>
  <si>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</si>
  <si>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</si>
  <si>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sequence submitter contact email</t>
  </si>
  <si>
    <t>GENEPIO:0001165</t>
  </si>
  <si>
    <t>The email address can represent a specific individual or laboratory.</t>
  </si>
  <si>
    <t>RespLab@lab.ca</t>
  </si>
  <si>
    <t>sequencing date</t>
  </si>
  <si>
    <t>GENEPIO:0001447</t>
  </si>
  <si>
    <t>The date the sample was sequenced.</t>
  </si>
  <si>
    <t>ISO 8601 standard "YYYY-MM-DD".</t>
  </si>
  <si>
    <t>library ID</t>
  </si>
  <si>
    <t>GENEPIO:0001448</t>
  </si>
  <si>
    <t>The user-specified identifier for the library prepared for sequencing.</t>
  </si>
  <si>
    <t>The library name should be unique, and can be an autogenerated ID from your LIMS, or modification of the isolate ID.</t>
  </si>
  <si>
    <t>XYZ_123345</t>
  </si>
  <si>
    <t>sequencing 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</si>
  <si>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</si>
  <si>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</si>
  <si>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</si>
  <si>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</si>
  <si>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 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</si>
  <si>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</si>
  <si>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</si>
  <si>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</si>
  <si>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</si>
  <si>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 assay 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</si>
  <si>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</si>
  <si>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</si>
  <si>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</si>
  <si>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t>
  </si>
  <si>
    <t>library preparation kit</t>
  </si>
  <si>
    <t>GENEPIO:0001450</t>
  </si>
  <si>
    <t>The name of the DNA library preparation kit used to generate the library being sequenced.</t>
  </si>
  <si>
    <t>Provide the name of the library preparation kit used.</t>
  </si>
  <si>
    <t>Nextera XT</t>
  </si>
  <si>
    <t>sequencing 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</si>
  <si>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</si>
  <si>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</si>
  <si>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</si>
  <si>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https://www.protocols.io/view/ncov-2019-sequencing-protocol-bbmuik6w?versionwarning=no</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</si>
  <si>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</si>
  <si>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</si>
  <si>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</si>
  <si>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</si>
  <si>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</si>
  <si>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</si>
  <si>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</si>
  <si>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</si>
  <si>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</si>
  <si>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</si>
  <si>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</si>
  <si>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</si>
  <si>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t>
  </si>
  <si>
    <t>enrichment was done using Twist's respiratory virus research panel: https://www.twistbioscience.com/products/ngs/fixed-panels/respiratory-virus-research-panel</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</si>
  <si>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</si>
  <si>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</si>
  <si>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</si>
  <si>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</si>
  <si>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</si>
  <si>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</si>
  <si>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</si>
  <si>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</si>
  <si>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</si>
  <si>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</si>
  <si>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</si>
  <si>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</si>
  <si>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</si>
  <si>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</si>
  <si>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</si>
  <si>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</si>
  <si>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</si>
  <si>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</si>
  <si>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</si>
  <si>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</si>
  <si>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</si>
  <si>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</si>
  <si>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</si>
  <si>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</si>
  <si>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</si>
  <si>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</si>
  <si>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</si>
  <si>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</si>
  <si>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</si>
  <si>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</si>
  <si>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</si>
  <si>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</si>
  <si>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</si>
  <si>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</si>
  <si>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</si>
  <si>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</si>
  <si>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</si>
  <si>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</si>
  <si>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Provide the software name followed by the version or a link to the github protocol e.g. Trimmomatic v. 0.38, Porechop v. 0.2.3</t>
  </si>
  <si>
    <t>Porechop 0.2.3</t>
  </si>
  <si>
    <t>dehosting method</t>
  </si>
  <si>
    <t>GENEPIO:0001459</t>
  </si>
  <si>
    <t>The method used to remove host reads from the pathogen sequence.</t>
  </si>
  <si>
    <t>Provide the name and version number of the software used to remove host reads.</t>
  </si>
  <si>
    <t>Nanostripper</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</si>
  <si>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</si>
  <si>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</si>
  <si>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</si>
  <si>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</si>
  <si>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</si>
  <si>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</si>
  <si>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</si>
  <si>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</si>
  <si>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</si>
  <si>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</si>
  <si>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</si>
  <si>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</si>
  <si>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</si>
  <si>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</si>
  <si>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</si>
  <si>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</si>
  <si>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</si>
  <si>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</si>
  <si>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</si>
  <si>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</si>
  <si>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</si>
  <si>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</si>
  <si>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</si>
  <si>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</si>
  <si>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</si>
  <si>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</si>
  <si>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</si>
  <si>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</si>
  <si>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</si>
  <si>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</si>
  <si>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</si>
  <si>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</si>
  <si>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</si>
  <si>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</si>
  <si>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</si>
  <si>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</si>
  <si>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</si>
  <si>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</si>
  <si>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</si>
  <si>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</si>
  <si>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</si>
  <si>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</si>
  <si>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</si>
  <si>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</si>
  <si>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</si>
  <si>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</si>
  <si>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</si>
  <si>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</si>
  <si>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</si>
  <si>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</si>
  <si>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</si>
  <si>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</si>
  <si>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</si>
  <si>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</si>
  <si>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</si>
  <si>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</si>
  <si>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</si>
  <si>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 value</t>
  </si>
  <si>
    <t>GENEPIO:0100938</t>
  </si>
  <si>
    <t>The length of the shortest read that, together with other reads, represents at least 50% of the nucleotides in a set of sequences.</t>
  </si>
  <si>
    <t>Provide the N50 value in Mb.</t>
  </si>
  <si>
    <t>percent read contamination</t>
  </si>
  <si>
    <t>GENEPIO:0100845</t>
  </si>
  <si>
    <t>The percent of the total number of reads identified as contamination (not belonging to the target organism) in a sequence dataset.</t>
  </si>
  <si>
    <t>Provide the percent contamination value (no need to include units).</t>
  </si>
  <si>
    <t>consensus genome length</t>
  </si>
  <si>
    <t>GENEPIO:0001483</t>
  </si>
  <si>
    <t>The length of the genome defined by the most common nucleotides at each position.</t>
  </si>
  <si>
    <t>sequence assembly length</t>
  </si>
  <si>
    <t>GENEPIO:0100846</t>
  </si>
  <si>
    <t>The length of the genome generated by assembling reads using a scaffold or by reference-based mapping.</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</si>
  <si>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</si>
  <si>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</si>
  <si>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</si>
  <si>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</si>
  <si>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</si>
  <si>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</si>
  <si>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</si>
  <si>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</si>
  <si>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</si>
  <si>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</si>
  <si>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</si>
  <si>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</si>
  <si>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</si>
  <si>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</si>
  <si>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</si>
  <si>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Taxonomic identification information</t>
  </si>
  <si>
    <t>GENEPIO:0101082</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</si>
  <si>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</si>
  <si>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</si>
  <si>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</si>
  <si>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</si>
  <si>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</si>
  <si>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</si>
  <si>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</si>
  <si>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</si>
  <si>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</si>
  <si>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</si>
  <si>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</si>
  <si>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</si>
  <si>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</si>
  <si>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</si>
  <si>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</si>
  <si>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</si>
  <si>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</si>
  <si>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</si>
  <si>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</si>
  <si>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taxonomic analysis report filename</t>
  </si>
  <si>
    <t>GENEPIO:0101074</t>
  </si>
  <si>
    <t>The filename of the report containing the results of a taxonomic analysis.</t>
  </si>
  <si>
    <t>Provide the filename of the report containing the results of the taxonomic analysis.</t>
  </si>
  <si>
    <t>WWtax_report_Feb1_2024.doc</t>
  </si>
  <si>
    <t>taxonomic analysis date</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</si>
  <si>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</si>
  <si>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</si>
  <si>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</si>
  <si>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read mapping criteria</t>
  </si>
  <si>
    <t>GENEPIO:0100836</t>
  </si>
  <si>
    <t>A description of the criteria used to map reads to a reference sequence.</t>
  </si>
  <si>
    <t>Provide a description of the read mapping criteria.</t>
  </si>
  <si>
    <t>Phred score &gt;20</t>
  </si>
  <si>
    <t>AMR detection information</t>
  </si>
  <si>
    <t>GENEPIO:0100479</t>
  </si>
  <si>
    <t>AMR analysis software name</t>
  </si>
  <si>
    <t>GENEPIO:0101076</t>
  </si>
  <si>
    <r>
      <rPr>
        <rFont val="Arial"/>
        <color theme="1"/>
      </rPr>
      <t xml:space="preserve">The name of the software used to perform an </t>
    </r>
    <r>
      <rPr>
        <rFont val="Arial"/>
        <i/>
        <color theme="1"/>
      </rPr>
      <t>in silico</t>
    </r>
    <r>
      <rPr>
        <rFont val="Arial"/>
        <color theme="1"/>
      </rPr>
      <t xml:space="preserve"> antimicrobial resistance determinant identification/analysis.</t>
    </r>
  </si>
  <si>
    <t>Provide the name of the software used for AMR analysis.</t>
  </si>
  <si>
    <t xml:space="preserve">Resistance Gene Identifier  </t>
  </si>
  <si>
    <t>AMR analysis software version</t>
  </si>
  <si>
    <t>GENEPIO:0101077</t>
  </si>
  <si>
    <r>
      <rPr>
        <rFont val="Arial"/>
        <color theme="1"/>
      </rPr>
      <t xml:space="preserve">The version number of the software used to perform an </t>
    </r>
    <r>
      <rPr>
        <rFont val="Arial"/>
        <i/>
        <color theme="1"/>
      </rPr>
      <t>in silico</t>
    </r>
    <r>
      <rPr>
        <rFont val="Arial"/>
        <color theme="1"/>
      </rPr>
      <t xml:space="preserve"> antimicrobial resistance determinant idenrtification/analysis.</t>
    </r>
  </si>
  <si>
    <t>Provide the version number of the software used for AMR analysis.</t>
  </si>
  <si>
    <t>6.0.3</t>
  </si>
  <si>
    <t>AMR reference database name</t>
  </si>
  <si>
    <t>GENEPIO:0101078</t>
  </si>
  <si>
    <r>
      <rPr>
        <rFont val="Arial"/>
        <color theme="1"/>
      </rPr>
      <t xml:space="preserve">Thr name of the reference database used to perform an </t>
    </r>
    <r>
      <rPr>
        <rFont val="Arial"/>
        <i/>
        <color theme="1"/>
      </rPr>
      <t>in silico</t>
    </r>
    <r>
      <rPr>
        <rFont val="Arial"/>
        <color theme="1"/>
      </rPr>
      <t xml:space="preserve"> antimicrobial resistance determinant identification/analysis.</t>
    </r>
  </si>
  <si>
    <t>Provide the name of the reference database used for AMR analysis.</t>
  </si>
  <si>
    <t xml:space="preserve">Comprehensive Antibiotic Resistance Database (CARD) </t>
  </si>
  <si>
    <t>AMR reference database version</t>
  </si>
  <si>
    <t>GENEPIO:0101079</t>
  </si>
  <si>
    <r>
      <rPr>
        <rFont val="Arial"/>
        <color theme="1"/>
      </rPr>
      <t>The version number of the reference database used to perform an i</t>
    </r>
    <r>
      <rPr>
        <rFont val="Arial"/>
        <i/>
        <color theme="1"/>
      </rPr>
      <t>n silico</t>
    </r>
    <r>
      <rPr>
        <rFont val="Arial"/>
        <color theme="1"/>
      </rPr>
      <t xml:space="preserve"> antimicrobial resistance determinant identification/analysis.</t>
    </r>
  </si>
  <si>
    <t>Provide the version number of the reference database used for AMR analysis.</t>
  </si>
  <si>
    <t>3.2.9</t>
  </si>
  <si>
    <t>AMR analysis report filename</t>
  </si>
  <si>
    <t>GENEPIO:0101080</t>
  </si>
  <si>
    <r>
      <rPr>
        <rFont val="Arial"/>
        <color theme="1"/>
      </rPr>
      <t xml:space="preserve">The filename of the report containing the results of an </t>
    </r>
    <r>
      <rPr>
        <rFont val="Arial"/>
        <i/>
        <color theme="1"/>
      </rPr>
      <t>in silico</t>
    </r>
    <r>
      <rPr>
        <rFont val="Arial"/>
        <color theme="1"/>
      </rPr>
      <t xml:space="preserve"> antimicrobial resistance analysis.</t>
    </r>
  </si>
  <si>
    <t>Provide the filename of the report containing the results of the AMR analysis.</t>
  </si>
  <si>
    <t>WWAMR_report_Feb1_2024.doc</t>
  </si>
  <si>
    <t>Lineage/clade information</t>
  </si>
  <si>
    <t>GENEPIO:0001498</t>
  </si>
  <si>
    <t>lineage/clade name</t>
  </si>
  <si>
    <t>GENEPIO:0001500</t>
  </si>
  <si>
    <t>The name of the lineage or clade.</t>
  </si>
  <si>
    <t>Provide the Pangolin or Nextstrain lineage/clade name. Multiple lineages/clades can be provided, separated by a semicolon.</t>
  </si>
  <si>
    <t>B.1.1.7</t>
  </si>
  <si>
    <t>lineage/clade analysis software name</t>
  </si>
  <si>
    <t>GENEPIO:0001501</t>
  </si>
  <si>
    <t>The name of the software used to determine the lineage/clade.</t>
  </si>
  <si>
    <t>Provide the name of the software used to determine the lineage/clade.</t>
  </si>
  <si>
    <t>Freyja</t>
  </si>
  <si>
    <t>lineage/clade analysis software version</t>
  </si>
  <si>
    <t>GENEPIO:0001502</t>
  </si>
  <si>
    <t>The version of the software used to determine the lineage/clade.</t>
  </si>
  <si>
    <t>Provide the version of the software used ot determine the lineage/clade.</t>
  </si>
  <si>
    <t>1.5.0</t>
  </si>
  <si>
    <t>lineage/clade analysis report filename</t>
  </si>
  <si>
    <t>GENEPIO:0101081</t>
  </si>
  <si>
    <t>The filename of the report containing the results of a lineage/clade analysis.</t>
  </si>
  <si>
    <t>Provide the filename of the report containing the results of the lineage/clade analysis.</t>
  </si>
  <si>
    <t>aggregated-WWSC2-ABC-b_1234.tsv</t>
  </si>
  <si>
    <t>Pathogen diagnostic testing</t>
  </si>
  <si>
    <t>GENEPIO:0001506</t>
  </si>
  <si>
    <t xml:space="preserve">The taxonomic name of the organism. </t>
  </si>
  <si>
    <t>Put the genus and species (and subspecies if applicable) if known.The standardized term can be sourced from this look-up service: https://www.ebi.ac.uk/ols4/ontologies/ncbitaxon</t>
  </si>
  <si>
    <t>gene name</t>
  </si>
  <si>
    <t>GENEPIO:0100655</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</si>
  <si>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</si>
  <si>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</si>
  <si>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 gene (orf4)</t>
  </si>
  <si>
    <t>diagnostic target presence</t>
  </si>
  <si>
    <t>GENEPIO:0100962</t>
  </si>
  <si>
    <t>The binary value of the result from a diagnostic test.</t>
  </si>
  <si>
    <t>Select a value from the pick list provided, to describe whether a target was determined to be present or absent within a sample.</t>
  </si>
  <si>
    <t>present</t>
  </si>
  <si>
    <t>diagnostic measurement value</t>
  </si>
  <si>
    <t>GENEPIO:0100963</t>
  </si>
  <si>
    <t>The value of the result from a diagnostic test.</t>
  </si>
  <si>
    <t>Provide the numerical result of a diagnostic test.</t>
  </si>
  <si>
    <t>diagnostic measurement unit</t>
  </si>
  <si>
    <t>GENEPIO:0100964</t>
  </si>
  <si>
    <t>The unit of the result from a diagnostic test.</t>
  </si>
  <si>
    <t>Select a value from the pick list provided, to describe the units of the given diagnostic test.</t>
  </si>
  <si>
    <t>CFU/mL</t>
  </si>
  <si>
    <t>diagnostic measurement method</t>
  </si>
  <si>
    <t>GENEPIO:0100965</t>
  </si>
  <si>
    <t>The method by which a diagnostic result was received.</t>
  </si>
  <si>
    <t>Select a value from the pick list provided to describe the method used for a given diagnostic test.</t>
  </si>
  <si>
    <t>qPCR</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</si>
  <si>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</si>
  <si>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</si>
  <si>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</si>
  <si>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</si>
  <si>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</si>
  <si>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</si>
  <si>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Joe Blogs</t>
  </si>
  <si>
    <r>
      <rPr>
        <rFont val="Arial"/>
        <b/>
        <color theme="1"/>
      </rPr>
      <t xml:space="preserve">IMPORTANT: </t>
    </r>
    <r>
      <rPr>
        <rFont val="Arial"/>
        <b val="0"/>
        <color theme="1"/>
      </rPr>
      <t>Only labels and/or IDs will be deprecated, always with replacement version provided. If a term changes in its meaning, a new term will be created.</t>
    </r>
  </si>
  <si>
    <t>3.1.1</t>
  </si>
  <si>
    <t>Term</t>
  </si>
  <si>
    <t>Ontology ID</t>
  </si>
  <si>
    <r>
      <rPr>
        <rFont val="Arial"/>
        <b/>
        <color theme="1"/>
      </rPr>
      <t xml:space="preserve">IMPORTANT: </t>
    </r>
    <r>
      <rPr>
        <rFont val="Arial"/>
        <b val="0"/>
        <color theme="1"/>
      </rPr>
      <t>Only labels and/or IDs will be deprecated, always with replacement version provided. If a term changes in its meaning, a new term will be created.</t>
    </r>
  </si>
  <si>
    <t>GENEPIO:0100882</t>
  </si>
  <si>
    <t>GENEPIO:0100884</t>
  </si>
  <si>
    <t>GENEPIO:0100885</t>
  </si>
  <si>
    <t>GENEPIO:0100883</t>
  </si>
  <si>
    <t>GENEPIO:0100881</t>
  </si>
  <si>
    <r>
      <rPr>
        <rFont val="Arial"/>
        <b/>
        <color theme="1"/>
      </rPr>
      <t xml:space="preserve">IMPORTANT: </t>
    </r>
    <r>
      <rPr>
        <rFont val="Arial"/>
        <b val="0"/>
        <color theme="1"/>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</si>
  <si>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</si>
  <si>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</si>
  <si>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</si>
  <si>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</si>
  <si>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</si>
  <si>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</si>
  <si>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</si>
  <si>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</si>
  <si>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</si>
  <si>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</si>
  <si>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</si>
  <si>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</si>
  <si>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</si>
  <si>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</si>
  <si>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</si>
  <si>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</si>
  <si>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</si>
  <si>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</si>
  <si>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</si>
  <si>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</si>
  <si>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</si>
  <si>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</si>
  <si>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</si>
  <si>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</si>
  <si>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</si>
  <si>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</si>
  <si>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</si>
  <si>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</si>
  <si>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</si>
  <si>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</si>
  <si>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</si>
  <si>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</si>
  <si>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</si>
  <si>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</si>
  <si>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</si>
  <si>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</si>
  <si>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</si>
  <si>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</si>
  <si>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</si>
  <si>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</si>
  <si>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</si>
  <si>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</si>
  <si>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</si>
  <si>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</si>
  <si>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</si>
  <si>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</si>
  <si>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</si>
  <si>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</si>
  <si>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</si>
  <si>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</si>
  <si>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</si>
  <si>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</si>
  <si>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</si>
  <si>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</si>
  <si>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</si>
  <si>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</si>
  <si>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</si>
  <si>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</si>
  <si>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</si>
  <si>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</si>
  <si>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</si>
  <si>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</si>
  <si>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</si>
  <si>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</si>
  <si>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</si>
  <si>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</si>
  <si>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</si>
  <si>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</si>
  <si>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</si>
  <si>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</si>
  <si>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</si>
  <si>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</si>
  <si>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</si>
  <si>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</si>
  <si>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</si>
  <si>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</si>
  <si>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</si>
  <si>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</si>
  <si>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</si>
  <si>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</si>
  <si>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</si>
  <si>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</si>
  <si>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</si>
  <si>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</si>
  <si>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</si>
  <si>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</si>
  <si>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</si>
  <si>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</si>
  <si>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</si>
  <si>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</si>
  <si>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</si>
  <si>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</si>
  <si>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</si>
  <si>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</si>
  <si>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</si>
  <si>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</si>
  <si>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</si>
  <si>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</si>
  <si>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</si>
  <si>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</si>
  <si>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</si>
  <si>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</si>
  <si>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</si>
  <si>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</si>
  <si>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</si>
  <si>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</si>
  <si>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</si>
  <si>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</si>
  <si>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</si>
  <si>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</si>
  <si>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</si>
  <si>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</si>
  <si>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</si>
  <si>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</si>
  <si>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</si>
  <si>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</si>
  <si>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</si>
  <si>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</si>
  <si>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</si>
  <si>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</si>
  <si>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</si>
  <si>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</si>
  <si>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</si>
  <si>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</si>
  <si>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</si>
  <si>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</si>
  <si>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</si>
  <si>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</si>
  <si>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</si>
  <si>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</si>
  <si>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</si>
  <si>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</si>
  <si>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</si>
  <si>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</si>
  <si>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</si>
  <si>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</si>
  <si>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</si>
  <si>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</si>
  <si>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</si>
  <si>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</si>
  <si>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</si>
  <si>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</si>
  <si>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</si>
  <si>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</si>
  <si>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</si>
  <si>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</si>
  <si>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</si>
  <si>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</si>
  <si>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</si>
  <si>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</si>
  <si>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</si>
  <si>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</si>
  <si>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</si>
  <si>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</si>
  <si>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</si>
  <si>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</si>
  <si>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</si>
  <si>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</si>
  <si>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</si>
  <si>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</si>
  <si>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</si>
  <si>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</si>
  <si>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</si>
  <si>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</si>
  <si>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</si>
  <si>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</si>
  <si>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</si>
  <si>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</si>
  <si>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</si>
  <si>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</si>
  <si>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</si>
  <si>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</si>
  <si>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</si>
  <si>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</si>
  <si>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</si>
  <si>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</si>
  <si>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</si>
  <si>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</si>
  <si>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</si>
  <si>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</si>
  <si>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</si>
  <si>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</si>
  <si>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</si>
  <si>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</si>
  <si>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</si>
  <si>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</si>
  <si>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</si>
  <si>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</si>
  <si>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</si>
  <si>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</si>
  <si>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</si>
  <si>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</si>
  <si>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</si>
  <si>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</si>
  <si>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</si>
  <si>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</si>
  <si>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</si>
  <si>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</si>
  <si>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</si>
  <si>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</si>
  <si>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</si>
  <si>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</si>
  <si>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</si>
  <si>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</si>
  <si>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</si>
  <si>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</si>
  <si>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</si>
  <si>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</si>
  <si>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</si>
  <si>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</si>
  <si>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</si>
  <si>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</si>
  <si>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</si>
  <si>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</si>
  <si>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</si>
  <si>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</si>
  <si>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</si>
  <si>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</si>
  <si>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</si>
  <si>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</si>
  <si>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</si>
  <si>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</si>
  <si>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</si>
  <si>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</si>
  <si>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</si>
  <si>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</si>
  <si>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</si>
  <si>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</si>
  <si>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</si>
  <si>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</si>
  <si>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</si>
  <si>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</si>
  <si>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</si>
  <si>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</si>
  <si>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</si>
  <si>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</si>
  <si>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</si>
  <si>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</si>
  <si>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</si>
  <si>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</si>
  <si>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</si>
  <si>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</si>
  <si>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</si>
  <si>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</si>
  <si>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</si>
  <si>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</si>
  <si>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</si>
  <si>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</si>
  <si>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</si>
  <si>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</si>
  <si>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</si>
  <si>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</si>
  <si>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</si>
  <si>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</si>
  <si>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</si>
  <si>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</si>
  <si>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</si>
  <si>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</si>
  <si>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</si>
  <si>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</si>
  <si>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</si>
  <si>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</si>
  <si>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</si>
  <si>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</si>
  <si>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</si>
  <si>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</si>
  <si>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</si>
  <si>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</si>
  <si>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</si>
  <si>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</si>
  <si>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</si>
  <si>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</si>
  <si>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</si>
  <si>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</si>
  <si>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</si>
  <si>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</si>
  <si>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</si>
  <si>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</si>
  <si>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</si>
  <si>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</si>
  <si>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</si>
  <si>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</si>
  <si>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</si>
  <si>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</si>
  <si>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</si>
  <si>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</si>
  <si>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</si>
  <si>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</si>
  <si>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</si>
  <si>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</si>
  <si>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</si>
  <si>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</si>
  <si>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</si>
  <si>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</si>
  <si>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</si>
  <si>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</si>
  <si>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</si>
  <si>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</si>
  <si>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</si>
  <si>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</si>
  <si>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</si>
  <si>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</si>
  <si>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</si>
  <si>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</si>
  <si>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</si>
  <si>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</si>
  <si>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</si>
  <si>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</si>
  <si>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</si>
  <si>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</si>
  <si>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</si>
  <si>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</si>
  <si>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</si>
  <si>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</si>
  <si>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</si>
  <si>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</si>
  <si>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</si>
  <si>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</si>
  <si>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</si>
  <si>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</si>
  <si>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</si>
  <si>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</si>
  <si>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</si>
  <si>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</si>
  <si>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</si>
  <si>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</si>
  <si>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</si>
  <si>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</si>
  <si>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</si>
  <si>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</si>
  <si>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</si>
  <si>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</si>
  <si>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</si>
  <si>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</si>
  <si>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</si>
  <si>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</si>
  <si>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</si>
  <si>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</si>
  <si>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</si>
  <si>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</si>
  <si>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</si>
  <si>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</si>
  <si>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</si>
  <si>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</si>
  <si>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</si>
  <si>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</si>
  <si>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</si>
  <si>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</si>
  <si>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</si>
  <si>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</si>
  <si>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</si>
  <si>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</si>
  <si>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</si>
  <si>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</si>
  <si>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</si>
  <si>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</si>
  <si>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</si>
  <si>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</si>
  <si>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</si>
  <si>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</si>
  <si>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</si>
  <si>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</si>
  <si>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</si>
  <si>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</si>
  <si>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</si>
  <si>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</si>
  <si>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</si>
  <si>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</si>
  <si>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</si>
  <si>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</si>
  <si>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</si>
  <si>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</si>
  <si>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</si>
  <si>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</si>
  <si>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</si>
  <si>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</si>
  <si>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</si>
  <si>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</si>
  <si>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</si>
  <si>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</si>
  <si>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</si>
  <si>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</si>
  <si>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</si>
  <si>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</si>
  <si>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</si>
  <si>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</si>
  <si>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</si>
  <si>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</si>
  <si>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</si>
  <si>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</si>
  <si>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</si>
  <si>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</si>
  <si>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</si>
  <si>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</si>
  <si>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</si>
  <si>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</si>
  <si>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</si>
  <si>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</si>
  <si>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</si>
  <si>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</si>
  <si>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</si>
  <si>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</si>
  <si>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</si>
  <si>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</si>
  <si>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</si>
  <si>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</si>
  <si>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</si>
  <si>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</si>
  <si>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</si>
  <si>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</si>
  <si>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</si>
  <si>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</si>
  <si>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</si>
  <si>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</si>
  <si>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</si>
  <si>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</si>
  <si>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</si>
  <si>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</si>
  <si>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</si>
  <si>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</si>
  <si>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</si>
  <si>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</si>
  <si>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</si>
  <si>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</si>
  <si>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</si>
  <si>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</si>
  <si>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</si>
  <si>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</si>
  <si>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</si>
  <si>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</si>
  <si>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</si>
  <si>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</si>
  <si>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</si>
  <si>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</si>
  <si>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</si>
  <si>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</si>
  <si>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</si>
  <si>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</si>
  <si>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</si>
  <si>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</si>
  <si>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</si>
  <si>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</si>
  <si>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</si>
  <si>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</si>
  <si>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</si>
  <si>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</si>
  <si>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</si>
  <si>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</si>
  <si>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</si>
  <si>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</si>
  <si>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</si>
  <si>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</si>
  <si>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</si>
  <si>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</si>
  <si>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</si>
  <si>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</si>
  <si>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</si>
  <si>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</si>
  <si>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</si>
  <si>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</si>
  <si>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</si>
  <si>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</si>
  <si>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</si>
  <si>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</si>
  <si>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</si>
  <si>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</si>
  <si>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</si>
  <si>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</si>
  <si>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</si>
  <si>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</si>
  <si>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</si>
  <si>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</si>
  <si>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</si>
  <si>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</si>
  <si>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</si>
  <si>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</si>
  <si>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</si>
  <si>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</si>
  <si>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</si>
  <si>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</si>
  <si>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</si>
  <si>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</si>
  <si>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</si>
  <si>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</si>
  <si>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</si>
  <si>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</si>
  <si>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</si>
  <si>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</si>
  <si>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</si>
  <si>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</si>
  <si>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</si>
  <si>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</si>
  <si>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</si>
  <si>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</si>
  <si>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</si>
  <si>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</si>
  <si>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</si>
  <si>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</si>
  <si>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</si>
  <si>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</si>
  <si>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</si>
  <si>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</si>
  <si>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</si>
  <si>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</si>
  <si>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</si>
  <si>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</si>
  <si>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</si>
  <si>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</si>
  <si>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</si>
  <si>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</si>
  <si>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</si>
  <si>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</si>
  <si>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</si>
  <si>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</si>
  <si>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</si>
  <si>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</si>
  <si>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</si>
  <si>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</si>
  <si>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</si>
  <si>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</si>
  <si>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</si>
  <si>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</si>
  <si>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</si>
  <si>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</si>
  <si>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</si>
  <si>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</si>
  <si>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</si>
  <si>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</si>
  <si>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</si>
  <si>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</si>
  <si>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</si>
  <si>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</si>
  <si>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</si>
  <si>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</si>
  <si>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</si>
  <si>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</si>
  <si>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</si>
  <si>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</si>
  <si>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</si>
  <si>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</si>
  <si>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</si>
  <si>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</si>
  <si>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</si>
  <si>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</si>
  <si>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</si>
  <si>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</si>
  <si>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</si>
  <si>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</si>
  <si>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</si>
  <si>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</si>
  <si>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</si>
  <si>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</si>
  <si>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</si>
  <si>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</si>
  <si>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</si>
  <si>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</si>
  <si>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</si>
  <si>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</si>
  <si>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</si>
  <si>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</si>
  <si>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</si>
  <si>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</si>
  <si>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</si>
  <si>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</si>
  <si>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</si>
  <si>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</si>
  <si>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</si>
  <si>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</si>
  <si>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</si>
  <si>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</si>
  <si>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</si>
  <si>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</si>
  <si>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</si>
  <si>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</si>
  <si>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</si>
  <si>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</si>
  <si>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</si>
  <si>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</si>
  <si>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</si>
  <si>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</si>
  <si>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</si>
  <si>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</si>
  <si>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</si>
  <si>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</si>
  <si>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</si>
  <si>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</si>
  <si>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</si>
  <si>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</si>
  <si>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</si>
  <si>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</si>
  <si>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</si>
  <si>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</si>
  <si>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</si>
  <si>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</si>
  <si>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</si>
  <si>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</si>
  <si>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</si>
  <si>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</si>
  <si>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</si>
  <si>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</si>
  <si>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</si>
  <si>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</si>
  <si>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</si>
  <si>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</si>
  <si>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</si>
  <si>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</si>
  <si>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</si>
  <si>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</si>
  <si>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</si>
  <si>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</si>
  <si>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</si>
  <si>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</si>
  <si>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</si>
  <si>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</si>
  <si>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</si>
  <si>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</si>
  <si>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</si>
  <si>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</si>
  <si>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</si>
  <si>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</si>
  <si>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</si>
  <si>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</si>
  <si>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</si>
  <si>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</si>
  <si>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</si>
  <si>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</si>
  <si>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</si>
  <si>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</si>
  <si>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</si>
  <si>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</si>
  <si>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</si>
  <si>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</si>
  <si>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</si>
  <si>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</si>
  <si>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</si>
  <si>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</si>
  <si>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</si>
  <si>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</si>
  <si>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</si>
  <si>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</si>
  <si>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</si>
  <si>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</si>
  <si>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</si>
  <si>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</si>
  <si>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</si>
  <si>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</si>
  <si>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</si>
  <si>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</si>
  <si>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</si>
  <si>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</si>
  <si>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</si>
  <si>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</si>
  <si>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</si>
  <si>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</si>
  <si>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</si>
  <si>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</si>
  <si>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</si>
  <si>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</si>
  <si>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</si>
  <si>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</si>
  <si>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</si>
  <si>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</si>
  <si>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</si>
  <si>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</si>
  <si>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</si>
  <si>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</si>
  <si>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</si>
  <si>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</si>
  <si>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</si>
  <si>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</si>
  <si>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</si>
  <si>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</si>
  <si>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</si>
  <si>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</si>
  <si>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</si>
  <si>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</si>
  <si>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</si>
  <si>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</si>
  <si>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</si>
  <si>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</si>
  <si>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</si>
  <si>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</si>
  <si>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</si>
  <si>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</si>
  <si>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</si>
  <si>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</si>
  <si>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</si>
  <si>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</si>
  <si>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</si>
  <si>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</si>
  <si>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</si>
  <si>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</si>
  <si>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</si>
  <si>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</si>
  <si>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</si>
  <si>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</si>
  <si>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</si>
  <si>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</si>
  <si>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</si>
  <si>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</si>
  <si>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</si>
  <si>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</si>
  <si>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</si>
  <si>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</si>
  <si>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</si>
  <si>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</si>
  <si>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</si>
  <si>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</si>
  <si>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</si>
  <si>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</si>
  <si>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</si>
  <si>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</si>
  <si>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</si>
  <si>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</si>
  <si>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</si>
  <si>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</si>
  <si>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</si>
  <si>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</si>
  <si>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</si>
  <si>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</si>
  <si>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</si>
  <si>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</si>
  <si>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</si>
  <si>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</si>
  <si>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</si>
  <si>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</si>
  <si>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</si>
  <si>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</si>
  <si>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</si>
  <si>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</si>
  <si>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</si>
  <si>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</si>
  <si>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</si>
  <si>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</si>
  <si>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</si>
  <si>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</si>
  <si>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</si>
  <si>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</si>
  <si>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</si>
  <si>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</si>
  <si>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</si>
  <si>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</si>
  <si>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</si>
  <si>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</si>
  <si>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</si>
  <si>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</si>
  <si>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</si>
  <si>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</si>
  <si>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</si>
  <si>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</si>
  <si>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</si>
  <si>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</si>
  <si>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</si>
  <si>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</si>
  <si>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</si>
  <si>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</si>
  <si>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</si>
  <si>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</si>
  <si>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</si>
  <si>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</si>
  <si>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</si>
  <si>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</si>
  <si>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</si>
  <si>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</si>
  <si>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</si>
  <si>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</si>
  <si>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</si>
  <si>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</si>
  <si>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</si>
  <si>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</si>
  <si>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</si>
  <si>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</si>
  <si>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</si>
  <si>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</si>
  <si>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</si>
  <si>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</si>
  <si>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</si>
  <si>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</si>
  <si>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</si>
  <si>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</si>
  <si>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</si>
  <si>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</si>
  <si>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</si>
  <si>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</si>
  <si>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</si>
  <si>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</si>
  <si>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</si>
  <si>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</si>
  <si>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</si>
  <si>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</si>
  <si>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</si>
  <si>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</si>
  <si>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</si>
  <si>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</si>
  <si>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</si>
  <si>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</si>
  <si>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</si>
  <si>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</si>
  <si>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</si>
  <si>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</si>
  <si>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</si>
  <si>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</si>
  <si>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</si>
  <si>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</si>
  <si>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</si>
  <si>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</si>
  <si>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</si>
  <si>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</si>
  <si>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</si>
  <si>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</si>
  <si>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</si>
  <si>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</si>
  <si>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</si>
  <si>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</si>
  <si>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</si>
  <si>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</si>
  <si>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</si>
  <si>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</si>
  <si>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</si>
  <si>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</si>
  <si>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</si>
  <si>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</si>
  <si>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</si>
  <si>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</si>
  <si>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</si>
  <si>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</si>
  <si>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</si>
  <si>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</si>
  <si>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</si>
  <si>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</si>
  <si>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</si>
  <si>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</si>
  <si>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</si>
  <si>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</si>
  <si>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</si>
  <si>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</si>
  <si>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</si>
  <si>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</si>
  <si>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</si>
  <si>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</si>
  <si>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</si>
  <si>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</si>
  <si>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</si>
  <si>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</si>
  <si>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</si>
  <si>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</si>
  <si>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</si>
  <si>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</si>
  <si>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</si>
  <si>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</si>
  <si>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</si>
  <si>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</si>
  <si>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</si>
  <si>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</si>
  <si>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</si>
  <si>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</si>
  <si>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</si>
  <si>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</si>
  <si>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</si>
  <si>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</si>
  <si>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</si>
  <si>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</si>
  <si>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</si>
  <si>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</si>
  <si>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</si>
  <si>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</si>
  <si>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</si>
  <si>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</si>
  <si>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</si>
  <si>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</si>
  <si>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</si>
  <si>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</si>
  <si>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</si>
  <si>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</si>
  <si>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</si>
  <si>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</si>
  <si>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</si>
  <si>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</si>
  <si>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</si>
  <si>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</si>
  <si>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</si>
  <si>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</si>
  <si>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</si>
  <si>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</si>
  <si>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</si>
  <si>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</si>
  <si>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</si>
  <si>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</si>
  <si>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</si>
  <si>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</si>
  <si>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</si>
  <si>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</si>
  <si>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</si>
  <si>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</si>
  <si>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</si>
  <si>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</si>
  <si>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</si>
  <si>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</si>
  <si>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</si>
  <si>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</si>
  <si>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</si>
  <si>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</si>
  <si>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</si>
  <si>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</si>
  <si>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</si>
  <si>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screening</t>
  </si>
  <si>
    <t>GENEPIO:0101198</t>
  </si>
  <si>
    <t xml:space="preserve">      Wastewater grit removal</t>
  </si>
  <si>
    <t>A wastewater treatment process which removes sand, silt, and grit from wastewater.</t>
  </si>
  <si>
    <t xml:space="preserve">      Wastewater microbial treatment</t>
  </si>
  <si>
    <t>A wastewater treatment process in which microbes are used to degrade the biological material in wastewater.</t>
  </si>
  <si>
    <t xml:space="preserve">              Wastewater aerobic digestion</t>
  </si>
  <si>
    <t>GENEPIO:0101199</t>
  </si>
  <si>
    <t xml:space="preserve">              Wastewater anaerobic digestion</t>
  </si>
  <si>
    <t>GENEPIO:0101200</t>
  </si>
  <si>
    <t xml:space="preserve">      Wastewater primary sedimentation</t>
  </si>
  <si>
    <t>A wastewater treatment process which removes solids and large particles from influent through gravitational force.</t>
  </si>
  <si>
    <t xml:space="preserve">      Wastewater secondary sedimentation</t>
  </si>
  <si>
    <t>A wastewater treatment process which removes biomass produced in aeration from influent through gravitational force.</t>
  </si>
  <si>
    <t xml:space="preserve">      Wastewater filtration</t>
  </si>
  <si>
    <t>A wastewater treatment process which removes solid particles from wastewater by means of filtration.</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</si>
  <si>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</si>
  <si>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</si>
  <si>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</si>
  <si>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</si>
  <si>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</si>
  <si>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</si>
  <si>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</si>
  <si>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</si>
  <si>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</si>
  <si>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</si>
  <si>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</si>
  <si>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</si>
  <si>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</si>
  <si>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</si>
  <si>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</si>
  <si>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</si>
  <si>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</si>
  <si>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</si>
  <si>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</si>
  <si>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</si>
  <si>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</si>
  <si>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</si>
  <si>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</si>
  <si>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</si>
  <si>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</si>
  <si>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</si>
  <si>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</si>
  <si>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</si>
  <si>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</si>
  <si>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</si>
  <si>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</si>
  <si>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</si>
  <si>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</si>
  <si>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</si>
  <si>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</si>
  <si>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</si>
  <si>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</si>
  <si>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</si>
  <si>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</si>
  <si>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</si>
  <si>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</si>
  <si>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</si>
  <si>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</si>
  <si>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</si>
  <si>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</si>
  <si>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</si>
  <si>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</si>
  <si>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</si>
  <si>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</si>
  <si>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</si>
  <si>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</si>
  <si>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</si>
  <si>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</si>
  <si>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</si>
  <si>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</si>
  <si>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</si>
  <si>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</si>
  <si>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</si>
  <si>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</si>
  <si>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</si>
  <si>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</si>
  <si>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</si>
  <si>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</si>
  <si>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</si>
  <si>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</si>
  <si>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</si>
  <si>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</si>
  <si>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</si>
  <si>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</si>
  <si>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</si>
  <si>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</si>
  <si>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</si>
  <si>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</si>
  <si>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</si>
  <si>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</si>
  <si>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</si>
  <si>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</si>
  <si>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</si>
  <si>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</si>
  <si>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</si>
  <si>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</si>
  <si>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</si>
  <si>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</si>
  <si>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</si>
  <si>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</si>
  <si>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</si>
  <si>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</si>
  <si>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</si>
  <si>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</si>
  <si>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</si>
  <si>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</si>
  <si>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</si>
  <si>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</si>
  <si>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</si>
  <si>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</si>
  <si>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</si>
  <si>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</si>
  <si>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</si>
  <si>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</si>
  <si>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</si>
  <si>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</si>
  <si>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</si>
  <si>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</si>
  <si>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</si>
  <si>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</si>
  <si>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</si>
  <si>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</si>
  <si>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</si>
  <si>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</si>
  <si>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</si>
  <si>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</si>
  <si>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</si>
  <si>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</si>
  <si>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</si>
  <si>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</si>
  <si>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</si>
  <si>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</si>
  <si>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</si>
  <si>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</si>
  <si>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</si>
  <si>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</si>
  <si>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</si>
  <si>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</si>
  <si>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</si>
  <si>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</si>
  <si>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</si>
  <si>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</si>
  <si>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</si>
  <si>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</si>
  <si>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</si>
  <si>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</si>
  <si>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</si>
  <si>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</si>
  <si>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</si>
  <si>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Waste stabilization pond</t>
  </si>
  <si>
    <t>ENVO:03600076</t>
  </si>
  <si>
    <t>A human construction which confines wastewater in a depression enclosed by earthen structures.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</si>
  <si>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</si>
  <si>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</si>
  <si>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</si>
  <si>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Wastewater treatment plant</t>
  </si>
  <si>
    <t>ENVO:00002272</t>
  </si>
  <si>
    <t>A plant in which wastewater is treated.</t>
  </si>
  <si>
    <t xml:space="preserve">      Influent pump station</t>
  </si>
  <si>
    <t xml:space="preserve">      Grit chamber</t>
  </si>
  <si>
    <t xml:space="preserve">      Primary clarifer</t>
  </si>
  <si>
    <t xml:space="preserve">      Aeration tank</t>
  </si>
  <si>
    <t xml:space="preserve">      Secondary clarifer</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</si>
  <si>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</si>
  <si>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</si>
  <si>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</si>
  <si>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</si>
  <si>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</si>
  <si>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</si>
  <si>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</si>
  <si>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</si>
  <si>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</si>
  <si>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</si>
  <si>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</si>
  <si>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</si>
  <si>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</si>
  <si>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</si>
  <si>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</si>
  <si>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</si>
  <si>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</si>
  <si>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</si>
  <si>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</si>
  <si>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</si>
  <si>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</si>
  <si>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</si>
  <si>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</si>
  <si>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</si>
  <si>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</si>
  <si>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</si>
  <si>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</si>
  <si>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</si>
  <si>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</si>
  <si>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</si>
  <si>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</si>
  <si>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</si>
  <si>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</si>
  <si>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</si>
  <si>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</si>
  <si>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GENEPIO:0101004</t>
  </si>
  <si>
    <t>A quality of a body of water wherein it has no current or flow.</t>
  </si>
  <si>
    <t>Slow flow</t>
  </si>
  <si>
    <t>GENEPIO:0101005</t>
  </si>
  <si>
    <t>A quality of a body of water wherein there is a slow flow.</t>
  </si>
  <si>
    <t>Fast flow</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</si>
  <si>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</si>
  <si>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</si>
  <si>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</si>
  <si>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</si>
  <si>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</si>
  <si>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</si>
  <si>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</si>
  <si>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</si>
  <si>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</si>
  <si>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</si>
  <si>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</si>
  <si>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</si>
  <si>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</si>
  <si>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</si>
  <si>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</si>
  <si>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</si>
  <si>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</si>
  <si>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</si>
  <si>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</si>
  <si>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</si>
  <si>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</si>
  <si>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</si>
  <si>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</si>
  <si>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</si>
  <si>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</si>
  <si>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</si>
  <si>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</si>
  <si>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</si>
  <si>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</si>
  <si>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</si>
  <si>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</si>
  <si>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</si>
  <si>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</si>
  <si>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</si>
  <si>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</si>
  <si>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</si>
  <si>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</si>
  <si>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</si>
  <si>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</si>
  <si>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</si>
  <si>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</si>
  <si>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</si>
  <si>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</si>
  <si>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</si>
  <si>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</si>
  <si>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Sewer (drain)</t>
  </si>
  <si>
    <t>ENVO:01000924</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</si>
  <si>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</si>
  <si>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</si>
  <si>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</si>
  <si>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</si>
  <si>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</si>
  <si>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</si>
  <si>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</si>
  <si>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</si>
  <si>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</si>
  <si>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</si>
  <si>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</si>
  <si>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</si>
  <si>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</si>
  <si>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</si>
  <si>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</si>
  <si>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</si>
  <si>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</si>
  <si>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</si>
  <si>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</si>
  <si>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</si>
  <si>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</si>
  <si>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</si>
  <si>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</si>
  <si>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</si>
  <si>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</si>
  <si>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</si>
  <si>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</si>
  <si>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</si>
  <si>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</si>
  <si>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</si>
  <si>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</si>
  <si>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</si>
  <si>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</si>
  <si>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</si>
  <si>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</si>
  <si>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</si>
  <si>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</si>
  <si>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</si>
  <si>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</si>
  <si>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</si>
  <si>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</si>
  <si>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</si>
  <si>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</si>
  <si>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</si>
  <si>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</si>
  <si>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</si>
  <si>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</si>
  <si>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</si>
  <si>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</si>
  <si>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</si>
  <si>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</si>
  <si>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</si>
  <si>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</si>
  <si>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</si>
  <si>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</si>
  <si>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</si>
  <si>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</si>
  <si>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</si>
  <si>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</si>
  <si>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</si>
  <si>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</si>
  <si>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</si>
  <si>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</si>
  <si>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</si>
  <si>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</si>
  <si>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</si>
  <si>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</si>
  <si>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</si>
  <si>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</si>
  <si>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</si>
  <si>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</si>
  <si>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</si>
  <si>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</si>
  <si>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</si>
  <si>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</si>
  <si>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</si>
  <si>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</si>
  <si>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</si>
  <si>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</si>
  <si>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</si>
  <si>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</si>
  <si>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</si>
  <si>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</si>
  <si>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</si>
  <si>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</si>
  <si>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</si>
  <si>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</si>
  <si>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</si>
  <si>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</si>
  <si>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</si>
  <si>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</si>
  <si>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</si>
  <si>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</si>
  <si>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</si>
  <si>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</si>
  <si>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</si>
  <si>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</si>
  <si>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</si>
  <si>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</si>
  <si>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</si>
  <si>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</si>
  <si>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</si>
  <si>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</si>
  <si>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</si>
  <si>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</si>
  <si>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</si>
  <si>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</si>
  <si>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</si>
  <si>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</si>
  <si>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</si>
  <si>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</si>
  <si>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</si>
  <si>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</si>
  <si>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</si>
  <si>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</si>
  <si>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</si>
  <si>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</si>
  <si>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</si>
  <si>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</si>
  <si>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</si>
  <si>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</si>
  <si>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</si>
  <si>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</si>
  <si>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</si>
  <si>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</si>
  <si>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</si>
  <si>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</si>
  <si>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</si>
  <si>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</si>
  <si>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</si>
  <si>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</si>
  <si>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</si>
  <si>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</si>
  <si>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</si>
  <si>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</si>
  <si>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</si>
  <si>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</si>
  <si>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</si>
  <si>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</si>
  <si>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</si>
  <si>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</si>
  <si>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</si>
  <si>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</si>
  <si>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</si>
  <si>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</si>
  <si>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</si>
  <si>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</si>
  <si>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</si>
  <si>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</si>
  <si>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</si>
  <si>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</si>
  <si>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</si>
  <si>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</si>
  <si>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</si>
  <si>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</si>
  <si>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</si>
  <si>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</si>
  <si>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</si>
  <si>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</si>
  <si>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</si>
  <si>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</si>
  <si>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</si>
  <si>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</si>
  <si>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</si>
  <si>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</si>
  <si>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</si>
  <si>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</si>
  <si>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</si>
  <si>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</si>
  <si>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</si>
  <si>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</si>
  <si>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</si>
  <si>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</si>
  <si>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</si>
  <si>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</si>
  <si>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</si>
  <si>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</si>
  <si>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</si>
  <si>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</si>
  <si>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</si>
  <si>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</si>
  <si>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</si>
  <si>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</si>
  <si>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</si>
  <si>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</si>
  <si>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</si>
  <si>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</si>
  <si>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</si>
  <si>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</si>
  <si>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</si>
  <si>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</si>
  <si>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</si>
  <si>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</si>
  <si>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</si>
  <si>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</si>
  <si>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</si>
  <si>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</si>
  <si>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</si>
  <si>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</si>
  <si>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</si>
  <si>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</si>
  <si>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</si>
  <si>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</si>
  <si>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</si>
  <si>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</si>
  <si>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</si>
  <si>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</si>
  <si>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</si>
  <si>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</si>
  <si>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</si>
  <si>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</si>
  <si>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</si>
  <si>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</si>
  <si>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</si>
  <si>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</si>
  <si>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</si>
  <si>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</si>
  <si>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</si>
  <si>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</si>
  <si>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</si>
  <si>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</si>
  <si>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</si>
  <si>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</si>
  <si>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</si>
  <si>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</si>
  <si>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</si>
  <si>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</si>
  <si>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</si>
  <si>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</si>
  <si>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</si>
  <si>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</si>
  <si>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</si>
  <si>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</si>
  <si>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</si>
  <si>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</si>
  <si>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</si>
  <si>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</si>
  <si>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</si>
  <si>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</si>
  <si>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</si>
  <si>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</si>
  <si>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</si>
  <si>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</si>
  <si>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</si>
  <si>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</si>
  <si>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</si>
  <si>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</si>
  <si>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</si>
  <si>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</si>
  <si>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</si>
  <si>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</si>
  <si>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</si>
  <si>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</si>
  <si>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</si>
  <si>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</si>
  <si>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</si>
  <si>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</si>
  <si>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</si>
  <si>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</si>
  <si>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</si>
  <si>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</si>
  <si>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</si>
  <si>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</si>
  <si>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</si>
  <si>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</si>
  <si>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</si>
  <si>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</si>
  <si>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</si>
  <si>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</si>
  <si>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</si>
  <si>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</si>
  <si>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</si>
  <si>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</si>
  <si>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</si>
  <si>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</si>
  <si>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</si>
  <si>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</si>
  <si>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</si>
  <si>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</si>
  <si>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</si>
  <si>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</si>
  <si>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</si>
  <si>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</si>
  <si>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</si>
  <si>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</si>
  <si>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</si>
  <si>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</si>
  <si>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</si>
  <si>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</si>
  <si>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</si>
  <si>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</si>
  <si>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</si>
  <si>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</si>
  <si>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</si>
  <si>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</si>
  <si>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</si>
  <si>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</si>
  <si>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</si>
  <si>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</si>
  <si>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</si>
  <si>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</si>
  <si>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</si>
  <si>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</si>
  <si>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</si>
  <si>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</si>
  <si>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</si>
  <si>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</si>
  <si>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</si>
  <si>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</si>
  <si>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</si>
  <si>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</si>
  <si>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</si>
  <si>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</si>
  <si>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</si>
  <si>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</si>
  <si>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</si>
  <si>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</si>
  <si>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</si>
  <si>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</si>
  <si>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</si>
  <si>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</si>
  <si>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</si>
  <si>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</si>
  <si>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</si>
  <si>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</si>
  <si>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</si>
  <si>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</si>
  <si>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</si>
  <si>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</si>
  <si>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</si>
  <si>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</si>
  <si>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</si>
  <si>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</si>
  <si>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</si>
  <si>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</si>
  <si>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</si>
  <si>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</si>
  <si>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</si>
  <si>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</si>
  <si>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</si>
  <si>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</si>
  <si>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</si>
  <si>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</si>
  <si>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</si>
  <si>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</si>
  <si>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</si>
  <si>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</si>
  <si>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</si>
  <si>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</si>
  <si>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</si>
  <si>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</si>
  <si>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</si>
  <si>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</si>
  <si>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</si>
  <si>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</si>
  <si>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</si>
  <si>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</si>
  <si>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</si>
  <si>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</si>
  <si>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</si>
  <si>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</si>
  <si>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</si>
  <si>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</si>
  <si>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</si>
  <si>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</si>
  <si>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</si>
  <si>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</si>
  <si>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</si>
  <si>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</si>
  <si>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</si>
  <si>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</si>
  <si>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</si>
  <si>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</si>
  <si>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</si>
  <si>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</si>
  <si>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</si>
  <si>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</si>
  <si>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</si>
  <si>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</si>
  <si>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</si>
  <si>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</si>
  <si>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</si>
  <si>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</si>
  <si>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</si>
  <si>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</si>
  <si>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</si>
  <si>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</si>
  <si>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</si>
  <si>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</si>
  <si>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</si>
  <si>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</si>
  <si>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</si>
  <si>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</si>
  <si>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</si>
  <si>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</si>
  <si>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</si>
  <si>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</si>
  <si>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</si>
  <si>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</si>
  <si>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</si>
  <si>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</si>
  <si>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</si>
  <si>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</si>
  <si>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</si>
  <si>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</si>
  <si>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</si>
  <si>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</si>
  <si>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</si>
  <si>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</si>
  <si>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</si>
  <si>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</si>
  <si>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</si>
  <si>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</si>
  <si>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</si>
  <si>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</si>
  <si>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</si>
  <si>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</si>
  <si>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</si>
  <si>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</si>
  <si>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</si>
  <si>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</si>
  <si>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</si>
  <si>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</si>
  <si>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</si>
  <si>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</si>
  <si>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</si>
  <si>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</si>
  <si>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</si>
  <si>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</si>
  <si>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</si>
  <si>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</si>
  <si>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</si>
  <si>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</si>
  <si>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</si>
  <si>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</si>
  <si>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</si>
  <si>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</si>
  <si>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</si>
  <si>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</si>
  <si>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</si>
  <si>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</si>
  <si>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</si>
  <si>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</si>
  <si>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</si>
  <si>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</si>
  <si>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</si>
  <si>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</si>
  <si>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</si>
  <si>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</si>
  <si>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</si>
  <si>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</si>
  <si>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</si>
  <si>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</si>
  <si>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</si>
  <si>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</si>
  <si>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</si>
  <si>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</si>
  <si>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</si>
  <si>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</si>
  <si>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</si>
  <si>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</si>
  <si>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</si>
  <si>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</si>
  <si>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</si>
  <si>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</si>
  <si>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</si>
  <si>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</si>
  <si>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</si>
  <si>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</si>
  <si>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</si>
  <si>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</si>
  <si>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</si>
  <si>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</si>
  <si>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</si>
  <si>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</si>
  <si>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</si>
  <si>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</si>
  <si>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</si>
  <si>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</si>
  <si>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</si>
  <si>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</si>
  <si>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</si>
  <si>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</si>
  <si>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</si>
  <si>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</si>
  <si>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</si>
  <si>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FlowChips for across 12 lanes and with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</si>
  <si>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</si>
  <si>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</si>
  <si>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</si>
  <si>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</si>
  <si>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</si>
  <si>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</si>
  <si>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</si>
  <si>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</si>
  <si>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</si>
  <si>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</si>
  <si>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</si>
  <si>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</si>
  <si>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</si>
  <si>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</si>
  <si>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</si>
  <si>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</si>
  <si>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</si>
  <si>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</si>
  <si>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</si>
  <si>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</si>
  <si>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</si>
  <si>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</si>
  <si>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</si>
  <si>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</si>
  <si>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</si>
  <si>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</si>
  <si>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</si>
  <si>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</si>
  <si>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</si>
  <si>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</si>
  <si>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</si>
  <si>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</si>
  <si>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</si>
  <si>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</si>
  <si>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</si>
  <si>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</si>
  <si>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</si>
  <si>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</si>
  <si>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</si>
  <si>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</si>
  <si>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</si>
  <si>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</si>
  <si>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</si>
  <si>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</si>
  <si>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</si>
  <si>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</si>
  <si>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</si>
  <si>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</si>
  <si>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</si>
  <si>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</si>
  <si>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 xml:space="preserve">      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</si>
  <si>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</si>
  <si>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</si>
  <si>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</si>
  <si>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</si>
  <si>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</si>
  <si>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</si>
  <si>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</si>
  <si>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</si>
  <si>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</si>
  <si>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</si>
  <si>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</si>
  <si>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</si>
  <si>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</si>
  <si>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</si>
  <si>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</si>
  <si>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</si>
  <si>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</si>
  <si>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</si>
  <si>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</si>
  <si>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</si>
  <si>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</si>
  <si>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</si>
  <si>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</si>
  <si>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</si>
  <si>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</si>
  <si>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</si>
  <si>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</si>
  <si>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</si>
  <si>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</si>
  <si>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</si>
  <si>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</si>
  <si>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</si>
  <si>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</si>
  <si>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</si>
  <si>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</si>
  <si>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</si>
  <si>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</si>
  <si>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</si>
  <si>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</si>
  <si>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</si>
  <si>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</si>
  <si>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</si>
  <si>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</si>
  <si>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</si>
  <si>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</si>
  <si>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</si>
  <si>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</si>
  <si>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</si>
  <si>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</si>
  <si>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</si>
  <si>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</si>
  <si>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</si>
  <si>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</si>
  <si>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</si>
  <si>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</si>
  <si>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</si>
  <si>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</si>
  <si>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</si>
  <si>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</si>
  <si>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</si>
  <si>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</si>
  <si>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</si>
  <si>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</si>
  <si>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</si>
  <si>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</si>
  <si>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</si>
  <si>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</si>
  <si>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</si>
  <si>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</si>
  <si>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</si>
  <si>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</si>
  <si>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</si>
  <si>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</si>
  <si>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</si>
  <si>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</si>
  <si>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</si>
  <si>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</si>
  <si>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</si>
  <si>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</si>
  <si>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</si>
  <si>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</si>
  <si>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</si>
  <si>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</si>
  <si>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</si>
  <si>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</si>
  <si>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</si>
  <si>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</si>
  <si>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</si>
  <si>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</si>
  <si>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</si>
  <si>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</si>
  <si>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</si>
  <si>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</si>
  <si>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</si>
  <si>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</si>
  <si>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</si>
  <si>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</si>
  <si>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</si>
  <si>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</si>
  <si>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</si>
  <si>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</si>
  <si>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</si>
  <si>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</si>
  <si>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</si>
  <si>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</si>
  <si>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</si>
  <si>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</si>
  <si>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</si>
  <si>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</si>
  <si>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</si>
  <si>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</si>
  <si>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</si>
  <si>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</si>
  <si>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</si>
  <si>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</si>
  <si>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</si>
  <si>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</si>
  <si>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</si>
  <si>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</si>
  <si>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</si>
  <si>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</si>
  <si>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</si>
  <si>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</si>
  <si>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</si>
  <si>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</si>
  <si>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</si>
  <si>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</si>
  <si>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</si>
  <si>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</si>
  <si>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</si>
  <si>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</si>
  <si>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</si>
  <si>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</si>
  <si>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</si>
  <si>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</si>
  <si>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</si>
  <si>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</si>
  <si>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</si>
  <si>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</si>
  <si>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</si>
  <si>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</si>
  <si>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</si>
  <si>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</si>
  <si>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</si>
  <si>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</si>
  <si>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</si>
  <si>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</si>
  <si>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</si>
  <si>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</si>
  <si>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</si>
  <si>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</si>
  <si>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</si>
  <si>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The identifier assigned to a portion of the original sample.</t>
  </si>
  <si>
    <t>PH_BIOPROJECT_ACCESSION</t>
  </si>
  <si>
    <t>The INSDC accession number of the BioProject(s) to which the BioSample belongs.</t>
  </si>
  <si>
    <t>PH_BIOSAMPLE_ACCESSION</t>
  </si>
  <si>
    <t>The identifier assigned to a BioSample in INSDC archives.</t>
  </si>
  <si>
    <t>Store the accession returned from the BioSample submission. NCBI BioSamples will have the prefix SAMN.</t>
  </si>
  <si>
    <t>SAMN14180202</t>
  </si>
  <si>
    <t>GenBank accession</t>
  </si>
  <si>
    <t>ENA accession</t>
  </si>
  <si>
    <t>DRA accession</t>
  </si>
  <si>
    <t>GSA accession</t>
  </si>
  <si>
    <t>genome sequnce archive china</t>
  </si>
  <si>
    <t>SRA accession</t>
  </si>
  <si>
    <t>GENEPIO:0001142</t>
  </si>
  <si>
    <t>PH_SRA_ACCESSION</t>
  </si>
  <si>
    <t>The Sequence Read Archive (SRA) identifier linking raw read data, methodological metadata and quality control metrics submitted to the INSDC.</t>
  </si>
  <si>
    <t>Store the accession assigned to the submitted "run". NCBI-SRA accessions start with SRR.</t>
  </si>
  <si>
    <t>SRR11177792</t>
  </si>
  <si>
    <t>sample collection data steward</t>
  </si>
  <si>
    <t>SITE_CONTACT?</t>
  </si>
  <si>
    <t>The name of the individual at the organization that collected the original sample that plays a data governenace role and oversees how a sample and associated contextual data is used and distributed.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</si>
  <si>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</si>
  <si>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</si>
  <si>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</si>
  <si>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</si>
  <si>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</si>
  <si>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 xml:space="preserve">contactEmail </t>
  </si>
  <si>
    <t>geo_loc_name (country)</t>
  </si>
  <si>
    <t>GENEPIO:0001396</t>
  </si>
  <si>
    <t>HC_COUNTRY</t>
  </si>
  <si>
    <t>The country where the host resides.</t>
  </si>
  <si>
    <t>geo_loc_name (state/province/territory)</t>
  </si>
  <si>
    <t>HC_PROVINCE</t>
  </si>
  <si>
    <r>
      <rPr>
        <rFont val="Arial"/>
        <color rgb="FF000000"/>
      </rPr>
      <t xml:space="preserve">Provide the state/province/territory name from the GAZ geography ontology. Search for geography terms here: </t>
    </r>
    <r>
      <rPr>
        <rFont val="Arial"/>
        <color rgb="FF000000"/>
      </rPr>
      <t>https://www.ebi.ac.uk/ols/ontologies/ga</t>
    </r>
  </si>
  <si>
    <t>geo_loc name (county/region)</t>
  </si>
  <si>
    <t>geo_loc_name (city)</t>
  </si>
  <si>
    <t xml:space="preserve">geo_loc name (site)  </t>
  </si>
  <si>
    <t>PH_COLLECTION_SITE</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</si>
  <si>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</si>
  <si>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</si>
  <si>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</si>
  <si>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</si>
  <si>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</si>
  <si>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</si>
  <si>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</si>
  <si>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</si>
  <si>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</si>
  <si>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</si>
  <si>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</si>
  <si>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</si>
  <si>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PH_COLLECT_START</t>
  </si>
  <si>
    <t>dateTimeStart</t>
  </si>
  <si>
    <t>If the sample was collected over a certain time period, provide the start time in ISO 8601 24hr format, including the time zone with respect to UTC. Format: "HH:MM:SS[+/-HoursUTC]" e.g. 11:23pm Pacific Daylight Savings Time should be recorded as 23:23:00-07:00</t>
  </si>
  <si>
    <t>23:13:00+07:00</t>
  </si>
  <si>
    <t>PH_COLLECT_END</t>
  </si>
  <si>
    <t>dateTimeEnd</t>
  </si>
  <si>
    <t>If the sample was collected over a certain time period, provide the end time in ISO 8601 24hr format, including the time zone with respect to UTC. Format: "HH:MM:SS+[Hours+/-UTC]" e.g. 11:23pm Pacific Daylight Savings Time should be recorded as 23:23:00-07:00</t>
  </si>
  <si>
    <t>Fine grain filtration</t>
  </si>
  <si>
    <t>include agriculture activity</t>
  </si>
  <si>
    <t>Large solids and fine particulates filtered from raw inffluent.</t>
  </si>
  <si>
    <t>SAMPLE_VOLUME</t>
  </si>
  <si>
    <t>Size</t>
  </si>
  <si>
    <t>SAMPLE_UNITS</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</si>
  <si>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</si>
  <si>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</si>
  <si>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</si>
  <si>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</si>
  <si>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</si>
  <si>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</si>
  <si>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</si>
  <si>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</si>
  <si>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</si>
  <si>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</si>
  <si>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</si>
  <si>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</si>
  <si>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</si>
  <si>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</si>
  <si>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</si>
  <si>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</si>
  <si>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</si>
  <si>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</si>
  <si>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</si>
  <si>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</si>
  <si>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</si>
  <si>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</si>
  <si>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</si>
  <si>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</si>
  <si>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</si>
  <si>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</si>
  <si>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</si>
  <si>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</si>
  <si>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</si>
  <si>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</si>
  <si>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RESULT_PH</t>
  </si>
  <si>
    <t>flow rate measurement value</t>
  </si>
  <si>
    <t>RESULT_FLOW_RATE</t>
  </si>
  <si>
    <t>The numerical value of a measured fluid flow rate.</t>
  </si>
  <si>
    <t>flow rate measurement unit</t>
  </si>
  <si>
    <t>The units of a measured fluid flow rate.</t>
  </si>
  <si>
    <t>m^3/day</t>
  </si>
  <si>
    <t>flow rate measurement method</t>
  </si>
  <si>
    <t>oxygen reduction potential measurement value</t>
  </si>
  <si>
    <t>oxygen reduction potential measurement unit</t>
  </si>
  <si>
    <t>oxygen reduction potential measurement method</t>
  </si>
  <si>
    <t>RESULT_COD</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</si>
  <si>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</si>
  <si>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</si>
  <si>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</si>
  <si>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</si>
  <si>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</si>
  <si>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</si>
  <si>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</si>
  <si>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</si>
  <si>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</si>
  <si>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</si>
  <si>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</si>
  <si>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</si>
  <si>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</si>
  <si>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</si>
  <si>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</si>
  <si>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</si>
  <si>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</si>
  <si>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</si>
  <si>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</si>
  <si>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</si>
  <si>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</si>
  <si>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</si>
  <si>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</si>
  <si>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</si>
  <si>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</si>
  <si>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</si>
  <si>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PH_INSTRUMENT_CGN</t>
  </si>
  <si>
    <t>sequencing strategy</t>
  </si>
  <si>
    <t>what kind of sequencing</t>
  </si>
  <si>
    <t>PH_LIBRARY_PREP_KIT</t>
  </si>
  <si>
    <t>PH_TESTING_PROTOCOL</t>
  </si>
  <si>
    <t>https://www.protocols.io/view/ncov-2019-sequencing-protocol-bbmuik6w?version_warning=no</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</si>
  <si>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</si>
  <si>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</si>
  <si>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</si>
  <si>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</si>
  <si>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</si>
  <si>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PH_CONSENSUS_SEQUENCE</t>
  </si>
  <si>
    <t>The name of software used to generate the consensus sequence.</t>
  </si>
  <si>
    <t>PH_CONSENSUS_SEQUENCE_VERSION</t>
  </si>
  <si>
    <t>400x</t>
  </si>
  <si>
    <t>100x</t>
  </si>
  <si>
    <t>Size of the reconstructed genome described as the number of base pairs.</t>
  </si>
  <si>
    <t>PH_BIOINFORMATICS_PROTOCOL</t>
  </si>
  <si>
    <t>gene name 1</t>
  </si>
  <si>
    <t>GENEPIO:0001507</t>
  </si>
  <si>
    <t>SUBMITTED_RESLT - Gene Target #1</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</si>
  <si>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</si>
  <si>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</si>
  <si>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</si>
  <si>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</si>
  <si>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</si>
  <si>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</si>
  <si>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</si>
  <si>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</si>
  <si>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</si>
  <si>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</si>
  <si>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</si>
  <si>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</si>
  <si>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</si>
  <si>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</si>
  <si>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</si>
  <si>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</si>
  <si>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</si>
  <si>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</si>
  <si>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</si>
  <si>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</si>
  <si>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</si>
  <si>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DataHarmonizer provenance</t>
  </si>
  <si>
    <t>GENEPIO:0001518</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</si>
  <si>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</si>
  <si>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</si>
  <si>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</si>
  <si>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</si>
  <si>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</si>
  <si>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rFont val="Arial"/>
        <color rgb="FF000000"/>
      </rPr>
      <t xml:space="preserve">Provide the state/province/territory name from the GAZ geography ontology. Search for geography terms here: </t>
    </r>
    <r>
      <rPr>
        <rFont val="Arial"/>
        <color rgb="FF000000"/>
      </rPr>
      <t>https://www.ebi.ac.uk/ols/ontologies/ga</t>
    </r>
  </si>
  <si>
    <t>sample collection start date</t>
  </si>
  <si>
    <t>The date on which sample collection began.</t>
  </si>
  <si>
    <t>If the sample was collected over a certain time period, provide the start date in ISO 8601 format.</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</si>
  <si>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</si>
  <si>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</si>
  <si>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</si>
  <si>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</si>
  <si>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</si>
  <si>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</si>
  <si>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</si>
  <si>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</si>
  <si>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</si>
  <si>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</si>
  <si>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</si>
  <si>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</si>
  <si>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</si>
  <si>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</si>
  <si>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</si>
  <si>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</si>
  <si>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</si>
  <si>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</si>
  <si>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</si>
  <si>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</si>
  <si>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</si>
  <si>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</si>
  <si>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</si>
  <si>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</si>
  <si>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</si>
  <si>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</si>
  <si>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</si>
  <si>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</si>
  <si>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1.0</t>
  </si>
  <si>
    <t>3.1</t>
  </si>
  <si>
    <t>New fields: proximal environmental site, INSDC sequence read accession, INSDC assembly accession, genome sequence file name, genome sequence file path</t>
  </si>
  <si>
    <t>Additional picklists for environmental site, presampling activity</t>
  </si>
  <si>
    <t>New definitions for environmental site, presampling activity</t>
  </si>
  <si>
    <t>Order</t>
  </si>
  <si>
    <t>SC2</t>
  </si>
  <si>
    <t>AMR</t>
  </si>
  <si>
    <t>Single Pathogen Metagenomics</t>
  </si>
  <si>
    <t>NSF RCN recs</t>
  </si>
  <si>
    <t>Required</t>
  </si>
  <si>
    <t>Optional</t>
  </si>
  <si>
    <t>-</t>
  </si>
  <si>
    <t>Recommended</t>
  </si>
  <si>
    <t xml:space="preserve">SRA accession </t>
  </si>
  <si>
    <t>DDBJ accession</t>
  </si>
  <si>
    <t>Yes</t>
  </si>
  <si>
    <t>geo_loc latitude</t>
  </si>
  <si>
    <t>geo_loc longitude</t>
  </si>
  <si>
    <t>scope of sampling</t>
  </si>
  <si>
    <t>sample collection time</t>
  </si>
  <si>
    <t xml:space="preserve">sample storage method
</t>
  </si>
  <si>
    <t>"Sample matrix"</t>
  </si>
  <si>
    <t>Combined v. Sanitary</t>
  </si>
  <si>
    <t>experimental control type</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</si>
  <si>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</si>
  <si>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</si>
  <si>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</si>
  <si>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</si>
  <si>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</si>
  <si>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</si>
  <si>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N50</t>
  </si>
  <si>
    <t xml:space="preserve">percent read contamination </t>
  </si>
  <si>
    <t>organism name 1</t>
  </si>
  <si>
    <t>diagnostic target presence 1</t>
  </si>
  <si>
    <t>diagnostic measurement value 1</t>
  </si>
  <si>
    <t>diagnostic measurement unit 1</t>
  </si>
  <si>
    <t>diagnostic measurement method 1</t>
  </si>
  <si>
    <t>organism name 2</t>
  </si>
  <si>
    <t>diagnostic target presence 2</t>
  </si>
  <si>
    <t>diagnostic measurement value 2</t>
  </si>
  <si>
    <t>diagnostic measurement unit 2</t>
  </si>
  <si>
    <t>diagnostic measurement method 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</si>
</sst>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33">
    <font>
      <sz val="10.0"/>
      <color rgb="FF000000"/>
      <name val="Arial"/>
      <scheme val="minor"/>
    </font>
    <font>
      <b/>
      <sz val="12.0"/>
      <color rgb="FFFFFFFF"/>
      <name val="Arial"/>
    </font>
    <font>
      <b/>
      <color rgb="FFFFFFFF"/>
      <name val="Arial"/>
    </font>
    <font>
      <color theme="1"/>
      <name val="Arial"/>
    </font>
    <font>
      <b/>
      <color theme="1"/>
      <name val="Arial"/>
    </font>
    <font>
      <b/>
      <sz val="12.0"/>
      <color theme="1"/>
      <name val="Arial"/>
      <scheme val="minor"/>
    </font>
    <font>
      <sz val="12.0"/>
      <color rgb="FFFFFFFF"/>
      <name val="Arial"/>
    </font>
    <font>
      <color rgb="FFFFFFFF"/>
      <name val="Arial"/>
    </font>
    <font>
      <color theme="1"/>
      <name val="Arial"/>
      <scheme val="minor"/>
    </font>
    <font>
      <b/>
      <color rgb="FFFFFFFF"/>
      <name val="Arial"/>
      <scheme val="minor"/>
    </font>
    <font>
      <b/>
      <color theme="1"/>
      <name val="Arial"/>
      <scheme val="minor"/>
    </font>
    <font>
      <sz val="10.0"/>
      <color theme="1"/>
      <name val="Arial"/>
    </font>
    <font>
      <color rgb="FF000000"/>
      <name val="Arial"/>
      <scheme val="minor"/>
    </font>
    <font>
      <sz val="10.0"/>
      <color theme="1"/>
      <name val="Arial"/>
      <scheme val="minor"/>
    </font>
    <font>
      <color rgb="FF000000"/>
      <name val="Arial"/>
    </font>
    <font>
      <u/>
      <color rgb="FF0000FF"/>
    </font>
    <font>
      <b/>
      <color rgb="FF000000"/>
      <name val="Arial"/>
    </font>
    <font>
      <sz val="9.0"/>
      <color theme="1"/>
      <name val="Arial"/>
    </font>
    <font>
      <u/>
      <color rgb="FF0000FF"/>
    </font>
    <font>
      <u/>
      <sz val="10.0"/>
      <color rgb="FF1155CC"/>
    </font>
    <font>
      <sz val="10.0"/>
      <color rgb="FF000000"/>
      <name val="Arial"/>
    </font>
    <font>
      <u/>
      <color rgb="FF0000FF"/>
    </font>
    <font>
      <color rgb="FFFF0000"/>
      <name val="Arial"/>
      <scheme val="minor"/>
    </font>
    <font>
      <b/>
      <color theme="0"/>
      <name val="Arial"/>
      <scheme val="minor"/>
    </font>
    <font>
      <sz val="9.0"/>
      <color rgb="FF000000"/>
      <name val="Arial"/>
    </font>
    <font>
      <u/>
      <color rgb="FF0000FF"/>
    </font>
    <font>
      <u/>
      <sz val="10.0"/>
      <color rgb="FF1155CC"/>
    </font>
    <font>
      <sz val="12.0"/>
      <color rgb="FF0000FF"/>
      <name val="Arial"/>
      <scheme val="minor"/>
    </font>
    <font>
      <b/>
      <sz val="12.0"/>
      <color rgb="FF0000FF"/>
      <name val="Arial"/>
      <scheme val="minor"/>
    </font>
    <font>
      <b/>
      <u/>
      <color rgb="FF0000FF"/>
    </font>
    <font>
      <i/>
      <color theme="1"/>
      <name val="Arial"/>
      <scheme val="minor"/>
    </font>
    <font>
      <u/>
      <color rgb="FF1155CC"/>
      <name val="Arial"/>
    </font>
    <font>
      <b/>
      <sz val="16.0"/>
      <color theme="1"/>
      <name val="Arial"/>
    </font>
  </fonts>
  <fills count="13">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666666"/>
        <bgColor rgb="FF666666"/>
      </patternFill>
    </fill>
    <fill>
      <patternFill patternType="solid">
        <fgColor rgb="FFCCCCCC"/>
        <bgColor rgb="FFCCCCCC"/>
      </patternFill>
    </fill>
    <fill>
      <patternFill patternType="solid">
        <fgColor rgb="FF00FF00"/>
        <bgColor rgb="FF00FF00"/>
      </patternFill>
    </fill>
    <fill>
      <patternFill patternType="solid">
        <fgColor rgb="FFEFEFEF"/>
        <bgColor rgb="FFEFEFEF"/>
      </patternFill>
    </fill>
    <fill>
      <patternFill patternType="solid">
        <fgColor rgb="FFFF0000"/>
        <bgColor rgb="FFFF0000"/>
      </patternFill>
    </fill>
  </fills>
  <borders count="14">
    <border/>
    <border>
      <bottom style="medium">
        <color rgb="FF000000"/>
      </bottom>
    </border>
    <border>
      <top style="medium">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5">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0" xfId="0" applyAlignment="1" applyFont="1">
      <alignment shrinkToFit="0" vertical="top" wrapText="1"/>
    </xf>
    <xf borderId="0" fillId="2" fontId="2" numFmtId="0" xfId="0" applyAlignment="1" applyFont="1">
      <alignment shrinkToFit="0" vertical="top" wrapText="1"/>
    </xf>
    <xf borderId="0" fillId="2" fontId="3" numFmtId="0" xfId="0" applyAlignment="1" applyFont="1">
      <alignment vertical="top"/>
    </xf>
    <xf borderId="0" fillId="3" fontId="4" numFmtId="0" xfId="0" applyAlignment="1" applyFill="1" applyFont="1">
      <alignment shrinkToFit="0" vertical="top" wrapText="1"/>
    </xf>
    <xf borderId="0" fillId="0" fontId="5" numFmtId="0" xfId="0" applyAlignment="1" applyFont="1">
      <alignment vertical="top"/>
    </xf>
    <xf borderId="0" fillId="2" fontId="3" numFmtId="0" xfId="0" applyAlignment="1" applyFont="1">
      <alignment vertical="bottom"/>
    </xf>
    <xf borderId="0" fillId="2" fontId="6" numFmtId="0" xfId="0" applyAlignment="1" applyFont="1">
      <alignment shrinkToFit="0" vertical="bottom" wrapText="1"/>
    </xf>
    <xf borderId="0" fillId="2" fontId="3" numFmtId="0" xfId="0" applyAlignment="1" applyFont="1">
      <alignment shrinkToFit="0" vertical="top" wrapText="1"/>
    </xf>
    <xf borderId="0" fillId="2" fontId="7" numFmtId="0" xfId="0" applyAlignment="1" applyFont="1">
      <alignment shrinkToFit="0" vertical="top" wrapText="1"/>
    </xf>
    <xf borderId="0" fillId="3" fontId="3" numFmtId="0" xfId="0" applyAlignment="1" applyFont="1">
      <alignment vertical="bottom"/>
    </xf>
    <xf borderId="0" fillId="2" fontId="8" numFmtId="0" xfId="0" applyAlignment="1" applyFont="1">
      <alignment readingOrder="0" shrinkToFit="0" vertical="top" wrapText="0"/>
    </xf>
    <xf borderId="0" fillId="3" fontId="3" numFmtId="0" xfId="0" applyAlignment="1" applyFont="1">
      <alignment shrinkToFit="0" vertical="top" wrapText="1"/>
    </xf>
    <xf borderId="0" fillId="4" fontId="4" numFmtId="0" xfId="0" applyAlignment="1" applyFill="1" applyFont="1">
      <alignment shrinkToFit="0" vertical="top" wrapText="1"/>
    </xf>
    <xf borderId="0" fillId="4" fontId="3" numFmtId="0" xfId="0" applyAlignment="1" applyFont="1">
      <alignment vertical="top"/>
    </xf>
    <xf borderId="0" fillId="2" fontId="3" numFmtId="0" xfId="0" applyAlignment="1" applyFont="1">
      <alignment vertical="top"/>
    </xf>
    <xf borderId="0" fillId="3" fontId="3" numFmtId="0" xfId="0" applyAlignment="1" applyFont="1">
      <alignment vertical="top"/>
    </xf>
    <xf borderId="0" fillId="0" fontId="8" numFmtId="0" xfId="0" applyAlignment="1" applyFont="1">
      <alignment vertical="top"/>
    </xf>
    <xf borderId="0" fillId="5" fontId="3" numFmtId="0" xfId="0" applyAlignment="1" applyFill="1" applyFont="1">
      <alignment shrinkToFit="0" vertical="top" wrapText="1"/>
    </xf>
    <xf borderId="0" fillId="2" fontId="3" numFmtId="0" xfId="0" applyAlignment="1" applyFont="1">
      <alignment vertical="bottom"/>
    </xf>
    <xf borderId="0" fillId="3" fontId="3" numFmtId="0" xfId="0" applyAlignment="1" applyFont="1">
      <alignment vertical="bottom"/>
    </xf>
    <xf borderId="1" fillId="6" fontId="3" numFmtId="0" xfId="0" applyAlignment="1" applyBorder="1" applyFill="1" applyFont="1">
      <alignment shrinkToFit="0" vertical="top" wrapText="1"/>
    </xf>
    <xf borderId="1" fillId="2" fontId="3" numFmtId="0" xfId="0" applyAlignment="1" applyBorder="1" applyFont="1">
      <alignment vertical="bottom"/>
    </xf>
    <xf borderId="1" fillId="2" fontId="3" numFmtId="0" xfId="0" applyAlignment="1" applyBorder="1" applyFont="1">
      <alignment shrinkToFit="0" vertical="top" wrapText="1"/>
    </xf>
    <xf borderId="1" fillId="2" fontId="3" numFmtId="0" xfId="0" applyAlignment="1" applyBorder="1" applyFont="1">
      <alignment vertical="bottom"/>
    </xf>
    <xf borderId="1" fillId="3" fontId="3" numFmtId="0" xfId="0" applyAlignment="1" applyBorder="1" applyFont="1">
      <alignment vertical="bottom"/>
    </xf>
    <xf borderId="0" fillId="2" fontId="9" numFmtId="0" xfId="0" applyAlignment="1" applyFont="1">
      <alignment readingOrder="0" shrinkToFit="0" vertical="top" wrapText="0"/>
    </xf>
    <xf borderId="0" fillId="2" fontId="9" numFmtId="0" xfId="0" applyAlignment="1" applyFont="1">
      <alignment readingOrder="0" shrinkToFit="0" vertical="top" wrapText="1"/>
    </xf>
    <xf borderId="0" fillId="2" fontId="9" numFmtId="0" xfId="0" applyAlignment="1" applyFont="1">
      <alignment horizontal="left" readingOrder="0" shrinkToFit="0" vertical="top" wrapText="1"/>
    </xf>
    <xf borderId="0" fillId="2" fontId="9" numFmtId="0" xfId="0" applyAlignment="1" applyFont="1">
      <alignment vertical="top"/>
    </xf>
    <xf borderId="0" fillId="0" fontId="8" numFmtId="0" xfId="0" applyAlignment="1" applyFont="1">
      <alignment readingOrder="0" shrinkToFit="0" vertical="top" wrapText="0"/>
    </xf>
    <xf borderId="0" fillId="3" fontId="10" numFmtId="0" xfId="0" applyAlignment="1" applyFont="1">
      <alignment readingOrder="0" shrinkToFit="0" vertical="top" wrapText="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8" numFmtId="0" xfId="0" applyAlignment="1" applyFont="1">
      <alignment readingOrder="0" vertical="top"/>
    </xf>
    <xf borderId="0" fillId="0" fontId="10" numFmtId="0" xfId="0" applyAlignment="1" applyFont="1">
      <alignment readingOrder="0" shrinkToFit="0" vertical="top" wrapText="0"/>
    </xf>
    <xf borderId="0" fillId="0" fontId="8" numFmtId="49" xfId="0" applyAlignment="1" applyFont="1" applyNumberFormat="1">
      <alignment readingOrder="0" shrinkToFit="0" wrapText="0"/>
    </xf>
    <xf borderId="0" fillId="0" fontId="8" numFmtId="49" xfId="0" applyAlignment="1" applyFont="1" applyNumberFormat="1">
      <alignment readingOrder="0"/>
    </xf>
    <xf borderId="0" fillId="0" fontId="8" numFmtId="0" xfId="0" applyAlignment="1" applyFont="1">
      <alignment readingOrder="0" shrinkToFit="0" vertical="top" wrapText="1"/>
    </xf>
    <xf borderId="0" fillId="0" fontId="3" numFmtId="49" xfId="0" applyAlignment="1" applyFont="1" applyNumberFormat="1">
      <alignment vertical="bottom"/>
    </xf>
    <xf borderId="0" fillId="0" fontId="3" numFmtId="0" xfId="0" applyAlignment="1" applyFont="1">
      <alignment shrinkToFit="0" vertical="top" wrapText="0"/>
    </xf>
    <xf borderId="0" fillId="7" fontId="10" numFmtId="0" xfId="0" applyAlignment="1" applyFill="1" applyFont="1">
      <alignment readingOrder="0" shrinkToFit="0" vertical="top" wrapText="0"/>
    </xf>
    <xf borderId="0" fillId="0" fontId="10" numFmtId="0" xfId="0" applyAlignment="1" applyFont="1">
      <alignment readingOrder="0" shrinkToFit="0" vertical="top" wrapText="1"/>
    </xf>
    <xf borderId="0" fillId="0" fontId="11" numFmtId="0" xfId="0" applyAlignment="1" applyFont="1">
      <alignment readingOrder="0" shrinkToFit="0" vertical="top" wrapText="0"/>
    </xf>
    <xf borderId="0" fillId="0" fontId="3" numFmtId="0" xfId="0" applyAlignment="1" applyFont="1">
      <alignment shrinkToFit="0" vertical="top" wrapText="1"/>
    </xf>
    <xf borderId="0" fillId="0" fontId="3" numFmtId="0" xfId="0" applyAlignment="1" applyFont="1">
      <alignment shrinkToFit="0" vertical="top" wrapText="1"/>
    </xf>
    <xf borderId="2" fillId="2" fontId="2" numFmtId="0" xfId="0" applyAlignment="1" applyBorder="1" applyFont="1">
      <alignment shrinkToFit="0" vertical="bottom" wrapText="1"/>
    </xf>
    <xf borderId="2" fillId="2" fontId="4" numFmtId="0" xfId="0" applyAlignment="1" applyBorder="1" applyFont="1">
      <alignment vertical="bottom"/>
    </xf>
    <xf borderId="2" fillId="2" fontId="7" numFmtId="49" xfId="0" applyAlignment="1" applyBorder="1" applyFont="1" applyNumberFormat="1">
      <alignment readingOrder="0" shrinkToFit="0" vertical="bottom" wrapText="1"/>
    </xf>
    <xf borderId="2" fillId="2" fontId="3" numFmtId="0" xfId="0" applyAlignment="1" applyBorder="1" applyFont="1">
      <alignment vertical="bottom"/>
    </xf>
    <xf borderId="2" fillId="2" fontId="3" numFmtId="0" xfId="0" applyAlignment="1" applyBorder="1" applyFont="1">
      <alignment shrinkToFit="0" vertical="top" wrapText="1"/>
    </xf>
    <xf borderId="2" fillId="2" fontId="3" numFmtId="0" xfId="0" applyAlignment="1" applyBorder="1" applyFont="1">
      <alignment vertical="bottom"/>
    </xf>
    <xf borderId="2" fillId="3" fontId="3" numFmtId="0" xfId="0" applyAlignment="1" applyBorder="1" applyFont="1">
      <alignment vertical="bottom"/>
    </xf>
    <xf borderId="0" fillId="0" fontId="12" numFmtId="0" xfId="0" applyAlignment="1" applyFont="1">
      <alignment readingOrder="0" shrinkToFit="0" vertical="top" wrapText="0"/>
    </xf>
    <xf borderId="0" fillId="0" fontId="13" numFmtId="0" xfId="0" applyAlignment="1" applyFont="1">
      <alignment shrinkToFit="0" vertical="top" wrapText="1"/>
    </xf>
    <xf borderId="0" fillId="0" fontId="13" numFmtId="0" xfId="0" applyAlignment="1" applyFont="1">
      <alignment horizontal="left" shrinkToFit="0" vertical="top" wrapText="1"/>
    </xf>
    <xf borderId="0" fillId="0" fontId="13" numFmtId="0" xfId="0" applyAlignment="1" applyFont="1">
      <alignment shrinkToFit="0" vertical="top" wrapText="1"/>
    </xf>
    <xf borderId="0" fillId="0" fontId="11" numFmtId="0" xfId="0" applyAlignment="1" applyFont="1">
      <alignment horizontal="left" readingOrder="0" shrinkToFit="0" vertical="top" wrapText="1"/>
    </xf>
    <xf borderId="0" fillId="0" fontId="3" numFmtId="0" xfId="0" applyAlignment="1" applyFont="1">
      <alignment readingOrder="0" shrinkToFit="0" vertical="top" wrapText="0"/>
    </xf>
    <xf borderId="0" fillId="0" fontId="3"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shrinkToFit="0" vertical="top" wrapText="1"/>
    </xf>
    <xf borderId="0" fillId="0" fontId="14" numFmtId="0" xfId="0" applyAlignment="1" applyFont="1">
      <alignment shrinkToFit="0" vertical="top" wrapText="1"/>
    </xf>
    <xf borderId="0" fillId="0" fontId="14" numFmtId="0" xfId="0" applyAlignment="1" applyFont="1">
      <alignment shrinkToFit="0" vertical="top" wrapText="1"/>
    </xf>
    <xf borderId="0" fillId="0" fontId="3" numFmtId="0" xfId="0" applyAlignment="1" applyFont="1">
      <alignment horizontal="left" shrinkToFit="0" vertical="top" wrapText="1"/>
    </xf>
    <xf borderId="0" fillId="0" fontId="14" numFmtId="0" xfId="0" applyAlignment="1" applyFont="1">
      <alignment readingOrder="0" shrinkToFit="0" vertical="bottom" wrapText="0"/>
    </xf>
    <xf borderId="0" fillId="0" fontId="14" numFmtId="0" xfId="0" applyAlignment="1" applyFont="1">
      <alignment readingOrder="0" shrinkToFit="0" vertical="bottom" wrapText="1"/>
    </xf>
    <xf borderId="0" fillId="0" fontId="8" numFmtId="0" xfId="0" applyAlignment="1" applyFont="1">
      <alignment readingOrder="0" shrinkToFit="0" vertical="top" wrapText="1"/>
    </xf>
    <xf borderId="0" fillId="0" fontId="8" numFmtId="0" xfId="0" applyAlignment="1" applyFont="1">
      <alignment readingOrder="0" shrinkToFit="0" wrapText="1"/>
    </xf>
    <xf borderId="0" fillId="0" fontId="15" numFmtId="0" xfId="0" applyAlignment="1" applyFont="1">
      <alignment readingOrder="0" shrinkToFit="0" vertical="top" wrapText="1"/>
    </xf>
    <xf borderId="0" fillId="0" fontId="8" numFmtId="164" xfId="0" applyAlignment="1" applyFont="1" applyNumberFormat="1">
      <alignment horizontal="left" readingOrder="0" shrinkToFit="0" vertical="top" wrapText="1"/>
    </xf>
    <xf borderId="0" fillId="7" fontId="4" numFmtId="0" xfId="0" applyAlignment="1" applyFont="1">
      <alignment readingOrder="0" vertical="top"/>
    </xf>
    <xf borderId="0" fillId="0" fontId="3" numFmtId="0" xfId="0" applyAlignment="1" applyFont="1">
      <alignment vertical="top"/>
    </xf>
    <xf borderId="0" fillId="0" fontId="3" numFmtId="164" xfId="0" applyAlignment="1" applyFont="1" applyNumberFormat="1">
      <alignment horizontal="left" vertical="top"/>
    </xf>
    <xf borderId="0" fillId="0" fontId="12" numFmtId="0" xfId="0" applyAlignment="1" applyFont="1">
      <alignment readingOrder="0" shrinkToFit="0" vertical="top" wrapText="1"/>
    </xf>
    <xf borderId="0" fillId="7" fontId="4" numFmtId="0" xfId="0" applyAlignment="1" applyFont="1">
      <alignment vertical="top"/>
    </xf>
    <xf borderId="0" fillId="0" fontId="3" numFmtId="49" xfId="0" applyAlignment="1" applyFont="1" applyNumberFormat="1">
      <alignment vertical="center"/>
    </xf>
    <xf borderId="0" fillId="6" fontId="14" numFmtId="0" xfId="0" applyAlignment="1" applyFont="1">
      <alignment vertical="top"/>
    </xf>
    <xf borderId="0" fillId="0" fontId="8" numFmtId="0" xfId="0" applyAlignment="1" applyFont="1">
      <alignment shrinkToFit="0" vertical="top" wrapText="1"/>
    </xf>
    <xf borderId="0" fillId="0" fontId="3" numFmtId="49" xfId="0" applyAlignment="1" applyFont="1" applyNumberFormat="1">
      <alignment shrinkToFit="0" vertical="top" wrapText="1"/>
    </xf>
    <xf borderId="0" fillId="7" fontId="10" numFmtId="0" xfId="0" applyAlignment="1" applyFont="1">
      <alignment readingOrder="0" shrinkToFit="0" vertical="top" wrapText="1"/>
    </xf>
    <xf borderId="0" fillId="0" fontId="14" numFmtId="0" xfId="0" applyAlignment="1" applyFont="1">
      <alignment readingOrder="0" shrinkToFit="0" vertical="top" wrapText="1"/>
    </xf>
    <xf borderId="0" fillId="0" fontId="3" numFmtId="0" xfId="0" applyAlignment="1" applyFont="1">
      <alignment horizontal="left" readingOrder="0" shrinkToFit="0" vertical="top" wrapText="1"/>
    </xf>
    <xf borderId="0" fillId="6" fontId="16"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10" numFmtId="0" xfId="0" applyAlignment="1" applyFont="1">
      <alignment readingOrder="0" vertical="top"/>
    </xf>
    <xf borderId="0" fillId="0" fontId="8" numFmtId="49" xfId="0" applyAlignment="1" applyFont="1" applyNumberFormat="1">
      <alignment readingOrder="0" vertical="top"/>
    </xf>
    <xf borderId="0" fillId="0" fontId="3" numFmtId="0" xfId="0" applyAlignment="1" applyFont="1">
      <alignment shrinkToFit="0" vertical="top" wrapText="1"/>
    </xf>
    <xf borderId="0" fillId="0" fontId="8" numFmtId="49" xfId="0" applyAlignment="1" applyFont="1" applyNumberFormat="1">
      <alignment readingOrder="0" shrinkToFit="0" vertical="top" wrapText="1"/>
    </xf>
    <xf borderId="0" fillId="0" fontId="3" numFmtId="3" xfId="0" applyAlignment="1" applyFont="1" applyNumberFormat="1">
      <alignment horizontal="left" readingOrder="0" shrinkToFit="0" vertical="top" wrapText="1"/>
    </xf>
    <xf borderId="0" fillId="2" fontId="9" numFmtId="49" xfId="0" applyAlignment="1" applyFont="1" applyNumberFormat="1">
      <alignment readingOrder="0" shrinkToFit="0" vertical="top" wrapText="1"/>
    </xf>
    <xf borderId="0" fillId="2" fontId="2" numFmtId="0" xfId="0" applyAlignment="1" applyFont="1">
      <alignment readingOrder="0" shrinkToFit="0" vertical="top" wrapText="1"/>
    </xf>
    <xf borderId="0" fillId="2" fontId="2" numFmtId="3" xfId="0" applyAlignment="1" applyFont="1" applyNumberFormat="1">
      <alignment horizontal="left" readingOrder="0" shrinkToFit="0" vertical="top" wrapText="1"/>
    </xf>
    <xf borderId="0" fillId="2" fontId="9" numFmtId="0" xfId="0" applyAlignment="1" applyFont="1">
      <alignment shrinkToFit="0" vertical="top" wrapText="1"/>
    </xf>
    <xf borderId="0" fillId="0" fontId="14" numFmtId="0" xfId="0" applyAlignment="1" applyFont="1">
      <alignment horizontal="left" readingOrder="0" shrinkToFit="0" vertical="top" wrapText="1"/>
    </xf>
    <xf borderId="0" fillId="2" fontId="4" numFmtId="0" xfId="0" applyAlignment="1" applyFont="1">
      <alignment shrinkToFit="0" vertical="top" wrapText="1"/>
    </xf>
    <xf borderId="0" fillId="2" fontId="7" numFmtId="0" xfId="0" applyAlignment="1" applyFont="1">
      <alignment readingOrder="0" shrinkToFit="0" vertical="top" wrapText="1"/>
    </xf>
    <xf borderId="0" fillId="2" fontId="3" numFmtId="0" xfId="0" applyAlignment="1" applyFont="1">
      <alignment shrinkToFit="0" vertical="top" wrapText="1"/>
    </xf>
    <xf borderId="0" fillId="0" fontId="17" numFmtId="49" xfId="0" applyAlignment="1" applyFont="1" applyNumberFormat="1">
      <alignment vertical="top"/>
    </xf>
    <xf borderId="0" fillId="0" fontId="3" numFmtId="0" xfId="0" applyAlignment="1" applyFont="1">
      <alignment vertical="top"/>
    </xf>
    <xf borderId="0" fillId="0" fontId="3" numFmtId="0" xfId="0" applyAlignment="1" applyFont="1">
      <alignment shrinkToFit="0" vertical="top" wrapText="1"/>
    </xf>
    <xf borderId="0" fillId="0" fontId="10" numFmtId="0" xfId="0" applyAlignment="1" applyFont="1">
      <alignment shrinkToFit="0" vertical="top" wrapText="1"/>
    </xf>
    <xf borderId="0" fillId="3" fontId="10" numFmtId="0" xfId="0" applyAlignment="1" applyFont="1">
      <alignment readingOrder="0" shrinkToFit="0" vertical="top" wrapText="1"/>
    </xf>
    <xf borderId="0" fillId="0" fontId="3" numFmtId="164" xfId="0" applyAlignment="1" applyFont="1" applyNumberFormat="1">
      <alignment horizontal="right" shrinkToFit="0" vertical="top" wrapText="1"/>
    </xf>
    <xf borderId="0" fillId="7" fontId="10" numFmtId="0" xfId="0" applyAlignment="1" applyFont="1">
      <alignment shrinkToFit="0" vertical="top" wrapText="1"/>
    </xf>
    <xf borderId="0" fillId="0" fontId="10" numFmtId="0" xfId="0" applyAlignment="1" applyFont="1">
      <alignment shrinkToFit="0" vertical="top" wrapText="1"/>
    </xf>
    <xf borderId="0" fillId="0" fontId="17" numFmtId="0" xfId="0" applyAlignment="1" applyFont="1">
      <alignment vertical="top"/>
    </xf>
    <xf borderId="0" fillId="0" fontId="3" numFmtId="0" xfId="0" applyAlignment="1" applyFont="1">
      <alignment vertical="top"/>
    </xf>
    <xf borderId="0" fillId="0" fontId="3" numFmtId="0" xfId="0" applyAlignment="1" applyFont="1">
      <alignment horizontal="right" shrinkToFit="0" vertical="top" wrapText="1"/>
    </xf>
    <xf borderId="0" fillId="0" fontId="11" numFmtId="0" xfId="0" applyAlignment="1" applyFont="1">
      <alignment readingOrder="0" shrinkToFit="0" vertical="top" wrapText="1"/>
    </xf>
    <xf borderId="0" fillId="3" fontId="4" numFmtId="0" xfId="0" applyAlignment="1" applyFont="1">
      <alignment readingOrder="0" shrinkToFit="0" vertical="top" wrapText="1"/>
    </xf>
    <xf borderId="0" fillId="0" fontId="3" numFmtId="0" xfId="0" applyAlignment="1" applyFont="1">
      <alignment vertical="top"/>
    </xf>
    <xf borderId="0" fillId="7" fontId="16" numFmtId="0" xfId="0" applyAlignment="1" applyFont="1">
      <alignment readingOrder="0" shrinkToFit="0" vertical="top" wrapText="1"/>
    </xf>
    <xf borderId="0" fillId="0" fontId="18" numFmtId="0" xfId="0" applyAlignment="1" applyFont="1">
      <alignment horizontal="left" readingOrder="0" shrinkToFit="0" vertical="top" wrapText="1"/>
    </xf>
    <xf borderId="0" fillId="0" fontId="4" numFmtId="0" xfId="0" applyAlignment="1" applyFont="1">
      <alignment readingOrder="0" shrinkToFit="0" vertical="top" wrapText="1"/>
    </xf>
    <xf borderId="0" fillId="7" fontId="4" numFmtId="0" xfId="0" applyAlignment="1" applyFont="1">
      <alignment readingOrder="0" shrinkToFit="0" vertical="top" wrapText="1"/>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2" fontId="2" numFmtId="0" xfId="0" applyAlignment="1" applyFont="1">
      <alignment readingOrder="0" shrinkToFit="0" vertical="top" wrapText="1"/>
    </xf>
    <xf borderId="0" fillId="0" fontId="16" numFmtId="0" xfId="0" applyAlignment="1" applyFont="1">
      <alignment readingOrder="0" shrinkToFit="0" vertical="top" wrapText="1"/>
    </xf>
    <xf borderId="0" fillId="0" fontId="3" numFmtId="0" xfId="0" applyAlignment="1" applyFont="1">
      <alignment readingOrder="0" shrinkToFit="0" vertical="top" wrapText="1"/>
    </xf>
    <xf borderId="0" fillId="0" fontId="3" numFmtId="49" xfId="0" applyAlignment="1" applyFont="1" applyNumberFormat="1">
      <alignment readingOrder="0" shrinkToFit="0" vertical="top" wrapText="1"/>
    </xf>
    <xf borderId="0" fillId="0" fontId="13" numFmtId="0" xfId="0" applyAlignment="1" applyFont="1">
      <alignment readingOrder="0" shrinkToFit="0" vertical="top" wrapText="1"/>
    </xf>
    <xf borderId="0" fillId="0" fontId="19" numFmtId="0" xfId="0" applyAlignment="1" applyFont="1">
      <alignment horizontal="left" shrinkToFit="0" vertical="top" wrapText="1"/>
    </xf>
    <xf borderId="0" fillId="0" fontId="4" numFmtId="0" xfId="0" applyAlignment="1" applyFont="1">
      <alignment vertical="top"/>
    </xf>
    <xf borderId="0" fillId="0" fontId="3" numFmtId="164" xfId="0" applyAlignment="1" applyFont="1" applyNumberFormat="1">
      <alignment shrinkToFit="0" vertical="top" wrapText="1"/>
    </xf>
    <xf borderId="0" fillId="0" fontId="9" numFmtId="0" xfId="0" applyAlignment="1" applyFont="1">
      <alignment shrinkToFit="0" vertical="top" wrapText="1"/>
    </xf>
    <xf borderId="0" fillId="0" fontId="4" numFmtId="0" xfId="0" applyAlignment="1" applyFont="1">
      <alignment vertical="top"/>
    </xf>
    <xf borderId="0" fillId="0" fontId="14" numFmtId="0" xfId="0" applyAlignment="1" applyFont="1">
      <alignment vertical="top"/>
    </xf>
    <xf borderId="0" fillId="0" fontId="3" numFmtId="49" xfId="0" applyAlignment="1" applyFont="1" applyNumberFormat="1">
      <alignment vertical="bottom"/>
    </xf>
    <xf borderId="0" fillId="0" fontId="8" numFmtId="0" xfId="0" applyAlignment="1" applyFont="1">
      <alignment shrinkToFit="0" vertical="top" wrapText="0"/>
    </xf>
    <xf borderId="0" fillId="0" fontId="8" numFmtId="0" xfId="0" applyAlignment="1" applyFont="1">
      <alignment horizontal="left" shrinkToFit="0" vertical="top" wrapText="1"/>
    </xf>
    <xf borderId="0" fillId="0" fontId="20" numFmtId="0" xfId="0" applyAlignment="1" applyFont="1">
      <alignment readingOrder="0" shrinkToFit="0" vertical="top" wrapText="1"/>
    </xf>
    <xf borderId="0" fillId="6" fontId="14" numFmtId="0" xfId="0" applyAlignment="1" applyFont="1">
      <alignment horizontal="left" readingOrder="0" shrinkToFit="0" vertical="top" wrapText="1"/>
    </xf>
    <xf borderId="0" fillId="2" fontId="8" numFmtId="0" xfId="0" applyAlignment="1" applyFont="1">
      <alignment shrinkToFit="0" wrapText="1"/>
    </xf>
    <xf borderId="0" fillId="2" fontId="2" numFmtId="0" xfId="0" applyAlignment="1" applyFont="1">
      <alignment shrinkToFit="0" vertical="bottom" wrapText="1"/>
    </xf>
    <xf borderId="0" fillId="2" fontId="3" numFmtId="0" xfId="0" applyAlignment="1" applyFont="1">
      <alignment shrinkToFit="0" vertical="bottom" wrapText="1"/>
    </xf>
    <xf borderId="0" fillId="2" fontId="8" numFmtId="0" xfId="0" applyFont="1"/>
    <xf borderId="0" fillId="0" fontId="8" numFmtId="0" xfId="0" applyAlignment="1" applyFont="1">
      <alignment shrinkToFit="0" wrapText="1"/>
    </xf>
    <xf borderId="0" fillId="0" fontId="8" numFmtId="0" xfId="0" applyFont="1"/>
    <xf borderId="0" fillId="0" fontId="8" numFmtId="49" xfId="0" applyAlignment="1" applyFont="1" applyNumberFormat="1">
      <alignment shrinkToFit="0" wrapText="1"/>
    </xf>
    <xf borderId="0" fillId="0" fontId="8" numFmtId="0" xfId="0" applyAlignment="1" applyFont="1">
      <alignment readingOrder="0"/>
    </xf>
    <xf borderId="0" fillId="0" fontId="8" numFmtId="164" xfId="0" applyAlignment="1" applyFont="1" applyNumberFormat="1">
      <alignment shrinkToFit="0" wrapText="1"/>
    </xf>
    <xf borderId="0" fillId="0" fontId="8" numFmtId="3" xfId="0" applyAlignment="1" applyFont="1" applyNumberFormat="1">
      <alignment shrinkToFit="0" wrapText="1"/>
    </xf>
    <xf borderId="0" fillId="0" fontId="21" numFmtId="0" xfId="0" applyAlignment="1" applyFont="1">
      <alignment shrinkToFit="0" wrapText="1"/>
    </xf>
    <xf borderId="0" fillId="2" fontId="1" numFmtId="0" xfId="0" applyAlignment="1" applyFont="1">
      <alignment shrinkToFit="0" vertical="center" wrapText="0"/>
    </xf>
    <xf borderId="0" fillId="2" fontId="1" numFmtId="0" xfId="0" applyAlignment="1" applyFont="1">
      <alignment readingOrder="0" shrinkToFit="0" vertical="center" wrapText="0"/>
    </xf>
    <xf borderId="0" fillId="2" fontId="1" numFmtId="0" xfId="0" applyAlignment="1" applyFont="1">
      <alignment shrinkToFit="0" vertical="center" wrapText="1"/>
    </xf>
    <xf borderId="0" fillId="2" fontId="2" numFmtId="0" xfId="0" applyAlignment="1" applyFont="1">
      <alignment shrinkToFit="0" vertical="center" wrapText="0"/>
    </xf>
    <xf borderId="0" fillId="2" fontId="3" numFmtId="0" xfId="0" applyAlignment="1" applyFont="1">
      <alignment vertical="center"/>
    </xf>
    <xf borderId="0" fillId="2" fontId="3" numFmtId="0" xfId="0" applyAlignment="1" applyFont="1">
      <alignment shrinkToFit="0" vertical="center" wrapText="1"/>
    </xf>
    <xf borderId="0" fillId="8" fontId="2" numFmtId="0" xfId="0" applyAlignment="1" applyFill="1" applyFont="1">
      <alignment vertical="center"/>
    </xf>
    <xf borderId="0" fillId="2" fontId="2" numFmtId="0" xfId="0" applyAlignment="1" applyFont="1">
      <alignment shrinkToFit="0" vertical="bottom" wrapText="0"/>
    </xf>
    <xf borderId="0" fillId="2" fontId="3" numFmtId="0" xfId="0" applyAlignment="1" applyFont="1">
      <alignment shrinkToFit="0" vertical="bottom" wrapText="0"/>
    </xf>
    <xf borderId="0" fillId="2" fontId="7" numFmtId="0" xfId="0" applyAlignment="1" applyFont="1">
      <alignment vertical="top"/>
    </xf>
    <xf borderId="0" fillId="2" fontId="7" numFmtId="0" xfId="0" applyAlignment="1" applyFont="1">
      <alignment shrinkToFit="0" vertical="top" wrapText="1"/>
    </xf>
    <xf borderId="0" fillId="2" fontId="2" numFmtId="0" xfId="0" applyAlignment="1" applyFont="1">
      <alignment shrinkToFit="0" vertical="top" wrapText="0"/>
    </xf>
    <xf borderId="0" fillId="0" fontId="3" numFmtId="0" xfId="0" applyAlignment="1" applyFont="1">
      <alignment readingOrder="0" shrinkToFit="0" vertical="top" wrapText="0"/>
    </xf>
    <xf borderId="0" fillId="0" fontId="3" numFmtId="49" xfId="0" applyAlignment="1" applyFont="1" applyNumberFormat="1">
      <alignment vertical="top"/>
    </xf>
    <xf borderId="0" fillId="0" fontId="3" numFmtId="0" xfId="0" applyAlignment="1" applyFont="1">
      <alignment shrinkToFit="0" vertical="center" wrapText="0"/>
    </xf>
    <xf borderId="0" fillId="0" fontId="3" numFmtId="0" xfId="0" applyAlignment="1" applyFont="1">
      <alignment shrinkToFit="0" vertical="bottom" wrapText="0"/>
    </xf>
    <xf borderId="0" fillId="9" fontId="3" numFmtId="0" xfId="0" applyAlignment="1" applyFill="1" applyFont="1">
      <alignment shrinkToFit="0" vertical="bottom" wrapText="0"/>
    </xf>
    <xf borderId="0" fillId="9" fontId="7" numFmtId="0" xfId="0" applyAlignment="1" applyFont="1">
      <alignment vertical="top"/>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2" fontId="2" numFmtId="0" xfId="0" applyAlignment="1" applyFont="1">
      <alignment readingOrder="0" shrinkToFit="0" vertical="bottom" wrapText="0"/>
    </xf>
    <xf borderId="0" fillId="9" fontId="3" numFmtId="0" xfId="0" applyAlignment="1" applyFont="1">
      <alignment shrinkToFit="0" vertical="bottom" wrapText="1"/>
    </xf>
    <xf borderId="0" fillId="0" fontId="3" numFmtId="0" xfId="0" applyAlignment="1" applyFont="1">
      <alignment shrinkToFit="0" vertical="top" wrapText="0"/>
    </xf>
    <xf borderId="0" fillId="0" fontId="8" numFmtId="0" xfId="0" applyAlignment="1" applyFont="1">
      <alignment shrinkToFit="0" wrapText="0"/>
    </xf>
    <xf borderId="0" fillId="2" fontId="9" numFmtId="0" xfId="0" applyAlignment="1" applyFont="1">
      <alignment shrinkToFit="0" wrapText="0"/>
    </xf>
    <xf borderId="0" fillId="2" fontId="9" numFmtId="0" xfId="0" applyAlignment="1" applyFont="1">
      <alignment shrinkToFit="0" wrapText="1"/>
    </xf>
    <xf borderId="0" fillId="9" fontId="9" numFmtId="0" xfId="0" applyAlignment="1" applyFont="1">
      <alignment shrinkToFit="0" wrapText="0"/>
    </xf>
    <xf borderId="0" fillId="9" fontId="9" numFmtId="0" xfId="0" applyAlignment="1" applyFont="1">
      <alignment shrinkToFit="0" wrapText="1"/>
    </xf>
    <xf borderId="0" fillId="0" fontId="9" numFmtId="0" xfId="0" applyAlignment="1" applyFont="1">
      <alignment shrinkToFit="0" wrapText="0"/>
    </xf>
    <xf borderId="0" fillId="0" fontId="8" numFmtId="0" xfId="0" applyAlignment="1" applyFont="1">
      <alignment readingOrder="0" shrinkToFit="0" wrapText="0"/>
    </xf>
    <xf borderId="0" fillId="0" fontId="3" numFmtId="49" xfId="0" applyAlignment="1" applyFont="1" applyNumberFormat="1">
      <alignment shrinkToFit="0" vertical="bottom" wrapText="0"/>
    </xf>
    <xf borderId="0" fillId="0" fontId="3" numFmtId="0" xfId="0" applyAlignment="1" applyFont="1">
      <alignment readingOrder="0" shrinkToFit="0" vertical="bottom" wrapText="1"/>
    </xf>
    <xf borderId="0" fillId="6" fontId="14" numFmtId="0" xfId="0" applyAlignment="1" applyFont="1">
      <alignment horizontal="left" readingOrder="0" shrinkToFit="0" wrapText="0"/>
    </xf>
    <xf borderId="3" fillId="0" fontId="8" numFmtId="0" xfId="0" applyAlignment="1" applyBorder="1" applyFont="1">
      <alignment readingOrder="0" shrinkToFit="0" vertical="top" wrapText="1"/>
    </xf>
    <xf borderId="0" fillId="10" fontId="8" numFmtId="0" xfId="0" applyAlignment="1" applyFill="1" applyFont="1">
      <alignment readingOrder="0" shrinkToFit="0" wrapText="0"/>
    </xf>
    <xf borderId="0" fillId="0" fontId="3" numFmtId="49" xfId="0" applyAlignment="1" applyFont="1" applyNumberFormat="1">
      <alignment readingOrder="0" shrinkToFit="0" vertical="bottom" wrapText="0"/>
    </xf>
    <xf borderId="0" fillId="0" fontId="14" numFmtId="0" xfId="0" applyAlignment="1" applyFont="1">
      <alignment readingOrder="0" shrinkToFit="0" vertical="bottom" wrapText="0"/>
    </xf>
    <xf borderId="0" fillId="2" fontId="14" numFmtId="0" xfId="0" applyAlignment="1" applyFont="1">
      <alignment shrinkToFit="0" vertical="bottom" wrapText="0"/>
    </xf>
    <xf borderId="0" fillId="9" fontId="14" numFmtId="0" xfId="0" applyAlignment="1" applyFont="1">
      <alignment shrinkToFit="0" vertical="bottom" wrapText="0"/>
    </xf>
    <xf borderId="0" fillId="9" fontId="14" numFmtId="0" xfId="0" applyAlignment="1" applyFont="1">
      <alignment shrinkToFit="0" vertical="bottom" wrapText="1"/>
    </xf>
    <xf borderId="0" fillId="0" fontId="12" numFmtId="0" xfId="0" applyAlignment="1" applyFont="1">
      <alignment readingOrder="0" shrinkToFit="0" wrapText="0"/>
    </xf>
    <xf borderId="0" fillId="11" fontId="8" numFmtId="0" xfId="0" applyAlignment="1" applyFill="1" applyFont="1">
      <alignment readingOrder="0" shrinkToFit="0" wrapText="0"/>
    </xf>
    <xf borderId="0" fillId="6" fontId="3" numFmtId="0" xfId="0" applyAlignment="1" applyFont="1">
      <alignment shrinkToFit="0" vertical="top" wrapText="0"/>
    </xf>
    <xf borderId="0" fillId="6" fontId="3" numFmtId="0" xfId="0" applyAlignment="1" applyFont="1">
      <alignment readingOrder="0" shrinkToFit="0" vertical="top" wrapText="1"/>
    </xf>
    <xf borderId="0" fillId="2" fontId="9" numFmtId="0" xfId="0" applyAlignment="1" applyFont="1">
      <alignment readingOrder="0" shrinkToFit="0" wrapText="0"/>
    </xf>
    <xf borderId="0" fillId="0" fontId="14" numFmtId="0" xfId="0" applyAlignment="1" applyFont="1">
      <alignment readingOrder="0" shrinkToFit="0" vertical="bottom" wrapText="0"/>
    </xf>
    <xf borderId="0" fillId="0" fontId="2" numFmtId="0" xfId="0" applyAlignment="1" applyFont="1">
      <alignment readingOrder="0" shrinkToFit="0" vertical="bottom" wrapText="0"/>
    </xf>
    <xf borderId="0" fillId="0" fontId="12" numFmtId="0" xfId="0" applyAlignment="1" applyFont="1">
      <alignment shrinkToFit="0" wrapText="0"/>
    </xf>
    <xf borderId="0" fillId="6" fontId="3" numFmtId="0" xfId="0" applyAlignment="1" applyFont="1">
      <alignment readingOrder="0" shrinkToFit="0" vertical="bottom" wrapText="0"/>
    </xf>
    <xf borderId="0" fillId="6" fontId="3" numFmtId="0" xfId="0" applyAlignment="1" applyFont="1">
      <alignment readingOrder="0" shrinkToFit="0" vertical="bottom" wrapText="1"/>
    </xf>
    <xf borderId="0" fillId="2" fontId="2" numFmtId="0" xfId="0" applyAlignment="1" applyFont="1">
      <alignment readingOrder="0" shrinkToFit="0" vertical="bottom" wrapText="0"/>
    </xf>
    <xf borderId="0" fillId="2" fontId="14" numFmtId="0" xfId="0" applyAlignment="1" applyFont="1">
      <alignment shrinkToFit="0" vertical="bottom" wrapText="0"/>
    </xf>
    <xf borderId="0" fillId="2" fontId="14" numFmtId="0" xfId="0" applyAlignment="1" applyFont="1">
      <alignment shrinkToFit="0" vertical="bottom" wrapText="1"/>
    </xf>
    <xf borderId="0" fillId="0" fontId="11" numFmtId="0" xfId="0" applyAlignment="1" applyFont="1">
      <alignment shrinkToFit="0" vertical="top" wrapText="0"/>
    </xf>
    <xf borderId="0" fillId="0" fontId="0" numFmtId="0" xfId="0" applyAlignment="1" applyFont="1">
      <alignmen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wrapText="0"/>
    </xf>
    <xf borderId="0" fillId="0" fontId="22" numFmtId="0" xfId="0" applyAlignment="1" applyFont="1">
      <alignment shrinkToFit="0" wrapText="0"/>
    </xf>
    <xf borderId="0" fillId="0" fontId="13" numFmtId="0" xfId="0" applyAlignment="1" applyFont="1">
      <alignment readingOrder="0" shrinkToFit="0" vertical="bottom" wrapText="0"/>
    </xf>
    <xf borderId="0" fillId="0" fontId="13" numFmtId="0" xfId="0" applyAlignment="1" applyFont="1">
      <alignment readingOrder="0" shrinkToFit="0" wrapText="1"/>
    </xf>
    <xf borderId="0" fillId="2" fontId="23" numFmtId="0" xfId="0" applyAlignment="1" applyFont="1">
      <alignment readingOrder="0" shrinkToFit="0" wrapText="0"/>
    </xf>
    <xf borderId="0" fillId="2" fontId="23" numFmtId="0" xfId="0" applyAlignment="1" applyFont="1">
      <alignment shrinkToFit="0" wrapText="0"/>
    </xf>
    <xf borderId="0" fillId="2" fontId="23" numFmtId="0" xfId="0" applyAlignment="1" applyFont="1">
      <alignment shrinkToFit="0" wrapText="1"/>
    </xf>
    <xf borderId="0" fillId="9" fontId="23" numFmtId="0" xfId="0" applyAlignment="1" applyFont="1">
      <alignment shrinkToFit="0" wrapText="0"/>
    </xf>
    <xf borderId="0" fillId="9" fontId="23" numFmtId="0" xfId="0" applyAlignment="1" applyFont="1">
      <alignment shrinkToFit="0" wrapText="1"/>
    </xf>
    <xf borderId="0" fillId="0" fontId="23" numFmtId="0" xfId="0" applyAlignment="1" applyFont="1">
      <alignment shrinkToFit="0" wrapText="0"/>
    </xf>
    <xf borderId="0" fillId="9" fontId="14" numFmtId="0" xfId="0" applyAlignment="1" applyFont="1">
      <alignment shrinkToFit="0" vertical="bottom" wrapText="0"/>
    </xf>
    <xf borderId="0" fillId="9" fontId="14" numFmtId="0" xfId="0" applyAlignment="1" applyFont="1">
      <alignment shrinkToFit="0" vertical="bottom" wrapText="1"/>
    </xf>
    <xf borderId="0" fillId="0" fontId="14" numFmtId="0" xfId="0" applyAlignment="1" applyFont="1">
      <alignment shrinkToFit="0" vertical="bottom" wrapText="0"/>
    </xf>
    <xf borderId="0" fillId="0" fontId="14" numFmtId="0" xfId="0" applyAlignment="1" applyFont="1">
      <alignment horizontal="left" readingOrder="0" shrinkToFit="0" vertical="bottom" wrapText="0"/>
    </xf>
    <xf borderId="0" fillId="0" fontId="14" numFmtId="0" xfId="0" applyAlignment="1" applyFont="1">
      <alignment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1"/>
    </xf>
    <xf borderId="0" fillId="0" fontId="3" numFmtId="49" xfId="0" applyAlignment="1" applyFont="1" applyNumberFormat="1">
      <alignment readingOrder="0" vertical="bottom"/>
    </xf>
    <xf borderId="0" fillId="0" fontId="5"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shrinkToFit="0" wrapText="0"/>
    </xf>
    <xf borderId="0" fillId="0" fontId="5" numFmtId="0" xfId="0" applyFont="1"/>
    <xf borderId="0" fillId="0" fontId="8" numFmtId="0" xfId="0" applyAlignment="1" applyFont="1">
      <alignment readingOrder="0" shrinkToFit="0" wrapText="0"/>
    </xf>
    <xf borderId="0" fillId="0" fontId="11" numFmtId="0" xfId="0" applyAlignment="1" applyFont="1">
      <alignment readingOrder="0" shrinkToFit="0" vertical="top" wrapText="0"/>
    </xf>
    <xf borderId="0" fillId="0" fontId="12" numFmtId="0" xfId="0" applyAlignment="1" applyFont="1">
      <alignment readingOrder="0"/>
    </xf>
    <xf borderId="0" fillId="12" fontId="12" numFmtId="0" xfId="0" applyAlignment="1" applyFill="1" applyFont="1">
      <alignment readingOrder="0"/>
    </xf>
    <xf borderId="0" fillId="12" fontId="8" numFmtId="0" xfId="0" applyAlignment="1" applyFont="1">
      <alignment readingOrder="0"/>
    </xf>
    <xf borderId="0" fillId="12" fontId="8" numFmtId="0" xfId="0" applyFont="1"/>
    <xf borderId="0" fillId="12" fontId="8" numFmtId="0" xfId="0" applyAlignment="1" applyFont="1">
      <alignment readingOrder="0" shrinkToFit="0" wrapText="1"/>
    </xf>
    <xf borderId="0" fillId="12" fontId="8" numFmtId="0" xfId="0" applyAlignment="1" applyFont="1">
      <alignment readingOrder="0" shrinkToFit="0" wrapText="0"/>
    </xf>
    <xf borderId="0" fillId="0" fontId="3" numFmtId="0" xfId="0" applyAlignment="1" applyFont="1">
      <alignment vertical="bottom"/>
    </xf>
    <xf borderId="0" fillId="0" fontId="13" numFmtId="0" xfId="0" applyAlignment="1" applyFont="1">
      <alignment shrinkToFit="0" vertical="bottom" wrapText="0"/>
    </xf>
    <xf borderId="0" fillId="0" fontId="13" numFmtId="0" xfId="0" applyAlignment="1" applyFont="1">
      <alignment shrinkToFit="0" vertical="bottom" wrapText="0"/>
    </xf>
    <xf borderId="0" fillId="0" fontId="13" numFmtId="0" xfId="0" applyAlignment="1" applyFont="1">
      <alignment vertical="top"/>
    </xf>
    <xf borderId="0" fillId="0" fontId="1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12" numFmtId="0" xfId="0" applyAlignment="1" applyFont="1">
      <alignment readingOrder="0" vertical="top"/>
    </xf>
    <xf borderId="0" fillId="0" fontId="8" numFmtId="0" xfId="0" applyAlignment="1" applyFont="1">
      <alignment readingOrder="0" shrinkToFit="0" vertical="top" wrapText="0"/>
    </xf>
    <xf borderId="0" fillId="0" fontId="14" numFmtId="0" xfId="0" applyAlignment="1" applyFont="1">
      <alignment shrinkToFit="0" vertical="top" wrapText="0"/>
    </xf>
    <xf borderId="0" fillId="0" fontId="24" numFmtId="0" xfId="0" applyAlignment="1" applyFont="1">
      <alignment readingOrder="0" shrinkToFit="0" vertical="top" wrapText="1"/>
    </xf>
    <xf borderId="0" fillId="0" fontId="8" numFmtId="164" xfId="0" applyAlignment="1" applyFont="1" applyNumberFormat="1">
      <alignment readingOrder="0"/>
    </xf>
    <xf borderId="0" fillId="0" fontId="14" numFmtId="0" xfId="0" applyAlignment="1" applyFont="1">
      <alignment readingOrder="0" shrinkToFit="0" vertical="top" wrapText="0"/>
    </xf>
    <xf borderId="0" fillId="0" fontId="3" numFmtId="0" xfId="0" applyAlignment="1" applyFont="1">
      <alignment readingOrder="0" shrinkToFit="0" vertical="top" wrapText="0"/>
    </xf>
    <xf borderId="0" fillId="0" fontId="24" numFmtId="0" xfId="0" applyAlignment="1" applyFont="1">
      <alignment readingOrder="0" vertical="top"/>
    </xf>
    <xf borderId="0" fillId="6" fontId="14" numFmtId="0" xfId="0" applyAlignment="1" applyFont="1">
      <alignment horizontal="left" readingOrder="0"/>
    </xf>
    <xf borderId="0" fillId="0" fontId="8" numFmtId="0" xfId="0" applyAlignment="1" applyFont="1">
      <alignment shrinkToFit="0" wrapText="0"/>
    </xf>
    <xf borderId="0" fillId="0" fontId="25" numFmtId="0" xfId="0" applyAlignment="1" applyFont="1">
      <alignment readingOrder="0"/>
    </xf>
    <xf borderId="0" fillId="0" fontId="8" numFmtId="9" xfId="0" applyAlignment="1" applyFont="1" applyNumberFormat="1">
      <alignment readingOrder="0"/>
    </xf>
    <xf borderId="0" fillId="0" fontId="13" numFmtId="0" xfId="0" applyAlignment="1" applyFont="1">
      <alignment shrinkToFit="0" vertical="top" wrapText="0"/>
    </xf>
    <xf borderId="0" fillId="0" fontId="11" numFmtId="0" xfId="0" applyAlignment="1" applyFont="1">
      <alignment readingOrder="0" vertical="top"/>
    </xf>
    <xf borderId="0" fillId="0" fontId="26" numFmtId="0" xfId="0" applyAlignment="1" applyFont="1">
      <alignment shrinkToFit="0" vertical="top" wrapText="0"/>
    </xf>
    <xf borderId="0" fillId="0" fontId="17" numFmtId="0" xfId="0" applyAlignment="1" applyFont="1">
      <alignment shrinkToFit="0" vertical="top" wrapText="1"/>
    </xf>
    <xf borderId="0" fillId="0" fontId="17" numFmtId="0" xfId="0" applyAlignment="1" applyFont="1">
      <alignment vertical="top"/>
    </xf>
    <xf borderId="0" fillId="0" fontId="3" numFmtId="0" xfId="0" applyAlignment="1" applyFont="1">
      <alignment shrinkToFit="0" vertical="bottom" wrapText="0"/>
    </xf>
    <xf borderId="0" fillId="0" fontId="17" numFmtId="0" xfId="0" applyAlignment="1" applyFont="1">
      <alignment shrinkToFit="0" vertical="top" wrapText="0"/>
    </xf>
    <xf borderId="0" fillId="0" fontId="17" numFmtId="0" xfId="0" applyAlignment="1" applyFont="1">
      <alignment readingOrder="0" shrinkToFit="0" vertical="top" wrapText="1"/>
    </xf>
    <xf borderId="0" fillId="0" fontId="3" numFmtId="0" xfId="0" applyAlignment="1" applyFont="1">
      <alignment readingOrder="0" shrinkToFit="0" vertical="bottom" wrapText="0"/>
    </xf>
    <xf borderId="0" fillId="0" fontId="27" numFmtId="0" xfId="0" applyAlignment="1" applyFont="1">
      <alignment readingOrder="0"/>
    </xf>
    <xf borderId="0" fillId="0" fontId="28" numFmtId="0" xfId="0" applyAlignment="1" applyFont="1">
      <alignment horizontal="center" readingOrder="0"/>
    </xf>
    <xf borderId="0" fillId="0" fontId="27" numFmtId="49" xfId="0" applyAlignment="1" applyFont="1" applyNumberFormat="1">
      <alignment horizontal="center" readingOrder="0" shrinkToFit="0" wrapText="1"/>
    </xf>
    <xf borderId="0" fillId="0" fontId="27" numFmtId="49" xfId="0" applyAlignment="1" applyFont="1" applyNumberFormat="1">
      <alignment horizontal="center" readingOrder="0"/>
    </xf>
    <xf borderId="0" fillId="0" fontId="27" numFmtId="0" xfId="0" applyFont="1"/>
    <xf borderId="4" fillId="0" fontId="10" numFmtId="0" xfId="0" applyAlignment="1" applyBorder="1" applyFont="1">
      <alignment readingOrder="0" vertical="center"/>
    </xf>
    <xf borderId="4" fillId="0" fontId="10" numFmtId="0" xfId="0" applyAlignment="1" applyBorder="1" applyFont="1">
      <alignment horizontal="center" readingOrder="0" vertical="center"/>
    </xf>
    <xf borderId="4" fillId="0" fontId="29" numFmtId="0" xfId="0" applyAlignment="1" applyBorder="1" applyFont="1">
      <alignment horizontal="center" readingOrder="0" shrinkToFit="0" vertical="center" wrapText="1"/>
    </xf>
    <xf borderId="4" fillId="0" fontId="10" numFmtId="49" xfId="0" applyAlignment="1" applyBorder="1" applyFont="1" applyNumberFormat="1">
      <alignment horizontal="center" readingOrder="0" shrinkToFit="0" vertical="center" wrapText="1"/>
    </xf>
    <xf borderId="0" fillId="0" fontId="10" numFmtId="0" xfId="0" applyAlignment="1" applyFont="1">
      <alignment vertical="center"/>
    </xf>
    <xf borderId="0" fillId="0" fontId="8" numFmtId="165" xfId="0" applyAlignment="1" applyFont="1" applyNumberFormat="1">
      <alignment readingOrder="0"/>
    </xf>
    <xf borderId="0" fillId="0" fontId="8" numFmtId="0" xfId="0" applyAlignment="1" applyFont="1">
      <alignment horizontal="center" readingOrder="0"/>
    </xf>
    <xf borderId="0" fillId="0" fontId="8" numFmtId="49" xfId="0" applyAlignment="1" applyFont="1" applyNumberFormat="1">
      <alignment horizontal="center" readingOrder="0" shrinkToFit="0" wrapText="1"/>
    </xf>
    <xf borderId="0" fillId="0" fontId="8" numFmtId="49" xfId="0" applyAlignment="1" applyFont="1" applyNumberFormat="1">
      <alignment horizontal="center" readingOrder="0"/>
    </xf>
    <xf borderId="0" fillId="0" fontId="8" numFmtId="166" xfId="0" applyAlignment="1" applyFont="1" applyNumberFormat="1">
      <alignment readingOrder="0"/>
    </xf>
    <xf borderId="0" fillId="0" fontId="10" numFmtId="0" xfId="0" applyAlignment="1" applyFont="1">
      <alignment horizontal="center" readingOrder="0"/>
    </xf>
    <xf borderId="0" fillId="0" fontId="8" numFmtId="49" xfId="0" applyAlignment="1" applyFont="1" applyNumberFormat="1">
      <alignment horizontal="center" shrinkToFit="0" wrapText="1"/>
    </xf>
    <xf borderId="0" fillId="0" fontId="8" numFmtId="49" xfId="0" applyAlignment="1" applyFont="1" applyNumberFormat="1">
      <alignment horizontal="center"/>
    </xf>
    <xf borderId="0" fillId="0" fontId="30" numFmtId="166" xfId="0" applyAlignment="1" applyFont="1" applyNumberFormat="1">
      <alignment readingOrder="0"/>
    </xf>
    <xf borderId="0" fillId="0" fontId="8" numFmtId="0" xfId="0" applyAlignment="1" applyFont="1">
      <alignment horizontal="center" readingOrder="0"/>
    </xf>
    <xf borderId="0" fillId="0" fontId="22" numFmtId="0" xfId="0" applyAlignment="1" applyFont="1">
      <alignment horizontal="center" readingOrder="0"/>
    </xf>
    <xf borderId="0" fillId="0" fontId="12" numFmtId="0" xfId="0" applyAlignment="1" applyFont="1">
      <alignment horizontal="center" readingOrder="0"/>
    </xf>
    <xf borderId="0" fillId="0" fontId="8" numFmtId="0" xfId="0" applyAlignment="1" applyFont="1">
      <alignment readingOrder="0"/>
    </xf>
    <xf borderId="0" fillId="0" fontId="14" numFmtId="165" xfId="0" applyAlignment="1" applyFont="1" applyNumberFormat="1">
      <alignment horizontal="right" readingOrder="0" vertical="bottom"/>
    </xf>
    <xf borderId="0" fillId="0" fontId="14" numFmtId="0" xfId="0" applyAlignment="1" applyFont="1">
      <alignment horizontal="center" readingOrder="0" vertical="bottom"/>
    </xf>
    <xf borderId="0" fillId="0" fontId="14" numFmtId="49" xfId="0" applyAlignment="1" applyFont="1" applyNumberFormat="1">
      <alignment horizontal="center" readingOrder="0" shrinkToFit="0" vertical="bottom" wrapText="0"/>
    </xf>
    <xf borderId="0" fillId="0" fontId="14" numFmtId="0" xfId="0" applyAlignment="1" applyFont="1">
      <alignment shrinkToFit="0" vertical="bottom" wrapText="0"/>
    </xf>
    <xf borderId="0" fillId="0" fontId="14" numFmtId="0" xfId="0" applyAlignment="1" applyFont="1">
      <alignment readingOrder="0" shrinkToFit="0" vertical="bottom" wrapText="0"/>
    </xf>
    <xf borderId="0" fillId="0" fontId="31" numFmtId="0" xfId="0" applyAlignment="1" applyFont="1">
      <alignment readingOrder="0" shrinkToFit="0" vertical="bottom" wrapText="0"/>
    </xf>
    <xf borderId="0" fillId="0" fontId="10" numFmtId="4" xfId="0" applyAlignment="1" applyFont="1" applyNumberFormat="1">
      <alignment horizontal="center" readingOrder="0"/>
    </xf>
    <xf borderId="0" fillId="0" fontId="10" numFmtId="0" xfId="0" applyAlignment="1" applyFont="1">
      <alignment horizontal="center"/>
    </xf>
    <xf borderId="0" fillId="0" fontId="32" numFmtId="0" xfId="0" applyAlignment="1" applyFont="1">
      <alignment readingOrder="0" shrinkToFit="0" vertical="top" wrapText="1"/>
    </xf>
    <xf borderId="5" fillId="0" fontId="32" numFmtId="0" xfId="0" applyAlignment="1" applyBorder="1" applyFont="1">
      <alignment shrinkToFit="0" vertical="top" wrapText="0"/>
    </xf>
    <xf borderId="6" fillId="0" fontId="32" numFmtId="0" xfId="0" applyAlignment="1" applyBorder="1" applyFont="1">
      <alignment shrinkToFit="0" vertical="top" wrapText="0"/>
    </xf>
    <xf borderId="5" fillId="0" fontId="32" numFmtId="0" xfId="0" applyAlignment="1" applyBorder="1" applyFont="1">
      <alignment readingOrder="0" shrinkToFit="0" vertical="top" wrapText="0"/>
    </xf>
    <xf borderId="7" fillId="0" fontId="32" numFmtId="0" xfId="0" applyAlignment="1" applyBorder="1" applyFont="1">
      <alignment readingOrder="0" shrinkToFit="0" vertical="top" wrapText="0"/>
    </xf>
    <xf borderId="6" fillId="0" fontId="32" numFmtId="0" xfId="0" applyAlignment="1" applyBorder="1" applyFont="1">
      <alignment readingOrder="0" shrinkToFit="0" vertical="top" wrapText="1"/>
    </xf>
    <xf borderId="3" fillId="0" fontId="3" numFmtId="0" xfId="0" applyAlignment="1" applyBorder="1" applyFont="1">
      <alignment shrinkToFit="0" vertical="top" wrapText="0"/>
    </xf>
    <xf borderId="8" fillId="0" fontId="3" numFmtId="0" xfId="0" applyAlignment="1" applyBorder="1" applyFont="1">
      <alignment shrinkToFit="0" vertical="top" wrapText="0"/>
    </xf>
    <xf borderId="3" fillId="0" fontId="3" numFmtId="0" xfId="0" applyAlignment="1" applyBorder="1" applyFont="1">
      <alignment readingOrder="0" shrinkToFit="0" vertical="top" wrapText="0"/>
    </xf>
    <xf borderId="8" fillId="0" fontId="3" numFmtId="0" xfId="0" applyAlignment="1" applyBorder="1" applyFont="1">
      <alignment readingOrder="0" shrinkToFit="0" vertical="top" wrapText="0"/>
    </xf>
    <xf borderId="9" fillId="0" fontId="3" numFmtId="0" xfId="0" applyAlignment="1" applyBorder="1" applyFont="1">
      <alignment shrinkToFit="0" vertical="top" wrapText="0"/>
    </xf>
    <xf borderId="10" fillId="0" fontId="3" numFmtId="0" xfId="0" applyAlignment="1" applyBorder="1" applyFont="1">
      <alignment shrinkToFit="0" vertical="top" wrapText="0"/>
    </xf>
    <xf borderId="9" fillId="0" fontId="3" numFmtId="0" xfId="0" applyAlignment="1" applyBorder="1" applyFont="1">
      <alignment readingOrder="0" shrinkToFit="0" vertical="top" wrapText="0"/>
    </xf>
    <xf borderId="11" fillId="0" fontId="3" numFmtId="0" xfId="0" applyAlignment="1" applyBorder="1" applyFont="1">
      <alignment readingOrder="0" shrinkToFit="0" vertical="top" wrapText="0"/>
    </xf>
    <xf borderId="10" fillId="0" fontId="3" numFmtId="0" xfId="0" applyAlignment="1" applyBorder="1" applyFont="1">
      <alignment readingOrder="0" shrinkToFit="0" vertical="top" wrapText="0"/>
    </xf>
    <xf borderId="5" fillId="0" fontId="3" numFmtId="0" xfId="0" applyAlignment="1" applyBorder="1" applyFont="1">
      <alignment shrinkToFit="0" vertical="top" wrapText="0"/>
    </xf>
    <xf borderId="6" fillId="0" fontId="3" numFmtId="0" xfId="0" applyAlignment="1" applyBorder="1" applyFont="1">
      <alignment shrinkToFit="0" vertical="top" wrapText="0"/>
    </xf>
    <xf borderId="5" fillId="0" fontId="3" numFmtId="0" xfId="0" applyAlignment="1" applyBorder="1" applyFont="1">
      <alignment readingOrder="0" shrinkToFit="0" vertical="top" wrapText="0"/>
    </xf>
    <xf borderId="7" fillId="0" fontId="3" numFmtId="0" xfId="0" applyAlignment="1" applyBorder="1" applyFont="1">
      <alignment readingOrder="0" shrinkToFit="0" vertical="top" wrapText="0"/>
    </xf>
    <xf borderId="6" fillId="0" fontId="3" numFmtId="0" xfId="0" applyAlignment="1" applyBorder="1" applyFont="1">
      <alignment readingOrder="0" shrinkToFit="0" vertical="top" wrapText="0"/>
    </xf>
    <xf borderId="10" fillId="0" fontId="3" numFmtId="0" xfId="0" applyAlignment="1" applyBorder="1" applyFont="1">
      <alignment shrinkToFit="0" vertical="bottom" wrapText="0"/>
    </xf>
    <xf borderId="8" fillId="0" fontId="3" numFmtId="0" xfId="0" applyAlignment="1" applyBorder="1" applyFont="1">
      <alignment shrinkToFit="0" vertical="bottom" wrapText="0"/>
    </xf>
    <xf borderId="5" fillId="0" fontId="3" numFmtId="0" xfId="0" applyAlignment="1" applyBorder="1" applyFont="1">
      <alignment shrinkToFit="0" vertical="bottom" wrapText="0"/>
    </xf>
    <xf borderId="6" fillId="0" fontId="3" numFmtId="0" xfId="0" applyAlignment="1" applyBorder="1" applyFont="1">
      <alignment shrinkToFit="0" vertical="bottom" wrapText="0"/>
    </xf>
    <xf borderId="3" fillId="0" fontId="3" numFmtId="0" xfId="0" applyAlignment="1" applyBorder="1" applyFont="1">
      <alignment shrinkToFit="0" vertical="bottom" wrapText="0"/>
    </xf>
    <xf borderId="12" fillId="0" fontId="3" numFmtId="0" xfId="0" applyAlignment="1" applyBorder="1" applyFont="1">
      <alignment shrinkToFit="0" vertical="top" wrapText="0"/>
    </xf>
    <xf borderId="13" fillId="0" fontId="3" numFmtId="0" xfId="0" applyAlignment="1" applyBorder="1" applyFont="1">
      <alignment shrinkToFit="0" vertical="top" wrapText="0"/>
    </xf>
    <xf borderId="8" fillId="0" fontId="8" numFmtId="0" xfId="0" applyAlignment="1" applyBorder="1" applyFont="1">
      <alignment shrinkToFit="0" wrapText="0"/>
    </xf>
    <xf borderId="3" fillId="0" fontId="8" numFmtId="0" xfId="0" applyAlignment="1" applyBorder="1" applyFont="1">
      <alignment shrinkToFit="0" wrapText="0"/>
    </xf>
  </cellXfs>
  <cellStyles count="1">
    <cellStyle xfId="0" name="Normal" builtinId="0"/>
  </cellStyles>
  <dxfs count="6">
    <dxf>
      <font/>
      <fill>
        <patternFill patternType="solid">
          <fgColor rgb="FFFFFF00"/>
          <bgColor rgb="FFFFFF00"/>
        </patternFill>
      </fill>
      <border/>
    </dxf>
    <dxf>
      <font/>
      <fill>
        <patternFill patternType="solid">
          <fgColor rgb="FFD9D2E9"/>
          <bgColor rgb="FFD9D2E9"/>
        </patternFill>
      </fill>
      <border/>
    </dxf>
    <dxf>
      <font>
        <b/>
        <color rgb="FFFFFFFF"/>
      </font>
      <fill>
        <patternFill patternType="solid">
          <fgColor rgb="FF000000"/>
          <bgColor rgb="FF000000"/>
        </patternFill>
      </fill>
      <border/>
    </dxf>
    <dxf>
      <font/>
      <fill>
        <patternFill patternType="solid">
          <fgColor rgb="FFB7E1CD"/>
          <bgColor rgb="FFB7E1CD"/>
        </patternFill>
      </fill>
      <border/>
    </dxf>
    <dxf>
      <font/>
      <fill>
        <patternFill patternType="solid">
          <fgColor rgb="FFFFF2CC"/>
          <bgColor rgb="FFFFF2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cbi.nlm.nih.gov/taxonomy." TargetMode="External"/><Relationship Id="rId2" Type="http://schemas.openxmlformats.org/officeDocument/2006/relationships/hyperlink" Target="https://www.protocols.io/view/ncov-2019-sequencing-protocol-bbmuik6w?version_warning=no" TargetMode="External"/><Relationship Id="rId3"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github.com/BCCDC-PHL/ncov2019-artic-nf"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rotocols.io/view/ncov-2019-sequencing-protocol-bbmuik6w?version_warning=no" TargetMode="External"/><Relationship Id="rId2" Type="http://schemas.openxmlformats.org/officeDocument/2006/relationships/hyperlink" Target="https://github.com/BCCDC-PHL/ncov2019-artic-nf" TargetMode="External"/><Relationship Id="rId3" Type="http://schemas.openxmlformats.org/officeDocument/2006/relationships/hyperlink" Target="https://bit.ly/2Sq1LbI" TargetMode="External"/><Relationship Id="rId4" Type="http://schemas.openxmlformats.org/officeDocument/2006/relationships/hyperlink" Target="https://bit.ly/2Sq1LbI" TargetMode="External"/><Relationship Id="rId5" Type="http://schemas.openxmlformats.org/officeDocument/2006/relationships/hyperlink" Target="https://bit.ly/2Sq1LbI"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protocols.io/view/ncov-2019-sequencing-protocol-bbmuik6w?version_warning=no" TargetMode="External"/><Relationship Id="rId2" Type="http://schemas.openxmlformats.org/officeDocument/2006/relationships/hyperlink" Target="https://github.com/joshquick/artic-ncov2019/blob/master/primer_schemes/nCoV-2019/V3/nCoV-2019.tsv" TargetMode="External"/><Relationship Id="rId3" Type="http://schemas.openxmlformats.org/officeDocument/2006/relationships/hyperlink" Target="https://github.com/BCCDC-PHL/ncov2019-artic-n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rotocols.io/view/ncov-2019-sequencing-protocol-bbmuik6w?version_warning=no" TargetMode="External"/><Relationship Id="rId3"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github.com/BCCDC-PHL/ncov2019-artic-nf" TargetMode="External"/><Relationship Id="rId5" Type="http://schemas.openxmlformats.org/officeDocument/2006/relationships/drawing" Target="../drawings/drawing8.xml"/><Relationship Id="rId6"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1.63"/>
    <col customWidth="1" min="2" max="2" width="34.88"/>
    <col customWidth="1" min="3" max="3" width="25.63"/>
    <col customWidth="1" min="4" max="4" width="34.25"/>
    <col customWidth="1" min="5" max="5" width="45.13"/>
    <col customWidth="1" min="6" max="6" width="32.13"/>
  </cols>
  <sheetData>
    <row r="1">
      <c r="A1" s="1" t="s">
        <v>0</v>
      </c>
      <c r="B1" s="1" t="s">
        <v>1</v>
      </c>
      <c r="C1" s="1" t="s">
        <v>2</v>
      </c>
      <c r="D1" s="1" t="s">
        <v>3</v>
      </c>
      <c r="E1" s="1" t="s">
        <v>4</v>
      </c>
      <c r="F1" s="1" t="s">
        <v>5</v>
      </c>
      <c r="G1" s="2" t="s">
        <v>6</v>
      </c>
      <c r="H1" s="2" t="s">
        <v>7</v>
      </c>
      <c r="I1" s="3" t="s">
        <v>8</v>
      </c>
      <c r="J1" s="4"/>
      <c r="K1" s="4"/>
      <c r="L1" s="5" t="s">
        <v>9</v>
      </c>
      <c r="M1" s="6"/>
      <c r="N1" s="6"/>
      <c r="O1" s="6"/>
      <c r="P1" s="6"/>
      <c r="Q1" s="6"/>
      <c r="R1" s="6"/>
      <c r="S1" s="6"/>
      <c r="T1" s="6"/>
      <c r="U1" s="6"/>
      <c r="V1" s="6"/>
      <c r="W1" s="6"/>
      <c r="X1" s="6"/>
      <c r="Y1" s="6"/>
      <c r="Z1" s="6"/>
    </row>
    <row r="2" hidden="1">
      <c r="A2" s="7"/>
      <c r="B2" s="8" t="s">
        <v>10</v>
      </c>
      <c r="C2" s="7"/>
      <c r="D2" s="7"/>
      <c r="E2" s="7"/>
      <c r="F2" s="9"/>
      <c r="G2" s="7"/>
      <c r="H2" s="7"/>
      <c r="I2" s="10" t="s">
        <v>11</v>
      </c>
      <c r="J2" s="10" t="s">
        <v>12</v>
      </c>
      <c r="K2" s="10" t="s">
        <v>13</v>
      </c>
      <c r="L2" s="11"/>
      <c r="M2" s="6"/>
      <c r="N2" s="6"/>
      <c r="O2" s="6"/>
      <c r="P2" s="6"/>
      <c r="Q2" s="6"/>
      <c r="R2" s="6"/>
      <c r="S2" s="6"/>
      <c r="T2" s="6"/>
      <c r="U2" s="6"/>
      <c r="V2" s="6"/>
      <c r="W2" s="6"/>
      <c r="X2" s="6"/>
      <c r="Y2" s="6"/>
      <c r="Z2" s="6"/>
    </row>
    <row r="3">
      <c r="A3" s="12"/>
      <c r="B3" s="13" t="s">
        <v>14</v>
      </c>
      <c r="C3" s="7"/>
      <c r="D3" s="7"/>
      <c r="E3" s="7"/>
      <c r="F3" s="9"/>
      <c r="G3" s="14" t="s">
        <v>15</v>
      </c>
      <c r="H3" s="15"/>
      <c r="I3" s="16"/>
      <c r="J3" s="16"/>
      <c r="K3" s="16"/>
      <c r="L3" s="17"/>
      <c r="M3" s="18"/>
      <c r="N3" s="18"/>
      <c r="O3" s="18"/>
      <c r="P3" s="18"/>
      <c r="Q3" s="18"/>
      <c r="R3" s="18"/>
      <c r="S3" s="18"/>
      <c r="T3" s="18"/>
      <c r="U3" s="18"/>
      <c r="V3" s="18"/>
      <c r="W3" s="18"/>
      <c r="X3" s="18"/>
      <c r="Y3" s="18"/>
      <c r="Z3" s="18"/>
    </row>
    <row r="4">
      <c r="A4" s="12"/>
      <c r="B4" s="19" t="s">
        <v>16</v>
      </c>
      <c r="C4" s="7"/>
      <c r="D4" s="7"/>
      <c r="E4" s="7"/>
      <c r="F4" s="9"/>
      <c r="G4" s="15"/>
      <c r="H4" s="15"/>
      <c r="I4" s="20"/>
      <c r="J4" s="20"/>
      <c r="K4" s="20"/>
      <c r="L4" s="21"/>
      <c r="M4" s="18"/>
      <c r="N4" s="18"/>
      <c r="O4" s="18"/>
      <c r="P4" s="18"/>
      <c r="Q4" s="18"/>
      <c r="R4" s="18"/>
      <c r="S4" s="18"/>
      <c r="T4" s="18"/>
      <c r="U4" s="18"/>
      <c r="V4" s="18"/>
      <c r="W4" s="18"/>
      <c r="X4" s="18"/>
      <c r="Y4" s="18"/>
      <c r="Z4" s="18"/>
    </row>
    <row r="5">
      <c r="A5" s="12"/>
      <c r="B5" s="22" t="s">
        <v>17</v>
      </c>
      <c r="C5" s="23"/>
      <c r="D5" s="23"/>
      <c r="E5" s="23"/>
      <c r="F5" s="24"/>
      <c r="G5" s="15"/>
      <c r="H5" s="15"/>
      <c r="I5" s="25"/>
      <c r="J5" s="25"/>
      <c r="K5" s="25"/>
      <c r="L5" s="26"/>
      <c r="M5" s="18"/>
      <c r="N5" s="18"/>
      <c r="O5" s="18"/>
      <c r="P5" s="18"/>
      <c r="Q5" s="18"/>
      <c r="R5" s="18"/>
      <c r="S5" s="18"/>
      <c r="T5" s="18"/>
      <c r="U5" s="18"/>
      <c r="V5" s="18"/>
      <c r="W5" s="18"/>
      <c r="X5" s="18"/>
      <c r="Y5" s="18"/>
      <c r="Z5" s="18"/>
    </row>
    <row r="6">
      <c r="A6" s="27" t="s">
        <v>18</v>
      </c>
      <c r="B6" s="27"/>
      <c r="C6" s="27" t="s">
        <v>19</v>
      </c>
      <c r="D6" s="28"/>
      <c r="E6" s="28"/>
      <c r="F6" s="29"/>
      <c r="G6" s="30"/>
      <c r="H6" s="30"/>
      <c r="I6" s="30"/>
      <c r="J6" s="30"/>
      <c r="K6" s="30"/>
      <c r="L6" s="30"/>
      <c r="M6" s="30"/>
      <c r="N6" s="30"/>
      <c r="O6" s="30"/>
      <c r="P6" s="30"/>
      <c r="Q6" s="30"/>
      <c r="R6" s="30"/>
      <c r="S6" s="30"/>
      <c r="T6" s="30"/>
      <c r="U6" s="30"/>
      <c r="V6" s="30"/>
      <c r="W6" s="30"/>
      <c r="X6" s="30"/>
      <c r="Y6" s="30"/>
      <c r="Z6" s="30"/>
    </row>
    <row r="7">
      <c r="A7" s="31" t="s">
        <v>18</v>
      </c>
      <c r="B7" s="32" t="s">
        <v>20</v>
      </c>
      <c r="C7" s="31" t="s">
        <v>21</v>
      </c>
      <c r="D7" s="33" t="s">
        <v>22</v>
      </c>
      <c r="E7" s="33" t="s">
        <v>23</v>
      </c>
      <c r="F7" s="34" t="s">
        <v>24</v>
      </c>
      <c r="G7" s="18"/>
      <c r="H7" s="18"/>
      <c r="I7" s="35" t="s">
        <v>25</v>
      </c>
      <c r="J7" s="35" t="s">
        <v>25</v>
      </c>
      <c r="K7" s="35" t="s">
        <v>25</v>
      </c>
      <c r="L7" s="18"/>
      <c r="M7" s="18"/>
      <c r="N7" s="18"/>
      <c r="O7" s="18"/>
      <c r="P7" s="18"/>
      <c r="Q7" s="18"/>
      <c r="R7" s="18"/>
      <c r="S7" s="18"/>
      <c r="T7" s="18"/>
      <c r="U7" s="18"/>
      <c r="V7" s="18"/>
      <c r="W7" s="18"/>
      <c r="X7" s="18"/>
      <c r="Y7" s="18"/>
      <c r="Z7" s="18"/>
    </row>
    <row r="8">
      <c r="A8" s="31" t="s">
        <v>18</v>
      </c>
      <c r="B8" s="36" t="s">
        <v>26</v>
      </c>
      <c r="C8" s="37" t="s">
        <v>27</v>
      </c>
      <c r="D8" s="33" t="s">
        <v>28</v>
      </c>
      <c r="E8" s="33" t="s">
        <v>29</v>
      </c>
      <c r="F8" s="34" t="s">
        <v>30</v>
      </c>
      <c r="G8" s="18"/>
      <c r="H8" s="18"/>
      <c r="I8" s="35" t="s">
        <v>25</v>
      </c>
      <c r="J8" s="35" t="s">
        <v>25</v>
      </c>
      <c r="K8" s="35" t="s">
        <v>25</v>
      </c>
      <c r="L8" s="18"/>
      <c r="M8" s="18"/>
      <c r="N8" s="18"/>
      <c r="O8" s="18"/>
      <c r="P8" s="18"/>
      <c r="Q8" s="18"/>
      <c r="R8" s="18"/>
      <c r="S8" s="18"/>
      <c r="T8" s="18"/>
      <c r="U8" s="18"/>
      <c r="V8" s="18"/>
      <c r="W8" s="18"/>
      <c r="X8" s="18"/>
      <c r="Y8" s="18"/>
      <c r="Z8" s="18"/>
    </row>
    <row r="9">
      <c r="A9" s="31" t="s">
        <v>18</v>
      </c>
      <c r="B9" s="36" t="s">
        <v>31</v>
      </c>
      <c r="C9" s="38" t="s">
        <v>32</v>
      </c>
      <c r="D9" s="39" t="s">
        <v>33</v>
      </c>
      <c r="E9" s="33" t="s">
        <v>34</v>
      </c>
      <c r="F9" s="34" t="s">
        <v>35</v>
      </c>
      <c r="G9" s="18"/>
      <c r="H9" s="18"/>
      <c r="I9" s="35" t="s">
        <v>25</v>
      </c>
      <c r="J9" s="35" t="s">
        <v>25</v>
      </c>
      <c r="K9" s="35" t="s">
        <v>25</v>
      </c>
      <c r="L9" s="18"/>
      <c r="M9" s="18"/>
      <c r="N9" s="18"/>
      <c r="O9" s="18"/>
      <c r="P9" s="18"/>
      <c r="Q9" s="18"/>
      <c r="R9" s="18"/>
      <c r="S9" s="18"/>
      <c r="T9" s="18"/>
      <c r="U9" s="18"/>
      <c r="V9" s="18"/>
      <c r="W9" s="18"/>
      <c r="X9" s="18"/>
      <c r="Y9" s="18"/>
      <c r="Z9" s="18"/>
    </row>
    <row r="10">
      <c r="A10" s="31" t="s">
        <v>18</v>
      </c>
      <c r="B10" s="36" t="s">
        <v>36</v>
      </c>
      <c r="C10" s="37" t="s">
        <v>37</v>
      </c>
      <c r="D10" s="39" t="s">
        <v>38</v>
      </c>
      <c r="E10" s="33" t="s">
        <v>39</v>
      </c>
      <c r="F10" s="34" t="s">
        <v>40</v>
      </c>
      <c r="G10" s="18"/>
      <c r="H10" s="18"/>
      <c r="I10" s="35" t="s">
        <v>25</v>
      </c>
      <c r="J10" s="35" t="s">
        <v>25</v>
      </c>
      <c r="K10" s="35" t="s">
        <v>25</v>
      </c>
      <c r="L10" s="18"/>
      <c r="M10" s="18"/>
      <c r="N10" s="18"/>
      <c r="O10" s="18"/>
      <c r="P10" s="18"/>
      <c r="Q10" s="18"/>
      <c r="R10" s="18"/>
      <c r="S10" s="18"/>
      <c r="T10" s="18"/>
      <c r="U10" s="18"/>
      <c r="V10" s="18"/>
      <c r="W10" s="18"/>
      <c r="X10" s="18"/>
      <c r="Y10" s="18"/>
      <c r="Z10" s="18"/>
    </row>
    <row r="11">
      <c r="A11" s="31" t="s">
        <v>18</v>
      </c>
      <c r="B11" s="36" t="s">
        <v>41</v>
      </c>
      <c r="C11" s="40" t="s">
        <v>42</v>
      </c>
      <c r="D11" s="33" t="s">
        <v>43</v>
      </c>
      <c r="E11" s="33" t="s">
        <v>44</v>
      </c>
      <c r="F11" s="34"/>
      <c r="G11" s="18"/>
      <c r="H11" s="18"/>
      <c r="I11" s="35" t="s">
        <v>25</v>
      </c>
      <c r="J11" s="35" t="s">
        <v>25</v>
      </c>
      <c r="K11" s="35" t="s">
        <v>25</v>
      </c>
      <c r="L11" s="18"/>
      <c r="M11" s="18"/>
      <c r="N11" s="18"/>
      <c r="O11" s="18"/>
      <c r="P11" s="18"/>
      <c r="Q11" s="18"/>
      <c r="R11" s="18"/>
      <c r="S11" s="18"/>
      <c r="T11" s="18"/>
      <c r="U11" s="18"/>
      <c r="V11" s="18"/>
      <c r="W11" s="18"/>
      <c r="X11" s="18"/>
      <c r="Y11" s="18"/>
      <c r="Z11" s="18"/>
    </row>
    <row r="12">
      <c r="A12" s="31" t="s">
        <v>18</v>
      </c>
      <c r="B12" s="36" t="s">
        <v>45</v>
      </c>
      <c r="C12" s="41" t="s">
        <v>46</v>
      </c>
      <c r="D12" s="33" t="s">
        <v>47</v>
      </c>
      <c r="E12" s="33" t="s">
        <v>48</v>
      </c>
      <c r="F12" s="34" t="s">
        <v>49</v>
      </c>
      <c r="G12" s="18"/>
      <c r="H12" s="18"/>
      <c r="I12" s="35" t="s">
        <v>25</v>
      </c>
      <c r="J12" s="35" t="s">
        <v>25</v>
      </c>
      <c r="K12" s="35" t="s">
        <v>25</v>
      </c>
      <c r="L12" s="18"/>
      <c r="M12" s="18"/>
      <c r="N12" s="18"/>
      <c r="O12" s="18"/>
      <c r="P12" s="18"/>
      <c r="Q12" s="18"/>
      <c r="R12" s="18"/>
      <c r="S12" s="18"/>
      <c r="T12" s="18"/>
      <c r="U12" s="18"/>
      <c r="V12" s="18"/>
      <c r="W12" s="18"/>
      <c r="X12" s="18"/>
      <c r="Y12" s="18"/>
      <c r="Z12" s="18"/>
    </row>
    <row r="13">
      <c r="A13" s="31" t="s">
        <v>18</v>
      </c>
      <c r="B13" s="42" t="s">
        <v>50</v>
      </c>
      <c r="C13" s="41" t="s">
        <v>51</v>
      </c>
      <c r="D13" s="33" t="s">
        <v>52</v>
      </c>
      <c r="E13" s="33" t="s">
        <v>53</v>
      </c>
      <c r="F13" s="34" t="s">
        <v>54</v>
      </c>
      <c r="G13" s="18"/>
      <c r="H13" s="18"/>
      <c r="I13" s="35" t="s">
        <v>25</v>
      </c>
      <c r="J13" s="35" t="s">
        <v>25</v>
      </c>
      <c r="K13" s="35" t="s">
        <v>25</v>
      </c>
      <c r="L13" s="18"/>
      <c r="M13" s="18"/>
      <c r="N13" s="18"/>
      <c r="O13" s="18"/>
      <c r="P13" s="18"/>
      <c r="Q13" s="18"/>
      <c r="R13" s="18"/>
      <c r="S13" s="18"/>
      <c r="T13" s="18"/>
      <c r="U13" s="18"/>
      <c r="V13" s="18"/>
      <c r="W13" s="18"/>
      <c r="X13" s="18"/>
      <c r="Y13" s="18"/>
      <c r="Z13" s="18"/>
    </row>
    <row r="14" ht="40.5" customHeight="1">
      <c r="A14" s="31" t="s">
        <v>18</v>
      </c>
      <c r="B14" s="36" t="s">
        <v>55</v>
      </c>
      <c r="C14" s="37" t="s">
        <v>56</v>
      </c>
      <c r="D14" s="39" t="s">
        <v>57</v>
      </c>
      <c r="E14" s="33" t="s">
        <v>58</v>
      </c>
      <c r="F14" s="34" t="s">
        <v>59</v>
      </c>
      <c r="G14" s="18"/>
      <c r="H14" s="18"/>
      <c r="I14" s="35" t="s">
        <v>25</v>
      </c>
      <c r="J14" s="35" t="s">
        <v>25</v>
      </c>
      <c r="K14" s="35" t="s">
        <v>25</v>
      </c>
      <c r="L14" s="18"/>
      <c r="M14" s="18"/>
      <c r="N14" s="18"/>
      <c r="O14" s="18"/>
      <c r="P14" s="18"/>
      <c r="Q14" s="18"/>
      <c r="R14" s="18"/>
      <c r="S14" s="18"/>
      <c r="T14" s="18"/>
      <c r="U14" s="18"/>
      <c r="V14" s="18"/>
      <c r="W14" s="18"/>
      <c r="X14" s="18"/>
      <c r="Y14" s="18"/>
      <c r="Z14" s="18"/>
    </row>
    <row r="15">
      <c r="A15" s="31" t="s">
        <v>18</v>
      </c>
      <c r="B15" s="43" t="s">
        <v>60</v>
      </c>
      <c r="C15" s="44" t="s">
        <v>61</v>
      </c>
      <c r="D15" s="45" t="s">
        <v>62</v>
      </c>
      <c r="E15" s="46" t="s">
        <v>63</v>
      </c>
      <c r="F15" s="46" t="s">
        <v>64</v>
      </c>
      <c r="G15" s="18"/>
      <c r="H15" s="18"/>
      <c r="I15" s="35" t="s">
        <v>65</v>
      </c>
      <c r="J15" s="35" t="s">
        <v>65</v>
      </c>
      <c r="K15" s="35" t="s">
        <v>65</v>
      </c>
      <c r="L15" s="18"/>
      <c r="M15" s="18"/>
      <c r="N15" s="18"/>
      <c r="O15" s="18"/>
      <c r="P15" s="18"/>
      <c r="Q15" s="18"/>
      <c r="R15" s="18"/>
      <c r="S15" s="18"/>
      <c r="T15" s="18"/>
      <c r="U15" s="18"/>
      <c r="V15" s="18"/>
      <c r="W15" s="18"/>
      <c r="X15" s="18"/>
      <c r="Y15" s="18"/>
      <c r="Z15" s="18"/>
    </row>
    <row r="16">
      <c r="A16" s="31" t="s">
        <v>18</v>
      </c>
      <c r="B16" s="36" t="s">
        <v>66</v>
      </c>
      <c r="C16" s="44" t="s">
        <v>67</v>
      </c>
      <c r="D16" s="39" t="s">
        <v>68</v>
      </c>
      <c r="E16" s="33" t="s">
        <v>69</v>
      </c>
      <c r="F16" s="34" t="s">
        <v>70</v>
      </c>
      <c r="G16" s="18"/>
      <c r="H16" s="18"/>
      <c r="I16" s="35" t="s">
        <v>25</v>
      </c>
      <c r="J16" s="35" t="s">
        <v>25</v>
      </c>
      <c r="K16" s="35" t="s">
        <v>25</v>
      </c>
      <c r="L16" s="18"/>
      <c r="M16" s="18"/>
      <c r="N16" s="18"/>
      <c r="O16" s="18"/>
      <c r="P16" s="18"/>
      <c r="Q16" s="18"/>
      <c r="R16" s="18"/>
      <c r="S16" s="18"/>
      <c r="T16" s="18"/>
      <c r="U16" s="18"/>
      <c r="V16" s="18"/>
      <c r="W16" s="18"/>
      <c r="X16" s="18"/>
      <c r="Y16" s="18"/>
      <c r="Z16" s="18"/>
    </row>
    <row r="17">
      <c r="A17" s="31" t="s">
        <v>18</v>
      </c>
      <c r="B17" s="36" t="s">
        <v>71</v>
      </c>
      <c r="C17" s="31" t="s">
        <v>72</v>
      </c>
      <c r="D17" s="33" t="s">
        <v>73</v>
      </c>
      <c r="E17" s="33" t="s">
        <v>74</v>
      </c>
      <c r="F17" s="34" t="s">
        <v>75</v>
      </c>
      <c r="G17" s="18"/>
      <c r="H17" s="18"/>
      <c r="I17" s="35" t="s">
        <v>25</v>
      </c>
      <c r="J17" s="35" t="s">
        <v>25</v>
      </c>
      <c r="K17" s="35" t="s">
        <v>25</v>
      </c>
      <c r="L17" s="18"/>
      <c r="M17" s="18"/>
      <c r="N17" s="18"/>
      <c r="O17" s="18"/>
      <c r="P17" s="18"/>
      <c r="Q17" s="18"/>
      <c r="R17" s="18"/>
      <c r="S17" s="18"/>
      <c r="T17" s="18"/>
      <c r="U17" s="18"/>
      <c r="V17" s="18"/>
      <c r="W17" s="18"/>
      <c r="X17" s="18"/>
      <c r="Y17" s="18"/>
      <c r="Z17" s="18"/>
    </row>
    <row r="18">
      <c r="A18" s="31" t="s">
        <v>18</v>
      </c>
      <c r="B18" s="36" t="s">
        <v>76</v>
      </c>
      <c r="C18" s="44" t="s">
        <v>77</v>
      </c>
      <c r="D18" s="33" t="s">
        <v>78</v>
      </c>
      <c r="E18" s="33" t="s">
        <v>79</v>
      </c>
      <c r="F18" s="34" t="s">
        <v>80</v>
      </c>
      <c r="G18" s="18"/>
      <c r="H18" s="18"/>
      <c r="I18" s="35" t="s">
        <v>25</v>
      </c>
      <c r="J18" s="35" t="s">
        <v>25</v>
      </c>
      <c r="K18" s="35" t="s">
        <v>25</v>
      </c>
      <c r="L18" s="18"/>
      <c r="M18" s="18"/>
      <c r="N18" s="18"/>
      <c r="O18" s="18"/>
      <c r="P18" s="18"/>
      <c r="Q18" s="18"/>
      <c r="R18" s="18"/>
      <c r="S18" s="18"/>
      <c r="T18" s="18"/>
      <c r="U18" s="18"/>
      <c r="V18" s="18"/>
      <c r="W18" s="18"/>
      <c r="X18" s="18"/>
      <c r="Y18" s="18"/>
      <c r="Z18" s="18"/>
    </row>
    <row r="19">
      <c r="A19" s="31" t="s">
        <v>18</v>
      </c>
      <c r="B19" s="42" t="s">
        <v>81</v>
      </c>
      <c r="C19" s="31" t="s">
        <v>82</v>
      </c>
      <c r="D19" s="33" t="s">
        <v>83</v>
      </c>
      <c r="E19" s="33" t="s">
        <v>84</v>
      </c>
      <c r="F19" s="34" t="s">
        <v>85</v>
      </c>
      <c r="G19" s="18"/>
      <c r="H19" s="18"/>
      <c r="I19" s="35" t="s">
        <v>25</v>
      </c>
      <c r="J19" s="35" t="s">
        <v>25</v>
      </c>
      <c r="K19" s="35" t="s">
        <v>25</v>
      </c>
      <c r="L19" s="18"/>
      <c r="M19" s="18"/>
      <c r="N19" s="18"/>
      <c r="O19" s="18"/>
      <c r="P19" s="18"/>
      <c r="Q19" s="18"/>
      <c r="R19" s="18"/>
      <c r="S19" s="18"/>
      <c r="T19" s="18"/>
      <c r="U19" s="18"/>
      <c r="V19" s="18"/>
      <c r="W19" s="18"/>
      <c r="X19" s="18"/>
      <c r="Y19" s="18"/>
      <c r="Z19" s="18"/>
    </row>
    <row r="20">
      <c r="A20" s="31" t="s">
        <v>18</v>
      </c>
      <c r="B20" s="42" t="s">
        <v>86</v>
      </c>
      <c r="C20" s="31" t="s">
        <v>87</v>
      </c>
      <c r="D20" s="33" t="s">
        <v>88</v>
      </c>
      <c r="E20" s="33" t="s">
        <v>89</v>
      </c>
      <c r="F20" s="34" t="s">
        <v>90</v>
      </c>
      <c r="G20" s="18"/>
      <c r="H20" s="18"/>
      <c r="I20" s="35" t="s">
        <v>25</v>
      </c>
      <c r="J20" s="35" t="s">
        <v>25</v>
      </c>
      <c r="K20" s="35" t="s">
        <v>25</v>
      </c>
      <c r="L20" s="18"/>
      <c r="M20" s="18"/>
      <c r="N20" s="18"/>
      <c r="O20" s="18"/>
      <c r="P20" s="18"/>
      <c r="Q20" s="18"/>
      <c r="R20" s="18"/>
      <c r="S20" s="18"/>
      <c r="T20" s="18"/>
      <c r="U20" s="18"/>
      <c r="V20" s="18"/>
      <c r="W20" s="18"/>
      <c r="X20" s="18"/>
      <c r="Y20" s="18"/>
      <c r="Z20" s="18"/>
    </row>
    <row r="21">
      <c r="A21" s="47" t="s">
        <v>91</v>
      </c>
      <c r="B21" s="48" t="s">
        <v>92</v>
      </c>
      <c r="C21" s="49" t="s">
        <v>93</v>
      </c>
      <c r="D21" s="50"/>
      <c r="E21" s="50"/>
      <c r="F21" s="51"/>
      <c r="G21" s="20"/>
      <c r="H21" s="20"/>
      <c r="I21" s="52"/>
      <c r="J21" s="52"/>
      <c r="K21" s="52"/>
      <c r="L21" s="53"/>
      <c r="M21" s="52"/>
      <c r="N21" s="52"/>
      <c r="O21" s="52"/>
      <c r="P21" s="52"/>
      <c r="Q21" s="52"/>
      <c r="R21" s="52"/>
      <c r="S21" s="52"/>
      <c r="T21" s="52"/>
      <c r="U21" s="52"/>
      <c r="V21" s="52"/>
      <c r="W21" s="52"/>
      <c r="X21" s="52"/>
      <c r="Y21" s="52"/>
      <c r="Z21" s="52"/>
    </row>
    <row r="22">
      <c r="A22" s="54" t="s">
        <v>91</v>
      </c>
      <c r="B22" s="36" t="s">
        <v>94</v>
      </c>
      <c r="C22" s="37" t="s">
        <v>95</v>
      </c>
      <c r="D22" s="33" t="s">
        <v>96</v>
      </c>
      <c r="E22" s="33" t="s">
        <v>97</v>
      </c>
      <c r="F22" s="34" t="s">
        <v>98</v>
      </c>
      <c r="G22" s="18"/>
      <c r="H22" s="18"/>
      <c r="I22" s="35" t="s">
        <v>25</v>
      </c>
      <c r="J22" s="35" t="s">
        <v>25</v>
      </c>
      <c r="K22" s="35" t="s">
        <v>25</v>
      </c>
      <c r="L22" s="18"/>
      <c r="M22" s="18"/>
      <c r="N22" s="18"/>
      <c r="O22" s="18"/>
      <c r="P22" s="18"/>
      <c r="Q22" s="18"/>
      <c r="R22" s="18"/>
      <c r="S22" s="18"/>
      <c r="T22" s="18"/>
      <c r="U22" s="18"/>
      <c r="V22" s="18"/>
      <c r="W22" s="18"/>
      <c r="X22" s="18"/>
      <c r="Y22" s="18"/>
      <c r="Z22" s="18"/>
    </row>
    <row r="23">
      <c r="A23" s="54" t="s">
        <v>91</v>
      </c>
      <c r="B23" s="32" t="s">
        <v>99</v>
      </c>
      <c r="C23" s="41" t="s">
        <v>100</v>
      </c>
      <c r="D23" s="46" t="s">
        <v>101</v>
      </c>
      <c r="E23" s="55" t="s">
        <v>102</v>
      </c>
      <c r="F23" s="56" t="s">
        <v>103</v>
      </c>
      <c r="G23" s="18"/>
      <c r="H23" s="18"/>
      <c r="I23" s="35" t="s">
        <v>25</v>
      </c>
      <c r="J23" s="35" t="s">
        <v>25</v>
      </c>
      <c r="K23" s="35" t="s">
        <v>25</v>
      </c>
      <c r="L23" s="18"/>
      <c r="M23" s="18"/>
      <c r="N23" s="18"/>
      <c r="O23" s="18"/>
      <c r="P23" s="18"/>
      <c r="Q23" s="18"/>
      <c r="R23" s="18"/>
      <c r="S23" s="18"/>
      <c r="T23" s="18"/>
      <c r="U23" s="18"/>
      <c r="V23" s="18"/>
      <c r="W23" s="18"/>
      <c r="X23" s="18"/>
      <c r="Y23" s="18"/>
      <c r="Z23" s="18"/>
    </row>
    <row r="24">
      <c r="A24" s="54" t="s">
        <v>91</v>
      </c>
      <c r="B24" s="36" t="s">
        <v>104</v>
      </c>
      <c r="C24" s="44" t="s">
        <v>105</v>
      </c>
      <c r="D24" s="33" t="s">
        <v>106</v>
      </c>
      <c r="E24" s="57" t="s">
        <v>107</v>
      </c>
      <c r="F24" s="58" t="s">
        <v>108</v>
      </c>
      <c r="G24" s="18"/>
      <c r="H24" s="18"/>
      <c r="I24" s="35" t="s">
        <v>25</v>
      </c>
      <c r="J24" s="35" t="s">
        <v>25</v>
      </c>
      <c r="K24" s="35" t="s">
        <v>25</v>
      </c>
      <c r="L24" s="18"/>
      <c r="M24" s="18"/>
      <c r="N24" s="18"/>
      <c r="O24" s="18"/>
      <c r="P24" s="18"/>
      <c r="Q24" s="18"/>
      <c r="R24" s="18"/>
      <c r="S24" s="18"/>
      <c r="T24" s="18"/>
      <c r="U24" s="18"/>
      <c r="V24" s="18"/>
      <c r="W24" s="18"/>
      <c r="X24" s="18"/>
      <c r="Y24" s="18"/>
      <c r="Z24" s="18"/>
    </row>
    <row r="25">
      <c r="A25" s="54" t="s">
        <v>91</v>
      </c>
      <c r="B25" s="32" t="s">
        <v>109</v>
      </c>
      <c r="C25" s="59" t="s">
        <v>110</v>
      </c>
      <c r="D25" s="60" t="s">
        <v>111</v>
      </c>
      <c r="E25" s="55" t="s">
        <v>112</v>
      </c>
      <c r="F25" s="61" t="s">
        <v>113</v>
      </c>
      <c r="G25" s="18"/>
      <c r="H25" s="18"/>
      <c r="I25" s="35" t="s">
        <v>25</v>
      </c>
      <c r="J25" s="35" t="s">
        <v>25</v>
      </c>
      <c r="K25" s="35" t="s">
        <v>25</v>
      </c>
      <c r="L25" s="18"/>
      <c r="M25" s="18"/>
      <c r="N25" s="18"/>
      <c r="O25" s="18"/>
      <c r="P25" s="18"/>
      <c r="Q25" s="18"/>
      <c r="R25" s="18"/>
      <c r="S25" s="18"/>
      <c r="T25" s="18"/>
      <c r="U25" s="18"/>
      <c r="V25" s="18"/>
      <c r="W25" s="18"/>
      <c r="X25" s="18"/>
      <c r="Y25" s="18"/>
      <c r="Z25" s="18"/>
    </row>
    <row r="26">
      <c r="A26" s="54" t="s">
        <v>91</v>
      </c>
      <c r="B26" s="32" t="s">
        <v>114</v>
      </c>
      <c r="C26" s="41" t="s">
        <v>115</v>
      </c>
      <c r="D26" s="46" t="s">
        <v>116</v>
      </c>
      <c r="E26" s="62" t="s">
        <v>117</v>
      </c>
      <c r="F26" s="63" t="s">
        <v>118</v>
      </c>
      <c r="G26" s="18"/>
      <c r="H26" s="18"/>
      <c r="I26" s="35" t="s">
        <v>25</v>
      </c>
      <c r="J26" s="35" t="s">
        <v>25</v>
      </c>
      <c r="K26" s="35" t="s">
        <v>25</v>
      </c>
      <c r="L26" s="18"/>
      <c r="M26" s="18"/>
      <c r="N26" s="18"/>
      <c r="O26" s="18"/>
      <c r="P26" s="18"/>
      <c r="Q26" s="18"/>
      <c r="R26" s="18"/>
      <c r="S26" s="18"/>
      <c r="T26" s="18"/>
      <c r="U26" s="18"/>
      <c r="V26" s="18"/>
      <c r="W26" s="18"/>
      <c r="X26" s="18"/>
      <c r="Y26" s="18"/>
      <c r="Z26" s="18"/>
    </row>
    <row r="27">
      <c r="A27" s="54" t="s">
        <v>91</v>
      </c>
      <c r="B27" s="36" t="s">
        <v>119</v>
      </c>
      <c r="C27" s="41" t="s">
        <v>120</v>
      </c>
      <c r="D27" s="46" t="s">
        <v>121</v>
      </c>
      <c r="E27" s="46" t="s">
        <v>122</v>
      </c>
      <c r="F27" s="63" t="s">
        <v>123</v>
      </c>
      <c r="G27" s="18"/>
      <c r="H27" s="18"/>
      <c r="I27" s="35" t="s">
        <v>25</v>
      </c>
      <c r="J27" s="35" t="s">
        <v>25</v>
      </c>
      <c r="K27" s="35" t="s">
        <v>25</v>
      </c>
      <c r="L27" s="18"/>
      <c r="M27" s="18"/>
      <c r="N27" s="18"/>
      <c r="O27" s="18"/>
      <c r="P27" s="18"/>
      <c r="Q27" s="18"/>
      <c r="R27" s="18"/>
      <c r="S27" s="18"/>
      <c r="T27" s="18"/>
      <c r="U27" s="18"/>
      <c r="V27" s="18"/>
      <c r="W27" s="18"/>
      <c r="X27" s="18"/>
      <c r="Y27" s="18"/>
      <c r="Z27" s="18"/>
    </row>
    <row r="28">
      <c r="A28" s="54" t="s">
        <v>91</v>
      </c>
      <c r="B28" s="36" t="s">
        <v>124</v>
      </c>
      <c r="C28" s="41" t="s">
        <v>125</v>
      </c>
      <c r="D28" s="46" t="s">
        <v>126</v>
      </c>
      <c r="E28" s="46" t="s">
        <v>127</v>
      </c>
      <c r="F28" s="63" t="s">
        <v>128</v>
      </c>
      <c r="G28" s="18"/>
      <c r="H28" s="18"/>
      <c r="I28" s="35" t="s">
        <v>25</v>
      </c>
      <c r="J28" s="35" t="s">
        <v>25</v>
      </c>
      <c r="K28" s="35" t="s">
        <v>25</v>
      </c>
      <c r="L28" s="18"/>
      <c r="M28" s="18"/>
      <c r="N28" s="18"/>
      <c r="O28" s="18"/>
      <c r="P28" s="18"/>
      <c r="Q28" s="18"/>
      <c r="R28" s="18"/>
      <c r="S28" s="18"/>
      <c r="T28" s="18"/>
      <c r="U28" s="18"/>
      <c r="V28" s="18"/>
      <c r="W28" s="18"/>
      <c r="X28" s="18"/>
      <c r="Y28" s="18"/>
      <c r="Z28" s="18"/>
    </row>
    <row r="29">
      <c r="A29" s="54" t="s">
        <v>91</v>
      </c>
      <c r="B29" s="36" t="s">
        <v>129</v>
      </c>
      <c r="C29" s="31" t="s">
        <v>130</v>
      </c>
      <c r="D29" s="64" t="s">
        <v>131</v>
      </c>
      <c r="E29" s="65" t="s">
        <v>132</v>
      </c>
      <c r="F29" s="66" t="s">
        <v>133</v>
      </c>
      <c r="G29" s="18"/>
      <c r="H29" s="18"/>
      <c r="I29" s="35" t="s">
        <v>25</v>
      </c>
      <c r="J29" s="35" t="s">
        <v>25</v>
      </c>
      <c r="K29" s="35" t="s">
        <v>25</v>
      </c>
      <c r="L29" s="18"/>
      <c r="M29" s="18"/>
      <c r="N29" s="18"/>
      <c r="O29" s="18"/>
      <c r="P29" s="18"/>
      <c r="Q29" s="18"/>
      <c r="R29" s="18"/>
      <c r="S29" s="18"/>
      <c r="T29" s="18"/>
      <c r="U29" s="18"/>
      <c r="V29" s="18"/>
      <c r="W29" s="18"/>
      <c r="X29" s="18"/>
      <c r="Y29" s="18"/>
      <c r="Z29" s="18"/>
    </row>
    <row r="30">
      <c r="A30" s="54" t="s">
        <v>91</v>
      </c>
      <c r="B30" s="36" t="s">
        <v>134</v>
      </c>
      <c r="C30" s="67" t="s">
        <v>135</v>
      </c>
      <c r="D30" s="68" t="s">
        <v>136</v>
      </c>
      <c r="E30" s="68" t="s">
        <v>137</v>
      </c>
      <c r="F30" s="68" t="s">
        <v>138</v>
      </c>
      <c r="G30" s="18"/>
      <c r="H30" s="18"/>
      <c r="I30" s="35" t="s">
        <v>25</v>
      </c>
      <c r="J30" s="35" t="s">
        <v>25</v>
      </c>
      <c r="K30" s="35" t="s">
        <v>25</v>
      </c>
      <c r="L30" s="18"/>
      <c r="M30" s="18"/>
      <c r="N30" s="18"/>
      <c r="O30" s="18"/>
      <c r="P30" s="18"/>
      <c r="Q30" s="18"/>
      <c r="R30" s="18"/>
      <c r="S30" s="18"/>
      <c r="T30" s="18"/>
      <c r="U30" s="18"/>
      <c r="V30" s="18"/>
      <c r="W30" s="18"/>
      <c r="X30" s="18"/>
      <c r="Y30" s="18"/>
      <c r="Z30" s="18"/>
    </row>
    <row r="31">
      <c r="A31" s="54" t="s">
        <v>91</v>
      </c>
      <c r="B31" s="36" t="s">
        <v>139</v>
      </c>
      <c r="C31" s="67" t="s">
        <v>140</v>
      </c>
      <c r="D31" s="68" t="s">
        <v>141</v>
      </c>
      <c r="E31" s="68" t="s">
        <v>142</v>
      </c>
      <c r="F31" s="68" t="s">
        <v>143</v>
      </c>
      <c r="G31" s="18"/>
      <c r="H31" s="18"/>
      <c r="I31" s="35" t="s">
        <v>25</v>
      </c>
      <c r="J31" s="35" t="s">
        <v>25</v>
      </c>
      <c r="K31" s="35" t="s">
        <v>25</v>
      </c>
      <c r="L31" s="18"/>
      <c r="M31" s="18"/>
      <c r="N31" s="18"/>
      <c r="O31" s="18"/>
      <c r="P31" s="18"/>
      <c r="Q31" s="18"/>
      <c r="R31" s="18"/>
      <c r="S31" s="18"/>
      <c r="T31" s="18"/>
      <c r="U31" s="18"/>
      <c r="V31" s="18"/>
      <c r="W31" s="18"/>
      <c r="X31" s="18"/>
      <c r="Y31" s="18"/>
      <c r="Z31" s="18"/>
    </row>
    <row r="32">
      <c r="A32" s="54" t="s">
        <v>91</v>
      </c>
      <c r="B32" s="36" t="s">
        <v>144</v>
      </c>
      <c r="C32" s="40" t="s">
        <v>145</v>
      </c>
      <c r="D32" s="33" t="s">
        <v>146</v>
      </c>
      <c r="E32" s="69" t="s">
        <v>147</v>
      </c>
      <c r="F32" s="70" t="s">
        <v>148</v>
      </c>
      <c r="G32" s="18"/>
      <c r="H32" s="18"/>
      <c r="I32" s="35" t="s">
        <v>25</v>
      </c>
      <c r="J32" s="35" t="s">
        <v>25</v>
      </c>
      <c r="K32" s="35" t="s">
        <v>25</v>
      </c>
      <c r="L32" s="18"/>
      <c r="M32" s="18"/>
      <c r="N32" s="18"/>
      <c r="O32" s="18"/>
      <c r="P32" s="18"/>
      <c r="Q32" s="18"/>
      <c r="R32" s="18"/>
      <c r="S32" s="18"/>
      <c r="T32" s="18"/>
      <c r="U32" s="18"/>
      <c r="V32" s="18"/>
      <c r="W32" s="18"/>
      <c r="X32" s="18"/>
      <c r="Y32" s="18"/>
      <c r="Z32" s="18"/>
    </row>
    <row r="33">
      <c r="A33" s="54" t="s">
        <v>91</v>
      </c>
      <c r="B33" s="36" t="s">
        <v>149</v>
      </c>
      <c r="C33" s="40" t="s">
        <v>150</v>
      </c>
      <c r="D33" s="33" t="s">
        <v>151</v>
      </c>
      <c r="E33" s="69" t="s">
        <v>152</v>
      </c>
      <c r="F33" s="34" t="s">
        <v>153</v>
      </c>
      <c r="G33" s="18"/>
      <c r="H33" s="18"/>
      <c r="I33" s="35" t="s">
        <v>25</v>
      </c>
      <c r="J33" s="35" t="s">
        <v>25</v>
      </c>
      <c r="K33" s="35" t="s">
        <v>25</v>
      </c>
      <c r="L33" s="18"/>
      <c r="M33" s="18"/>
      <c r="N33" s="18"/>
      <c r="O33" s="18"/>
      <c r="P33" s="18"/>
      <c r="Q33" s="18"/>
      <c r="R33" s="18"/>
      <c r="S33" s="18"/>
      <c r="T33" s="18"/>
      <c r="U33" s="18"/>
      <c r="V33" s="18"/>
      <c r="W33" s="18"/>
      <c r="X33" s="18"/>
      <c r="Y33" s="18"/>
      <c r="Z33" s="18"/>
    </row>
    <row r="34">
      <c r="A34" s="54" t="s">
        <v>91</v>
      </c>
      <c r="B34" s="32" t="s">
        <v>154</v>
      </c>
      <c r="C34" s="31" t="s">
        <v>155</v>
      </c>
      <c r="D34" s="33" t="s">
        <v>156</v>
      </c>
      <c r="E34" s="71" t="s">
        <v>157</v>
      </c>
      <c r="F34" s="34" t="s">
        <v>158</v>
      </c>
      <c r="G34" s="18"/>
      <c r="H34" s="18"/>
      <c r="I34" s="35" t="s">
        <v>25</v>
      </c>
      <c r="J34" s="35" t="s">
        <v>25</v>
      </c>
      <c r="K34" s="35" t="s">
        <v>25</v>
      </c>
      <c r="L34" s="18"/>
      <c r="M34" s="18"/>
      <c r="N34" s="18"/>
      <c r="O34" s="18"/>
      <c r="P34" s="18"/>
      <c r="Q34" s="18"/>
      <c r="R34" s="18"/>
      <c r="S34" s="18"/>
      <c r="T34" s="18"/>
      <c r="U34" s="18"/>
      <c r="V34" s="18"/>
      <c r="W34" s="18"/>
      <c r="X34" s="18"/>
      <c r="Y34" s="18"/>
      <c r="Z34" s="18"/>
    </row>
    <row r="35">
      <c r="A35" s="54" t="s">
        <v>91</v>
      </c>
      <c r="B35" s="32" t="s">
        <v>159</v>
      </c>
      <c r="C35" s="31" t="s">
        <v>160</v>
      </c>
      <c r="D35" s="33" t="s">
        <v>161</v>
      </c>
      <c r="E35" s="33" t="s">
        <v>162</v>
      </c>
      <c r="F35" s="34" t="s">
        <v>163</v>
      </c>
      <c r="G35" s="18"/>
      <c r="H35" s="18"/>
      <c r="I35" s="35" t="s">
        <v>25</v>
      </c>
      <c r="J35" s="35" t="s">
        <v>25</v>
      </c>
      <c r="K35" s="35" t="s">
        <v>25</v>
      </c>
      <c r="L35" s="18"/>
      <c r="M35" s="18"/>
      <c r="N35" s="18"/>
      <c r="O35" s="18"/>
      <c r="P35" s="18"/>
      <c r="Q35" s="18"/>
      <c r="R35" s="18"/>
      <c r="S35" s="18"/>
      <c r="T35" s="18"/>
      <c r="U35" s="18"/>
      <c r="V35" s="18"/>
      <c r="W35" s="18"/>
      <c r="X35" s="18"/>
      <c r="Y35" s="18"/>
      <c r="Z35" s="18"/>
    </row>
    <row r="36">
      <c r="A36" s="54" t="s">
        <v>91</v>
      </c>
      <c r="B36" s="42" t="s">
        <v>164</v>
      </c>
      <c r="C36" s="37" t="s">
        <v>165</v>
      </c>
      <c r="D36" s="33" t="s">
        <v>166</v>
      </c>
      <c r="E36" s="33" t="s">
        <v>167</v>
      </c>
      <c r="F36" s="34" t="s">
        <v>168</v>
      </c>
      <c r="G36" s="18"/>
      <c r="H36" s="18"/>
      <c r="I36" s="35" t="s">
        <v>25</v>
      </c>
      <c r="J36" s="35" t="s">
        <v>25</v>
      </c>
      <c r="K36" s="35" t="s">
        <v>25</v>
      </c>
      <c r="L36" s="18"/>
      <c r="M36" s="18"/>
      <c r="N36" s="18"/>
      <c r="O36" s="18"/>
      <c r="P36" s="18"/>
      <c r="Q36" s="18"/>
      <c r="R36" s="18"/>
      <c r="S36" s="18"/>
      <c r="T36" s="18"/>
      <c r="U36" s="18"/>
      <c r="V36" s="18"/>
      <c r="W36" s="18"/>
      <c r="X36" s="18"/>
      <c r="Y36" s="18"/>
      <c r="Z36" s="18"/>
    </row>
    <row r="37">
      <c r="A37" s="54" t="s">
        <v>91</v>
      </c>
      <c r="B37" s="36" t="s">
        <v>169</v>
      </c>
      <c r="C37" s="31" t="s">
        <v>170</v>
      </c>
      <c r="D37" s="33" t="s">
        <v>171</v>
      </c>
      <c r="E37" s="33" t="s">
        <v>172</v>
      </c>
      <c r="F37" s="72">
        <v>43918.0</v>
      </c>
      <c r="G37" s="18"/>
      <c r="H37" s="18"/>
      <c r="I37" s="35" t="s">
        <v>25</v>
      </c>
      <c r="J37" s="35" t="s">
        <v>25</v>
      </c>
      <c r="K37" s="35" t="s">
        <v>25</v>
      </c>
      <c r="L37" s="18"/>
      <c r="M37" s="18"/>
      <c r="N37" s="18"/>
      <c r="O37" s="18"/>
      <c r="P37" s="18"/>
      <c r="Q37" s="18"/>
      <c r="R37" s="18"/>
      <c r="S37" s="18"/>
      <c r="T37" s="18"/>
      <c r="U37" s="18"/>
      <c r="V37" s="18"/>
      <c r="W37" s="18"/>
      <c r="X37" s="18"/>
      <c r="Y37" s="18"/>
      <c r="Z37" s="18"/>
    </row>
    <row r="38">
      <c r="A38" s="54" t="s">
        <v>91</v>
      </c>
      <c r="B38" s="32" t="s">
        <v>173</v>
      </c>
      <c r="C38" s="31" t="s">
        <v>174</v>
      </c>
      <c r="D38" s="46" t="s">
        <v>175</v>
      </c>
      <c r="E38" s="46" t="s">
        <v>176</v>
      </c>
      <c r="F38" s="72">
        <v>43906.0</v>
      </c>
      <c r="G38" s="18"/>
      <c r="H38" s="18"/>
      <c r="I38" s="35" t="s">
        <v>25</v>
      </c>
      <c r="J38" s="35" t="s">
        <v>25</v>
      </c>
      <c r="K38" s="35" t="s">
        <v>25</v>
      </c>
      <c r="L38" s="18"/>
      <c r="M38" s="18"/>
      <c r="N38" s="18"/>
      <c r="O38" s="18"/>
      <c r="P38" s="18"/>
      <c r="Q38" s="18"/>
      <c r="R38" s="18"/>
      <c r="S38" s="18"/>
      <c r="T38" s="18"/>
      <c r="U38" s="18"/>
      <c r="V38" s="18"/>
      <c r="W38" s="18"/>
      <c r="X38" s="18"/>
      <c r="Y38" s="18"/>
      <c r="Z38" s="18"/>
    </row>
    <row r="39">
      <c r="A39" s="54" t="s">
        <v>91</v>
      </c>
      <c r="B39" s="73" t="s">
        <v>177</v>
      </c>
      <c r="C39" s="38" t="s">
        <v>178</v>
      </c>
      <c r="D39" s="74" t="s">
        <v>179</v>
      </c>
      <c r="E39" s="74" t="s">
        <v>180</v>
      </c>
      <c r="F39" s="75">
        <v>43908.0</v>
      </c>
      <c r="G39" s="18"/>
      <c r="H39" s="18"/>
      <c r="I39" s="35" t="s">
        <v>25</v>
      </c>
      <c r="J39" s="35" t="s">
        <v>25</v>
      </c>
      <c r="K39" s="35" t="s">
        <v>25</v>
      </c>
      <c r="L39" s="18"/>
      <c r="M39" s="18"/>
      <c r="N39" s="18"/>
      <c r="O39" s="18"/>
      <c r="P39" s="18"/>
      <c r="Q39" s="18"/>
      <c r="R39" s="18"/>
      <c r="S39" s="18"/>
      <c r="T39" s="18"/>
      <c r="U39" s="18"/>
      <c r="V39" s="18"/>
      <c r="W39" s="18"/>
      <c r="X39" s="18"/>
      <c r="Y39" s="18"/>
      <c r="Z39" s="18"/>
    </row>
    <row r="40">
      <c r="A40" s="54" t="s">
        <v>91</v>
      </c>
      <c r="B40" s="36" t="s">
        <v>181</v>
      </c>
      <c r="C40" s="37" t="s">
        <v>182</v>
      </c>
      <c r="D40" s="33" t="s">
        <v>183</v>
      </c>
      <c r="E40" s="33" t="s">
        <v>184</v>
      </c>
      <c r="F40" s="72">
        <v>43906.0</v>
      </c>
      <c r="G40" s="18"/>
      <c r="H40" s="18"/>
      <c r="I40" s="35" t="s">
        <v>25</v>
      </c>
      <c r="J40" s="35" t="s">
        <v>25</v>
      </c>
      <c r="K40" s="35" t="s">
        <v>25</v>
      </c>
      <c r="L40" s="18"/>
      <c r="M40" s="18"/>
      <c r="N40" s="18"/>
      <c r="O40" s="18"/>
      <c r="P40" s="18"/>
      <c r="Q40" s="18"/>
      <c r="R40" s="18"/>
      <c r="S40" s="18"/>
      <c r="T40" s="18"/>
      <c r="U40" s="18"/>
      <c r="V40" s="18"/>
      <c r="W40" s="18"/>
      <c r="X40" s="18"/>
      <c r="Y40" s="18"/>
      <c r="Z40" s="18"/>
    </row>
    <row r="41" ht="46.5" customHeight="1">
      <c r="A41" s="76" t="s">
        <v>91</v>
      </c>
      <c r="B41" s="77" t="s">
        <v>185</v>
      </c>
      <c r="C41" s="78" t="s">
        <v>186</v>
      </c>
      <c r="D41" s="74" t="s">
        <v>187</v>
      </c>
      <c r="E41" s="79" t="s">
        <v>188</v>
      </c>
      <c r="F41" s="46" t="s">
        <v>189</v>
      </c>
      <c r="G41" s="80"/>
      <c r="H41" s="80"/>
      <c r="I41" s="33" t="s">
        <v>25</v>
      </c>
      <c r="J41" s="33" t="s">
        <v>25</v>
      </c>
      <c r="K41" s="33" t="s">
        <v>25</v>
      </c>
      <c r="L41" s="80"/>
      <c r="M41" s="80"/>
      <c r="N41" s="80"/>
      <c r="O41" s="80"/>
      <c r="P41" s="80"/>
      <c r="Q41" s="80"/>
      <c r="R41" s="80"/>
      <c r="S41" s="80"/>
      <c r="T41" s="80"/>
      <c r="U41" s="80"/>
      <c r="V41" s="80"/>
      <c r="W41" s="80"/>
      <c r="X41" s="80"/>
      <c r="Y41" s="80"/>
      <c r="Z41" s="80"/>
    </row>
    <row r="42" ht="54.0" customHeight="1">
      <c r="A42" s="76" t="s">
        <v>91</v>
      </c>
      <c r="B42" s="77" t="s">
        <v>190</v>
      </c>
      <c r="C42" s="78" t="s">
        <v>191</v>
      </c>
      <c r="D42" s="74" t="s">
        <v>192</v>
      </c>
      <c r="E42" s="79" t="s">
        <v>188</v>
      </c>
      <c r="F42" s="46" t="s">
        <v>193</v>
      </c>
      <c r="G42" s="80"/>
      <c r="H42" s="80"/>
      <c r="I42" s="33" t="s">
        <v>25</v>
      </c>
      <c r="J42" s="33" t="s">
        <v>25</v>
      </c>
      <c r="K42" s="33" t="s">
        <v>25</v>
      </c>
      <c r="L42" s="80"/>
      <c r="M42" s="80"/>
      <c r="N42" s="80"/>
      <c r="O42" s="80"/>
      <c r="P42" s="80"/>
      <c r="Q42" s="80"/>
      <c r="R42" s="80"/>
      <c r="S42" s="80"/>
      <c r="T42" s="80"/>
      <c r="U42" s="80"/>
      <c r="V42" s="80"/>
      <c r="W42" s="80"/>
      <c r="X42" s="80"/>
      <c r="Y42" s="80"/>
      <c r="Z42" s="80"/>
    </row>
    <row r="43">
      <c r="A43" s="76" t="s">
        <v>91</v>
      </c>
      <c r="B43" s="43" t="s">
        <v>194</v>
      </c>
      <c r="C43" s="81" t="s">
        <v>195</v>
      </c>
      <c r="D43" s="33" t="s">
        <v>196</v>
      </c>
      <c r="E43" s="33" t="s">
        <v>197</v>
      </c>
      <c r="F43" s="34" t="s">
        <v>198</v>
      </c>
      <c r="G43" s="80"/>
      <c r="H43" s="80"/>
      <c r="I43" s="33" t="s">
        <v>25</v>
      </c>
      <c r="J43" s="33" t="s">
        <v>25</v>
      </c>
      <c r="K43" s="33" t="s">
        <v>25</v>
      </c>
      <c r="L43" s="80"/>
      <c r="M43" s="80"/>
      <c r="N43" s="80"/>
      <c r="O43" s="80"/>
      <c r="P43" s="80"/>
      <c r="Q43" s="80"/>
      <c r="R43" s="80"/>
      <c r="S43" s="80"/>
      <c r="T43" s="80"/>
      <c r="U43" s="80"/>
      <c r="V43" s="80"/>
      <c r="W43" s="80"/>
      <c r="X43" s="80"/>
      <c r="Y43" s="80"/>
      <c r="Z43" s="80"/>
    </row>
    <row r="44">
      <c r="A44" s="76" t="s">
        <v>91</v>
      </c>
      <c r="B44" s="82" t="s">
        <v>199</v>
      </c>
      <c r="C44" s="81" t="s">
        <v>200</v>
      </c>
      <c r="D44" s="33" t="s">
        <v>201</v>
      </c>
      <c r="E44" s="33" t="s">
        <v>202</v>
      </c>
      <c r="F44" s="34">
        <v>4.0</v>
      </c>
      <c r="G44" s="80"/>
      <c r="H44" s="80"/>
      <c r="I44" s="33" t="s">
        <v>25</v>
      </c>
      <c r="J44" s="33" t="s">
        <v>25</v>
      </c>
      <c r="K44" s="33" t="s">
        <v>25</v>
      </c>
      <c r="L44" s="80"/>
      <c r="M44" s="80"/>
      <c r="N44" s="80"/>
      <c r="O44" s="80"/>
      <c r="P44" s="80"/>
      <c r="Q44" s="80"/>
      <c r="R44" s="80"/>
      <c r="S44" s="80"/>
      <c r="T44" s="80"/>
      <c r="U44" s="80"/>
      <c r="V44" s="80"/>
      <c r="W44" s="80"/>
      <c r="X44" s="80"/>
      <c r="Y44" s="80"/>
      <c r="Z44" s="80"/>
    </row>
    <row r="45">
      <c r="A45" s="76" t="s">
        <v>91</v>
      </c>
      <c r="B45" s="82" t="s">
        <v>203</v>
      </c>
      <c r="C45" s="81" t="s">
        <v>204</v>
      </c>
      <c r="D45" s="33" t="s">
        <v>205</v>
      </c>
      <c r="E45" s="33" t="s">
        <v>206</v>
      </c>
      <c r="F45" s="34" t="s">
        <v>207</v>
      </c>
      <c r="G45" s="80"/>
      <c r="H45" s="80"/>
      <c r="I45" s="33" t="s">
        <v>25</v>
      </c>
      <c r="J45" s="33" t="s">
        <v>25</v>
      </c>
      <c r="K45" s="33" t="s">
        <v>25</v>
      </c>
      <c r="L45" s="80"/>
      <c r="M45" s="80"/>
      <c r="N45" s="80"/>
      <c r="O45" s="80"/>
      <c r="P45" s="80"/>
      <c r="Q45" s="80"/>
      <c r="R45" s="80"/>
      <c r="S45" s="80"/>
      <c r="T45" s="80"/>
      <c r="U45" s="80"/>
      <c r="V45" s="80"/>
      <c r="W45" s="80"/>
      <c r="X45" s="80"/>
      <c r="Y45" s="80"/>
      <c r="Z45" s="80"/>
    </row>
    <row r="46">
      <c r="A46" s="76" t="s">
        <v>91</v>
      </c>
      <c r="B46" s="43" t="s">
        <v>208</v>
      </c>
      <c r="C46" s="33" t="s">
        <v>209</v>
      </c>
      <c r="D46" s="83" t="s">
        <v>210</v>
      </c>
      <c r="E46" s="83" t="s">
        <v>211</v>
      </c>
      <c r="F46" s="84" t="s">
        <v>212</v>
      </c>
      <c r="G46" s="80"/>
      <c r="H46" s="80"/>
      <c r="I46" s="33" t="s">
        <v>25</v>
      </c>
      <c r="J46" s="33" t="s">
        <v>25</v>
      </c>
      <c r="K46" s="33" t="s">
        <v>25</v>
      </c>
      <c r="L46" s="80"/>
      <c r="M46" s="80"/>
      <c r="N46" s="80"/>
      <c r="O46" s="80"/>
      <c r="P46" s="80"/>
      <c r="Q46" s="80"/>
      <c r="R46" s="80"/>
      <c r="S46" s="80"/>
      <c r="T46" s="80"/>
      <c r="U46" s="80"/>
      <c r="V46" s="80"/>
      <c r="W46" s="80"/>
      <c r="X46" s="80"/>
      <c r="Y46" s="80"/>
      <c r="Z46" s="80"/>
    </row>
    <row r="47">
      <c r="A47" s="76" t="s">
        <v>91</v>
      </c>
      <c r="B47" s="43" t="s">
        <v>213</v>
      </c>
      <c r="C47" s="33" t="s">
        <v>214</v>
      </c>
      <c r="D47" s="33" t="s">
        <v>215</v>
      </c>
      <c r="E47" s="33" t="s">
        <v>216</v>
      </c>
      <c r="F47" s="34" t="s">
        <v>217</v>
      </c>
      <c r="G47" s="80"/>
      <c r="H47" s="80"/>
      <c r="I47" s="33" t="s">
        <v>25</v>
      </c>
      <c r="J47" s="33" t="s">
        <v>25</v>
      </c>
      <c r="K47" s="33" t="s">
        <v>25</v>
      </c>
      <c r="L47" s="80"/>
      <c r="M47" s="80"/>
      <c r="N47" s="80"/>
      <c r="O47" s="80"/>
      <c r="P47" s="80"/>
      <c r="Q47" s="80"/>
      <c r="R47" s="80"/>
      <c r="S47" s="80"/>
      <c r="T47" s="80"/>
      <c r="U47" s="80"/>
      <c r="V47" s="80"/>
      <c r="W47" s="80"/>
      <c r="X47" s="80"/>
      <c r="Y47" s="80"/>
      <c r="Z47" s="80"/>
    </row>
    <row r="48">
      <c r="A48" s="76" t="s">
        <v>91</v>
      </c>
      <c r="B48" s="43" t="s">
        <v>218</v>
      </c>
      <c r="C48" s="81" t="s">
        <v>219</v>
      </c>
      <c r="D48" s="33" t="s">
        <v>220</v>
      </c>
      <c r="E48" s="33" t="s">
        <v>221</v>
      </c>
      <c r="F48" s="34">
        <v>5.0</v>
      </c>
      <c r="G48" s="80"/>
      <c r="H48" s="80"/>
      <c r="I48" s="33" t="s">
        <v>25</v>
      </c>
      <c r="J48" s="33" t="s">
        <v>25</v>
      </c>
      <c r="K48" s="33" t="s">
        <v>25</v>
      </c>
      <c r="L48" s="80"/>
      <c r="M48" s="80"/>
      <c r="N48" s="80"/>
      <c r="O48" s="80"/>
      <c r="P48" s="80"/>
      <c r="Q48" s="80"/>
      <c r="R48" s="80"/>
      <c r="S48" s="80"/>
      <c r="T48" s="80"/>
      <c r="U48" s="80"/>
      <c r="V48" s="80"/>
      <c r="W48" s="80"/>
      <c r="X48" s="80"/>
      <c r="Y48" s="80"/>
      <c r="Z48" s="80"/>
    </row>
    <row r="49">
      <c r="A49" s="76" t="s">
        <v>91</v>
      </c>
      <c r="B49" s="43" t="s">
        <v>222</v>
      </c>
      <c r="C49" s="81" t="s">
        <v>223</v>
      </c>
      <c r="D49" s="33" t="s">
        <v>224</v>
      </c>
      <c r="E49" s="33" t="s">
        <v>206</v>
      </c>
      <c r="F49" s="34" t="s">
        <v>225</v>
      </c>
      <c r="G49" s="80"/>
      <c r="H49" s="80"/>
      <c r="I49" s="33" t="s">
        <v>25</v>
      </c>
      <c r="J49" s="33" t="s">
        <v>25</v>
      </c>
      <c r="K49" s="33" t="s">
        <v>25</v>
      </c>
      <c r="L49" s="80"/>
      <c r="M49" s="80"/>
      <c r="N49" s="80"/>
      <c r="O49" s="80"/>
      <c r="P49" s="80"/>
      <c r="Q49" s="80"/>
      <c r="R49" s="80"/>
      <c r="S49" s="80"/>
      <c r="T49" s="80"/>
      <c r="U49" s="80"/>
      <c r="V49" s="80"/>
      <c r="W49" s="80"/>
      <c r="X49" s="80"/>
      <c r="Y49" s="80"/>
      <c r="Z49" s="80"/>
    </row>
    <row r="50">
      <c r="A50" s="76" t="s">
        <v>91</v>
      </c>
      <c r="B50" s="43" t="s">
        <v>226</v>
      </c>
      <c r="C50" s="33" t="s">
        <v>227</v>
      </c>
      <c r="D50" s="33" t="s">
        <v>228</v>
      </c>
      <c r="E50" s="33" t="s">
        <v>229</v>
      </c>
      <c r="F50" s="34" t="s">
        <v>230</v>
      </c>
      <c r="G50" s="80"/>
      <c r="H50" s="80"/>
      <c r="I50" s="33" t="s">
        <v>25</v>
      </c>
      <c r="J50" s="33" t="s">
        <v>25</v>
      </c>
      <c r="K50" s="33" t="s">
        <v>25</v>
      </c>
      <c r="L50" s="80"/>
      <c r="M50" s="80"/>
      <c r="N50" s="80"/>
      <c r="O50" s="80"/>
      <c r="P50" s="80"/>
      <c r="Q50" s="80"/>
      <c r="R50" s="80"/>
      <c r="S50" s="80"/>
      <c r="T50" s="80"/>
      <c r="U50" s="80"/>
      <c r="V50" s="80"/>
      <c r="W50" s="80"/>
      <c r="X50" s="80"/>
      <c r="Y50" s="80"/>
      <c r="Z50" s="80"/>
    </row>
    <row r="51">
      <c r="A51" s="76" t="s">
        <v>91</v>
      </c>
      <c r="B51" s="85" t="s">
        <v>231</v>
      </c>
      <c r="C51" s="33" t="s">
        <v>232</v>
      </c>
      <c r="D51" s="33" t="s">
        <v>233</v>
      </c>
      <c r="E51" s="33" t="s">
        <v>234</v>
      </c>
      <c r="F51" s="34" t="s">
        <v>235</v>
      </c>
      <c r="G51" s="80"/>
      <c r="H51" s="80"/>
      <c r="I51" s="33" t="s">
        <v>25</v>
      </c>
      <c r="J51" s="33" t="s">
        <v>25</v>
      </c>
      <c r="K51" s="33" t="s">
        <v>25</v>
      </c>
      <c r="L51" s="80"/>
      <c r="M51" s="80"/>
      <c r="N51" s="80"/>
      <c r="O51" s="80"/>
      <c r="P51" s="80"/>
      <c r="Q51" s="80"/>
      <c r="R51" s="80"/>
      <c r="S51" s="80"/>
      <c r="T51" s="80"/>
      <c r="U51" s="80"/>
      <c r="V51" s="80"/>
      <c r="W51" s="80"/>
      <c r="X51" s="80"/>
      <c r="Y51" s="80"/>
      <c r="Z51" s="80"/>
    </row>
    <row r="52">
      <c r="A52" s="76" t="s">
        <v>91</v>
      </c>
      <c r="B52" s="43" t="s">
        <v>236</v>
      </c>
      <c r="C52" s="81" t="s">
        <v>237</v>
      </c>
      <c r="D52" s="33" t="s">
        <v>238</v>
      </c>
      <c r="E52" s="33" t="s">
        <v>202</v>
      </c>
      <c r="F52" s="34">
        <v>5.0</v>
      </c>
      <c r="G52" s="80"/>
      <c r="H52" s="80"/>
      <c r="I52" s="33" t="s">
        <v>25</v>
      </c>
      <c r="J52" s="33" t="s">
        <v>25</v>
      </c>
      <c r="K52" s="33" t="s">
        <v>25</v>
      </c>
      <c r="L52" s="80"/>
      <c r="M52" s="80"/>
      <c r="N52" s="80"/>
      <c r="O52" s="80"/>
      <c r="P52" s="80"/>
      <c r="Q52" s="80"/>
      <c r="R52" s="80"/>
      <c r="S52" s="80"/>
      <c r="T52" s="80"/>
      <c r="U52" s="80"/>
      <c r="V52" s="80"/>
      <c r="W52" s="80"/>
      <c r="X52" s="80"/>
      <c r="Y52" s="80"/>
      <c r="Z52" s="80"/>
    </row>
    <row r="53">
      <c r="A53" s="76" t="s">
        <v>91</v>
      </c>
      <c r="B53" s="43" t="s">
        <v>239</v>
      </c>
      <c r="C53" s="81" t="s">
        <v>240</v>
      </c>
      <c r="D53" s="33" t="s">
        <v>241</v>
      </c>
      <c r="E53" s="33" t="s">
        <v>206</v>
      </c>
      <c r="F53" s="34" t="s">
        <v>242</v>
      </c>
      <c r="G53" s="80"/>
      <c r="H53" s="80"/>
      <c r="I53" s="33" t="s">
        <v>25</v>
      </c>
      <c r="J53" s="33" t="s">
        <v>25</v>
      </c>
      <c r="K53" s="33" t="s">
        <v>25</v>
      </c>
      <c r="L53" s="80"/>
      <c r="M53" s="80"/>
      <c r="N53" s="80"/>
      <c r="O53" s="80"/>
      <c r="P53" s="80"/>
      <c r="Q53" s="80"/>
      <c r="R53" s="80"/>
      <c r="S53" s="80"/>
      <c r="T53" s="80"/>
      <c r="U53" s="80"/>
      <c r="V53" s="80"/>
      <c r="W53" s="80"/>
      <c r="X53" s="80"/>
      <c r="Y53" s="80"/>
      <c r="Z53" s="80"/>
    </row>
    <row r="54">
      <c r="A54" s="76" t="s">
        <v>91</v>
      </c>
      <c r="B54" s="43" t="s">
        <v>243</v>
      </c>
      <c r="C54" s="86" t="s">
        <v>244</v>
      </c>
      <c r="D54" s="86" t="s">
        <v>245</v>
      </c>
      <c r="E54" s="33" t="s">
        <v>246</v>
      </c>
      <c r="F54" s="34" t="s">
        <v>247</v>
      </c>
      <c r="G54" s="80"/>
      <c r="H54" s="80"/>
      <c r="I54" s="33" t="s">
        <v>25</v>
      </c>
      <c r="J54" s="33" t="s">
        <v>25</v>
      </c>
      <c r="K54" s="33" t="s">
        <v>25</v>
      </c>
      <c r="L54" s="80"/>
      <c r="M54" s="80"/>
      <c r="N54" s="80"/>
      <c r="O54" s="80"/>
      <c r="P54" s="80"/>
      <c r="Q54" s="80"/>
      <c r="R54" s="80"/>
      <c r="S54" s="80"/>
      <c r="T54" s="80"/>
      <c r="U54" s="80"/>
      <c r="V54" s="80"/>
      <c r="W54" s="80"/>
      <c r="X54" s="80"/>
      <c r="Y54" s="80"/>
      <c r="Z54" s="80"/>
    </row>
    <row r="55">
      <c r="A55" s="76" t="s">
        <v>91</v>
      </c>
      <c r="B55" s="43" t="s">
        <v>248</v>
      </c>
      <c r="C55" s="33" t="s">
        <v>249</v>
      </c>
      <c r="D55" s="33" t="s">
        <v>250</v>
      </c>
      <c r="E55" s="33" t="s">
        <v>251</v>
      </c>
      <c r="F55" s="34" t="s">
        <v>252</v>
      </c>
      <c r="G55" s="80"/>
      <c r="H55" s="80"/>
      <c r="I55" s="33" t="s">
        <v>25</v>
      </c>
      <c r="J55" s="33" t="s">
        <v>25</v>
      </c>
      <c r="K55" s="33" t="s">
        <v>25</v>
      </c>
      <c r="L55" s="80"/>
      <c r="M55" s="80"/>
      <c r="N55" s="80"/>
      <c r="O55" s="80"/>
      <c r="P55" s="80"/>
      <c r="Q55" s="80"/>
      <c r="R55" s="80"/>
      <c r="S55" s="80"/>
      <c r="T55" s="80"/>
      <c r="U55" s="80"/>
      <c r="V55" s="80"/>
      <c r="W55" s="80"/>
      <c r="X55" s="80"/>
      <c r="Y55" s="80"/>
      <c r="Z55" s="80"/>
    </row>
    <row r="56" ht="28.5" customHeight="1">
      <c r="A56" s="76" t="s">
        <v>91</v>
      </c>
      <c r="B56" s="87" t="s">
        <v>253</v>
      </c>
      <c r="C56" s="88" t="s">
        <v>254</v>
      </c>
      <c r="D56" s="46" t="s">
        <v>255</v>
      </c>
      <c r="E56" s="46" t="s">
        <v>256</v>
      </c>
      <c r="F56" s="34"/>
      <c r="G56" s="80"/>
      <c r="H56" s="80"/>
      <c r="I56" s="33" t="s">
        <v>25</v>
      </c>
      <c r="J56" s="33" t="s">
        <v>25</v>
      </c>
      <c r="K56" s="33" t="s">
        <v>25</v>
      </c>
      <c r="L56" s="80"/>
      <c r="M56" s="80"/>
      <c r="N56" s="80"/>
      <c r="O56" s="80"/>
      <c r="P56" s="80"/>
      <c r="Q56" s="80"/>
      <c r="R56" s="80"/>
      <c r="S56" s="80"/>
      <c r="T56" s="80"/>
      <c r="U56" s="80"/>
      <c r="V56" s="80"/>
      <c r="W56" s="80"/>
      <c r="X56" s="80"/>
      <c r="Y56" s="80"/>
      <c r="Z56" s="80"/>
    </row>
    <row r="57">
      <c r="A57" s="76" t="s">
        <v>91</v>
      </c>
      <c r="B57" s="82" t="s">
        <v>257</v>
      </c>
      <c r="C57" s="33" t="s">
        <v>258</v>
      </c>
      <c r="D57" s="33" t="s">
        <v>259</v>
      </c>
      <c r="E57" s="33" t="s">
        <v>260</v>
      </c>
      <c r="F57" s="34" t="s">
        <v>261</v>
      </c>
      <c r="G57" s="80"/>
      <c r="H57" s="80"/>
      <c r="I57" s="33" t="s">
        <v>25</v>
      </c>
      <c r="J57" s="33" t="s">
        <v>25</v>
      </c>
      <c r="K57" s="33" t="s">
        <v>25</v>
      </c>
      <c r="L57" s="80"/>
      <c r="M57" s="80"/>
      <c r="N57" s="80"/>
      <c r="O57" s="80"/>
      <c r="P57" s="80"/>
      <c r="Q57" s="80"/>
      <c r="R57" s="80"/>
      <c r="S57" s="80"/>
      <c r="T57" s="80"/>
      <c r="U57" s="80"/>
      <c r="V57" s="80"/>
      <c r="W57" s="80"/>
      <c r="X57" s="80"/>
      <c r="Y57" s="80"/>
      <c r="Z57" s="80"/>
    </row>
    <row r="58">
      <c r="A58" s="76" t="s">
        <v>91</v>
      </c>
      <c r="B58" s="82" t="s">
        <v>262</v>
      </c>
      <c r="C58" s="33" t="s">
        <v>263</v>
      </c>
      <c r="D58" s="33" t="s">
        <v>264</v>
      </c>
      <c r="E58" s="33" t="s">
        <v>265</v>
      </c>
      <c r="F58" s="34" t="s">
        <v>266</v>
      </c>
      <c r="G58" s="80"/>
      <c r="H58" s="80"/>
      <c r="I58" s="33" t="s">
        <v>25</v>
      </c>
      <c r="J58" s="33" t="s">
        <v>25</v>
      </c>
      <c r="K58" s="33" t="s">
        <v>25</v>
      </c>
      <c r="L58" s="80"/>
      <c r="M58" s="80"/>
      <c r="N58" s="80"/>
      <c r="O58" s="80"/>
      <c r="P58" s="80"/>
      <c r="Q58" s="80"/>
      <c r="R58" s="80"/>
      <c r="S58" s="80"/>
      <c r="T58" s="80"/>
      <c r="U58" s="80"/>
      <c r="V58" s="80"/>
      <c r="W58" s="80"/>
      <c r="X58" s="80"/>
      <c r="Y58" s="80"/>
      <c r="Z58" s="80"/>
    </row>
    <row r="59">
      <c r="A59" s="76" t="s">
        <v>91</v>
      </c>
      <c r="B59" s="82" t="s">
        <v>267</v>
      </c>
      <c r="C59" s="81" t="s">
        <v>268</v>
      </c>
      <c r="D59" s="33" t="s">
        <v>269</v>
      </c>
      <c r="E59" s="33" t="s">
        <v>270</v>
      </c>
      <c r="F59" s="34" t="s">
        <v>271</v>
      </c>
      <c r="G59" s="80"/>
      <c r="H59" s="80"/>
      <c r="I59" s="33" t="s">
        <v>25</v>
      </c>
      <c r="J59" s="33" t="s">
        <v>25</v>
      </c>
      <c r="K59" s="33" t="s">
        <v>25</v>
      </c>
      <c r="L59" s="80"/>
      <c r="M59" s="80"/>
      <c r="N59" s="80"/>
      <c r="O59" s="80"/>
      <c r="P59" s="80"/>
      <c r="Q59" s="80"/>
      <c r="R59" s="80"/>
      <c r="S59" s="80"/>
      <c r="T59" s="80"/>
      <c r="U59" s="80"/>
      <c r="V59" s="80"/>
      <c r="W59" s="80"/>
      <c r="X59" s="80"/>
      <c r="Y59" s="80"/>
      <c r="Z59" s="80"/>
    </row>
    <row r="60">
      <c r="A60" s="76" t="s">
        <v>91</v>
      </c>
      <c r="B60" s="82" t="s">
        <v>272</v>
      </c>
      <c r="C60" s="81" t="s">
        <v>273</v>
      </c>
      <c r="D60" s="33" t="s">
        <v>274</v>
      </c>
      <c r="E60" s="33" t="s">
        <v>275</v>
      </c>
      <c r="F60" s="34" t="s">
        <v>276</v>
      </c>
      <c r="G60" s="80"/>
      <c r="H60" s="80"/>
      <c r="I60" s="33" t="s">
        <v>25</v>
      </c>
      <c r="J60" s="33" t="s">
        <v>25</v>
      </c>
      <c r="K60" s="33" t="s">
        <v>25</v>
      </c>
      <c r="L60" s="80"/>
      <c r="M60" s="80"/>
      <c r="N60" s="80"/>
      <c r="O60" s="80"/>
      <c r="P60" s="80"/>
      <c r="Q60" s="80"/>
      <c r="R60" s="80"/>
      <c r="S60" s="80"/>
      <c r="T60" s="80"/>
      <c r="U60" s="80"/>
      <c r="V60" s="80"/>
      <c r="W60" s="80"/>
      <c r="X60" s="80"/>
      <c r="Y60" s="80"/>
      <c r="Z60" s="80"/>
    </row>
    <row r="61">
      <c r="A61" s="76" t="s">
        <v>91</v>
      </c>
      <c r="B61" s="43" t="s">
        <v>277</v>
      </c>
      <c r="C61" s="81" t="s">
        <v>278</v>
      </c>
      <c r="D61" s="33" t="s">
        <v>279</v>
      </c>
      <c r="E61" s="33" t="s">
        <v>280</v>
      </c>
      <c r="F61" s="34" t="s">
        <v>281</v>
      </c>
      <c r="G61" s="80"/>
      <c r="H61" s="80"/>
      <c r="I61" s="33" t="s">
        <v>25</v>
      </c>
      <c r="J61" s="33" t="s">
        <v>25</v>
      </c>
      <c r="K61" s="33" t="s">
        <v>25</v>
      </c>
      <c r="L61" s="80"/>
      <c r="M61" s="80"/>
      <c r="N61" s="80"/>
      <c r="O61" s="80"/>
      <c r="P61" s="80"/>
      <c r="Q61" s="80"/>
      <c r="R61" s="80"/>
      <c r="S61" s="80"/>
      <c r="T61" s="80"/>
      <c r="U61" s="80"/>
      <c r="V61" s="80"/>
      <c r="W61" s="80"/>
      <c r="X61" s="80"/>
      <c r="Y61" s="80"/>
      <c r="Z61" s="80"/>
    </row>
    <row r="62">
      <c r="A62" s="76" t="s">
        <v>91</v>
      </c>
      <c r="B62" s="43" t="s">
        <v>282</v>
      </c>
      <c r="C62" s="81" t="s">
        <v>283</v>
      </c>
      <c r="D62" s="33" t="s">
        <v>284</v>
      </c>
      <c r="E62" s="33" t="s">
        <v>285</v>
      </c>
      <c r="F62" s="34" t="s">
        <v>286</v>
      </c>
      <c r="G62" s="80"/>
      <c r="H62" s="80"/>
      <c r="I62" s="33" t="s">
        <v>25</v>
      </c>
      <c r="J62" s="33" t="s">
        <v>25</v>
      </c>
      <c r="K62" s="33" t="s">
        <v>25</v>
      </c>
      <c r="L62" s="80"/>
      <c r="M62" s="80"/>
      <c r="N62" s="80"/>
      <c r="O62" s="80"/>
      <c r="P62" s="80"/>
      <c r="Q62" s="80"/>
      <c r="R62" s="80"/>
      <c r="S62" s="80"/>
      <c r="T62" s="80"/>
      <c r="U62" s="80"/>
      <c r="V62" s="80"/>
      <c r="W62" s="80"/>
      <c r="X62" s="80"/>
      <c r="Y62" s="80"/>
      <c r="Z62" s="80"/>
    </row>
    <row r="63">
      <c r="A63" s="76" t="s">
        <v>91</v>
      </c>
      <c r="B63" s="43" t="s">
        <v>287</v>
      </c>
      <c r="C63" s="89" t="s">
        <v>288</v>
      </c>
      <c r="D63" s="33" t="s">
        <v>289</v>
      </c>
      <c r="E63" s="33" t="s">
        <v>290</v>
      </c>
      <c r="F63" s="34" t="s">
        <v>291</v>
      </c>
      <c r="G63" s="80"/>
      <c r="H63" s="80"/>
      <c r="I63" s="33" t="s">
        <v>25</v>
      </c>
      <c r="J63" s="33" t="s">
        <v>25</v>
      </c>
      <c r="K63" s="33" t="s">
        <v>25</v>
      </c>
      <c r="L63" s="80"/>
      <c r="M63" s="80"/>
      <c r="N63" s="80"/>
      <c r="O63" s="80"/>
      <c r="P63" s="80"/>
      <c r="Q63" s="80"/>
      <c r="R63" s="80"/>
      <c r="S63" s="80"/>
      <c r="T63" s="80"/>
      <c r="U63" s="80"/>
      <c r="V63" s="80"/>
      <c r="W63" s="80"/>
      <c r="X63" s="80"/>
      <c r="Y63" s="80"/>
      <c r="Z63" s="80"/>
    </row>
    <row r="64">
      <c r="A64" s="76" t="s">
        <v>91</v>
      </c>
      <c r="B64" s="82" t="s">
        <v>292</v>
      </c>
      <c r="C64" s="89" t="s">
        <v>293</v>
      </c>
      <c r="D64" s="33" t="s">
        <v>294</v>
      </c>
      <c r="E64" s="33" t="s">
        <v>295</v>
      </c>
      <c r="F64" s="34" t="s">
        <v>296</v>
      </c>
      <c r="G64" s="80"/>
      <c r="H64" s="80"/>
      <c r="I64" s="33" t="s">
        <v>25</v>
      </c>
      <c r="J64" s="33" t="s">
        <v>25</v>
      </c>
      <c r="K64" s="33" t="s">
        <v>25</v>
      </c>
      <c r="L64" s="80"/>
      <c r="M64" s="80"/>
      <c r="N64" s="80"/>
      <c r="O64" s="80"/>
      <c r="P64" s="80"/>
      <c r="Q64" s="80"/>
      <c r="R64" s="80"/>
      <c r="S64" s="80"/>
      <c r="T64" s="80"/>
      <c r="U64" s="80"/>
      <c r="V64" s="80"/>
      <c r="W64" s="80"/>
      <c r="X64" s="80"/>
      <c r="Y64" s="80"/>
      <c r="Z64" s="80"/>
    </row>
    <row r="65">
      <c r="A65" s="76" t="s">
        <v>91</v>
      </c>
      <c r="B65" s="43" t="s">
        <v>297</v>
      </c>
      <c r="C65" s="90" t="s">
        <v>298</v>
      </c>
      <c r="D65" s="83" t="s">
        <v>299</v>
      </c>
      <c r="E65" s="83" t="s">
        <v>300</v>
      </c>
      <c r="F65" s="84" t="s">
        <v>301</v>
      </c>
      <c r="G65" s="80"/>
      <c r="H65" s="80"/>
      <c r="I65" s="33" t="s">
        <v>25</v>
      </c>
      <c r="J65" s="33" t="s">
        <v>25</v>
      </c>
      <c r="K65" s="33" t="s">
        <v>25</v>
      </c>
      <c r="L65" s="80"/>
      <c r="M65" s="80"/>
      <c r="N65" s="80"/>
      <c r="O65" s="80"/>
      <c r="P65" s="80"/>
      <c r="Q65" s="80"/>
      <c r="R65" s="80"/>
      <c r="S65" s="80"/>
      <c r="T65" s="80"/>
      <c r="U65" s="80"/>
      <c r="V65" s="80"/>
      <c r="W65" s="80"/>
      <c r="X65" s="80"/>
      <c r="Y65" s="80"/>
      <c r="Z65" s="80"/>
    </row>
    <row r="66">
      <c r="A66" s="76" t="s">
        <v>91</v>
      </c>
      <c r="B66" s="43" t="s">
        <v>302</v>
      </c>
      <c r="C66" s="81" t="s">
        <v>303</v>
      </c>
      <c r="D66" s="83" t="s">
        <v>304</v>
      </c>
      <c r="E66" s="83" t="s">
        <v>305</v>
      </c>
      <c r="F66" s="84" t="s">
        <v>306</v>
      </c>
      <c r="G66" s="80"/>
      <c r="H66" s="80"/>
      <c r="I66" s="33" t="s">
        <v>25</v>
      </c>
      <c r="J66" s="33" t="s">
        <v>25</v>
      </c>
      <c r="K66" s="33" t="s">
        <v>25</v>
      </c>
      <c r="L66" s="80"/>
      <c r="M66" s="80"/>
      <c r="N66" s="80"/>
      <c r="O66" s="80"/>
      <c r="P66" s="80"/>
      <c r="Q66" s="80"/>
      <c r="R66" s="80"/>
      <c r="S66" s="80"/>
      <c r="T66" s="80"/>
      <c r="U66" s="80"/>
      <c r="V66" s="80"/>
      <c r="W66" s="80"/>
      <c r="X66" s="80"/>
      <c r="Y66" s="80"/>
      <c r="Z66" s="80"/>
    </row>
    <row r="67">
      <c r="A67" s="76" t="s">
        <v>91</v>
      </c>
      <c r="B67" s="82" t="s">
        <v>307</v>
      </c>
      <c r="C67" s="81" t="s">
        <v>308</v>
      </c>
      <c r="D67" s="83" t="s">
        <v>309</v>
      </c>
      <c r="E67" s="83" t="s">
        <v>310</v>
      </c>
      <c r="F67" s="91" t="s">
        <v>311</v>
      </c>
      <c r="G67" s="80"/>
      <c r="H67" s="80"/>
      <c r="I67" s="33" t="s">
        <v>25</v>
      </c>
      <c r="J67" s="33" t="s">
        <v>25</v>
      </c>
      <c r="K67" s="33" t="s">
        <v>25</v>
      </c>
      <c r="L67" s="80"/>
      <c r="M67" s="80"/>
      <c r="N67" s="80"/>
      <c r="O67" s="80"/>
      <c r="P67" s="80"/>
      <c r="Q67" s="80"/>
      <c r="R67" s="80"/>
      <c r="S67" s="80"/>
      <c r="T67" s="80"/>
      <c r="U67" s="80"/>
      <c r="V67" s="80"/>
      <c r="W67" s="80"/>
      <c r="X67" s="80"/>
      <c r="Y67" s="80"/>
      <c r="Z67" s="80"/>
    </row>
    <row r="68">
      <c r="A68" s="76" t="s">
        <v>91</v>
      </c>
      <c r="B68" s="43" t="s">
        <v>312</v>
      </c>
      <c r="C68" s="81" t="s">
        <v>313</v>
      </c>
      <c r="D68" s="83" t="s">
        <v>314</v>
      </c>
      <c r="E68" s="33" t="s">
        <v>315</v>
      </c>
      <c r="F68" s="91">
        <v>25.0</v>
      </c>
      <c r="G68" s="80"/>
      <c r="H68" s="80"/>
      <c r="I68" s="33" t="s">
        <v>25</v>
      </c>
      <c r="J68" s="33" t="s">
        <v>25</v>
      </c>
      <c r="K68" s="33" t="s">
        <v>25</v>
      </c>
      <c r="L68" s="80"/>
      <c r="M68" s="80"/>
      <c r="N68" s="80"/>
      <c r="O68" s="80"/>
      <c r="P68" s="80"/>
      <c r="Q68" s="80"/>
      <c r="R68" s="80"/>
      <c r="S68" s="80"/>
      <c r="T68" s="80"/>
      <c r="U68" s="80"/>
      <c r="V68" s="80"/>
      <c r="W68" s="80"/>
      <c r="X68" s="80"/>
      <c r="Y68" s="80"/>
      <c r="Z68" s="80"/>
    </row>
    <row r="69">
      <c r="A69" s="76" t="s">
        <v>91</v>
      </c>
      <c r="B69" s="43" t="s">
        <v>316</v>
      </c>
      <c r="C69" s="81" t="s">
        <v>317</v>
      </c>
      <c r="D69" s="83" t="s">
        <v>318</v>
      </c>
      <c r="E69" s="83" t="s">
        <v>319</v>
      </c>
      <c r="F69" s="91" t="s">
        <v>320</v>
      </c>
      <c r="G69" s="80"/>
      <c r="H69" s="80"/>
      <c r="I69" s="33" t="s">
        <v>25</v>
      </c>
      <c r="J69" s="33" t="s">
        <v>25</v>
      </c>
      <c r="K69" s="33" t="s">
        <v>25</v>
      </c>
      <c r="L69" s="80"/>
      <c r="M69" s="80"/>
      <c r="N69" s="80"/>
      <c r="O69" s="80"/>
      <c r="P69" s="80"/>
      <c r="Q69" s="80"/>
      <c r="R69" s="80"/>
      <c r="S69" s="80"/>
      <c r="T69" s="80"/>
      <c r="U69" s="80"/>
      <c r="V69" s="80"/>
      <c r="W69" s="80"/>
      <c r="X69" s="80"/>
      <c r="Y69" s="80"/>
      <c r="Z69" s="80"/>
    </row>
    <row r="70">
      <c r="A70" s="28" t="s">
        <v>321</v>
      </c>
      <c r="B70" s="28" t="s">
        <v>92</v>
      </c>
      <c r="C70" s="92" t="s">
        <v>322</v>
      </c>
      <c r="D70" s="93"/>
      <c r="E70" s="93"/>
      <c r="F70" s="94"/>
      <c r="G70" s="95"/>
      <c r="H70" s="95"/>
      <c r="I70" s="95"/>
      <c r="J70" s="95"/>
      <c r="K70" s="95"/>
      <c r="L70" s="95"/>
      <c r="M70" s="95"/>
      <c r="N70" s="95"/>
      <c r="O70" s="95"/>
      <c r="P70" s="95"/>
      <c r="Q70" s="95"/>
      <c r="R70" s="95"/>
      <c r="S70" s="95"/>
      <c r="T70" s="95"/>
      <c r="U70" s="95"/>
      <c r="V70" s="95"/>
      <c r="W70" s="95"/>
      <c r="X70" s="95"/>
      <c r="Y70" s="95"/>
      <c r="Z70" s="95"/>
    </row>
    <row r="71">
      <c r="A71" s="33" t="s">
        <v>321</v>
      </c>
      <c r="B71" s="82" t="s">
        <v>323</v>
      </c>
      <c r="C71" s="81" t="s">
        <v>324</v>
      </c>
      <c r="D71" s="83" t="s">
        <v>325</v>
      </c>
      <c r="E71" s="83" t="s">
        <v>326</v>
      </c>
      <c r="F71" s="91">
        <v>10500.0</v>
      </c>
      <c r="G71" s="80"/>
      <c r="H71" s="80"/>
      <c r="I71" s="33" t="s">
        <v>25</v>
      </c>
      <c r="J71" s="33" t="s">
        <v>25</v>
      </c>
      <c r="K71" s="33" t="s">
        <v>25</v>
      </c>
      <c r="L71" s="80"/>
      <c r="M71" s="80"/>
      <c r="N71" s="80"/>
      <c r="O71" s="80"/>
      <c r="P71" s="80"/>
      <c r="Q71" s="80"/>
      <c r="R71" s="80"/>
      <c r="S71" s="80"/>
      <c r="T71" s="80"/>
      <c r="U71" s="80"/>
      <c r="V71" s="80"/>
      <c r="W71" s="80"/>
      <c r="X71" s="80"/>
      <c r="Y71" s="80"/>
      <c r="Z71" s="80"/>
    </row>
    <row r="72">
      <c r="A72" s="33" t="s">
        <v>321</v>
      </c>
      <c r="B72" s="43" t="s">
        <v>327</v>
      </c>
      <c r="C72" s="81" t="s">
        <v>328</v>
      </c>
      <c r="D72" s="83" t="s">
        <v>329</v>
      </c>
      <c r="E72" s="83" t="s">
        <v>330</v>
      </c>
      <c r="F72" s="84" t="s">
        <v>331</v>
      </c>
      <c r="G72" s="80"/>
      <c r="H72" s="80"/>
      <c r="I72" s="33" t="s">
        <v>25</v>
      </c>
      <c r="J72" s="33" t="s">
        <v>25</v>
      </c>
      <c r="K72" s="33" t="s">
        <v>25</v>
      </c>
      <c r="L72" s="80"/>
      <c r="M72" s="80"/>
      <c r="N72" s="80"/>
      <c r="O72" s="80"/>
      <c r="P72" s="80"/>
      <c r="Q72" s="80"/>
      <c r="R72" s="80"/>
      <c r="S72" s="80"/>
      <c r="T72" s="80"/>
      <c r="U72" s="80"/>
      <c r="V72" s="80"/>
      <c r="W72" s="80"/>
      <c r="X72" s="80"/>
      <c r="Y72" s="80"/>
      <c r="Z72" s="80"/>
    </row>
    <row r="73">
      <c r="A73" s="33" t="s">
        <v>321</v>
      </c>
      <c r="B73" s="43" t="s">
        <v>332</v>
      </c>
      <c r="C73" s="81" t="s">
        <v>333</v>
      </c>
      <c r="D73" s="83" t="s">
        <v>334</v>
      </c>
      <c r="E73" s="83" t="s">
        <v>335</v>
      </c>
      <c r="F73" s="84" t="s">
        <v>336</v>
      </c>
      <c r="G73" s="80"/>
      <c r="H73" s="80"/>
      <c r="I73" s="33" t="s">
        <v>25</v>
      </c>
      <c r="J73" s="33" t="s">
        <v>25</v>
      </c>
      <c r="K73" s="33" t="s">
        <v>25</v>
      </c>
      <c r="L73" s="80"/>
      <c r="M73" s="80"/>
      <c r="N73" s="80"/>
      <c r="O73" s="80"/>
      <c r="P73" s="80"/>
      <c r="Q73" s="80"/>
      <c r="R73" s="80"/>
      <c r="S73" s="80"/>
      <c r="T73" s="80"/>
      <c r="U73" s="80"/>
      <c r="V73" s="80"/>
      <c r="W73" s="80"/>
      <c r="X73" s="80"/>
      <c r="Y73" s="80"/>
      <c r="Z73" s="80"/>
    </row>
    <row r="74" ht="15.75" customHeight="1">
      <c r="A74" s="33" t="s">
        <v>321</v>
      </c>
      <c r="B74" s="43" t="s">
        <v>337</v>
      </c>
      <c r="C74" s="81" t="s">
        <v>338</v>
      </c>
      <c r="D74" s="83" t="s">
        <v>339</v>
      </c>
      <c r="E74" s="83" t="s">
        <v>340</v>
      </c>
      <c r="F74" s="84">
        <v>4.0</v>
      </c>
      <c r="G74" s="80"/>
      <c r="H74" s="80"/>
      <c r="I74" s="33" t="s">
        <v>25</v>
      </c>
      <c r="J74" s="33" t="s">
        <v>25</v>
      </c>
      <c r="K74" s="33" t="s">
        <v>25</v>
      </c>
      <c r="L74" s="80"/>
      <c r="M74" s="80"/>
      <c r="N74" s="80"/>
      <c r="O74" s="80"/>
      <c r="P74" s="80"/>
      <c r="Q74" s="80"/>
      <c r="R74" s="80"/>
      <c r="S74" s="80"/>
      <c r="T74" s="80"/>
      <c r="U74" s="80"/>
      <c r="V74" s="80"/>
      <c r="W74" s="80"/>
      <c r="X74" s="80"/>
      <c r="Y74" s="80"/>
      <c r="Z74" s="80"/>
    </row>
    <row r="75" ht="16.5" customHeight="1">
      <c r="A75" s="33" t="s">
        <v>321</v>
      </c>
      <c r="B75" s="43" t="s">
        <v>341</v>
      </c>
      <c r="C75" s="81" t="s">
        <v>342</v>
      </c>
      <c r="D75" s="83" t="s">
        <v>343</v>
      </c>
      <c r="E75" s="83" t="s">
        <v>344</v>
      </c>
      <c r="F75" s="84" t="s">
        <v>345</v>
      </c>
      <c r="G75" s="80"/>
      <c r="H75" s="80"/>
      <c r="I75" s="33" t="s">
        <v>25</v>
      </c>
      <c r="J75" s="33" t="s">
        <v>25</v>
      </c>
      <c r="K75" s="33" t="s">
        <v>25</v>
      </c>
      <c r="L75" s="80"/>
      <c r="M75" s="80"/>
      <c r="N75" s="80"/>
      <c r="O75" s="80"/>
      <c r="P75" s="80"/>
      <c r="Q75" s="80"/>
      <c r="R75" s="80"/>
      <c r="S75" s="80"/>
      <c r="T75" s="80"/>
      <c r="U75" s="80"/>
      <c r="V75" s="80"/>
      <c r="W75" s="80"/>
      <c r="X75" s="80"/>
      <c r="Y75" s="80"/>
      <c r="Z75" s="80"/>
    </row>
    <row r="76" ht="15.0" customHeight="1">
      <c r="A76" s="33" t="s">
        <v>321</v>
      </c>
      <c r="B76" s="43" t="s">
        <v>346</v>
      </c>
      <c r="C76" s="81" t="s">
        <v>347</v>
      </c>
      <c r="D76" s="83" t="s">
        <v>348</v>
      </c>
      <c r="E76" s="83" t="s">
        <v>349</v>
      </c>
      <c r="F76" s="84" t="s">
        <v>350</v>
      </c>
      <c r="G76" s="80"/>
      <c r="H76" s="80"/>
      <c r="I76" s="33" t="s">
        <v>25</v>
      </c>
      <c r="J76" s="33" t="s">
        <v>25</v>
      </c>
      <c r="K76" s="33" t="s">
        <v>25</v>
      </c>
      <c r="L76" s="80"/>
      <c r="M76" s="80"/>
      <c r="N76" s="80"/>
      <c r="O76" s="80"/>
      <c r="P76" s="80"/>
      <c r="Q76" s="80"/>
      <c r="R76" s="80"/>
      <c r="S76" s="80"/>
      <c r="T76" s="80"/>
      <c r="U76" s="80"/>
      <c r="V76" s="80"/>
      <c r="W76" s="80"/>
      <c r="X76" s="80"/>
      <c r="Y76" s="80"/>
      <c r="Z76" s="80"/>
    </row>
    <row r="77" ht="15.0" customHeight="1">
      <c r="A77" s="33" t="s">
        <v>321</v>
      </c>
      <c r="B77" s="43" t="s">
        <v>351</v>
      </c>
      <c r="C77" s="81" t="s">
        <v>352</v>
      </c>
      <c r="D77" s="33" t="s">
        <v>353</v>
      </c>
      <c r="E77" s="65" t="s">
        <v>354</v>
      </c>
      <c r="F77" s="84" t="s">
        <v>355</v>
      </c>
      <c r="G77" s="80"/>
      <c r="H77" s="80"/>
      <c r="I77" s="33" t="s">
        <v>25</v>
      </c>
      <c r="J77" s="33" t="s">
        <v>25</v>
      </c>
      <c r="K77" s="33" t="s">
        <v>25</v>
      </c>
      <c r="L77" s="80"/>
      <c r="M77" s="80"/>
      <c r="N77" s="80"/>
      <c r="O77" s="80"/>
      <c r="P77" s="80"/>
      <c r="Q77" s="80"/>
      <c r="R77" s="80"/>
      <c r="S77" s="80"/>
      <c r="T77" s="80"/>
      <c r="U77" s="80"/>
      <c r="V77" s="80"/>
      <c r="W77" s="80"/>
      <c r="X77" s="80"/>
      <c r="Y77" s="80"/>
      <c r="Z77" s="80"/>
    </row>
    <row r="78">
      <c r="A78" s="33" t="s">
        <v>321</v>
      </c>
      <c r="B78" s="43" t="s">
        <v>356</v>
      </c>
      <c r="C78" s="81" t="s">
        <v>357</v>
      </c>
      <c r="D78" s="33" t="s">
        <v>358</v>
      </c>
      <c r="E78" s="83" t="s">
        <v>359</v>
      </c>
      <c r="F78" s="34" t="s">
        <v>360</v>
      </c>
      <c r="G78" s="80"/>
      <c r="H78" s="80"/>
      <c r="I78" s="33" t="s">
        <v>25</v>
      </c>
      <c r="J78" s="33" t="s">
        <v>25</v>
      </c>
      <c r="K78" s="33" t="s">
        <v>25</v>
      </c>
      <c r="L78" s="80"/>
      <c r="M78" s="80"/>
      <c r="N78" s="80"/>
      <c r="O78" s="80"/>
      <c r="P78" s="80"/>
      <c r="Q78" s="80"/>
      <c r="R78" s="80"/>
      <c r="S78" s="80"/>
      <c r="T78" s="80"/>
      <c r="U78" s="80"/>
      <c r="V78" s="80"/>
      <c r="W78" s="80"/>
      <c r="X78" s="80"/>
      <c r="Y78" s="80"/>
      <c r="Z78" s="80"/>
    </row>
    <row r="79">
      <c r="A79" s="33" t="s">
        <v>321</v>
      </c>
      <c r="B79" s="82" t="s">
        <v>361</v>
      </c>
      <c r="C79" s="81" t="s">
        <v>362</v>
      </c>
      <c r="D79" s="33" t="s">
        <v>363</v>
      </c>
      <c r="E79" s="33" t="s">
        <v>364</v>
      </c>
      <c r="F79" s="34">
        <v>12.0</v>
      </c>
      <c r="G79" s="80"/>
      <c r="H79" s="80"/>
      <c r="I79" s="33" t="s">
        <v>25</v>
      </c>
      <c r="J79" s="33" t="s">
        <v>25</v>
      </c>
      <c r="K79" s="33" t="s">
        <v>25</v>
      </c>
      <c r="L79" s="80"/>
      <c r="M79" s="80"/>
      <c r="N79" s="80"/>
      <c r="O79" s="80"/>
      <c r="P79" s="80"/>
      <c r="Q79" s="80"/>
      <c r="R79" s="80"/>
      <c r="S79" s="80"/>
      <c r="T79" s="80"/>
      <c r="U79" s="80"/>
      <c r="V79" s="80"/>
      <c r="W79" s="80"/>
      <c r="X79" s="80"/>
      <c r="Y79" s="80"/>
      <c r="Z79" s="80"/>
    </row>
    <row r="80">
      <c r="A80" s="33" t="s">
        <v>321</v>
      </c>
      <c r="B80" s="82" t="s">
        <v>365</v>
      </c>
      <c r="C80" s="81" t="s">
        <v>366</v>
      </c>
      <c r="D80" s="33" t="s">
        <v>367</v>
      </c>
      <c r="E80" s="33" t="s">
        <v>368</v>
      </c>
      <c r="F80" s="34" t="s">
        <v>369</v>
      </c>
      <c r="G80" s="80"/>
      <c r="H80" s="80"/>
      <c r="I80" s="33" t="s">
        <v>25</v>
      </c>
      <c r="J80" s="33" t="s">
        <v>25</v>
      </c>
      <c r="K80" s="33" t="s">
        <v>25</v>
      </c>
      <c r="L80" s="80"/>
      <c r="M80" s="80"/>
      <c r="N80" s="80"/>
      <c r="O80" s="80"/>
      <c r="P80" s="80"/>
      <c r="Q80" s="80"/>
      <c r="R80" s="80"/>
      <c r="S80" s="80"/>
      <c r="T80" s="80"/>
      <c r="U80" s="80"/>
      <c r="V80" s="80"/>
      <c r="W80" s="80"/>
      <c r="X80" s="80"/>
      <c r="Y80" s="80"/>
      <c r="Z80" s="80"/>
    </row>
    <row r="81">
      <c r="A81" s="33" t="s">
        <v>321</v>
      </c>
      <c r="B81" s="43" t="s">
        <v>370</v>
      </c>
      <c r="C81" s="81" t="s">
        <v>371</v>
      </c>
      <c r="D81" s="33" t="s">
        <v>372</v>
      </c>
      <c r="E81" s="33" t="s">
        <v>373</v>
      </c>
      <c r="F81" s="34" t="s">
        <v>374</v>
      </c>
      <c r="G81" s="80"/>
      <c r="H81" s="80"/>
      <c r="I81" s="33" t="s">
        <v>25</v>
      </c>
      <c r="J81" s="33" t="s">
        <v>25</v>
      </c>
      <c r="K81" s="33" t="s">
        <v>25</v>
      </c>
      <c r="L81" s="80"/>
      <c r="M81" s="80"/>
      <c r="N81" s="80"/>
      <c r="O81" s="80"/>
      <c r="P81" s="80"/>
      <c r="Q81" s="80"/>
      <c r="R81" s="80"/>
      <c r="S81" s="80"/>
      <c r="T81" s="80"/>
      <c r="U81" s="80"/>
      <c r="V81" s="80"/>
      <c r="W81" s="80"/>
      <c r="X81" s="80"/>
      <c r="Y81" s="80"/>
      <c r="Z81" s="80"/>
    </row>
    <row r="82">
      <c r="A82" s="33" t="s">
        <v>321</v>
      </c>
      <c r="B82" s="43" t="s">
        <v>375</v>
      </c>
      <c r="C82" s="81" t="s">
        <v>376</v>
      </c>
      <c r="D82" s="33" t="s">
        <v>377</v>
      </c>
      <c r="E82" s="33" t="s">
        <v>378</v>
      </c>
      <c r="F82" s="34">
        <v>70.0</v>
      </c>
      <c r="G82" s="80"/>
      <c r="H82" s="80"/>
      <c r="I82" s="33" t="s">
        <v>25</v>
      </c>
      <c r="J82" s="33" t="s">
        <v>25</v>
      </c>
      <c r="K82" s="33" t="s">
        <v>25</v>
      </c>
      <c r="L82" s="80"/>
      <c r="M82" s="80"/>
      <c r="N82" s="80"/>
      <c r="O82" s="80"/>
      <c r="P82" s="80"/>
      <c r="Q82" s="80"/>
      <c r="R82" s="80"/>
      <c r="S82" s="80"/>
      <c r="T82" s="80"/>
      <c r="U82" s="80"/>
      <c r="V82" s="80"/>
      <c r="W82" s="80"/>
      <c r="X82" s="80"/>
      <c r="Y82" s="80"/>
      <c r="Z82" s="80"/>
    </row>
    <row r="83">
      <c r="A83" s="33" t="s">
        <v>321</v>
      </c>
      <c r="B83" s="43" t="s">
        <v>379</v>
      </c>
      <c r="C83" s="81" t="s">
        <v>380</v>
      </c>
      <c r="D83" s="33" t="s">
        <v>381</v>
      </c>
      <c r="E83" s="33" t="s">
        <v>382</v>
      </c>
      <c r="F83" s="33" t="s">
        <v>383</v>
      </c>
      <c r="G83" s="80"/>
      <c r="H83" s="80"/>
      <c r="I83" s="33" t="s">
        <v>25</v>
      </c>
      <c r="J83" s="33" t="s">
        <v>25</v>
      </c>
      <c r="K83" s="33" t="s">
        <v>25</v>
      </c>
      <c r="L83" s="80"/>
      <c r="M83" s="80"/>
      <c r="N83" s="80"/>
      <c r="O83" s="80"/>
      <c r="P83" s="80"/>
      <c r="Q83" s="80"/>
      <c r="R83" s="80"/>
      <c r="S83" s="80"/>
      <c r="T83" s="80"/>
      <c r="U83" s="80"/>
      <c r="V83" s="80"/>
      <c r="W83" s="80"/>
      <c r="X83" s="80"/>
      <c r="Y83" s="80"/>
      <c r="Z83" s="80"/>
    </row>
    <row r="84">
      <c r="A84" s="33" t="s">
        <v>321</v>
      </c>
      <c r="B84" s="43" t="s">
        <v>384</v>
      </c>
      <c r="C84" s="33" t="s">
        <v>385</v>
      </c>
      <c r="D84" s="33" t="s">
        <v>386</v>
      </c>
      <c r="E84" s="33" t="s">
        <v>387</v>
      </c>
      <c r="F84" s="34">
        <v>7.4</v>
      </c>
      <c r="G84" s="80"/>
      <c r="H84" s="80"/>
      <c r="I84" s="33" t="s">
        <v>25</v>
      </c>
      <c r="J84" s="33" t="s">
        <v>25</v>
      </c>
      <c r="K84" s="33" t="s">
        <v>25</v>
      </c>
      <c r="L84" s="80"/>
      <c r="M84" s="80"/>
      <c r="N84" s="80"/>
      <c r="O84" s="80"/>
      <c r="P84" s="80"/>
      <c r="Q84" s="80"/>
      <c r="R84" s="80"/>
      <c r="S84" s="80"/>
      <c r="T84" s="80"/>
      <c r="U84" s="80"/>
      <c r="V84" s="80"/>
      <c r="W84" s="80"/>
      <c r="X84" s="80"/>
      <c r="Y84" s="80"/>
      <c r="Z84" s="80"/>
    </row>
    <row r="85">
      <c r="A85" s="33" t="s">
        <v>321</v>
      </c>
      <c r="B85" s="43" t="s">
        <v>388</v>
      </c>
      <c r="C85" s="90" t="s">
        <v>389</v>
      </c>
      <c r="D85" s="33" t="s">
        <v>390</v>
      </c>
      <c r="E85" s="33" t="s">
        <v>391</v>
      </c>
      <c r="F85" s="34" t="s">
        <v>392</v>
      </c>
      <c r="G85" s="80"/>
      <c r="H85" s="80"/>
      <c r="I85" s="33" t="s">
        <v>25</v>
      </c>
      <c r="J85" s="33" t="s">
        <v>25</v>
      </c>
      <c r="K85" s="33" t="s">
        <v>25</v>
      </c>
      <c r="L85" s="80"/>
      <c r="M85" s="80"/>
      <c r="N85" s="80"/>
      <c r="O85" s="80"/>
      <c r="P85" s="80"/>
      <c r="Q85" s="80"/>
      <c r="R85" s="80"/>
      <c r="S85" s="80"/>
      <c r="T85" s="80"/>
      <c r="U85" s="80"/>
      <c r="V85" s="80"/>
      <c r="W85" s="80"/>
      <c r="X85" s="80"/>
      <c r="Y85" s="80"/>
      <c r="Z85" s="80"/>
    </row>
    <row r="86">
      <c r="A86" s="33" t="s">
        <v>321</v>
      </c>
      <c r="B86" s="43" t="s">
        <v>393</v>
      </c>
      <c r="C86" s="81" t="s">
        <v>394</v>
      </c>
      <c r="D86" s="33" t="s">
        <v>395</v>
      </c>
      <c r="E86" s="33" t="s">
        <v>396</v>
      </c>
      <c r="F86" s="34">
        <v>10.0</v>
      </c>
      <c r="G86" s="80"/>
      <c r="H86" s="80"/>
      <c r="I86" s="33" t="s">
        <v>25</v>
      </c>
      <c r="J86" s="33" t="s">
        <v>25</v>
      </c>
      <c r="K86" s="33" t="s">
        <v>25</v>
      </c>
      <c r="L86" s="80"/>
      <c r="M86" s="80"/>
      <c r="N86" s="80"/>
      <c r="O86" s="80"/>
      <c r="P86" s="80"/>
      <c r="Q86" s="80"/>
      <c r="R86" s="80"/>
      <c r="S86" s="80"/>
      <c r="T86" s="80"/>
      <c r="U86" s="80"/>
      <c r="V86" s="80"/>
      <c r="W86" s="80"/>
      <c r="X86" s="80"/>
      <c r="Y86" s="80"/>
      <c r="Z86" s="80"/>
    </row>
    <row r="87">
      <c r="A87" s="33" t="s">
        <v>321</v>
      </c>
      <c r="B87" s="43" t="s">
        <v>397</v>
      </c>
      <c r="C87" s="81" t="s">
        <v>398</v>
      </c>
      <c r="D87" s="33" t="s">
        <v>399</v>
      </c>
      <c r="E87" s="33" t="s">
        <v>400</v>
      </c>
      <c r="F87" s="33" t="s">
        <v>401</v>
      </c>
      <c r="G87" s="80"/>
      <c r="H87" s="80"/>
      <c r="I87" s="33" t="s">
        <v>25</v>
      </c>
      <c r="J87" s="33" t="s">
        <v>25</v>
      </c>
      <c r="K87" s="33" t="s">
        <v>25</v>
      </c>
      <c r="L87" s="80"/>
      <c r="M87" s="80"/>
      <c r="N87" s="80"/>
      <c r="O87" s="80"/>
      <c r="P87" s="80"/>
      <c r="Q87" s="80"/>
      <c r="R87" s="80"/>
      <c r="S87" s="80"/>
      <c r="T87" s="80"/>
      <c r="U87" s="80"/>
      <c r="V87" s="80"/>
      <c r="W87" s="80"/>
      <c r="X87" s="80"/>
      <c r="Y87" s="80"/>
      <c r="Z87" s="80"/>
    </row>
    <row r="88">
      <c r="A88" s="33" t="s">
        <v>321</v>
      </c>
      <c r="B88" s="43" t="s">
        <v>402</v>
      </c>
      <c r="C88" s="81" t="s">
        <v>403</v>
      </c>
      <c r="D88" s="33" t="s">
        <v>404</v>
      </c>
      <c r="E88" s="33" t="s">
        <v>405</v>
      </c>
      <c r="F88" s="34" t="s">
        <v>406</v>
      </c>
      <c r="G88" s="80"/>
      <c r="H88" s="80"/>
      <c r="I88" s="33" t="s">
        <v>25</v>
      </c>
      <c r="J88" s="33" t="s">
        <v>25</v>
      </c>
      <c r="K88" s="33" t="s">
        <v>25</v>
      </c>
      <c r="L88" s="80"/>
      <c r="M88" s="80"/>
      <c r="N88" s="80"/>
      <c r="O88" s="80"/>
      <c r="P88" s="80"/>
      <c r="Q88" s="80"/>
      <c r="R88" s="80"/>
      <c r="S88" s="80"/>
      <c r="T88" s="80"/>
      <c r="U88" s="80"/>
      <c r="V88" s="80"/>
      <c r="W88" s="80"/>
      <c r="X88" s="80"/>
      <c r="Y88" s="80"/>
      <c r="Z88" s="80"/>
    </row>
    <row r="89">
      <c r="A89" s="33" t="s">
        <v>321</v>
      </c>
      <c r="B89" s="43" t="s">
        <v>407</v>
      </c>
      <c r="C89" s="81" t="s">
        <v>408</v>
      </c>
      <c r="D89" s="33" t="s">
        <v>409</v>
      </c>
      <c r="E89" s="33" t="s">
        <v>396</v>
      </c>
      <c r="F89" s="34">
        <v>25.0</v>
      </c>
      <c r="G89" s="80"/>
      <c r="H89" s="80"/>
      <c r="I89" s="33" t="s">
        <v>25</v>
      </c>
      <c r="J89" s="33" t="s">
        <v>25</v>
      </c>
      <c r="K89" s="33" t="s">
        <v>25</v>
      </c>
      <c r="L89" s="80"/>
      <c r="M89" s="80"/>
      <c r="N89" s="80"/>
      <c r="O89" s="80"/>
      <c r="P89" s="80"/>
      <c r="Q89" s="80"/>
      <c r="R89" s="80"/>
      <c r="S89" s="80"/>
      <c r="T89" s="80"/>
      <c r="U89" s="80"/>
      <c r="V89" s="80"/>
      <c r="W89" s="80"/>
      <c r="X89" s="80"/>
      <c r="Y89" s="80"/>
      <c r="Z89" s="80"/>
    </row>
    <row r="90">
      <c r="A90" s="33" t="s">
        <v>321</v>
      </c>
      <c r="B90" s="43" t="s">
        <v>410</v>
      </c>
      <c r="C90" s="81" t="s">
        <v>411</v>
      </c>
      <c r="D90" s="33" t="s">
        <v>412</v>
      </c>
      <c r="E90" s="33" t="s">
        <v>400</v>
      </c>
      <c r="F90" s="33" t="s">
        <v>413</v>
      </c>
      <c r="G90" s="80"/>
      <c r="H90" s="80"/>
      <c r="I90" s="33" t="s">
        <v>25</v>
      </c>
      <c r="J90" s="33" t="s">
        <v>25</v>
      </c>
      <c r="K90" s="33" t="s">
        <v>25</v>
      </c>
      <c r="L90" s="80"/>
      <c r="M90" s="80"/>
      <c r="N90" s="80"/>
      <c r="O90" s="80"/>
      <c r="P90" s="80"/>
      <c r="Q90" s="80"/>
      <c r="R90" s="80"/>
      <c r="S90" s="80"/>
      <c r="T90" s="80"/>
      <c r="U90" s="80"/>
      <c r="V90" s="80"/>
      <c r="W90" s="80"/>
      <c r="X90" s="80"/>
      <c r="Y90" s="80"/>
      <c r="Z90" s="80"/>
    </row>
    <row r="91">
      <c r="A91" s="33" t="s">
        <v>321</v>
      </c>
      <c r="B91" s="43" t="s">
        <v>414</v>
      </c>
      <c r="C91" s="81" t="s">
        <v>415</v>
      </c>
      <c r="D91" s="33" t="s">
        <v>416</v>
      </c>
      <c r="E91" s="33" t="s">
        <v>405</v>
      </c>
      <c r="F91" s="34" t="s">
        <v>406</v>
      </c>
      <c r="G91" s="80"/>
      <c r="H91" s="80"/>
      <c r="I91" s="33" t="s">
        <v>25</v>
      </c>
      <c r="J91" s="33" t="s">
        <v>25</v>
      </c>
      <c r="K91" s="33" t="s">
        <v>25</v>
      </c>
      <c r="L91" s="80"/>
      <c r="M91" s="80"/>
      <c r="N91" s="80"/>
      <c r="O91" s="80"/>
      <c r="P91" s="80"/>
      <c r="Q91" s="80"/>
      <c r="R91" s="80"/>
      <c r="S91" s="80"/>
      <c r="T91" s="80"/>
      <c r="U91" s="80"/>
      <c r="V91" s="80"/>
      <c r="W91" s="80"/>
      <c r="X91" s="80"/>
      <c r="Y91" s="80"/>
      <c r="Z91" s="80"/>
    </row>
    <row r="92">
      <c r="A92" s="33" t="s">
        <v>321</v>
      </c>
      <c r="B92" s="82" t="s">
        <v>417</v>
      </c>
      <c r="C92" s="81" t="s">
        <v>418</v>
      </c>
      <c r="D92" s="33" t="s">
        <v>419</v>
      </c>
      <c r="E92" s="33" t="s">
        <v>420</v>
      </c>
      <c r="F92" s="34">
        <v>0.02</v>
      </c>
      <c r="G92" s="80"/>
      <c r="H92" s="80"/>
      <c r="I92" s="33" t="s">
        <v>25</v>
      </c>
      <c r="J92" s="33" t="s">
        <v>25</v>
      </c>
      <c r="K92" s="33" t="s">
        <v>25</v>
      </c>
      <c r="L92" s="80"/>
      <c r="M92" s="80"/>
      <c r="N92" s="80"/>
      <c r="O92" s="80"/>
      <c r="P92" s="80"/>
      <c r="Q92" s="80"/>
      <c r="R92" s="80"/>
      <c r="S92" s="80"/>
      <c r="T92" s="80"/>
      <c r="U92" s="80"/>
      <c r="V92" s="80"/>
      <c r="W92" s="80"/>
      <c r="X92" s="80"/>
      <c r="Y92" s="80"/>
      <c r="Z92" s="80"/>
    </row>
    <row r="93">
      <c r="A93" s="33" t="s">
        <v>321</v>
      </c>
      <c r="B93" s="82" t="s">
        <v>421</v>
      </c>
      <c r="C93" s="90" t="s">
        <v>422</v>
      </c>
      <c r="D93" s="33" t="s">
        <v>423</v>
      </c>
      <c r="E93" s="33" t="s">
        <v>424</v>
      </c>
      <c r="F93" s="33" t="s">
        <v>425</v>
      </c>
      <c r="G93" s="80"/>
      <c r="H93" s="80"/>
      <c r="I93" s="33" t="s">
        <v>25</v>
      </c>
      <c r="J93" s="33" t="s">
        <v>25</v>
      </c>
      <c r="K93" s="33" t="s">
        <v>25</v>
      </c>
      <c r="L93" s="80"/>
      <c r="M93" s="80"/>
      <c r="N93" s="80"/>
      <c r="O93" s="80"/>
      <c r="P93" s="80"/>
      <c r="Q93" s="80"/>
      <c r="R93" s="80"/>
      <c r="S93" s="80"/>
      <c r="T93" s="80"/>
      <c r="U93" s="80"/>
      <c r="V93" s="80"/>
      <c r="W93" s="80"/>
      <c r="X93" s="80"/>
      <c r="Y93" s="80"/>
      <c r="Z93" s="80"/>
    </row>
    <row r="94">
      <c r="A94" s="33" t="s">
        <v>321</v>
      </c>
      <c r="B94" s="43" t="s">
        <v>426</v>
      </c>
      <c r="C94" s="90" t="s">
        <v>427</v>
      </c>
      <c r="D94" s="33" t="s">
        <v>428</v>
      </c>
      <c r="E94" s="33" t="s">
        <v>429</v>
      </c>
      <c r="F94" s="34" t="s">
        <v>430</v>
      </c>
      <c r="G94" s="80"/>
      <c r="H94" s="80"/>
      <c r="I94" s="33" t="s">
        <v>25</v>
      </c>
      <c r="J94" s="33" t="s">
        <v>25</v>
      </c>
      <c r="K94" s="33" t="s">
        <v>25</v>
      </c>
      <c r="L94" s="80"/>
      <c r="M94" s="80"/>
      <c r="N94" s="80"/>
      <c r="O94" s="80"/>
      <c r="P94" s="80"/>
      <c r="Q94" s="80"/>
      <c r="R94" s="80"/>
      <c r="S94" s="80"/>
      <c r="T94" s="80"/>
      <c r="U94" s="80"/>
      <c r="V94" s="80"/>
      <c r="W94" s="80"/>
      <c r="X94" s="80"/>
      <c r="Y94" s="80"/>
      <c r="Z94" s="80"/>
    </row>
    <row r="95">
      <c r="A95" s="33" t="s">
        <v>321</v>
      </c>
      <c r="B95" s="43" t="s">
        <v>431</v>
      </c>
      <c r="C95" s="81" t="s">
        <v>432</v>
      </c>
      <c r="D95" s="33" t="s">
        <v>433</v>
      </c>
      <c r="E95" s="33" t="s">
        <v>434</v>
      </c>
      <c r="F95" s="34">
        <v>5.0</v>
      </c>
      <c r="G95" s="80"/>
      <c r="H95" s="80"/>
      <c r="I95" s="33" t="s">
        <v>25</v>
      </c>
      <c r="J95" s="33" t="s">
        <v>25</v>
      </c>
      <c r="K95" s="33" t="s">
        <v>25</v>
      </c>
      <c r="L95" s="80"/>
      <c r="M95" s="80"/>
      <c r="N95" s="80"/>
      <c r="O95" s="80"/>
      <c r="P95" s="80"/>
      <c r="Q95" s="80"/>
      <c r="R95" s="80"/>
      <c r="S95" s="80"/>
      <c r="T95" s="80"/>
      <c r="U95" s="80"/>
      <c r="V95" s="80"/>
      <c r="W95" s="80"/>
      <c r="X95" s="80"/>
      <c r="Y95" s="80"/>
      <c r="Z95" s="80"/>
    </row>
    <row r="96">
      <c r="A96" s="33" t="s">
        <v>321</v>
      </c>
      <c r="B96" s="43" t="s">
        <v>435</v>
      </c>
      <c r="C96" s="81" t="s">
        <v>436</v>
      </c>
      <c r="D96" s="33" t="s">
        <v>437</v>
      </c>
      <c r="E96" s="33" t="s">
        <v>438</v>
      </c>
      <c r="F96" s="33" t="s">
        <v>439</v>
      </c>
      <c r="G96" s="80"/>
      <c r="H96" s="80"/>
      <c r="I96" s="33" t="s">
        <v>25</v>
      </c>
      <c r="J96" s="33" t="s">
        <v>25</v>
      </c>
      <c r="K96" s="33" t="s">
        <v>25</v>
      </c>
      <c r="L96" s="80"/>
      <c r="M96" s="80"/>
      <c r="N96" s="80"/>
      <c r="O96" s="80"/>
      <c r="P96" s="80"/>
      <c r="Q96" s="80"/>
      <c r="R96" s="80"/>
      <c r="S96" s="80"/>
      <c r="T96" s="80"/>
      <c r="U96" s="80"/>
      <c r="V96" s="80"/>
      <c r="W96" s="80"/>
      <c r="X96" s="80"/>
      <c r="Y96" s="80"/>
      <c r="Z96" s="80"/>
    </row>
    <row r="97">
      <c r="A97" s="33" t="s">
        <v>321</v>
      </c>
      <c r="B97" s="43" t="s">
        <v>440</v>
      </c>
      <c r="C97" s="81" t="s">
        <v>441</v>
      </c>
      <c r="D97" s="33" t="s">
        <v>442</v>
      </c>
      <c r="E97" s="33" t="s">
        <v>443</v>
      </c>
      <c r="F97" s="34" t="s">
        <v>444</v>
      </c>
      <c r="G97" s="80"/>
      <c r="H97" s="80"/>
      <c r="I97" s="33" t="s">
        <v>25</v>
      </c>
      <c r="J97" s="33" t="s">
        <v>25</v>
      </c>
      <c r="K97" s="33" t="s">
        <v>25</v>
      </c>
      <c r="L97" s="80"/>
      <c r="M97" s="80"/>
      <c r="N97" s="80"/>
      <c r="O97" s="80"/>
      <c r="P97" s="80"/>
      <c r="Q97" s="80"/>
      <c r="R97" s="80"/>
      <c r="S97" s="80"/>
      <c r="T97" s="80"/>
      <c r="U97" s="80"/>
      <c r="V97" s="80"/>
      <c r="W97" s="80"/>
      <c r="X97" s="80"/>
      <c r="Y97" s="80"/>
      <c r="Z97" s="80"/>
    </row>
    <row r="98">
      <c r="A98" s="33" t="s">
        <v>321</v>
      </c>
      <c r="B98" s="43" t="s">
        <v>445</v>
      </c>
      <c r="C98" s="81" t="s">
        <v>446</v>
      </c>
      <c r="D98" s="96" t="s">
        <v>447</v>
      </c>
      <c r="E98" s="33" t="s">
        <v>448</v>
      </c>
      <c r="F98" s="34">
        <v>-50.0</v>
      </c>
      <c r="G98" s="80"/>
      <c r="H98" s="80"/>
      <c r="I98" s="33" t="s">
        <v>25</v>
      </c>
      <c r="J98" s="33" t="s">
        <v>25</v>
      </c>
      <c r="K98" s="33" t="s">
        <v>25</v>
      </c>
      <c r="L98" s="80"/>
      <c r="M98" s="80"/>
      <c r="N98" s="80"/>
      <c r="O98" s="80"/>
      <c r="P98" s="80"/>
      <c r="Q98" s="80"/>
      <c r="R98" s="80"/>
      <c r="S98" s="80"/>
      <c r="T98" s="80"/>
      <c r="U98" s="80"/>
      <c r="V98" s="80"/>
      <c r="W98" s="80"/>
      <c r="X98" s="80"/>
      <c r="Y98" s="80"/>
      <c r="Z98" s="80"/>
    </row>
    <row r="99">
      <c r="A99" s="33" t="s">
        <v>321</v>
      </c>
      <c r="B99" s="43" t="s">
        <v>449</v>
      </c>
      <c r="C99" s="81" t="s">
        <v>450</v>
      </c>
      <c r="D99" s="33" t="s">
        <v>451</v>
      </c>
      <c r="E99" s="33" t="s">
        <v>452</v>
      </c>
      <c r="F99" s="33" t="s">
        <v>453</v>
      </c>
      <c r="G99" s="80"/>
      <c r="H99" s="80"/>
      <c r="I99" s="33" t="s">
        <v>25</v>
      </c>
      <c r="J99" s="33" t="s">
        <v>25</v>
      </c>
      <c r="K99" s="33" t="s">
        <v>25</v>
      </c>
      <c r="L99" s="80"/>
      <c r="M99" s="80"/>
      <c r="N99" s="80"/>
      <c r="O99" s="80"/>
      <c r="P99" s="80"/>
      <c r="Q99" s="80"/>
      <c r="R99" s="80"/>
      <c r="S99" s="80"/>
      <c r="T99" s="80"/>
      <c r="U99" s="80"/>
      <c r="V99" s="80"/>
      <c r="W99" s="80"/>
      <c r="X99" s="80"/>
      <c r="Y99" s="80"/>
      <c r="Z99" s="80"/>
    </row>
    <row r="100">
      <c r="A100" s="33" t="s">
        <v>321</v>
      </c>
      <c r="B100" s="43" t="s">
        <v>454</v>
      </c>
      <c r="C100" s="81" t="s">
        <v>455</v>
      </c>
      <c r="D100" s="33" t="s">
        <v>456</v>
      </c>
      <c r="E100" s="33" t="s">
        <v>457</v>
      </c>
      <c r="F100" s="34" t="s">
        <v>458</v>
      </c>
      <c r="G100" s="80"/>
      <c r="H100" s="80"/>
      <c r="I100" s="33" t="s">
        <v>25</v>
      </c>
      <c r="J100" s="33" t="s">
        <v>25</v>
      </c>
      <c r="K100" s="33" t="s">
        <v>25</v>
      </c>
      <c r="L100" s="80"/>
      <c r="M100" s="80"/>
      <c r="N100" s="80"/>
      <c r="O100" s="80"/>
      <c r="P100" s="80"/>
      <c r="Q100" s="80"/>
      <c r="R100" s="80"/>
      <c r="S100" s="80"/>
      <c r="T100" s="80"/>
      <c r="U100" s="80"/>
      <c r="V100" s="80"/>
      <c r="W100" s="80"/>
      <c r="X100" s="80"/>
      <c r="Y100" s="80"/>
      <c r="Z100" s="80"/>
    </row>
    <row r="101">
      <c r="A101" s="33" t="s">
        <v>321</v>
      </c>
      <c r="B101" s="43" t="s">
        <v>459</v>
      </c>
      <c r="C101" s="81" t="s">
        <v>460</v>
      </c>
      <c r="D101" s="33" t="s">
        <v>461</v>
      </c>
      <c r="E101" s="33" t="s">
        <v>462</v>
      </c>
      <c r="F101" s="34">
        <v>26.0</v>
      </c>
      <c r="G101" s="80"/>
      <c r="H101" s="80"/>
      <c r="I101" s="33" t="s">
        <v>25</v>
      </c>
      <c r="J101" s="33" t="s">
        <v>25</v>
      </c>
      <c r="K101" s="33" t="s">
        <v>25</v>
      </c>
      <c r="L101" s="80"/>
      <c r="M101" s="80"/>
      <c r="N101" s="80"/>
      <c r="O101" s="80"/>
      <c r="P101" s="80"/>
      <c r="Q101" s="80"/>
      <c r="R101" s="80"/>
      <c r="S101" s="80"/>
      <c r="T101" s="80"/>
      <c r="U101" s="80"/>
      <c r="V101" s="80"/>
      <c r="W101" s="80"/>
      <c r="X101" s="80"/>
      <c r="Y101" s="80"/>
      <c r="Z101" s="80"/>
    </row>
    <row r="102">
      <c r="A102" s="33" t="s">
        <v>321</v>
      </c>
      <c r="B102" s="43" t="s">
        <v>463</v>
      </c>
      <c r="C102" s="81" t="s">
        <v>464</v>
      </c>
      <c r="D102" s="33" t="s">
        <v>465</v>
      </c>
      <c r="E102" s="33" t="s">
        <v>466</v>
      </c>
      <c r="F102" s="33" t="s">
        <v>467</v>
      </c>
      <c r="G102" s="80"/>
      <c r="H102" s="80"/>
      <c r="I102" s="33" t="s">
        <v>25</v>
      </c>
      <c r="J102" s="33" t="s">
        <v>25</v>
      </c>
      <c r="K102" s="33" t="s">
        <v>25</v>
      </c>
      <c r="L102" s="80"/>
      <c r="M102" s="80"/>
      <c r="N102" s="80"/>
      <c r="O102" s="80"/>
      <c r="P102" s="80"/>
      <c r="Q102" s="80"/>
      <c r="R102" s="80"/>
      <c r="S102" s="80"/>
      <c r="T102" s="80"/>
      <c r="U102" s="80"/>
      <c r="V102" s="80"/>
      <c r="W102" s="80"/>
      <c r="X102" s="80"/>
      <c r="Y102" s="80"/>
      <c r="Z102" s="80"/>
    </row>
    <row r="103">
      <c r="A103" s="33" t="s">
        <v>321</v>
      </c>
      <c r="B103" s="43" t="s">
        <v>468</v>
      </c>
      <c r="C103" s="81" t="s">
        <v>469</v>
      </c>
      <c r="D103" s="33" t="s">
        <v>470</v>
      </c>
      <c r="E103" s="33" t="s">
        <v>471</v>
      </c>
      <c r="F103" s="34" t="s">
        <v>472</v>
      </c>
      <c r="G103" s="80"/>
      <c r="H103" s="80"/>
      <c r="I103" s="33" t="s">
        <v>25</v>
      </c>
      <c r="J103" s="33" t="s">
        <v>25</v>
      </c>
      <c r="K103" s="33" t="s">
        <v>25</v>
      </c>
      <c r="L103" s="80"/>
      <c r="M103" s="80"/>
      <c r="N103" s="80"/>
      <c r="O103" s="80"/>
      <c r="P103" s="80"/>
      <c r="Q103" s="80"/>
      <c r="R103" s="80"/>
      <c r="S103" s="80"/>
      <c r="T103" s="80"/>
      <c r="U103" s="80"/>
      <c r="V103" s="80"/>
      <c r="W103" s="80"/>
      <c r="X103" s="80"/>
      <c r="Y103" s="80"/>
      <c r="Z103" s="80"/>
    </row>
    <row r="104">
      <c r="A104" s="33" t="s">
        <v>321</v>
      </c>
      <c r="B104" s="43" t="s">
        <v>473</v>
      </c>
      <c r="C104" s="81" t="s">
        <v>474</v>
      </c>
      <c r="D104" s="33" t="s">
        <v>475</v>
      </c>
      <c r="E104" s="33" t="s">
        <v>476</v>
      </c>
      <c r="F104" s="34">
        <v>20.0</v>
      </c>
      <c r="G104" s="80"/>
      <c r="H104" s="80"/>
      <c r="I104" s="33" t="s">
        <v>25</v>
      </c>
      <c r="J104" s="33" t="s">
        <v>25</v>
      </c>
      <c r="K104" s="33" t="s">
        <v>25</v>
      </c>
      <c r="L104" s="80"/>
      <c r="M104" s="80"/>
      <c r="N104" s="80"/>
      <c r="O104" s="80"/>
      <c r="P104" s="80"/>
      <c r="Q104" s="80"/>
      <c r="R104" s="80"/>
      <c r="S104" s="80"/>
      <c r="T104" s="80"/>
      <c r="U104" s="80"/>
      <c r="V104" s="80"/>
      <c r="W104" s="80"/>
      <c r="X104" s="80"/>
      <c r="Y104" s="80"/>
      <c r="Z104" s="80"/>
    </row>
    <row r="105">
      <c r="A105" s="33" t="s">
        <v>321</v>
      </c>
      <c r="B105" s="43" t="s">
        <v>477</v>
      </c>
      <c r="C105" s="81" t="s">
        <v>478</v>
      </c>
      <c r="D105" s="33" t="s">
        <v>479</v>
      </c>
      <c r="E105" s="33" t="s">
        <v>480</v>
      </c>
      <c r="F105" s="33" t="s">
        <v>467</v>
      </c>
      <c r="G105" s="80"/>
      <c r="H105" s="80"/>
      <c r="I105" s="33" t="s">
        <v>25</v>
      </c>
      <c r="J105" s="33" t="s">
        <v>25</v>
      </c>
      <c r="K105" s="33" t="s">
        <v>25</v>
      </c>
      <c r="L105" s="80"/>
      <c r="M105" s="80"/>
      <c r="N105" s="80"/>
      <c r="O105" s="80"/>
      <c r="P105" s="80"/>
      <c r="Q105" s="80"/>
      <c r="R105" s="80"/>
      <c r="S105" s="80"/>
      <c r="T105" s="80"/>
      <c r="U105" s="80"/>
      <c r="V105" s="80"/>
      <c r="W105" s="80"/>
      <c r="X105" s="80"/>
      <c r="Y105" s="80"/>
      <c r="Z105" s="80"/>
    </row>
    <row r="106">
      <c r="A106" s="33" t="s">
        <v>321</v>
      </c>
      <c r="B106" s="43" t="s">
        <v>481</v>
      </c>
      <c r="C106" s="81" t="s">
        <v>482</v>
      </c>
      <c r="D106" s="33" t="s">
        <v>483</v>
      </c>
      <c r="E106" s="33" t="s">
        <v>484</v>
      </c>
      <c r="F106" s="34" t="s">
        <v>485</v>
      </c>
      <c r="G106" s="80"/>
      <c r="H106" s="80"/>
      <c r="I106" s="33" t="s">
        <v>25</v>
      </c>
      <c r="J106" s="33" t="s">
        <v>25</v>
      </c>
      <c r="K106" s="33" t="s">
        <v>25</v>
      </c>
      <c r="L106" s="80"/>
      <c r="M106" s="80"/>
      <c r="N106" s="80"/>
      <c r="O106" s="80"/>
      <c r="P106" s="80"/>
      <c r="Q106" s="80"/>
      <c r="R106" s="80"/>
      <c r="S106" s="80"/>
      <c r="T106" s="80"/>
      <c r="U106" s="80"/>
      <c r="V106" s="80"/>
      <c r="W106" s="80"/>
      <c r="X106" s="80"/>
      <c r="Y106" s="80"/>
      <c r="Z106" s="80"/>
    </row>
    <row r="107">
      <c r="A107" s="33" t="s">
        <v>321</v>
      </c>
      <c r="B107" s="43" t="s">
        <v>486</v>
      </c>
      <c r="C107" s="81" t="s">
        <v>487</v>
      </c>
      <c r="D107" s="33" t="s">
        <v>488</v>
      </c>
      <c r="E107" s="33" t="s">
        <v>489</v>
      </c>
      <c r="F107" s="34">
        <v>8.0</v>
      </c>
      <c r="G107" s="80"/>
      <c r="H107" s="80"/>
      <c r="I107" s="33" t="s">
        <v>25</v>
      </c>
      <c r="J107" s="33" t="s">
        <v>25</v>
      </c>
      <c r="K107" s="33" t="s">
        <v>25</v>
      </c>
      <c r="L107" s="80"/>
      <c r="M107" s="80"/>
      <c r="N107" s="80"/>
      <c r="O107" s="80"/>
      <c r="P107" s="80"/>
      <c r="Q107" s="80"/>
      <c r="R107" s="80"/>
      <c r="S107" s="80"/>
      <c r="T107" s="80"/>
      <c r="U107" s="80"/>
      <c r="V107" s="80"/>
      <c r="W107" s="80"/>
      <c r="X107" s="80"/>
      <c r="Y107" s="80"/>
      <c r="Z107" s="80"/>
    </row>
    <row r="108">
      <c r="A108" s="33" t="s">
        <v>321</v>
      </c>
      <c r="B108" s="43" t="s">
        <v>490</v>
      </c>
      <c r="C108" s="81" t="s">
        <v>491</v>
      </c>
      <c r="D108" s="33" t="s">
        <v>492</v>
      </c>
      <c r="E108" s="33" t="s">
        <v>493</v>
      </c>
      <c r="F108" s="33" t="s">
        <v>494</v>
      </c>
      <c r="G108" s="80"/>
      <c r="H108" s="80"/>
      <c r="I108" s="33" t="s">
        <v>25</v>
      </c>
      <c r="J108" s="33" t="s">
        <v>25</v>
      </c>
      <c r="K108" s="33" t="s">
        <v>25</v>
      </c>
      <c r="L108" s="80"/>
      <c r="M108" s="80"/>
      <c r="N108" s="80"/>
      <c r="O108" s="80"/>
      <c r="P108" s="80"/>
      <c r="Q108" s="80"/>
      <c r="R108" s="80"/>
      <c r="S108" s="80"/>
      <c r="T108" s="80"/>
      <c r="U108" s="80"/>
      <c r="V108" s="80"/>
      <c r="W108" s="80"/>
      <c r="X108" s="80"/>
      <c r="Y108" s="80"/>
      <c r="Z108" s="80"/>
    </row>
    <row r="109">
      <c r="A109" s="33" t="s">
        <v>321</v>
      </c>
      <c r="B109" s="43" t="s">
        <v>495</v>
      </c>
      <c r="C109" s="81" t="s">
        <v>496</v>
      </c>
      <c r="D109" s="33" t="s">
        <v>497</v>
      </c>
      <c r="E109" s="33" t="s">
        <v>498</v>
      </c>
      <c r="F109" s="34" t="s">
        <v>499</v>
      </c>
      <c r="G109" s="80"/>
      <c r="H109" s="80"/>
      <c r="I109" s="33" t="s">
        <v>25</v>
      </c>
      <c r="J109" s="33" t="s">
        <v>25</v>
      </c>
      <c r="K109" s="33" t="s">
        <v>25</v>
      </c>
      <c r="L109" s="80"/>
      <c r="M109" s="80"/>
      <c r="N109" s="80"/>
      <c r="O109" s="80"/>
      <c r="P109" s="80"/>
      <c r="Q109" s="80"/>
      <c r="R109" s="80"/>
      <c r="S109" s="80"/>
      <c r="T109" s="80"/>
      <c r="U109" s="80"/>
      <c r="V109" s="80"/>
      <c r="W109" s="80"/>
      <c r="X109" s="80"/>
      <c r="Y109" s="80"/>
      <c r="Z109" s="80"/>
    </row>
    <row r="110">
      <c r="A110" s="33" t="s">
        <v>321</v>
      </c>
      <c r="B110" s="43" t="s">
        <v>500</v>
      </c>
      <c r="C110" s="81" t="s">
        <v>501</v>
      </c>
      <c r="D110" s="33" t="s">
        <v>502</v>
      </c>
      <c r="E110" s="33" t="s">
        <v>503</v>
      </c>
      <c r="F110" s="34">
        <v>2.0</v>
      </c>
      <c r="G110" s="80"/>
      <c r="H110" s="80"/>
      <c r="I110" s="33" t="s">
        <v>25</v>
      </c>
      <c r="J110" s="33" t="s">
        <v>25</v>
      </c>
      <c r="K110" s="33" t="s">
        <v>25</v>
      </c>
      <c r="L110" s="80"/>
      <c r="M110" s="80"/>
      <c r="N110" s="80"/>
      <c r="O110" s="80"/>
      <c r="P110" s="80"/>
      <c r="Q110" s="80"/>
      <c r="R110" s="80"/>
      <c r="S110" s="80"/>
      <c r="T110" s="80"/>
      <c r="U110" s="80"/>
      <c r="V110" s="80"/>
      <c r="W110" s="80"/>
      <c r="X110" s="80"/>
      <c r="Y110" s="80"/>
      <c r="Z110" s="80"/>
    </row>
    <row r="111">
      <c r="A111" s="33" t="s">
        <v>321</v>
      </c>
      <c r="B111" s="43" t="s">
        <v>504</v>
      </c>
      <c r="C111" s="81" t="s">
        <v>505</v>
      </c>
      <c r="D111" s="33" t="s">
        <v>506</v>
      </c>
      <c r="E111" s="33" t="s">
        <v>507</v>
      </c>
      <c r="F111" s="33" t="s">
        <v>494</v>
      </c>
      <c r="G111" s="80"/>
      <c r="H111" s="80"/>
      <c r="I111" s="33" t="s">
        <v>25</v>
      </c>
      <c r="J111" s="33" t="s">
        <v>25</v>
      </c>
      <c r="K111" s="33" t="s">
        <v>25</v>
      </c>
      <c r="L111" s="80"/>
      <c r="M111" s="80"/>
      <c r="N111" s="80"/>
      <c r="O111" s="80"/>
      <c r="P111" s="80"/>
      <c r="Q111" s="80"/>
      <c r="R111" s="80"/>
      <c r="S111" s="80"/>
      <c r="T111" s="80"/>
      <c r="U111" s="80"/>
      <c r="V111" s="80"/>
      <c r="W111" s="80"/>
      <c r="X111" s="80"/>
      <c r="Y111" s="80"/>
      <c r="Z111" s="80"/>
    </row>
    <row r="112">
      <c r="A112" s="33" t="s">
        <v>321</v>
      </c>
      <c r="B112" s="43" t="s">
        <v>508</v>
      </c>
      <c r="C112" s="81" t="s">
        <v>509</v>
      </c>
      <c r="D112" s="33" t="s">
        <v>510</v>
      </c>
      <c r="E112" s="33" t="s">
        <v>511</v>
      </c>
      <c r="F112" s="34" t="s">
        <v>512</v>
      </c>
      <c r="G112" s="80"/>
      <c r="H112" s="80"/>
      <c r="I112" s="33" t="s">
        <v>25</v>
      </c>
      <c r="J112" s="33" t="s">
        <v>25</v>
      </c>
      <c r="K112" s="33" t="s">
        <v>25</v>
      </c>
      <c r="L112" s="80"/>
      <c r="M112" s="80"/>
      <c r="N112" s="80"/>
      <c r="O112" s="80"/>
      <c r="P112" s="80"/>
      <c r="Q112" s="80"/>
      <c r="R112" s="80"/>
      <c r="S112" s="80"/>
      <c r="T112" s="80"/>
      <c r="U112" s="80"/>
      <c r="V112" s="80"/>
      <c r="W112" s="80"/>
      <c r="X112" s="80"/>
      <c r="Y112" s="80"/>
      <c r="Z112" s="80"/>
    </row>
    <row r="113">
      <c r="A113" s="33" t="s">
        <v>321</v>
      </c>
      <c r="B113" s="43" t="s">
        <v>513</v>
      </c>
      <c r="C113" s="81" t="s">
        <v>514</v>
      </c>
      <c r="D113" s="33" t="s">
        <v>515</v>
      </c>
      <c r="E113" s="33" t="s">
        <v>516</v>
      </c>
      <c r="F113" s="34">
        <v>10.0</v>
      </c>
      <c r="G113" s="80"/>
      <c r="H113" s="80"/>
      <c r="I113" s="33" t="s">
        <v>25</v>
      </c>
      <c r="J113" s="33" t="s">
        <v>25</v>
      </c>
      <c r="K113" s="33" t="s">
        <v>25</v>
      </c>
      <c r="L113" s="80"/>
      <c r="M113" s="80"/>
      <c r="N113" s="80"/>
      <c r="O113" s="80"/>
      <c r="P113" s="80"/>
      <c r="Q113" s="80"/>
      <c r="R113" s="80"/>
      <c r="S113" s="80"/>
      <c r="T113" s="80"/>
      <c r="U113" s="80"/>
      <c r="V113" s="80"/>
      <c r="W113" s="80"/>
      <c r="X113" s="80"/>
      <c r="Y113" s="80"/>
      <c r="Z113" s="80"/>
    </row>
    <row r="114">
      <c r="A114" s="33" t="s">
        <v>321</v>
      </c>
      <c r="B114" s="43" t="s">
        <v>517</v>
      </c>
      <c r="C114" s="81" t="s">
        <v>518</v>
      </c>
      <c r="D114" s="33" t="s">
        <v>519</v>
      </c>
      <c r="E114" s="33" t="s">
        <v>520</v>
      </c>
      <c r="F114" s="33" t="s">
        <v>494</v>
      </c>
      <c r="G114" s="80"/>
      <c r="H114" s="80"/>
      <c r="I114" s="33" t="s">
        <v>25</v>
      </c>
      <c r="J114" s="33" t="s">
        <v>25</v>
      </c>
      <c r="K114" s="33" t="s">
        <v>25</v>
      </c>
      <c r="L114" s="80"/>
      <c r="M114" s="80"/>
      <c r="N114" s="80"/>
      <c r="O114" s="80"/>
      <c r="P114" s="80"/>
      <c r="Q114" s="80"/>
      <c r="R114" s="80"/>
      <c r="S114" s="80"/>
      <c r="T114" s="80"/>
      <c r="U114" s="80"/>
      <c r="V114" s="80"/>
      <c r="W114" s="80"/>
      <c r="X114" s="80"/>
      <c r="Y114" s="80"/>
      <c r="Z114" s="80"/>
    </row>
    <row r="115">
      <c r="A115" s="33" t="s">
        <v>321</v>
      </c>
      <c r="B115" s="43" t="s">
        <v>521</v>
      </c>
      <c r="C115" s="81" t="s">
        <v>522</v>
      </c>
      <c r="D115" s="33" t="s">
        <v>523</v>
      </c>
      <c r="E115" s="33" t="s">
        <v>524</v>
      </c>
      <c r="F115" s="34" t="s">
        <v>525</v>
      </c>
      <c r="G115" s="80"/>
      <c r="H115" s="80"/>
      <c r="I115" s="33" t="s">
        <v>25</v>
      </c>
      <c r="J115" s="33" t="s">
        <v>25</v>
      </c>
      <c r="K115" s="33" t="s">
        <v>25</v>
      </c>
      <c r="L115" s="80"/>
      <c r="M115" s="80"/>
      <c r="N115" s="80"/>
      <c r="O115" s="80"/>
      <c r="P115" s="80"/>
      <c r="Q115" s="80"/>
      <c r="R115" s="80"/>
      <c r="S115" s="80"/>
      <c r="T115" s="80"/>
      <c r="U115" s="80"/>
      <c r="V115" s="80"/>
      <c r="W115" s="80"/>
      <c r="X115" s="80"/>
      <c r="Y115" s="80"/>
      <c r="Z115" s="80"/>
    </row>
    <row r="116">
      <c r="A116" s="33" t="s">
        <v>321</v>
      </c>
      <c r="B116" s="43" t="s">
        <v>526</v>
      </c>
      <c r="C116" s="81" t="s">
        <v>527</v>
      </c>
      <c r="D116" s="33" t="s">
        <v>528</v>
      </c>
      <c r="E116" s="33" t="s">
        <v>529</v>
      </c>
      <c r="F116" s="34">
        <v>3.0</v>
      </c>
      <c r="G116" s="80"/>
      <c r="H116" s="80"/>
      <c r="I116" s="33" t="s">
        <v>25</v>
      </c>
      <c r="J116" s="33" t="s">
        <v>25</v>
      </c>
      <c r="K116" s="33" t="s">
        <v>25</v>
      </c>
      <c r="L116" s="80"/>
      <c r="M116" s="80"/>
      <c r="N116" s="80"/>
      <c r="O116" s="80"/>
      <c r="P116" s="80"/>
      <c r="Q116" s="80"/>
      <c r="R116" s="80"/>
      <c r="S116" s="80"/>
      <c r="T116" s="80"/>
      <c r="U116" s="80"/>
      <c r="V116" s="80"/>
      <c r="W116" s="80"/>
      <c r="X116" s="80"/>
      <c r="Y116" s="80"/>
      <c r="Z116" s="80"/>
    </row>
    <row r="117">
      <c r="A117" s="33" t="s">
        <v>321</v>
      </c>
      <c r="B117" s="43" t="s">
        <v>530</v>
      </c>
      <c r="C117" s="81" t="s">
        <v>531</v>
      </c>
      <c r="D117" s="33" t="s">
        <v>532</v>
      </c>
      <c r="E117" s="33" t="s">
        <v>533</v>
      </c>
      <c r="F117" s="33" t="s">
        <v>534</v>
      </c>
      <c r="G117" s="80"/>
      <c r="H117" s="80"/>
      <c r="I117" s="33" t="s">
        <v>25</v>
      </c>
      <c r="J117" s="33" t="s">
        <v>25</v>
      </c>
      <c r="K117" s="33" t="s">
        <v>25</v>
      </c>
      <c r="L117" s="80"/>
      <c r="M117" s="80"/>
      <c r="N117" s="80"/>
      <c r="O117" s="80"/>
      <c r="P117" s="80"/>
      <c r="Q117" s="80"/>
      <c r="R117" s="80"/>
      <c r="S117" s="80"/>
      <c r="T117" s="80"/>
      <c r="U117" s="80"/>
      <c r="V117" s="80"/>
      <c r="W117" s="80"/>
      <c r="X117" s="80"/>
      <c r="Y117" s="80"/>
      <c r="Z117" s="80"/>
    </row>
    <row r="118">
      <c r="A118" s="33" t="s">
        <v>321</v>
      </c>
      <c r="B118" s="43" t="s">
        <v>535</v>
      </c>
      <c r="C118" s="81" t="s">
        <v>536</v>
      </c>
      <c r="D118" s="33" t="s">
        <v>537</v>
      </c>
      <c r="E118" s="33" t="s">
        <v>538</v>
      </c>
      <c r="F118" s="34" t="s">
        <v>539</v>
      </c>
      <c r="G118" s="80"/>
      <c r="H118" s="80"/>
      <c r="I118" s="33" t="s">
        <v>25</v>
      </c>
      <c r="J118" s="33" t="s">
        <v>25</v>
      </c>
      <c r="K118" s="33" t="s">
        <v>25</v>
      </c>
      <c r="L118" s="80"/>
      <c r="M118" s="80"/>
      <c r="N118" s="80"/>
      <c r="O118" s="80"/>
      <c r="P118" s="80"/>
      <c r="Q118" s="80"/>
      <c r="R118" s="80"/>
      <c r="S118" s="80"/>
      <c r="T118" s="80"/>
      <c r="U118" s="80"/>
      <c r="V118" s="80"/>
      <c r="W118" s="80"/>
      <c r="X118" s="80"/>
      <c r="Y118" s="80"/>
      <c r="Z118" s="80"/>
    </row>
    <row r="119">
      <c r="A119" s="33" t="s">
        <v>321</v>
      </c>
      <c r="B119" s="43" t="s">
        <v>540</v>
      </c>
      <c r="C119" s="81" t="s">
        <v>541</v>
      </c>
      <c r="D119" s="33" t="s">
        <v>542</v>
      </c>
      <c r="E119" s="33" t="s">
        <v>543</v>
      </c>
      <c r="F119" s="34">
        <v>1412.0</v>
      </c>
      <c r="G119" s="80"/>
      <c r="H119" s="80"/>
      <c r="I119" s="33" t="s">
        <v>25</v>
      </c>
      <c r="J119" s="33" t="s">
        <v>25</v>
      </c>
      <c r="K119" s="33" t="s">
        <v>25</v>
      </c>
      <c r="L119" s="80"/>
      <c r="M119" s="80"/>
      <c r="N119" s="80"/>
      <c r="O119" s="80"/>
      <c r="P119" s="80"/>
      <c r="Q119" s="80"/>
      <c r="R119" s="80"/>
      <c r="S119" s="80"/>
      <c r="T119" s="80"/>
      <c r="U119" s="80"/>
      <c r="V119" s="80"/>
      <c r="W119" s="80"/>
      <c r="X119" s="80"/>
      <c r="Y119" s="80"/>
      <c r="Z119" s="80"/>
    </row>
    <row r="120">
      <c r="A120" s="33" t="s">
        <v>321</v>
      </c>
      <c r="B120" s="43" t="s">
        <v>544</v>
      </c>
      <c r="C120" s="81" t="s">
        <v>545</v>
      </c>
      <c r="D120" s="33" t="s">
        <v>546</v>
      </c>
      <c r="E120" s="33" t="s">
        <v>547</v>
      </c>
      <c r="F120" s="33" t="s">
        <v>548</v>
      </c>
      <c r="G120" s="80"/>
      <c r="H120" s="80"/>
      <c r="I120" s="33" t="s">
        <v>25</v>
      </c>
      <c r="J120" s="33" t="s">
        <v>25</v>
      </c>
      <c r="K120" s="33" t="s">
        <v>25</v>
      </c>
      <c r="L120" s="80"/>
      <c r="M120" s="80"/>
      <c r="N120" s="80"/>
      <c r="O120" s="80"/>
      <c r="P120" s="80"/>
      <c r="Q120" s="80"/>
      <c r="R120" s="80"/>
      <c r="S120" s="80"/>
      <c r="T120" s="80"/>
      <c r="U120" s="80"/>
      <c r="V120" s="80"/>
      <c r="W120" s="80"/>
      <c r="X120" s="80"/>
      <c r="Y120" s="80"/>
      <c r="Z120" s="80"/>
    </row>
    <row r="121">
      <c r="A121" s="33" t="s">
        <v>321</v>
      </c>
      <c r="B121" s="43" t="s">
        <v>549</v>
      </c>
      <c r="C121" s="81" t="s">
        <v>550</v>
      </c>
      <c r="D121" s="33" t="s">
        <v>551</v>
      </c>
      <c r="E121" s="33" t="s">
        <v>552</v>
      </c>
      <c r="F121" s="34" t="s">
        <v>553</v>
      </c>
      <c r="G121" s="80"/>
      <c r="H121" s="80"/>
      <c r="I121" s="33" t="s">
        <v>25</v>
      </c>
      <c r="J121" s="33" t="s">
        <v>25</v>
      </c>
      <c r="K121" s="33" t="s">
        <v>25</v>
      </c>
      <c r="L121" s="80"/>
      <c r="M121" s="80"/>
      <c r="N121" s="80"/>
      <c r="O121" s="80"/>
      <c r="P121" s="80"/>
      <c r="Q121" s="80"/>
      <c r="R121" s="80"/>
      <c r="S121" s="80"/>
      <c r="T121" s="80"/>
      <c r="U121" s="80"/>
      <c r="V121" s="80"/>
      <c r="W121" s="80"/>
      <c r="X121" s="80"/>
      <c r="Y121" s="80"/>
      <c r="Z121" s="80"/>
    </row>
    <row r="122">
      <c r="A122" s="33" t="s">
        <v>321</v>
      </c>
      <c r="B122" s="43" t="s">
        <v>554</v>
      </c>
      <c r="C122" s="81" t="s">
        <v>555</v>
      </c>
      <c r="D122" s="33" t="s">
        <v>556</v>
      </c>
      <c r="E122" s="33" t="s">
        <v>557</v>
      </c>
      <c r="F122" s="34">
        <v>35.0</v>
      </c>
      <c r="G122" s="80"/>
      <c r="H122" s="80"/>
      <c r="I122" s="33" t="s">
        <v>25</v>
      </c>
      <c r="J122" s="33" t="s">
        <v>25</v>
      </c>
      <c r="K122" s="33" t="s">
        <v>25</v>
      </c>
      <c r="L122" s="80"/>
      <c r="M122" s="80"/>
      <c r="N122" s="80"/>
      <c r="O122" s="80"/>
      <c r="P122" s="80"/>
      <c r="Q122" s="80"/>
      <c r="R122" s="80"/>
      <c r="S122" s="80"/>
      <c r="T122" s="80"/>
      <c r="U122" s="80"/>
      <c r="V122" s="80"/>
      <c r="W122" s="80"/>
      <c r="X122" s="80"/>
      <c r="Y122" s="80"/>
      <c r="Z122" s="80"/>
    </row>
    <row r="123">
      <c r="A123" s="33" t="s">
        <v>321</v>
      </c>
      <c r="B123" s="43" t="s">
        <v>558</v>
      </c>
      <c r="C123" s="81" t="s">
        <v>559</v>
      </c>
      <c r="D123" s="33" t="s">
        <v>560</v>
      </c>
      <c r="E123" s="33" t="s">
        <v>561</v>
      </c>
      <c r="F123" s="33" t="s">
        <v>562</v>
      </c>
      <c r="G123" s="80"/>
      <c r="H123" s="80"/>
      <c r="I123" s="33" t="s">
        <v>25</v>
      </c>
      <c r="J123" s="33" t="s">
        <v>25</v>
      </c>
      <c r="K123" s="33" t="s">
        <v>25</v>
      </c>
      <c r="L123" s="80"/>
      <c r="M123" s="80"/>
      <c r="N123" s="80"/>
      <c r="O123" s="80"/>
      <c r="P123" s="80"/>
      <c r="Q123" s="80"/>
      <c r="R123" s="80"/>
      <c r="S123" s="80"/>
      <c r="T123" s="80"/>
      <c r="U123" s="80"/>
      <c r="V123" s="80"/>
      <c r="W123" s="80"/>
      <c r="X123" s="80"/>
      <c r="Y123" s="80"/>
      <c r="Z123" s="80"/>
    </row>
    <row r="124">
      <c r="A124" s="33" t="s">
        <v>321</v>
      </c>
      <c r="B124" s="43" t="s">
        <v>563</v>
      </c>
      <c r="C124" s="81" t="s">
        <v>564</v>
      </c>
      <c r="D124" s="33" t="s">
        <v>565</v>
      </c>
      <c r="E124" s="33" t="s">
        <v>566</v>
      </c>
      <c r="F124" s="34" t="s">
        <v>567</v>
      </c>
      <c r="G124" s="80"/>
      <c r="H124" s="80"/>
      <c r="I124" s="33" t="s">
        <v>25</v>
      </c>
      <c r="J124" s="33" t="s">
        <v>25</v>
      </c>
      <c r="K124" s="33" t="s">
        <v>25</v>
      </c>
      <c r="L124" s="80"/>
      <c r="M124" s="80"/>
      <c r="N124" s="80"/>
      <c r="O124" s="80"/>
      <c r="P124" s="80"/>
      <c r="Q124" s="80"/>
      <c r="R124" s="80"/>
      <c r="S124" s="80"/>
      <c r="T124" s="80"/>
      <c r="U124" s="80"/>
      <c r="V124" s="80"/>
      <c r="W124" s="80"/>
      <c r="X124" s="80"/>
      <c r="Y124" s="80"/>
      <c r="Z124" s="80"/>
    </row>
    <row r="125">
      <c r="A125" s="33" t="s">
        <v>321</v>
      </c>
      <c r="B125" s="43" t="s">
        <v>568</v>
      </c>
      <c r="C125" s="81" t="s">
        <v>569</v>
      </c>
      <c r="D125" s="33" t="s">
        <v>570</v>
      </c>
      <c r="E125" s="33" t="s">
        <v>571</v>
      </c>
      <c r="F125" s="34">
        <v>120.0</v>
      </c>
      <c r="G125" s="80"/>
      <c r="H125" s="80"/>
      <c r="I125" s="33" t="s">
        <v>25</v>
      </c>
      <c r="J125" s="33" t="s">
        <v>25</v>
      </c>
      <c r="K125" s="33" t="s">
        <v>25</v>
      </c>
      <c r="L125" s="80"/>
      <c r="M125" s="80"/>
      <c r="N125" s="80"/>
      <c r="O125" s="80"/>
      <c r="P125" s="80"/>
      <c r="Q125" s="80"/>
      <c r="R125" s="80"/>
      <c r="S125" s="80"/>
      <c r="T125" s="80"/>
      <c r="U125" s="80"/>
      <c r="V125" s="80"/>
      <c r="W125" s="80"/>
      <c r="X125" s="80"/>
      <c r="Y125" s="80"/>
      <c r="Z125" s="80"/>
    </row>
    <row r="126">
      <c r="A126" s="33" t="s">
        <v>321</v>
      </c>
      <c r="B126" s="43" t="s">
        <v>572</v>
      </c>
      <c r="C126" s="81" t="s">
        <v>573</v>
      </c>
      <c r="D126" s="33" t="s">
        <v>574</v>
      </c>
      <c r="E126" s="33" t="s">
        <v>575</v>
      </c>
      <c r="F126" s="33" t="s">
        <v>467</v>
      </c>
      <c r="G126" s="80"/>
      <c r="H126" s="80"/>
      <c r="I126" s="33" t="s">
        <v>25</v>
      </c>
      <c r="J126" s="33" t="s">
        <v>25</v>
      </c>
      <c r="K126" s="33" t="s">
        <v>25</v>
      </c>
      <c r="L126" s="80"/>
      <c r="M126" s="80"/>
      <c r="N126" s="80"/>
      <c r="O126" s="80"/>
      <c r="P126" s="80"/>
      <c r="Q126" s="80"/>
      <c r="R126" s="80"/>
      <c r="S126" s="80"/>
      <c r="T126" s="80"/>
      <c r="U126" s="80"/>
      <c r="V126" s="80"/>
      <c r="W126" s="80"/>
      <c r="X126" s="80"/>
      <c r="Y126" s="80"/>
      <c r="Z126" s="80"/>
    </row>
    <row r="127">
      <c r="A127" s="33" t="s">
        <v>321</v>
      </c>
      <c r="B127" s="43" t="s">
        <v>576</v>
      </c>
      <c r="C127" s="81" t="s">
        <v>577</v>
      </c>
      <c r="D127" s="33" t="s">
        <v>578</v>
      </c>
      <c r="E127" s="33" t="s">
        <v>579</v>
      </c>
      <c r="F127" s="34" t="s">
        <v>580</v>
      </c>
      <c r="G127" s="80"/>
      <c r="H127" s="80"/>
      <c r="I127" s="33" t="s">
        <v>25</v>
      </c>
      <c r="J127" s="33" t="s">
        <v>25</v>
      </c>
      <c r="K127" s="33" t="s">
        <v>25</v>
      </c>
      <c r="L127" s="80"/>
      <c r="M127" s="80"/>
      <c r="N127" s="80"/>
      <c r="O127" s="80"/>
      <c r="P127" s="80"/>
      <c r="Q127" s="80"/>
      <c r="R127" s="80"/>
      <c r="S127" s="80"/>
      <c r="T127" s="80"/>
      <c r="U127" s="80"/>
      <c r="V127" s="80"/>
      <c r="W127" s="80"/>
      <c r="X127" s="80"/>
      <c r="Y127" s="80"/>
      <c r="Z127" s="80"/>
    </row>
    <row r="128">
      <c r="A128" s="33" t="s">
        <v>321</v>
      </c>
      <c r="B128" s="43" t="s">
        <v>581</v>
      </c>
      <c r="C128" s="81" t="s">
        <v>582</v>
      </c>
      <c r="D128" s="33" t="s">
        <v>583</v>
      </c>
      <c r="E128" s="33" t="s">
        <v>584</v>
      </c>
      <c r="F128" s="34">
        <v>2.0</v>
      </c>
      <c r="G128" s="80"/>
      <c r="H128" s="80"/>
      <c r="I128" s="33" t="s">
        <v>25</v>
      </c>
      <c r="J128" s="33" t="s">
        <v>25</v>
      </c>
      <c r="K128" s="33" t="s">
        <v>25</v>
      </c>
      <c r="L128" s="80"/>
      <c r="M128" s="80"/>
      <c r="N128" s="80"/>
      <c r="O128" s="80"/>
      <c r="P128" s="80"/>
      <c r="Q128" s="80"/>
      <c r="R128" s="80"/>
      <c r="S128" s="80"/>
      <c r="T128" s="80"/>
      <c r="U128" s="80"/>
      <c r="V128" s="80"/>
      <c r="W128" s="80"/>
      <c r="X128" s="80"/>
      <c r="Y128" s="80"/>
      <c r="Z128" s="80"/>
    </row>
    <row r="129">
      <c r="A129" s="33" t="s">
        <v>321</v>
      </c>
      <c r="B129" s="43" t="s">
        <v>585</v>
      </c>
      <c r="C129" s="81" t="s">
        <v>586</v>
      </c>
      <c r="D129" s="33" t="s">
        <v>587</v>
      </c>
      <c r="E129" s="33" t="s">
        <v>588</v>
      </c>
      <c r="F129" s="33" t="s">
        <v>589</v>
      </c>
      <c r="G129" s="80"/>
      <c r="H129" s="80"/>
      <c r="I129" s="33" t="s">
        <v>25</v>
      </c>
      <c r="J129" s="33" t="s">
        <v>25</v>
      </c>
      <c r="K129" s="33" t="s">
        <v>25</v>
      </c>
      <c r="L129" s="80"/>
      <c r="M129" s="80"/>
      <c r="N129" s="80"/>
      <c r="O129" s="80"/>
      <c r="P129" s="80"/>
      <c r="Q129" s="80"/>
      <c r="R129" s="80"/>
      <c r="S129" s="80"/>
      <c r="T129" s="80"/>
      <c r="U129" s="80"/>
      <c r="V129" s="80"/>
      <c r="W129" s="80"/>
      <c r="X129" s="80"/>
      <c r="Y129" s="80"/>
      <c r="Z129" s="80"/>
    </row>
    <row r="130">
      <c r="A130" s="33" t="s">
        <v>321</v>
      </c>
      <c r="B130" s="43" t="s">
        <v>590</v>
      </c>
      <c r="C130" s="81" t="s">
        <v>591</v>
      </c>
      <c r="D130" s="33" t="s">
        <v>592</v>
      </c>
      <c r="E130" s="33" t="s">
        <v>593</v>
      </c>
      <c r="F130" s="34" t="s">
        <v>594</v>
      </c>
      <c r="G130" s="80"/>
      <c r="H130" s="80"/>
      <c r="I130" s="33" t="s">
        <v>25</v>
      </c>
      <c r="J130" s="33" t="s">
        <v>25</v>
      </c>
      <c r="K130" s="33" t="s">
        <v>25</v>
      </c>
      <c r="L130" s="80"/>
      <c r="M130" s="80"/>
      <c r="N130" s="80"/>
      <c r="O130" s="80"/>
      <c r="P130" s="80"/>
      <c r="Q130" s="80"/>
      <c r="R130" s="80"/>
      <c r="S130" s="80"/>
      <c r="T130" s="80"/>
      <c r="U130" s="80"/>
      <c r="V130" s="80"/>
      <c r="W130" s="80"/>
      <c r="X130" s="80"/>
      <c r="Y130" s="80"/>
      <c r="Z130" s="80"/>
    </row>
    <row r="131">
      <c r="A131" s="33" t="s">
        <v>321</v>
      </c>
      <c r="B131" s="82" t="s">
        <v>595</v>
      </c>
      <c r="C131" s="81" t="s">
        <v>596</v>
      </c>
      <c r="D131" s="33" t="s">
        <v>597</v>
      </c>
      <c r="E131" s="33" t="s">
        <v>598</v>
      </c>
      <c r="F131" s="34" t="s">
        <v>599</v>
      </c>
      <c r="G131" s="80"/>
      <c r="H131" s="80"/>
      <c r="I131" s="33" t="s">
        <v>25</v>
      </c>
      <c r="J131" s="33" t="s">
        <v>25</v>
      </c>
      <c r="K131" s="33" t="s">
        <v>25</v>
      </c>
      <c r="L131" s="80"/>
      <c r="M131" s="80"/>
      <c r="N131" s="80"/>
      <c r="O131" s="80"/>
      <c r="P131" s="80"/>
      <c r="Q131" s="80"/>
      <c r="R131" s="80"/>
      <c r="S131" s="80"/>
      <c r="T131" s="80"/>
      <c r="U131" s="80"/>
      <c r="V131" s="80"/>
      <c r="W131" s="80"/>
      <c r="X131" s="80"/>
      <c r="Y131" s="80"/>
      <c r="Z131" s="80"/>
    </row>
    <row r="132">
      <c r="A132" s="33" t="s">
        <v>321</v>
      </c>
      <c r="B132" s="82" t="s">
        <v>600</v>
      </c>
      <c r="C132" s="81" t="s">
        <v>601</v>
      </c>
      <c r="D132" s="33" t="s">
        <v>602</v>
      </c>
      <c r="E132" s="33" t="s">
        <v>603</v>
      </c>
      <c r="F132" s="34">
        <v>10.0</v>
      </c>
      <c r="G132" s="80"/>
      <c r="H132" s="80"/>
      <c r="I132" s="33" t="s">
        <v>25</v>
      </c>
      <c r="J132" s="33" t="s">
        <v>25</v>
      </c>
      <c r="K132" s="33" t="s">
        <v>25</v>
      </c>
      <c r="L132" s="80"/>
      <c r="M132" s="80"/>
      <c r="N132" s="80"/>
      <c r="O132" s="80"/>
      <c r="P132" s="80"/>
      <c r="Q132" s="80"/>
      <c r="R132" s="80"/>
      <c r="S132" s="80"/>
      <c r="T132" s="80"/>
      <c r="U132" s="80"/>
      <c r="V132" s="80"/>
      <c r="W132" s="80"/>
      <c r="X132" s="80"/>
      <c r="Y132" s="80"/>
      <c r="Z132" s="80"/>
    </row>
    <row r="133">
      <c r="A133" s="33" t="s">
        <v>321</v>
      </c>
      <c r="B133" s="82" t="s">
        <v>604</v>
      </c>
      <c r="C133" s="81" t="s">
        <v>605</v>
      </c>
      <c r="D133" s="33" t="s">
        <v>606</v>
      </c>
      <c r="E133" s="33" t="s">
        <v>607</v>
      </c>
      <c r="F133" s="33" t="s">
        <v>608</v>
      </c>
      <c r="G133" s="80"/>
      <c r="H133" s="80"/>
      <c r="I133" s="33" t="s">
        <v>25</v>
      </c>
      <c r="J133" s="33" t="s">
        <v>25</v>
      </c>
      <c r="K133" s="33" t="s">
        <v>25</v>
      </c>
      <c r="L133" s="80"/>
      <c r="M133" s="80"/>
      <c r="N133" s="80"/>
      <c r="O133" s="80"/>
      <c r="P133" s="80"/>
      <c r="Q133" s="80"/>
      <c r="R133" s="80"/>
      <c r="S133" s="80"/>
      <c r="T133" s="80"/>
      <c r="U133" s="80"/>
      <c r="V133" s="80"/>
      <c r="W133" s="80"/>
      <c r="X133" s="80"/>
      <c r="Y133" s="80"/>
      <c r="Z133" s="80"/>
    </row>
    <row r="134">
      <c r="A134" s="33" t="s">
        <v>321</v>
      </c>
      <c r="B134" s="43" t="s">
        <v>609</v>
      </c>
      <c r="C134" s="81" t="s">
        <v>610</v>
      </c>
      <c r="D134" s="33" t="s">
        <v>611</v>
      </c>
      <c r="E134" s="33" t="s">
        <v>612</v>
      </c>
      <c r="F134" s="34" t="s">
        <v>613</v>
      </c>
      <c r="G134" s="80"/>
      <c r="H134" s="80"/>
      <c r="I134" s="33" t="s">
        <v>25</v>
      </c>
      <c r="J134" s="33" t="s">
        <v>25</v>
      </c>
      <c r="K134" s="33" t="s">
        <v>25</v>
      </c>
      <c r="L134" s="80"/>
      <c r="M134" s="80"/>
      <c r="N134" s="80"/>
      <c r="O134" s="80"/>
      <c r="P134" s="80"/>
      <c r="Q134" s="80"/>
      <c r="R134" s="80"/>
      <c r="S134" s="80"/>
      <c r="T134" s="80"/>
      <c r="U134" s="80"/>
      <c r="V134" s="80"/>
      <c r="W134" s="80"/>
      <c r="X134" s="80"/>
      <c r="Y134" s="80"/>
      <c r="Z134" s="80"/>
    </row>
    <row r="135">
      <c r="A135" s="33" t="s">
        <v>321</v>
      </c>
      <c r="B135" s="43" t="s">
        <v>614</v>
      </c>
      <c r="C135" s="81" t="s">
        <v>615</v>
      </c>
      <c r="D135" s="33" t="s">
        <v>616</v>
      </c>
      <c r="E135" s="33" t="s">
        <v>617</v>
      </c>
      <c r="F135" s="34">
        <v>3.0</v>
      </c>
      <c r="G135" s="80"/>
      <c r="H135" s="80"/>
      <c r="I135" s="33" t="s">
        <v>25</v>
      </c>
      <c r="J135" s="33" t="s">
        <v>25</v>
      </c>
      <c r="K135" s="33" t="s">
        <v>25</v>
      </c>
      <c r="L135" s="80"/>
      <c r="M135" s="80"/>
      <c r="N135" s="80"/>
      <c r="O135" s="80"/>
      <c r="P135" s="80"/>
      <c r="Q135" s="80"/>
      <c r="R135" s="80"/>
      <c r="S135" s="80"/>
      <c r="T135" s="80"/>
      <c r="U135" s="80"/>
      <c r="V135" s="80"/>
      <c r="W135" s="80"/>
      <c r="X135" s="80"/>
      <c r="Y135" s="80"/>
      <c r="Z135" s="80"/>
    </row>
    <row r="136">
      <c r="A136" s="33" t="s">
        <v>321</v>
      </c>
      <c r="B136" s="43" t="s">
        <v>618</v>
      </c>
      <c r="C136" s="81" t="s">
        <v>619</v>
      </c>
      <c r="D136" s="33" t="s">
        <v>620</v>
      </c>
      <c r="E136" s="33" t="s">
        <v>621</v>
      </c>
      <c r="F136" s="33" t="s">
        <v>622</v>
      </c>
      <c r="G136" s="80"/>
      <c r="H136" s="80"/>
      <c r="I136" s="33" t="s">
        <v>25</v>
      </c>
      <c r="J136" s="33" t="s">
        <v>25</v>
      </c>
      <c r="K136" s="33" t="s">
        <v>25</v>
      </c>
      <c r="L136" s="80"/>
      <c r="M136" s="80"/>
      <c r="N136" s="80"/>
      <c r="O136" s="80"/>
      <c r="P136" s="80"/>
      <c r="Q136" s="80"/>
      <c r="R136" s="80"/>
      <c r="S136" s="80"/>
      <c r="T136" s="80"/>
      <c r="U136" s="80"/>
      <c r="V136" s="80"/>
      <c r="W136" s="80"/>
      <c r="X136" s="80"/>
      <c r="Y136" s="80"/>
      <c r="Z136" s="80"/>
    </row>
    <row r="137">
      <c r="A137" s="33" t="s">
        <v>321</v>
      </c>
      <c r="B137" s="43" t="s">
        <v>623</v>
      </c>
      <c r="C137" s="81" t="s">
        <v>624</v>
      </c>
      <c r="D137" s="33" t="s">
        <v>625</v>
      </c>
      <c r="E137" s="33" t="s">
        <v>626</v>
      </c>
      <c r="F137" s="34" t="s">
        <v>627</v>
      </c>
      <c r="G137" s="80"/>
      <c r="H137" s="80"/>
      <c r="I137" s="33" t="s">
        <v>25</v>
      </c>
      <c r="J137" s="33" t="s">
        <v>25</v>
      </c>
      <c r="K137" s="33" t="s">
        <v>25</v>
      </c>
      <c r="L137" s="80"/>
      <c r="M137" s="80"/>
      <c r="N137" s="80"/>
      <c r="O137" s="80"/>
      <c r="P137" s="80"/>
      <c r="Q137" s="80"/>
      <c r="R137" s="80"/>
      <c r="S137" s="80"/>
      <c r="T137" s="80"/>
      <c r="U137" s="80"/>
      <c r="V137" s="80"/>
      <c r="W137" s="80"/>
      <c r="X137" s="80"/>
      <c r="Y137" s="80"/>
      <c r="Z137" s="80"/>
    </row>
    <row r="138">
      <c r="A138" s="33" t="s">
        <v>321</v>
      </c>
      <c r="B138" s="43" t="s">
        <v>628</v>
      </c>
      <c r="C138" s="81" t="s">
        <v>629</v>
      </c>
      <c r="D138" s="33" t="s">
        <v>630</v>
      </c>
      <c r="E138" s="33" t="s">
        <v>631</v>
      </c>
      <c r="F138" s="34" t="s">
        <v>632</v>
      </c>
      <c r="G138" s="80"/>
      <c r="H138" s="80"/>
      <c r="I138" s="33" t="s">
        <v>25</v>
      </c>
      <c r="J138" s="33" t="s">
        <v>25</v>
      </c>
      <c r="K138" s="33" t="s">
        <v>25</v>
      </c>
      <c r="L138" s="80"/>
      <c r="M138" s="80"/>
      <c r="N138" s="80"/>
      <c r="O138" s="80"/>
      <c r="P138" s="80"/>
      <c r="Q138" s="80"/>
      <c r="R138" s="80"/>
      <c r="S138" s="80"/>
      <c r="T138" s="80"/>
      <c r="U138" s="80"/>
      <c r="V138" s="80"/>
      <c r="W138" s="80"/>
      <c r="X138" s="80"/>
      <c r="Y138" s="80"/>
      <c r="Z138" s="80"/>
    </row>
    <row r="139">
      <c r="A139" s="33" t="s">
        <v>321</v>
      </c>
      <c r="B139" s="43" t="s">
        <v>633</v>
      </c>
      <c r="C139" s="81" t="s">
        <v>634</v>
      </c>
      <c r="D139" s="33" t="s">
        <v>635</v>
      </c>
      <c r="E139" s="33" t="s">
        <v>636</v>
      </c>
      <c r="F139" s="34">
        <v>3.0</v>
      </c>
      <c r="G139" s="80"/>
      <c r="H139" s="80"/>
      <c r="I139" s="33" t="s">
        <v>25</v>
      </c>
      <c r="J139" s="33" t="s">
        <v>25</v>
      </c>
      <c r="K139" s="33" t="s">
        <v>25</v>
      </c>
      <c r="L139" s="80"/>
      <c r="M139" s="80"/>
      <c r="N139" s="80"/>
      <c r="O139" s="80"/>
      <c r="P139" s="80"/>
      <c r="Q139" s="80"/>
      <c r="R139" s="80"/>
      <c r="S139" s="80"/>
      <c r="T139" s="80"/>
      <c r="U139" s="80"/>
      <c r="V139" s="80"/>
      <c r="W139" s="80"/>
      <c r="X139" s="80"/>
      <c r="Y139" s="80"/>
      <c r="Z139" s="80"/>
    </row>
    <row r="140">
      <c r="A140" s="33" t="s">
        <v>321</v>
      </c>
      <c r="B140" s="43" t="s">
        <v>637</v>
      </c>
      <c r="C140" s="81" t="s">
        <v>638</v>
      </c>
      <c r="D140" s="33" t="s">
        <v>639</v>
      </c>
      <c r="E140" s="33" t="s">
        <v>640</v>
      </c>
      <c r="F140" s="34" t="s">
        <v>641</v>
      </c>
      <c r="G140" s="80"/>
      <c r="H140" s="80"/>
      <c r="I140" s="33" t="s">
        <v>25</v>
      </c>
      <c r="J140" s="33" t="s">
        <v>25</v>
      </c>
      <c r="K140" s="33" t="s">
        <v>25</v>
      </c>
      <c r="L140" s="80"/>
      <c r="M140" s="80"/>
      <c r="N140" s="80"/>
      <c r="O140" s="80"/>
      <c r="P140" s="80"/>
      <c r="Q140" s="80"/>
      <c r="R140" s="80"/>
      <c r="S140" s="80"/>
      <c r="T140" s="80"/>
      <c r="U140" s="80"/>
      <c r="V140" s="80"/>
      <c r="W140" s="80"/>
      <c r="X140" s="80"/>
      <c r="Y140" s="80"/>
      <c r="Z140" s="80"/>
    </row>
    <row r="141">
      <c r="A141" s="33" t="s">
        <v>321</v>
      </c>
      <c r="B141" s="43" t="s">
        <v>642</v>
      </c>
      <c r="C141" s="81" t="s">
        <v>643</v>
      </c>
      <c r="D141" s="33" t="s">
        <v>644</v>
      </c>
      <c r="E141" s="33" t="s">
        <v>645</v>
      </c>
      <c r="F141" s="34"/>
      <c r="G141" s="80"/>
      <c r="H141" s="80"/>
      <c r="I141" s="33" t="s">
        <v>25</v>
      </c>
      <c r="J141" s="33" t="s">
        <v>25</v>
      </c>
      <c r="K141" s="33" t="s">
        <v>25</v>
      </c>
      <c r="L141" s="80"/>
      <c r="M141" s="80"/>
      <c r="N141" s="80"/>
      <c r="O141" s="80"/>
      <c r="P141" s="80"/>
      <c r="Q141" s="80"/>
      <c r="R141" s="80"/>
      <c r="S141" s="80"/>
      <c r="T141" s="80"/>
      <c r="U141" s="80"/>
      <c r="V141" s="80"/>
      <c r="W141" s="80"/>
      <c r="X141" s="80"/>
      <c r="Y141" s="80"/>
      <c r="Z141" s="80"/>
    </row>
    <row r="142">
      <c r="A142" s="33" t="s">
        <v>321</v>
      </c>
      <c r="B142" s="43" t="s">
        <v>646</v>
      </c>
      <c r="C142" s="81" t="s">
        <v>647</v>
      </c>
      <c r="D142" s="33" t="s">
        <v>648</v>
      </c>
      <c r="E142" s="33" t="s">
        <v>378</v>
      </c>
      <c r="F142" s="34">
        <v>20.0</v>
      </c>
      <c r="G142" s="80"/>
      <c r="H142" s="80"/>
      <c r="I142" s="33" t="s">
        <v>25</v>
      </c>
      <c r="J142" s="33" t="s">
        <v>25</v>
      </c>
      <c r="K142" s="33" t="s">
        <v>25</v>
      </c>
      <c r="L142" s="80"/>
      <c r="M142" s="80"/>
      <c r="N142" s="80"/>
      <c r="O142" s="80"/>
      <c r="P142" s="80"/>
      <c r="Q142" s="80"/>
      <c r="R142" s="80"/>
      <c r="S142" s="80"/>
      <c r="T142" s="80"/>
      <c r="U142" s="80"/>
      <c r="V142" s="80"/>
      <c r="W142" s="80"/>
      <c r="X142" s="80"/>
      <c r="Y142" s="80"/>
      <c r="Z142" s="80"/>
    </row>
    <row r="143">
      <c r="A143" s="33" t="s">
        <v>321</v>
      </c>
      <c r="B143" s="43" t="s">
        <v>649</v>
      </c>
      <c r="C143" s="81" t="s">
        <v>650</v>
      </c>
      <c r="D143" s="33" t="s">
        <v>651</v>
      </c>
      <c r="E143" s="33" t="s">
        <v>382</v>
      </c>
      <c r="F143" s="33" t="s">
        <v>383</v>
      </c>
      <c r="G143" s="80"/>
      <c r="H143" s="80"/>
      <c r="I143" s="33" t="s">
        <v>25</v>
      </c>
      <c r="J143" s="33" t="s">
        <v>25</v>
      </c>
      <c r="K143" s="33" t="s">
        <v>25</v>
      </c>
      <c r="L143" s="80"/>
      <c r="M143" s="80"/>
      <c r="N143" s="80"/>
      <c r="O143" s="80"/>
      <c r="P143" s="80"/>
      <c r="Q143" s="80"/>
      <c r="R143" s="80"/>
      <c r="S143" s="80"/>
      <c r="T143" s="80"/>
      <c r="U143" s="80"/>
      <c r="V143" s="80"/>
      <c r="W143" s="80"/>
      <c r="X143" s="80"/>
      <c r="Y143" s="80"/>
      <c r="Z143" s="80"/>
    </row>
    <row r="144">
      <c r="A144" s="33" t="s">
        <v>321</v>
      </c>
      <c r="B144" s="43" t="s">
        <v>652</v>
      </c>
      <c r="C144" s="81" t="s">
        <v>653</v>
      </c>
      <c r="D144" s="33" t="s">
        <v>654</v>
      </c>
      <c r="E144" s="33" t="s">
        <v>378</v>
      </c>
      <c r="F144" s="34">
        <v>22.0</v>
      </c>
      <c r="G144" s="80"/>
      <c r="H144" s="80"/>
      <c r="I144" s="33" t="s">
        <v>25</v>
      </c>
      <c r="J144" s="33" t="s">
        <v>25</v>
      </c>
      <c r="K144" s="33" t="s">
        <v>25</v>
      </c>
      <c r="L144" s="80"/>
      <c r="M144" s="80"/>
      <c r="N144" s="80"/>
      <c r="O144" s="80"/>
      <c r="P144" s="80"/>
      <c r="Q144" s="80"/>
      <c r="R144" s="80"/>
      <c r="S144" s="80"/>
      <c r="T144" s="80"/>
      <c r="U144" s="80"/>
      <c r="V144" s="80"/>
      <c r="W144" s="80"/>
      <c r="X144" s="80"/>
      <c r="Y144" s="80"/>
      <c r="Z144" s="80"/>
    </row>
    <row r="145">
      <c r="A145" s="33" t="s">
        <v>321</v>
      </c>
      <c r="B145" s="43" t="s">
        <v>655</v>
      </c>
      <c r="C145" s="81" t="s">
        <v>656</v>
      </c>
      <c r="D145" s="33" t="s">
        <v>657</v>
      </c>
      <c r="E145" s="33" t="s">
        <v>382</v>
      </c>
      <c r="F145" s="33" t="s">
        <v>383</v>
      </c>
      <c r="G145" s="80"/>
      <c r="H145" s="80"/>
      <c r="I145" s="33" t="s">
        <v>25</v>
      </c>
      <c r="J145" s="33" t="s">
        <v>25</v>
      </c>
      <c r="K145" s="33" t="s">
        <v>25</v>
      </c>
      <c r="L145" s="80"/>
      <c r="M145" s="80"/>
      <c r="N145" s="80"/>
      <c r="O145" s="80"/>
      <c r="P145" s="80"/>
      <c r="Q145" s="80"/>
      <c r="R145" s="80"/>
      <c r="S145" s="80"/>
      <c r="T145" s="80"/>
      <c r="U145" s="80"/>
      <c r="V145" s="80"/>
      <c r="W145" s="80"/>
      <c r="X145" s="80"/>
      <c r="Y145" s="80"/>
      <c r="Z145" s="80"/>
    </row>
    <row r="146">
      <c r="A146" s="93" t="s">
        <v>658</v>
      </c>
      <c r="B146" s="97" t="s">
        <v>92</v>
      </c>
      <c r="C146" s="98" t="s">
        <v>659</v>
      </c>
      <c r="D146" s="9"/>
      <c r="E146" s="9"/>
      <c r="F146" s="9"/>
      <c r="G146" s="99"/>
      <c r="H146" s="99"/>
      <c r="I146" s="99"/>
      <c r="J146" s="99"/>
      <c r="K146" s="99"/>
      <c r="L146" s="99"/>
      <c r="M146" s="99"/>
      <c r="N146" s="99"/>
      <c r="O146" s="99"/>
      <c r="P146" s="99"/>
      <c r="Q146" s="99"/>
      <c r="R146" s="99"/>
      <c r="S146" s="99"/>
      <c r="T146" s="99"/>
      <c r="U146" s="99"/>
      <c r="V146" s="99"/>
      <c r="W146" s="99"/>
      <c r="X146" s="99"/>
      <c r="Y146" s="99"/>
      <c r="Z146" s="99"/>
    </row>
    <row r="147">
      <c r="A147" s="33" t="s">
        <v>658</v>
      </c>
      <c r="B147" s="82" t="s">
        <v>660</v>
      </c>
      <c r="C147" s="100" t="s">
        <v>661</v>
      </c>
      <c r="D147" s="101" t="s">
        <v>662</v>
      </c>
      <c r="E147" s="101" t="s">
        <v>663</v>
      </c>
      <c r="F147" s="102" t="s">
        <v>664</v>
      </c>
      <c r="G147" s="80"/>
      <c r="H147" s="80"/>
      <c r="I147" s="33" t="s">
        <v>25</v>
      </c>
      <c r="J147" s="33" t="s">
        <v>25</v>
      </c>
      <c r="K147" s="33" t="s">
        <v>25</v>
      </c>
      <c r="L147" s="80"/>
      <c r="M147" s="80"/>
      <c r="N147" s="80"/>
      <c r="O147" s="80"/>
      <c r="P147" s="80"/>
      <c r="Q147" s="80"/>
      <c r="R147" s="80"/>
      <c r="S147" s="80"/>
      <c r="T147" s="80"/>
      <c r="U147" s="80"/>
      <c r="V147" s="80"/>
      <c r="W147" s="80"/>
      <c r="X147" s="80"/>
      <c r="Y147" s="80"/>
      <c r="Z147" s="80"/>
    </row>
    <row r="148">
      <c r="A148" s="33" t="s">
        <v>658</v>
      </c>
      <c r="B148" s="103" t="s">
        <v>665</v>
      </c>
      <c r="C148" s="100" t="s">
        <v>666</v>
      </c>
      <c r="D148" s="101" t="s">
        <v>667</v>
      </c>
      <c r="E148" s="101" t="s">
        <v>668</v>
      </c>
      <c r="F148" s="102" t="s">
        <v>669</v>
      </c>
      <c r="G148" s="80"/>
      <c r="H148" s="80"/>
      <c r="I148" s="33" t="s">
        <v>25</v>
      </c>
      <c r="J148" s="33" t="s">
        <v>25</v>
      </c>
      <c r="K148" s="33" t="s">
        <v>25</v>
      </c>
      <c r="L148" s="80"/>
      <c r="M148" s="80"/>
      <c r="N148" s="80"/>
      <c r="O148" s="80"/>
      <c r="P148" s="80"/>
      <c r="Q148" s="80"/>
      <c r="R148" s="80"/>
      <c r="S148" s="80"/>
      <c r="T148" s="80"/>
      <c r="U148" s="80"/>
      <c r="V148" s="80"/>
      <c r="W148" s="80"/>
      <c r="X148" s="80"/>
      <c r="Y148" s="80"/>
      <c r="Z148" s="80"/>
    </row>
    <row r="149">
      <c r="A149" s="33" t="s">
        <v>658</v>
      </c>
      <c r="B149" s="104" t="s">
        <v>670</v>
      </c>
      <c r="C149" s="100" t="s">
        <v>671</v>
      </c>
      <c r="D149" s="101" t="s">
        <v>672</v>
      </c>
      <c r="E149" s="101" t="s">
        <v>673</v>
      </c>
      <c r="F149" s="102" t="s">
        <v>674</v>
      </c>
      <c r="G149" s="80"/>
      <c r="H149" s="80"/>
      <c r="I149" s="33" t="s">
        <v>25</v>
      </c>
      <c r="J149" s="33" t="s">
        <v>25</v>
      </c>
      <c r="K149" s="33" t="s">
        <v>25</v>
      </c>
      <c r="L149" s="80"/>
      <c r="M149" s="80"/>
      <c r="N149" s="80"/>
      <c r="O149" s="80"/>
      <c r="P149" s="80"/>
      <c r="Q149" s="80"/>
      <c r="R149" s="80"/>
      <c r="S149" s="80"/>
      <c r="T149" s="80"/>
      <c r="U149" s="80"/>
      <c r="V149" s="80"/>
      <c r="W149" s="80"/>
      <c r="X149" s="80"/>
      <c r="Y149" s="80"/>
      <c r="Z149" s="80"/>
    </row>
    <row r="150">
      <c r="A150" s="33" t="s">
        <v>658</v>
      </c>
      <c r="B150" s="82" t="s">
        <v>675</v>
      </c>
      <c r="C150" s="100" t="s">
        <v>676</v>
      </c>
      <c r="D150" s="101" t="s">
        <v>677</v>
      </c>
      <c r="E150" s="101" t="s">
        <v>678</v>
      </c>
      <c r="F150" s="102" t="s">
        <v>679</v>
      </c>
      <c r="G150" s="80"/>
      <c r="H150" s="80"/>
      <c r="I150" s="33" t="s">
        <v>25</v>
      </c>
      <c r="J150" s="33" t="s">
        <v>25</v>
      </c>
      <c r="K150" s="33" t="s">
        <v>25</v>
      </c>
      <c r="L150" s="80"/>
      <c r="M150" s="80"/>
      <c r="N150" s="80"/>
      <c r="O150" s="80"/>
      <c r="P150" s="80"/>
      <c r="Q150" s="80"/>
      <c r="R150" s="80"/>
      <c r="S150" s="80"/>
      <c r="T150" s="80"/>
      <c r="U150" s="80"/>
      <c r="V150" s="80"/>
      <c r="W150" s="80"/>
      <c r="X150" s="80"/>
      <c r="Y150" s="80"/>
      <c r="Z150" s="80"/>
    </row>
    <row r="151">
      <c r="A151" s="33" t="s">
        <v>658</v>
      </c>
      <c r="B151" s="43" t="s">
        <v>680</v>
      </c>
      <c r="C151" s="100" t="s">
        <v>681</v>
      </c>
      <c r="D151" s="101" t="s">
        <v>682</v>
      </c>
      <c r="E151" s="101" t="s">
        <v>683</v>
      </c>
      <c r="F151" s="102" t="s">
        <v>684</v>
      </c>
      <c r="G151" s="80"/>
      <c r="H151" s="80"/>
      <c r="I151" s="33" t="s">
        <v>25</v>
      </c>
      <c r="J151" s="33" t="s">
        <v>25</v>
      </c>
      <c r="K151" s="33" t="s">
        <v>25</v>
      </c>
      <c r="L151" s="80"/>
      <c r="M151" s="80"/>
      <c r="N151" s="80"/>
      <c r="O151" s="80"/>
      <c r="P151" s="80"/>
      <c r="Q151" s="80"/>
      <c r="R151" s="80"/>
      <c r="S151" s="80"/>
      <c r="T151" s="80"/>
      <c r="U151" s="80"/>
      <c r="V151" s="80"/>
      <c r="W151" s="80"/>
      <c r="X151" s="80"/>
      <c r="Y151" s="80"/>
      <c r="Z151" s="80"/>
    </row>
    <row r="152">
      <c r="A152" s="33" t="s">
        <v>658</v>
      </c>
      <c r="B152" s="43" t="s">
        <v>685</v>
      </c>
      <c r="C152" s="100" t="s">
        <v>686</v>
      </c>
      <c r="D152" s="101" t="s">
        <v>687</v>
      </c>
      <c r="E152" s="101" t="s">
        <v>688</v>
      </c>
      <c r="F152" s="102" t="s">
        <v>689</v>
      </c>
      <c r="G152" s="80"/>
      <c r="H152" s="80"/>
      <c r="I152" s="33" t="s">
        <v>25</v>
      </c>
      <c r="J152" s="33" t="s">
        <v>25</v>
      </c>
      <c r="K152" s="33" t="s">
        <v>25</v>
      </c>
      <c r="L152" s="80"/>
      <c r="M152" s="80"/>
      <c r="N152" s="80"/>
      <c r="O152" s="80"/>
      <c r="P152" s="80"/>
      <c r="Q152" s="80"/>
      <c r="R152" s="80"/>
      <c r="S152" s="80"/>
      <c r="T152" s="80"/>
      <c r="U152" s="80"/>
      <c r="V152" s="80"/>
      <c r="W152" s="80"/>
      <c r="X152" s="80"/>
      <c r="Y152" s="80"/>
      <c r="Z152" s="80"/>
    </row>
    <row r="153">
      <c r="A153" s="33" t="s">
        <v>658</v>
      </c>
      <c r="B153" s="43" t="s">
        <v>690</v>
      </c>
      <c r="C153" s="100" t="s">
        <v>691</v>
      </c>
      <c r="D153" s="101" t="s">
        <v>692</v>
      </c>
      <c r="E153" s="101" t="s">
        <v>693</v>
      </c>
      <c r="F153" s="102" t="s">
        <v>694</v>
      </c>
      <c r="G153" s="80"/>
      <c r="H153" s="80"/>
      <c r="I153" s="33" t="s">
        <v>25</v>
      </c>
      <c r="J153" s="33" t="s">
        <v>25</v>
      </c>
      <c r="K153" s="33" t="s">
        <v>25</v>
      </c>
      <c r="L153" s="80"/>
      <c r="M153" s="80"/>
      <c r="N153" s="80"/>
      <c r="O153" s="80"/>
      <c r="P153" s="80"/>
      <c r="Q153" s="80"/>
      <c r="R153" s="80"/>
      <c r="S153" s="80"/>
      <c r="T153" s="80"/>
      <c r="U153" s="80"/>
      <c r="V153" s="80"/>
      <c r="W153" s="80"/>
      <c r="X153" s="80"/>
      <c r="Y153" s="80"/>
      <c r="Z153" s="80"/>
    </row>
    <row r="154">
      <c r="A154" s="33" t="s">
        <v>658</v>
      </c>
      <c r="B154" s="43" t="s">
        <v>695</v>
      </c>
      <c r="C154" s="100" t="s">
        <v>696</v>
      </c>
      <c r="D154" s="101" t="s">
        <v>697</v>
      </c>
      <c r="E154" s="101" t="s">
        <v>698</v>
      </c>
      <c r="F154" s="102" t="s">
        <v>699</v>
      </c>
      <c r="G154" s="80"/>
      <c r="H154" s="80"/>
      <c r="I154" s="33" t="s">
        <v>25</v>
      </c>
      <c r="J154" s="33" t="s">
        <v>25</v>
      </c>
      <c r="K154" s="33" t="s">
        <v>25</v>
      </c>
      <c r="L154" s="80"/>
      <c r="M154" s="80"/>
      <c r="N154" s="80"/>
      <c r="O154" s="80"/>
      <c r="P154" s="80"/>
      <c r="Q154" s="80"/>
      <c r="R154" s="80"/>
      <c r="S154" s="80"/>
      <c r="T154" s="80"/>
      <c r="U154" s="80"/>
      <c r="V154" s="80"/>
      <c r="W154" s="80"/>
      <c r="X154" s="80"/>
      <c r="Y154" s="80"/>
      <c r="Z154" s="80"/>
    </row>
    <row r="155">
      <c r="A155" s="33" t="s">
        <v>658</v>
      </c>
      <c r="B155" s="43" t="s">
        <v>700</v>
      </c>
      <c r="C155" s="100" t="s">
        <v>701</v>
      </c>
      <c r="D155" s="101" t="s">
        <v>702</v>
      </c>
      <c r="E155" s="101" t="s">
        <v>703</v>
      </c>
      <c r="F155" s="102" t="s">
        <v>704</v>
      </c>
      <c r="G155" s="80"/>
      <c r="H155" s="80"/>
      <c r="I155" s="33" t="s">
        <v>25</v>
      </c>
      <c r="J155" s="33" t="s">
        <v>25</v>
      </c>
      <c r="K155" s="33" t="s">
        <v>25</v>
      </c>
      <c r="L155" s="80"/>
      <c r="M155" s="80"/>
      <c r="N155" s="80"/>
      <c r="O155" s="80"/>
      <c r="P155" s="80"/>
      <c r="Q155" s="80"/>
      <c r="R155" s="80"/>
      <c r="S155" s="80"/>
      <c r="T155" s="80"/>
      <c r="U155" s="80"/>
      <c r="V155" s="80"/>
      <c r="W155" s="80"/>
      <c r="X155" s="80"/>
      <c r="Y155" s="80"/>
      <c r="Z155" s="80"/>
    </row>
    <row r="156">
      <c r="A156" s="33" t="s">
        <v>658</v>
      </c>
      <c r="B156" s="43" t="s">
        <v>705</v>
      </c>
      <c r="C156" s="100" t="s">
        <v>706</v>
      </c>
      <c r="D156" s="101" t="s">
        <v>707</v>
      </c>
      <c r="E156" s="101" t="s">
        <v>708</v>
      </c>
      <c r="F156" s="105">
        <v>44134.0</v>
      </c>
      <c r="G156" s="80"/>
      <c r="H156" s="80"/>
      <c r="I156" s="33" t="s">
        <v>25</v>
      </c>
      <c r="J156" s="33" t="s">
        <v>25</v>
      </c>
      <c r="K156" s="33" t="s">
        <v>25</v>
      </c>
      <c r="L156" s="80"/>
      <c r="M156" s="80"/>
      <c r="N156" s="80"/>
      <c r="O156" s="80"/>
      <c r="P156" s="80"/>
      <c r="Q156" s="80"/>
      <c r="R156" s="80"/>
      <c r="S156" s="80"/>
      <c r="T156" s="80"/>
      <c r="U156" s="80"/>
      <c r="V156" s="80"/>
      <c r="W156" s="80"/>
      <c r="X156" s="80"/>
      <c r="Y156" s="80"/>
      <c r="Z156" s="80"/>
    </row>
    <row r="157">
      <c r="A157" s="33" t="s">
        <v>658</v>
      </c>
      <c r="B157" s="43" t="s">
        <v>709</v>
      </c>
      <c r="C157" s="100" t="s">
        <v>710</v>
      </c>
      <c r="D157" s="101" t="s">
        <v>711</v>
      </c>
      <c r="E157" s="101" t="s">
        <v>708</v>
      </c>
      <c r="F157" s="105">
        <v>44150.0</v>
      </c>
      <c r="G157" s="80"/>
      <c r="H157" s="80"/>
      <c r="I157" s="33" t="s">
        <v>25</v>
      </c>
      <c r="J157" s="33" t="s">
        <v>25</v>
      </c>
      <c r="K157" s="33" t="s">
        <v>25</v>
      </c>
      <c r="L157" s="80"/>
      <c r="M157" s="80"/>
      <c r="N157" s="80"/>
      <c r="O157" s="80"/>
      <c r="P157" s="80"/>
      <c r="Q157" s="80"/>
      <c r="R157" s="80"/>
      <c r="S157" s="80"/>
      <c r="T157" s="80"/>
      <c r="U157" s="80"/>
      <c r="V157" s="80"/>
      <c r="W157" s="80"/>
      <c r="X157" s="80"/>
      <c r="Y157" s="80"/>
      <c r="Z157" s="80"/>
    </row>
    <row r="158">
      <c r="A158" s="33" t="s">
        <v>658</v>
      </c>
      <c r="B158" s="106" t="s">
        <v>712</v>
      </c>
      <c r="C158" s="100" t="s">
        <v>713</v>
      </c>
      <c r="D158" s="101" t="s">
        <v>714</v>
      </c>
      <c r="E158" s="101" t="s">
        <v>715</v>
      </c>
      <c r="F158" s="102" t="s">
        <v>716</v>
      </c>
      <c r="G158" s="80"/>
      <c r="H158" s="80"/>
      <c r="I158" s="33" t="s">
        <v>25</v>
      </c>
      <c r="J158" s="33" t="s">
        <v>25</v>
      </c>
      <c r="K158" s="33" t="s">
        <v>25</v>
      </c>
      <c r="L158" s="80"/>
      <c r="M158" s="80"/>
      <c r="N158" s="80"/>
      <c r="O158" s="80"/>
      <c r="P158" s="80"/>
      <c r="Q158" s="80"/>
      <c r="R158" s="80"/>
      <c r="S158" s="80"/>
      <c r="T158" s="80"/>
      <c r="U158" s="80"/>
      <c r="V158" s="80"/>
      <c r="W158" s="80"/>
      <c r="X158" s="80"/>
      <c r="Y158" s="80"/>
      <c r="Z158" s="80"/>
    </row>
    <row r="159">
      <c r="A159" s="33" t="s">
        <v>658</v>
      </c>
      <c r="B159" s="82" t="s">
        <v>717</v>
      </c>
      <c r="C159" s="100" t="s">
        <v>718</v>
      </c>
      <c r="D159" s="101" t="s">
        <v>719</v>
      </c>
      <c r="E159" s="101" t="s">
        <v>720</v>
      </c>
      <c r="F159" s="102" t="s">
        <v>721</v>
      </c>
      <c r="G159" s="80"/>
      <c r="H159" s="80"/>
      <c r="I159" s="33" t="s">
        <v>25</v>
      </c>
      <c r="J159" s="33" t="s">
        <v>25</v>
      </c>
      <c r="K159" s="33" t="s">
        <v>25</v>
      </c>
      <c r="L159" s="80"/>
      <c r="M159" s="80"/>
      <c r="N159" s="80"/>
      <c r="O159" s="80"/>
      <c r="P159" s="80"/>
      <c r="Q159" s="80"/>
      <c r="R159" s="80"/>
      <c r="S159" s="80"/>
      <c r="T159" s="80"/>
      <c r="U159" s="80"/>
      <c r="V159" s="80"/>
      <c r="W159" s="80"/>
      <c r="X159" s="80"/>
      <c r="Y159" s="80"/>
      <c r="Z159" s="80"/>
    </row>
    <row r="160">
      <c r="A160" s="33" t="s">
        <v>658</v>
      </c>
      <c r="B160" s="107" t="s">
        <v>722</v>
      </c>
      <c r="C160" s="108" t="s">
        <v>723</v>
      </c>
      <c r="D160" s="109" t="s">
        <v>724</v>
      </c>
      <c r="E160" s="109" t="s">
        <v>725</v>
      </c>
      <c r="F160" s="110">
        <v>47.0</v>
      </c>
      <c r="I160" s="33" t="s">
        <v>25</v>
      </c>
      <c r="J160" s="33" t="s">
        <v>25</v>
      </c>
      <c r="K160" s="33" t="s">
        <v>25</v>
      </c>
    </row>
    <row r="161">
      <c r="A161" s="3" t="s">
        <v>726</v>
      </c>
      <c r="B161" s="97" t="s">
        <v>92</v>
      </c>
      <c r="C161" s="10" t="s">
        <v>727</v>
      </c>
      <c r="D161" s="9"/>
      <c r="E161" s="9"/>
      <c r="F161" s="9"/>
      <c r="G161" s="99"/>
      <c r="H161" s="99"/>
      <c r="I161" s="99"/>
      <c r="J161" s="99"/>
      <c r="K161" s="99"/>
      <c r="L161" s="99"/>
      <c r="M161" s="99"/>
      <c r="N161" s="99"/>
      <c r="O161" s="99"/>
      <c r="P161" s="99"/>
      <c r="Q161" s="99"/>
      <c r="R161" s="99"/>
      <c r="S161" s="99"/>
      <c r="T161" s="99"/>
      <c r="U161" s="99"/>
      <c r="V161" s="99"/>
      <c r="W161" s="99"/>
      <c r="X161" s="99"/>
      <c r="Y161" s="99"/>
      <c r="Z161" s="99"/>
    </row>
    <row r="162">
      <c r="A162" s="33" t="s">
        <v>726</v>
      </c>
      <c r="B162" s="104" t="s">
        <v>728</v>
      </c>
      <c r="C162" s="111" t="s">
        <v>729</v>
      </c>
      <c r="D162" s="33" t="s">
        <v>730</v>
      </c>
      <c r="E162" s="33" t="s">
        <v>731</v>
      </c>
      <c r="F162" s="86" t="s">
        <v>732</v>
      </c>
      <c r="G162" s="80"/>
      <c r="H162" s="80"/>
      <c r="I162" s="33" t="s">
        <v>25</v>
      </c>
      <c r="J162" s="33" t="s">
        <v>25</v>
      </c>
      <c r="K162" s="33" t="s">
        <v>25</v>
      </c>
      <c r="L162" s="80"/>
      <c r="M162" s="80"/>
      <c r="N162" s="80"/>
      <c r="O162" s="80"/>
      <c r="P162" s="80"/>
      <c r="Q162" s="80"/>
      <c r="R162" s="80"/>
      <c r="S162" s="80"/>
      <c r="T162" s="80"/>
      <c r="U162" s="80"/>
      <c r="V162" s="80"/>
      <c r="W162" s="80"/>
      <c r="X162" s="80"/>
      <c r="Y162" s="80"/>
      <c r="Z162" s="80"/>
    </row>
    <row r="163">
      <c r="A163" s="33" t="s">
        <v>726</v>
      </c>
      <c r="B163" s="43" t="s">
        <v>733</v>
      </c>
      <c r="C163" s="33" t="s">
        <v>734</v>
      </c>
      <c r="D163" s="33" t="s">
        <v>735</v>
      </c>
      <c r="E163" s="33" t="s">
        <v>736</v>
      </c>
      <c r="F163" s="34" t="s">
        <v>737</v>
      </c>
      <c r="G163" s="80"/>
      <c r="H163" s="80"/>
      <c r="I163" s="33" t="s">
        <v>25</v>
      </c>
      <c r="J163" s="33" t="s">
        <v>25</v>
      </c>
      <c r="K163" s="33" t="s">
        <v>25</v>
      </c>
      <c r="L163" s="80"/>
      <c r="M163" s="80"/>
      <c r="N163" s="80"/>
      <c r="O163" s="80"/>
      <c r="P163" s="80"/>
      <c r="Q163" s="80"/>
      <c r="R163" s="80"/>
      <c r="S163" s="80"/>
      <c r="T163" s="80"/>
      <c r="U163" s="80"/>
      <c r="V163" s="80"/>
      <c r="W163" s="80"/>
      <c r="X163" s="80"/>
      <c r="Y163" s="80"/>
      <c r="Z163" s="80"/>
    </row>
    <row r="164">
      <c r="A164" s="46" t="s">
        <v>726</v>
      </c>
      <c r="B164" s="112" t="s">
        <v>738</v>
      </c>
      <c r="C164" s="46" t="s">
        <v>739</v>
      </c>
      <c r="D164" s="46" t="s">
        <v>740</v>
      </c>
      <c r="E164" s="46" t="s">
        <v>741</v>
      </c>
      <c r="F164" s="102" t="s">
        <v>689</v>
      </c>
      <c r="G164" s="113"/>
      <c r="H164" s="113"/>
      <c r="I164" s="46" t="s">
        <v>742</v>
      </c>
      <c r="J164" s="46" t="s">
        <v>742</v>
      </c>
      <c r="K164" s="46" t="s">
        <v>742</v>
      </c>
      <c r="L164" s="113"/>
      <c r="M164" s="113"/>
      <c r="N164" s="113"/>
      <c r="O164" s="113"/>
      <c r="P164" s="113"/>
      <c r="Q164" s="113"/>
      <c r="R164" s="113"/>
      <c r="S164" s="113"/>
      <c r="T164" s="113"/>
      <c r="U164" s="113"/>
      <c r="V164" s="113"/>
      <c r="W164" s="113"/>
      <c r="X164" s="113"/>
      <c r="Y164" s="113"/>
      <c r="Z164" s="113"/>
    </row>
    <row r="165">
      <c r="A165" s="46" t="s">
        <v>726</v>
      </c>
      <c r="B165" s="112" t="s">
        <v>743</v>
      </c>
      <c r="C165" s="46" t="s">
        <v>744</v>
      </c>
      <c r="D165" s="46" t="s">
        <v>745</v>
      </c>
      <c r="E165" s="46" t="s">
        <v>746</v>
      </c>
      <c r="F165" s="102" t="s">
        <v>699</v>
      </c>
      <c r="G165" s="113"/>
      <c r="H165" s="113"/>
      <c r="I165" s="46" t="s">
        <v>742</v>
      </c>
      <c r="J165" s="46" t="s">
        <v>742</v>
      </c>
      <c r="K165" s="46" t="s">
        <v>742</v>
      </c>
      <c r="L165" s="113"/>
      <c r="M165" s="113"/>
      <c r="N165" s="113"/>
      <c r="O165" s="113"/>
      <c r="P165" s="113"/>
      <c r="Q165" s="113"/>
      <c r="R165" s="113"/>
      <c r="S165" s="113"/>
      <c r="T165" s="113"/>
      <c r="U165" s="113"/>
      <c r="V165" s="113"/>
      <c r="W165" s="113"/>
      <c r="X165" s="113"/>
      <c r="Y165" s="113"/>
      <c r="Z165" s="113"/>
    </row>
    <row r="166">
      <c r="A166" s="46" t="s">
        <v>726</v>
      </c>
      <c r="B166" s="112" t="s">
        <v>747</v>
      </c>
      <c r="C166" s="46" t="s">
        <v>748</v>
      </c>
      <c r="D166" s="46" t="s">
        <v>749</v>
      </c>
      <c r="E166" s="46" t="s">
        <v>703</v>
      </c>
      <c r="F166" s="102" t="s">
        <v>704</v>
      </c>
      <c r="G166" s="113"/>
      <c r="H166" s="113"/>
      <c r="I166" s="46" t="s">
        <v>742</v>
      </c>
      <c r="J166" s="46" t="s">
        <v>742</v>
      </c>
      <c r="K166" s="46" t="s">
        <v>742</v>
      </c>
      <c r="L166" s="113"/>
      <c r="M166" s="113"/>
      <c r="N166" s="113"/>
      <c r="O166" s="113"/>
      <c r="P166" s="113"/>
      <c r="Q166" s="113"/>
      <c r="R166" s="113"/>
      <c r="S166" s="113"/>
      <c r="T166" s="113"/>
      <c r="U166" s="113"/>
      <c r="V166" s="113"/>
      <c r="W166" s="113"/>
      <c r="X166" s="113"/>
      <c r="Y166" s="113"/>
      <c r="Z166" s="113"/>
    </row>
    <row r="167">
      <c r="A167" s="33" t="s">
        <v>726</v>
      </c>
      <c r="B167" s="104" t="s">
        <v>750</v>
      </c>
      <c r="C167" s="33" t="s">
        <v>751</v>
      </c>
      <c r="D167" s="33" t="s">
        <v>752</v>
      </c>
      <c r="E167" s="33" t="s">
        <v>753</v>
      </c>
      <c r="F167" s="34" t="s">
        <v>754</v>
      </c>
      <c r="G167" s="80"/>
      <c r="H167" s="80"/>
      <c r="I167" s="33" t="s">
        <v>25</v>
      </c>
      <c r="J167" s="33" t="s">
        <v>25</v>
      </c>
      <c r="K167" s="33" t="s">
        <v>25</v>
      </c>
      <c r="L167" s="80"/>
      <c r="M167" s="80"/>
      <c r="N167" s="80"/>
      <c r="O167" s="80"/>
      <c r="P167" s="80"/>
      <c r="Q167" s="80"/>
      <c r="R167" s="80"/>
      <c r="S167" s="80"/>
      <c r="T167" s="80"/>
      <c r="U167" s="80"/>
      <c r="V167" s="80"/>
      <c r="W167" s="80"/>
      <c r="X167" s="80"/>
      <c r="Y167" s="80"/>
      <c r="Z167" s="80"/>
    </row>
    <row r="168">
      <c r="A168" s="33" t="s">
        <v>726</v>
      </c>
      <c r="B168" s="114" t="s">
        <v>755</v>
      </c>
      <c r="C168" s="86" t="s">
        <v>756</v>
      </c>
      <c r="D168" s="86" t="s">
        <v>749</v>
      </c>
      <c r="E168" s="86" t="s">
        <v>757</v>
      </c>
      <c r="F168" s="86" t="s">
        <v>758</v>
      </c>
      <c r="G168" s="80"/>
      <c r="H168" s="80"/>
      <c r="I168" s="33" t="s">
        <v>25</v>
      </c>
      <c r="J168" s="33" t="s">
        <v>25</v>
      </c>
      <c r="K168" s="33" t="s">
        <v>25</v>
      </c>
      <c r="L168" s="80"/>
      <c r="M168" s="80"/>
      <c r="N168" s="80"/>
      <c r="O168" s="80"/>
      <c r="P168" s="80"/>
      <c r="Q168" s="80"/>
      <c r="R168" s="80"/>
      <c r="S168" s="80"/>
      <c r="T168" s="80"/>
      <c r="U168" s="80"/>
      <c r="V168" s="80"/>
      <c r="W168" s="80"/>
      <c r="X168" s="80"/>
      <c r="Y168" s="80"/>
      <c r="Z168" s="80"/>
    </row>
    <row r="169">
      <c r="A169" s="33" t="s">
        <v>726</v>
      </c>
      <c r="B169" s="43" t="s">
        <v>759</v>
      </c>
      <c r="C169" s="33" t="s">
        <v>760</v>
      </c>
      <c r="D169" s="33" t="s">
        <v>761</v>
      </c>
      <c r="E169" s="33" t="s">
        <v>762</v>
      </c>
      <c r="F169" s="72">
        <v>44004.0</v>
      </c>
      <c r="G169" s="80"/>
      <c r="H169" s="80"/>
      <c r="I169" s="33" t="s">
        <v>25</v>
      </c>
      <c r="J169" s="33" t="s">
        <v>25</v>
      </c>
      <c r="K169" s="33" t="s">
        <v>25</v>
      </c>
      <c r="L169" s="80"/>
      <c r="M169" s="80"/>
      <c r="N169" s="80"/>
      <c r="O169" s="80"/>
      <c r="P169" s="80"/>
      <c r="Q169" s="80"/>
      <c r="R169" s="80"/>
      <c r="S169" s="80"/>
      <c r="T169" s="80"/>
      <c r="U169" s="80"/>
      <c r="V169" s="80"/>
      <c r="W169" s="80"/>
      <c r="X169" s="80"/>
      <c r="Y169" s="80"/>
      <c r="Z169" s="80"/>
    </row>
    <row r="170">
      <c r="A170" s="33" t="s">
        <v>726</v>
      </c>
      <c r="B170" s="43" t="s">
        <v>763</v>
      </c>
      <c r="C170" s="33" t="s">
        <v>764</v>
      </c>
      <c r="D170" s="33" t="s">
        <v>765</v>
      </c>
      <c r="E170" s="33" t="s">
        <v>766</v>
      </c>
      <c r="F170" s="34" t="s">
        <v>767</v>
      </c>
      <c r="G170" s="80"/>
      <c r="H170" s="80"/>
      <c r="I170" s="33" t="s">
        <v>25</v>
      </c>
      <c r="J170" s="33" t="s">
        <v>25</v>
      </c>
      <c r="K170" s="33" t="s">
        <v>25</v>
      </c>
      <c r="L170" s="80"/>
      <c r="M170" s="80"/>
      <c r="N170" s="80"/>
      <c r="O170" s="80"/>
      <c r="P170" s="80"/>
      <c r="Q170" s="80"/>
      <c r="R170" s="80"/>
      <c r="S170" s="80"/>
      <c r="T170" s="80"/>
      <c r="U170" s="80"/>
      <c r="V170" s="80"/>
      <c r="W170" s="80"/>
      <c r="X170" s="80"/>
      <c r="Y170" s="80"/>
      <c r="Z170" s="80"/>
    </row>
    <row r="171">
      <c r="A171" s="33" t="s">
        <v>726</v>
      </c>
      <c r="B171" s="43" t="s">
        <v>768</v>
      </c>
      <c r="C171" s="33" t="s">
        <v>769</v>
      </c>
      <c r="D171" s="33" t="s">
        <v>770</v>
      </c>
      <c r="E171" s="33" t="s">
        <v>771</v>
      </c>
      <c r="F171" s="34" t="s">
        <v>772</v>
      </c>
      <c r="G171" s="80"/>
      <c r="H171" s="80"/>
      <c r="I171" s="33" t="s">
        <v>25</v>
      </c>
      <c r="J171" s="33" t="s">
        <v>25</v>
      </c>
      <c r="K171" s="33" t="s">
        <v>25</v>
      </c>
      <c r="L171" s="80"/>
      <c r="M171" s="80"/>
      <c r="N171" s="80"/>
      <c r="O171" s="80"/>
      <c r="P171" s="80"/>
      <c r="Q171" s="80"/>
      <c r="R171" s="80"/>
      <c r="S171" s="80"/>
      <c r="T171" s="80"/>
      <c r="U171" s="80"/>
      <c r="V171" s="80"/>
      <c r="W171" s="80"/>
      <c r="X171" s="80"/>
      <c r="Y171" s="80"/>
      <c r="Z171" s="80"/>
    </row>
    <row r="172">
      <c r="A172" s="33" t="s">
        <v>726</v>
      </c>
      <c r="B172" s="104" t="s">
        <v>773</v>
      </c>
      <c r="C172" s="33" t="s">
        <v>774</v>
      </c>
      <c r="D172" s="33" t="s">
        <v>775</v>
      </c>
      <c r="E172" s="33" t="s">
        <v>776</v>
      </c>
      <c r="F172" s="34" t="s">
        <v>777</v>
      </c>
      <c r="G172" s="80"/>
      <c r="H172" s="80"/>
      <c r="I172" s="33" t="s">
        <v>25</v>
      </c>
      <c r="J172" s="33" t="s">
        <v>25</v>
      </c>
      <c r="K172" s="33" t="s">
        <v>25</v>
      </c>
      <c r="L172" s="80"/>
      <c r="M172" s="80"/>
      <c r="N172" s="80"/>
      <c r="O172" s="80"/>
      <c r="P172" s="80"/>
      <c r="Q172" s="80"/>
      <c r="R172" s="80"/>
      <c r="S172" s="80"/>
      <c r="T172" s="80"/>
      <c r="U172" s="80"/>
      <c r="V172" s="80"/>
      <c r="W172" s="80"/>
      <c r="X172" s="80"/>
      <c r="Y172" s="80"/>
      <c r="Z172" s="80"/>
    </row>
    <row r="173">
      <c r="A173" s="33" t="s">
        <v>726</v>
      </c>
      <c r="B173" s="82" t="s">
        <v>778</v>
      </c>
      <c r="C173" s="33" t="s">
        <v>779</v>
      </c>
      <c r="D173" s="33" t="s">
        <v>780</v>
      </c>
      <c r="E173" s="33" t="s">
        <v>781</v>
      </c>
      <c r="F173" s="34" t="s">
        <v>782</v>
      </c>
      <c r="G173" s="80"/>
      <c r="H173" s="80"/>
      <c r="I173" s="33" t="s">
        <v>25</v>
      </c>
      <c r="J173" s="33" t="s">
        <v>25</v>
      </c>
      <c r="K173" s="33" t="s">
        <v>25</v>
      </c>
      <c r="L173" s="80"/>
      <c r="M173" s="80"/>
      <c r="N173" s="80"/>
      <c r="O173" s="80"/>
      <c r="P173" s="80"/>
      <c r="Q173" s="80"/>
      <c r="R173" s="80"/>
      <c r="S173" s="80"/>
      <c r="T173" s="80"/>
      <c r="U173" s="80"/>
      <c r="V173" s="80"/>
      <c r="W173" s="80"/>
      <c r="X173" s="80"/>
      <c r="Y173" s="80"/>
      <c r="Z173" s="80"/>
    </row>
    <row r="174">
      <c r="A174" s="33" t="s">
        <v>726</v>
      </c>
      <c r="B174" s="43" t="s">
        <v>783</v>
      </c>
      <c r="C174" s="33" t="s">
        <v>784</v>
      </c>
      <c r="D174" s="33" t="s">
        <v>785</v>
      </c>
      <c r="E174" s="33" t="s">
        <v>786</v>
      </c>
      <c r="F174" s="34" t="s">
        <v>787</v>
      </c>
      <c r="G174" s="80"/>
      <c r="H174" s="80"/>
      <c r="I174" s="33" t="s">
        <v>25</v>
      </c>
      <c r="J174" s="33" t="s">
        <v>25</v>
      </c>
      <c r="K174" s="33" t="s">
        <v>25</v>
      </c>
      <c r="L174" s="80"/>
      <c r="M174" s="80"/>
      <c r="N174" s="80"/>
      <c r="O174" s="80"/>
      <c r="P174" s="80"/>
      <c r="Q174" s="80"/>
      <c r="R174" s="80"/>
      <c r="S174" s="80"/>
      <c r="T174" s="80"/>
      <c r="U174" s="80"/>
      <c r="V174" s="80"/>
      <c r="W174" s="80"/>
      <c r="X174" s="80"/>
      <c r="Y174" s="80"/>
      <c r="Z174" s="80"/>
    </row>
    <row r="175">
      <c r="A175" s="33" t="s">
        <v>726</v>
      </c>
      <c r="B175" s="82" t="s">
        <v>788</v>
      </c>
      <c r="C175" s="33" t="s">
        <v>789</v>
      </c>
      <c r="D175" s="33" t="s">
        <v>790</v>
      </c>
      <c r="E175" s="33" t="s">
        <v>791</v>
      </c>
      <c r="F175" s="115" t="s">
        <v>792</v>
      </c>
      <c r="G175" s="80"/>
      <c r="H175" s="80"/>
      <c r="I175" s="33" t="s">
        <v>25</v>
      </c>
      <c r="J175" s="33" t="s">
        <v>25</v>
      </c>
      <c r="K175" s="33" t="s">
        <v>25</v>
      </c>
      <c r="L175" s="80"/>
      <c r="M175" s="80"/>
      <c r="N175" s="80"/>
      <c r="O175" s="80"/>
      <c r="P175" s="80"/>
      <c r="Q175" s="80"/>
      <c r="R175" s="80"/>
      <c r="S175" s="80"/>
      <c r="T175" s="80"/>
      <c r="U175" s="80"/>
      <c r="V175" s="80"/>
      <c r="W175" s="80"/>
      <c r="X175" s="80"/>
      <c r="Y175" s="80"/>
      <c r="Z175" s="80"/>
    </row>
    <row r="176">
      <c r="A176" s="33" t="s">
        <v>726</v>
      </c>
      <c r="B176" s="116" t="s">
        <v>793</v>
      </c>
      <c r="C176" s="90" t="s">
        <v>794</v>
      </c>
      <c r="D176" s="33" t="s">
        <v>795</v>
      </c>
      <c r="E176" s="86" t="s">
        <v>796</v>
      </c>
      <c r="F176" s="34">
        <v>400.0</v>
      </c>
      <c r="G176" s="80"/>
      <c r="H176" s="80"/>
      <c r="I176" s="33" t="s">
        <v>25</v>
      </c>
      <c r="J176" s="33" t="s">
        <v>25</v>
      </c>
      <c r="K176" s="33" t="s">
        <v>25</v>
      </c>
      <c r="L176" s="80"/>
      <c r="M176" s="80"/>
      <c r="N176" s="80"/>
      <c r="O176" s="80"/>
      <c r="P176" s="80"/>
      <c r="Q176" s="80"/>
      <c r="R176" s="80"/>
      <c r="S176" s="80"/>
      <c r="T176" s="80"/>
      <c r="U176" s="80"/>
      <c r="V176" s="80"/>
      <c r="W176" s="80"/>
      <c r="X176" s="80"/>
      <c r="Y176" s="80"/>
      <c r="Z176" s="80"/>
    </row>
    <row r="177">
      <c r="A177" s="33" t="s">
        <v>726</v>
      </c>
      <c r="B177" s="117" t="s">
        <v>797</v>
      </c>
      <c r="C177" s="81" t="s">
        <v>798</v>
      </c>
      <c r="D177" s="60" t="s">
        <v>799</v>
      </c>
      <c r="E177" s="33" t="s">
        <v>800</v>
      </c>
      <c r="F177" s="34" t="s">
        <v>801</v>
      </c>
      <c r="G177" s="80"/>
      <c r="H177" s="80"/>
      <c r="I177" s="33" t="s">
        <v>25</v>
      </c>
      <c r="J177" s="33" t="s">
        <v>25</v>
      </c>
      <c r="K177" s="33" t="s">
        <v>25</v>
      </c>
      <c r="L177" s="80"/>
      <c r="M177" s="80"/>
      <c r="N177" s="80"/>
      <c r="O177" s="80"/>
      <c r="P177" s="80"/>
      <c r="Q177" s="80"/>
      <c r="R177" s="80"/>
      <c r="S177" s="80"/>
      <c r="T177" s="80"/>
      <c r="U177" s="80"/>
      <c r="V177" s="80"/>
      <c r="W177" s="80"/>
      <c r="X177" s="80"/>
      <c r="Y177" s="80"/>
      <c r="Z177" s="80"/>
    </row>
    <row r="178">
      <c r="A178" s="33" t="s">
        <v>726</v>
      </c>
      <c r="B178" s="116" t="s">
        <v>802</v>
      </c>
      <c r="C178" s="81" t="s">
        <v>803</v>
      </c>
      <c r="D178" s="60" t="s">
        <v>804</v>
      </c>
      <c r="E178" s="33" t="s">
        <v>805</v>
      </c>
      <c r="F178" s="34" t="s">
        <v>806</v>
      </c>
      <c r="G178" s="80"/>
      <c r="H178" s="80"/>
      <c r="I178" s="33" t="s">
        <v>25</v>
      </c>
      <c r="J178" s="33" t="s">
        <v>25</v>
      </c>
      <c r="K178" s="33" t="s">
        <v>25</v>
      </c>
      <c r="L178" s="80"/>
      <c r="M178" s="80"/>
      <c r="N178" s="80"/>
      <c r="O178" s="80"/>
      <c r="P178" s="80"/>
      <c r="Q178" s="80"/>
      <c r="R178" s="80"/>
      <c r="S178" s="80"/>
      <c r="T178" s="80"/>
      <c r="U178" s="80"/>
      <c r="V178" s="80"/>
      <c r="W178" s="80"/>
      <c r="X178" s="80"/>
      <c r="Y178" s="80"/>
      <c r="Z178" s="80"/>
    </row>
    <row r="179">
      <c r="A179" s="33" t="s">
        <v>726</v>
      </c>
      <c r="B179" s="82" t="s">
        <v>807</v>
      </c>
      <c r="C179" s="33" t="s">
        <v>808</v>
      </c>
      <c r="D179" s="33" t="s">
        <v>809</v>
      </c>
      <c r="E179" s="33" t="s">
        <v>810</v>
      </c>
      <c r="F179" s="115" t="s">
        <v>811</v>
      </c>
      <c r="G179" s="80"/>
      <c r="H179" s="80"/>
      <c r="I179" s="33" t="s">
        <v>25</v>
      </c>
      <c r="J179" s="33" t="s">
        <v>25</v>
      </c>
      <c r="K179" s="33" t="s">
        <v>25</v>
      </c>
      <c r="L179" s="80"/>
      <c r="M179" s="80"/>
      <c r="N179" s="80"/>
      <c r="O179" s="80"/>
      <c r="P179" s="80"/>
      <c r="Q179" s="80"/>
      <c r="R179" s="80"/>
      <c r="S179" s="80"/>
      <c r="T179" s="80"/>
      <c r="U179" s="80"/>
      <c r="V179" s="80"/>
      <c r="W179" s="80"/>
      <c r="X179" s="80"/>
      <c r="Y179" s="80"/>
      <c r="Z179" s="80"/>
    </row>
    <row r="180">
      <c r="A180" s="33" t="s">
        <v>726</v>
      </c>
      <c r="B180" s="118" t="s">
        <v>812</v>
      </c>
      <c r="C180" s="119" t="s">
        <v>813</v>
      </c>
      <c r="D180" s="119" t="s">
        <v>814</v>
      </c>
      <c r="E180" s="119" t="s">
        <v>815</v>
      </c>
      <c r="F180" s="120">
        <v>300.0</v>
      </c>
      <c r="G180" s="80"/>
      <c r="H180" s="80"/>
      <c r="I180" s="33" t="s">
        <v>25</v>
      </c>
      <c r="J180" s="33" t="s">
        <v>25</v>
      </c>
      <c r="K180" s="33" t="s">
        <v>25</v>
      </c>
      <c r="L180" s="80"/>
      <c r="M180" s="80"/>
      <c r="N180" s="80"/>
      <c r="O180" s="80"/>
      <c r="P180" s="80"/>
      <c r="Q180" s="80"/>
      <c r="R180" s="80"/>
      <c r="S180" s="80"/>
      <c r="T180" s="80"/>
      <c r="U180" s="80"/>
      <c r="V180" s="80"/>
      <c r="W180" s="80"/>
      <c r="X180" s="80"/>
      <c r="Y180" s="80"/>
      <c r="Z180" s="80"/>
    </row>
    <row r="181">
      <c r="A181" s="121" t="s">
        <v>816</v>
      </c>
      <c r="B181" s="121" t="s">
        <v>92</v>
      </c>
      <c r="C181" s="121" t="s">
        <v>817</v>
      </c>
      <c r="D181" s="121"/>
      <c r="E181" s="121"/>
      <c r="F181" s="121"/>
      <c r="G181" s="95"/>
      <c r="H181" s="95"/>
      <c r="I181" s="95"/>
      <c r="J181" s="95"/>
      <c r="K181" s="95"/>
      <c r="L181" s="95"/>
      <c r="M181" s="95"/>
      <c r="N181" s="95"/>
      <c r="O181" s="95"/>
      <c r="P181" s="95"/>
      <c r="Q181" s="95"/>
      <c r="R181" s="95"/>
      <c r="S181" s="95"/>
      <c r="T181" s="95"/>
      <c r="U181" s="95"/>
      <c r="V181" s="95"/>
      <c r="W181" s="95"/>
      <c r="X181" s="95"/>
      <c r="Y181" s="95"/>
      <c r="Z181" s="95"/>
    </row>
    <row r="182">
      <c r="A182" s="86" t="s">
        <v>816</v>
      </c>
      <c r="B182" s="122" t="s">
        <v>818</v>
      </c>
      <c r="C182" s="86" t="s">
        <v>819</v>
      </c>
      <c r="D182" s="86" t="s">
        <v>820</v>
      </c>
      <c r="E182" s="86" t="s">
        <v>821</v>
      </c>
      <c r="F182" s="86" t="s">
        <v>822</v>
      </c>
      <c r="G182" s="80"/>
      <c r="H182" s="80"/>
      <c r="I182" s="33" t="s">
        <v>25</v>
      </c>
      <c r="J182" s="33" t="s">
        <v>25</v>
      </c>
      <c r="K182" s="33" t="s">
        <v>25</v>
      </c>
      <c r="L182" s="80"/>
      <c r="M182" s="80"/>
      <c r="N182" s="80"/>
      <c r="O182" s="80"/>
      <c r="P182" s="80"/>
      <c r="Q182" s="80"/>
      <c r="R182" s="80"/>
      <c r="S182" s="80"/>
      <c r="T182" s="80"/>
      <c r="U182" s="80"/>
      <c r="V182" s="80"/>
      <c r="W182" s="80"/>
      <c r="X182" s="80"/>
      <c r="Y182" s="80"/>
      <c r="Z182" s="80"/>
    </row>
    <row r="183">
      <c r="A183" s="86" t="s">
        <v>816</v>
      </c>
      <c r="B183" s="122" t="s">
        <v>823</v>
      </c>
      <c r="C183" s="86" t="s">
        <v>824</v>
      </c>
      <c r="D183" s="86" t="s">
        <v>825</v>
      </c>
      <c r="E183" s="86" t="s">
        <v>826</v>
      </c>
      <c r="F183" s="86" t="s">
        <v>827</v>
      </c>
      <c r="G183" s="80"/>
      <c r="H183" s="80"/>
      <c r="I183" s="33" t="s">
        <v>25</v>
      </c>
      <c r="J183" s="33" t="s">
        <v>25</v>
      </c>
      <c r="K183" s="33" t="s">
        <v>25</v>
      </c>
      <c r="L183" s="80"/>
      <c r="M183" s="80"/>
      <c r="N183" s="80"/>
      <c r="O183" s="80"/>
      <c r="P183" s="80"/>
      <c r="Q183" s="80"/>
      <c r="R183" s="80"/>
      <c r="S183" s="80"/>
      <c r="T183" s="80"/>
      <c r="U183" s="80"/>
      <c r="V183" s="80"/>
      <c r="W183" s="80"/>
      <c r="X183" s="80"/>
      <c r="Y183" s="80"/>
      <c r="Z183" s="80"/>
    </row>
    <row r="184">
      <c r="A184" s="86" t="s">
        <v>816</v>
      </c>
      <c r="B184" s="122" t="s">
        <v>828</v>
      </c>
      <c r="C184" s="86" t="s">
        <v>829</v>
      </c>
      <c r="D184" s="86" t="s">
        <v>830</v>
      </c>
      <c r="E184" s="123" t="s">
        <v>831</v>
      </c>
      <c r="F184" s="86" t="s">
        <v>832</v>
      </c>
      <c r="G184" s="80"/>
      <c r="H184" s="80"/>
      <c r="I184" s="33" t="s">
        <v>25</v>
      </c>
      <c r="J184" s="33" t="s">
        <v>25</v>
      </c>
      <c r="K184" s="33" t="s">
        <v>25</v>
      </c>
      <c r="L184" s="80"/>
      <c r="M184" s="80"/>
      <c r="N184" s="80"/>
      <c r="O184" s="80"/>
      <c r="P184" s="80"/>
      <c r="Q184" s="80"/>
      <c r="R184" s="80"/>
      <c r="S184" s="80"/>
      <c r="T184" s="80"/>
      <c r="U184" s="80"/>
      <c r="V184" s="80"/>
      <c r="W184" s="80"/>
      <c r="X184" s="80"/>
      <c r="Y184" s="80"/>
      <c r="Z184" s="80"/>
    </row>
    <row r="185">
      <c r="A185" s="86" t="s">
        <v>816</v>
      </c>
      <c r="B185" s="122" t="s">
        <v>833</v>
      </c>
      <c r="C185" s="86" t="s">
        <v>834</v>
      </c>
      <c r="D185" s="86" t="s">
        <v>835</v>
      </c>
      <c r="E185" s="123" t="s">
        <v>831</v>
      </c>
      <c r="F185" s="86" t="s">
        <v>836</v>
      </c>
      <c r="G185" s="80"/>
      <c r="H185" s="80"/>
      <c r="I185" s="33" t="s">
        <v>25</v>
      </c>
      <c r="J185" s="33" t="s">
        <v>25</v>
      </c>
      <c r="K185" s="33" t="s">
        <v>25</v>
      </c>
      <c r="L185" s="80"/>
      <c r="M185" s="80"/>
      <c r="N185" s="80"/>
      <c r="O185" s="80"/>
      <c r="P185" s="80"/>
      <c r="Q185" s="80"/>
      <c r="R185" s="80"/>
      <c r="S185" s="80"/>
      <c r="T185" s="80"/>
      <c r="U185" s="80"/>
      <c r="V185" s="80"/>
      <c r="W185" s="80"/>
      <c r="X185" s="80"/>
      <c r="Y185" s="80"/>
      <c r="Z185" s="80"/>
    </row>
    <row r="186">
      <c r="A186" s="86" t="s">
        <v>816</v>
      </c>
      <c r="B186" s="122" t="s">
        <v>837</v>
      </c>
      <c r="C186" s="86" t="s">
        <v>838</v>
      </c>
      <c r="D186" s="86" t="s">
        <v>839</v>
      </c>
      <c r="E186" s="86" t="s">
        <v>840</v>
      </c>
      <c r="F186" s="86" t="s">
        <v>841</v>
      </c>
      <c r="G186" s="80"/>
      <c r="H186" s="80"/>
      <c r="I186" s="33" t="s">
        <v>25</v>
      </c>
      <c r="J186" s="33" t="s">
        <v>25</v>
      </c>
      <c r="K186" s="33" t="s">
        <v>25</v>
      </c>
      <c r="L186" s="80"/>
      <c r="M186" s="80"/>
      <c r="N186" s="80"/>
      <c r="O186" s="80"/>
      <c r="P186" s="80"/>
      <c r="Q186" s="80"/>
      <c r="R186" s="80"/>
      <c r="S186" s="80"/>
      <c r="T186" s="80"/>
      <c r="U186" s="80"/>
      <c r="V186" s="80"/>
      <c r="W186" s="80"/>
      <c r="X186" s="80"/>
      <c r="Y186" s="80"/>
      <c r="Z186" s="80"/>
    </row>
    <row r="187">
      <c r="A187" s="33" t="s">
        <v>816</v>
      </c>
      <c r="B187" s="82" t="s">
        <v>842</v>
      </c>
      <c r="C187" s="33" t="s">
        <v>843</v>
      </c>
      <c r="D187" s="46" t="s">
        <v>844</v>
      </c>
      <c r="E187" s="46" t="s">
        <v>845</v>
      </c>
      <c r="F187" s="34" t="s">
        <v>846</v>
      </c>
      <c r="G187" s="80"/>
      <c r="H187" s="80"/>
      <c r="I187" s="33" t="s">
        <v>25</v>
      </c>
      <c r="J187" s="33" t="s">
        <v>25</v>
      </c>
      <c r="K187" s="33" t="s">
        <v>25</v>
      </c>
      <c r="L187" s="80"/>
      <c r="M187" s="80"/>
      <c r="N187" s="80"/>
      <c r="O187" s="80"/>
      <c r="P187" s="80"/>
      <c r="Q187" s="80"/>
      <c r="R187" s="80"/>
      <c r="S187" s="80"/>
      <c r="T187" s="80"/>
      <c r="U187" s="80"/>
      <c r="V187" s="80"/>
      <c r="W187" s="80"/>
      <c r="X187" s="80"/>
      <c r="Y187" s="80"/>
      <c r="Z187" s="80"/>
    </row>
    <row r="188">
      <c r="A188" s="33" t="s">
        <v>816</v>
      </c>
      <c r="B188" s="82" t="s">
        <v>847</v>
      </c>
      <c r="C188" s="33" t="s">
        <v>848</v>
      </c>
      <c r="D188" s="33" t="s">
        <v>849</v>
      </c>
      <c r="E188" s="33" t="s">
        <v>850</v>
      </c>
      <c r="F188" s="34" t="s">
        <v>851</v>
      </c>
      <c r="G188" s="80"/>
      <c r="H188" s="80"/>
      <c r="I188" s="33" t="s">
        <v>25</v>
      </c>
      <c r="J188" s="33" t="s">
        <v>25</v>
      </c>
      <c r="K188" s="33" t="s">
        <v>25</v>
      </c>
      <c r="L188" s="80"/>
      <c r="M188" s="80"/>
      <c r="N188" s="80"/>
      <c r="O188" s="80"/>
      <c r="P188" s="80"/>
      <c r="Q188" s="80"/>
      <c r="R188" s="80"/>
      <c r="S188" s="80"/>
      <c r="T188" s="80"/>
      <c r="U188" s="80"/>
      <c r="V188" s="80"/>
      <c r="W188" s="80"/>
      <c r="X188" s="80"/>
      <c r="Y188" s="80"/>
      <c r="Z188" s="80"/>
    </row>
    <row r="189">
      <c r="A189" s="33" t="s">
        <v>816</v>
      </c>
      <c r="B189" s="43" t="s">
        <v>852</v>
      </c>
      <c r="C189" s="33" t="s">
        <v>853</v>
      </c>
      <c r="D189" s="33" t="s">
        <v>854</v>
      </c>
      <c r="E189" s="33" t="s">
        <v>855</v>
      </c>
      <c r="F189" s="34" t="s">
        <v>856</v>
      </c>
      <c r="G189" s="80"/>
      <c r="H189" s="80"/>
      <c r="I189" s="33" t="s">
        <v>25</v>
      </c>
      <c r="J189" s="33" t="s">
        <v>25</v>
      </c>
      <c r="K189" s="33" t="s">
        <v>25</v>
      </c>
      <c r="L189" s="80"/>
      <c r="M189" s="80"/>
      <c r="N189" s="80"/>
      <c r="O189" s="80"/>
      <c r="P189" s="80"/>
      <c r="Q189" s="80"/>
      <c r="R189" s="80"/>
      <c r="S189" s="80"/>
      <c r="T189" s="80"/>
      <c r="U189" s="80"/>
      <c r="V189" s="80"/>
      <c r="W189" s="80"/>
      <c r="X189" s="80"/>
      <c r="Y189" s="80"/>
      <c r="Z189" s="80"/>
    </row>
    <row r="190">
      <c r="A190" s="33" t="s">
        <v>816</v>
      </c>
      <c r="B190" s="43" t="s">
        <v>857</v>
      </c>
      <c r="C190" s="33" t="s">
        <v>858</v>
      </c>
      <c r="D190" s="33" t="s">
        <v>859</v>
      </c>
      <c r="E190" s="33" t="s">
        <v>860</v>
      </c>
      <c r="F190" s="34">
        <v>1.3</v>
      </c>
      <c r="G190" s="80"/>
      <c r="H190" s="80"/>
      <c r="I190" s="33" t="s">
        <v>25</v>
      </c>
      <c r="J190" s="33" t="s">
        <v>25</v>
      </c>
      <c r="K190" s="33" t="s">
        <v>25</v>
      </c>
      <c r="L190" s="80"/>
      <c r="M190" s="80"/>
      <c r="N190" s="80"/>
      <c r="O190" s="80"/>
      <c r="P190" s="80"/>
      <c r="Q190" s="80"/>
      <c r="R190" s="80"/>
      <c r="S190" s="80"/>
      <c r="T190" s="80"/>
      <c r="U190" s="80"/>
      <c r="V190" s="80"/>
      <c r="W190" s="80"/>
      <c r="X190" s="80"/>
      <c r="Y190" s="80"/>
      <c r="Z190" s="80"/>
    </row>
    <row r="191">
      <c r="A191" s="33" t="s">
        <v>816</v>
      </c>
      <c r="B191" s="43" t="s">
        <v>861</v>
      </c>
      <c r="C191" s="81" t="s">
        <v>862</v>
      </c>
      <c r="D191" s="33" t="s">
        <v>863</v>
      </c>
      <c r="E191" s="33" t="s">
        <v>864</v>
      </c>
      <c r="F191" s="34" t="s">
        <v>865</v>
      </c>
      <c r="G191" s="80"/>
      <c r="H191" s="80"/>
      <c r="I191" s="33" t="s">
        <v>25</v>
      </c>
      <c r="J191" s="33" t="s">
        <v>25</v>
      </c>
      <c r="K191" s="33" t="s">
        <v>25</v>
      </c>
      <c r="L191" s="80"/>
      <c r="M191" s="80"/>
      <c r="N191" s="80"/>
      <c r="O191" s="80"/>
      <c r="P191" s="80"/>
      <c r="Q191" s="80"/>
      <c r="R191" s="80"/>
      <c r="S191" s="80"/>
      <c r="T191" s="80"/>
      <c r="U191" s="80"/>
      <c r="V191" s="80"/>
      <c r="W191" s="80"/>
      <c r="X191" s="80"/>
      <c r="Y191" s="80"/>
      <c r="Z191" s="80"/>
    </row>
    <row r="192">
      <c r="A192" s="33" t="s">
        <v>816</v>
      </c>
      <c r="B192" s="43" t="s">
        <v>866</v>
      </c>
      <c r="C192" s="81" t="s">
        <v>867</v>
      </c>
      <c r="D192" s="33" t="s">
        <v>868</v>
      </c>
      <c r="E192" s="33" t="s">
        <v>869</v>
      </c>
      <c r="F192" s="34" t="s">
        <v>870</v>
      </c>
      <c r="G192" s="80"/>
      <c r="H192" s="80"/>
      <c r="I192" s="33" t="s">
        <v>25</v>
      </c>
      <c r="J192" s="33" t="s">
        <v>25</v>
      </c>
      <c r="K192" s="33" t="s">
        <v>25</v>
      </c>
      <c r="L192" s="80"/>
      <c r="M192" s="80"/>
      <c r="N192" s="80"/>
      <c r="O192" s="80"/>
      <c r="P192" s="80"/>
      <c r="Q192" s="80"/>
      <c r="R192" s="80"/>
      <c r="S192" s="80"/>
      <c r="T192" s="80"/>
      <c r="U192" s="80"/>
      <c r="V192" s="80"/>
      <c r="W192" s="80"/>
      <c r="X192" s="80"/>
      <c r="Y192" s="80"/>
      <c r="Z192" s="80"/>
    </row>
    <row r="193">
      <c r="A193" s="33" t="s">
        <v>816</v>
      </c>
      <c r="B193" s="43" t="s">
        <v>871</v>
      </c>
      <c r="C193" s="45" t="s">
        <v>872</v>
      </c>
      <c r="D193" s="33" t="s">
        <v>873</v>
      </c>
      <c r="E193" s="33" t="s">
        <v>315</v>
      </c>
      <c r="F193" s="34">
        <v>95.0</v>
      </c>
      <c r="G193" s="80"/>
      <c r="H193" s="80"/>
      <c r="I193" s="33" t="s">
        <v>25</v>
      </c>
      <c r="J193" s="33" t="s">
        <v>25</v>
      </c>
      <c r="K193" s="33" t="s">
        <v>25</v>
      </c>
      <c r="L193" s="80"/>
      <c r="M193" s="80"/>
      <c r="N193" s="80"/>
      <c r="O193" s="80"/>
      <c r="P193" s="80"/>
      <c r="Q193" s="80"/>
      <c r="R193" s="80"/>
      <c r="S193" s="80"/>
      <c r="T193" s="80"/>
      <c r="U193" s="80"/>
      <c r="V193" s="80"/>
      <c r="W193" s="80"/>
      <c r="X193" s="80"/>
      <c r="Y193" s="80"/>
      <c r="Z193" s="80"/>
    </row>
    <row r="194">
      <c r="A194" s="33" t="s">
        <v>816</v>
      </c>
      <c r="B194" s="43" t="s">
        <v>874</v>
      </c>
      <c r="C194" s="45" t="s">
        <v>875</v>
      </c>
      <c r="D194" s="33" t="s">
        <v>876</v>
      </c>
      <c r="E194" s="33" t="s">
        <v>877</v>
      </c>
      <c r="F194" s="34">
        <v>400.0</v>
      </c>
      <c r="G194" s="80"/>
      <c r="H194" s="80"/>
      <c r="I194" s="33" t="s">
        <v>25</v>
      </c>
      <c r="J194" s="33" t="s">
        <v>25</v>
      </c>
      <c r="K194" s="33" t="s">
        <v>25</v>
      </c>
      <c r="L194" s="80"/>
      <c r="M194" s="80"/>
      <c r="N194" s="80"/>
      <c r="O194" s="80"/>
      <c r="P194" s="80"/>
      <c r="Q194" s="80"/>
      <c r="R194" s="80"/>
      <c r="S194" s="80"/>
      <c r="T194" s="80"/>
      <c r="U194" s="80"/>
      <c r="V194" s="80"/>
      <c r="W194" s="80"/>
      <c r="X194" s="80"/>
      <c r="Y194" s="80"/>
      <c r="Z194" s="80"/>
    </row>
    <row r="195">
      <c r="A195" s="33" t="s">
        <v>816</v>
      </c>
      <c r="B195" s="43" t="s">
        <v>878</v>
      </c>
      <c r="C195" s="45" t="s">
        <v>879</v>
      </c>
      <c r="D195" s="33" t="s">
        <v>880</v>
      </c>
      <c r="E195" s="33" t="s">
        <v>881</v>
      </c>
      <c r="F195" s="34">
        <v>100.0</v>
      </c>
      <c r="G195" s="80"/>
      <c r="H195" s="80"/>
      <c r="I195" s="33" t="s">
        <v>25</v>
      </c>
      <c r="J195" s="33" t="s">
        <v>25</v>
      </c>
      <c r="K195" s="33" t="s">
        <v>25</v>
      </c>
      <c r="L195" s="80"/>
      <c r="M195" s="80"/>
      <c r="N195" s="80"/>
      <c r="O195" s="80"/>
      <c r="P195" s="80"/>
      <c r="Q195" s="80"/>
      <c r="R195" s="80"/>
      <c r="S195" s="80"/>
      <c r="T195" s="80"/>
      <c r="U195" s="80"/>
      <c r="V195" s="80"/>
      <c r="W195" s="80"/>
      <c r="X195" s="80"/>
      <c r="Y195" s="80"/>
      <c r="Z195" s="80"/>
    </row>
    <row r="196">
      <c r="A196" s="33" t="s">
        <v>816</v>
      </c>
      <c r="B196" s="116" t="s">
        <v>882</v>
      </c>
      <c r="C196" s="90" t="s">
        <v>883</v>
      </c>
      <c r="D196" s="33" t="s">
        <v>884</v>
      </c>
      <c r="E196" s="33" t="s">
        <v>885</v>
      </c>
      <c r="F196" s="34">
        <v>85.0</v>
      </c>
      <c r="G196" s="80"/>
      <c r="H196" s="80"/>
      <c r="I196" s="33" t="s">
        <v>25</v>
      </c>
      <c r="J196" s="33" t="s">
        <v>25</v>
      </c>
      <c r="K196" s="33" t="s">
        <v>25</v>
      </c>
      <c r="L196" s="80"/>
      <c r="M196" s="80"/>
      <c r="N196" s="80"/>
      <c r="O196" s="80"/>
      <c r="P196" s="80"/>
      <c r="Q196" s="80"/>
      <c r="R196" s="80"/>
      <c r="S196" s="80"/>
      <c r="T196" s="80"/>
      <c r="U196" s="80"/>
      <c r="V196" s="80"/>
      <c r="W196" s="80"/>
      <c r="X196" s="80"/>
      <c r="Y196" s="80"/>
      <c r="Z196" s="80"/>
    </row>
    <row r="197">
      <c r="A197" s="33" t="s">
        <v>816</v>
      </c>
      <c r="B197" s="43" t="s">
        <v>886</v>
      </c>
      <c r="C197" s="111" t="s">
        <v>887</v>
      </c>
      <c r="D197" s="33" t="s">
        <v>888</v>
      </c>
      <c r="E197" s="33" t="s">
        <v>889</v>
      </c>
      <c r="F197" s="34">
        <v>387566.0</v>
      </c>
      <c r="G197" s="80"/>
      <c r="H197" s="80"/>
      <c r="I197" s="33" t="s">
        <v>25</v>
      </c>
      <c r="J197" s="33" t="s">
        <v>25</v>
      </c>
      <c r="K197" s="33" t="s">
        <v>25</v>
      </c>
      <c r="L197" s="80"/>
      <c r="M197" s="80"/>
      <c r="N197" s="80"/>
      <c r="O197" s="80"/>
      <c r="P197" s="80"/>
      <c r="Q197" s="80"/>
      <c r="R197" s="80"/>
      <c r="S197" s="80"/>
      <c r="T197" s="80"/>
      <c r="U197" s="80"/>
      <c r="V197" s="80"/>
      <c r="W197" s="80"/>
      <c r="X197" s="80"/>
      <c r="Y197" s="80"/>
      <c r="Z197" s="80"/>
    </row>
    <row r="198">
      <c r="A198" s="33" t="s">
        <v>816</v>
      </c>
      <c r="B198" s="116" t="s">
        <v>890</v>
      </c>
      <c r="C198" s="81" t="s">
        <v>891</v>
      </c>
      <c r="D198" s="33" t="s">
        <v>892</v>
      </c>
      <c r="E198" s="33" t="s">
        <v>889</v>
      </c>
      <c r="F198" s="34">
        <v>423867.0</v>
      </c>
      <c r="G198" s="80"/>
      <c r="H198" s="80"/>
      <c r="I198" s="33" t="s">
        <v>25</v>
      </c>
      <c r="J198" s="33" t="s">
        <v>25</v>
      </c>
      <c r="K198" s="33" t="s">
        <v>25</v>
      </c>
      <c r="L198" s="80"/>
      <c r="M198" s="80"/>
      <c r="N198" s="80"/>
      <c r="O198" s="80"/>
      <c r="P198" s="80"/>
      <c r="Q198" s="80"/>
      <c r="R198" s="80"/>
      <c r="S198" s="80"/>
      <c r="T198" s="80"/>
      <c r="U198" s="80"/>
      <c r="V198" s="80"/>
      <c r="W198" s="80"/>
      <c r="X198" s="80"/>
      <c r="Y198" s="80"/>
      <c r="Z198" s="80"/>
    </row>
    <row r="199">
      <c r="A199" s="33" t="s">
        <v>816</v>
      </c>
      <c r="B199" s="116" t="s">
        <v>893</v>
      </c>
      <c r="C199" s="81" t="s">
        <v>894</v>
      </c>
      <c r="D199" s="33" t="s">
        <v>895</v>
      </c>
      <c r="E199" s="33" t="s">
        <v>889</v>
      </c>
      <c r="F199" s="34">
        <v>248236.0</v>
      </c>
      <c r="G199" s="80"/>
      <c r="H199" s="80"/>
      <c r="I199" s="33" t="s">
        <v>25</v>
      </c>
      <c r="J199" s="33" t="s">
        <v>25</v>
      </c>
      <c r="K199" s="33" t="s">
        <v>25</v>
      </c>
      <c r="L199" s="80"/>
      <c r="M199" s="80"/>
      <c r="N199" s="80"/>
      <c r="O199" s="80"/>
      <c r="P199" s="80"/>
      <c r="Q199" s="80"/>
      <c r="R199" s="80"/>
      <c r="S199" s="80"/>
      <c r="T199" s="80"/>
      <c r="U199" s="80"/>
      <c r="V199" s="80"/>
      <c r="W199" s="80"/>
      <c r="X199" s="80"/>
      <c r="Y199" s="80"/>
      <c r="Z199" s="80"/>
    </row>
    <row r="200">
      <c r="A200" s="33" t="s">
        <v>816</v>
      </c>
      <c r="B200" s="116" t="s">
        <v>896</v>
      </c>
      <c r="C200" s="81" t="s">
        <v>897</v>
      </c>
      <c r="D200" s="33" t="s">
        <v>898</v>
      </c>
      <c r="E200" s="33" t="s">
        <v>889</v>
      </c>
      <c r="F200" s="34">
        <v>150.0</v>
      </c>
      <c r="G200" s="80"/>
      <c r="H200" s="80"/>
      <c r="I200" s="33" t="s">
        <v>25</v>
      </c>
      <c r="J200" s="33" t="s">
        <v>25</v>
      </c>
      <c r="K200" s="33" t="s">
        <v>25</v>
      </c>
      <c r="L200" s="80"/>
      <c r="M200" s="80"/>
      <c r="N200" s="80"/>
      <c r="O200" s="80"/>
      <c r="P200" s="80"/>
      <c r="Q200" s="80"/>
      <c r="R200" s="80"/>
      <c r="S200" s="80"/>
      <c r="T200" s="80"/>
      <c r="U200" s="80"/>
      <c r="V200" s="80"/>
      <c r="W200" s="80"/>
      <c r="X200" s="80"/>
      <c r="Y200" s="80"/>
      <c r="Z200" s="80"/>
    </row>
    <row r="201">
      <c r="A201" s="33" t="s">
        <v>816</v>
      </c>
      <c r="B201" s="116" t="s">
        <v>899</v>
      </c>
      <c r="C201" s="124" t="s">
        <v>900</v>
      </c>
      <c r="D201" s="33" t="s">
        <v>901</v>
      </c>
      <c r="E201" s="33" t="s">
        <v>902</v>
      </c>
      <c r="F201" s="34">
        <v>10.0</v>
      </c>
      <c r="G201" s="80"/>
      <c r="H201" s="80"/>
      <c r="I201" s="33" t="s">
        <v>25</v>
      </c>
      <c r="J201" s="33" t="s">
        <v>25</v>
      </c>
      <c r="K201" s="33" t="s">
        <v>25</v>
      </c>
      <c r="L201" s="80"/>
      <c r="M201" s="80"/>
      <c r="N201" s="80"/>
      <c r="O201" s="80"/>
      <c r="P201" s="80"/>
      <c r="Q201" s="80"/>
      <c r="R201" s="80"/>
      <c r="S201" s="80"/>
      <c r="T201" s="80"/>
      <c r="U201" s="80"/>
      <c r="V201" s="80"/>
      <c r="W201" s="80"/>
      <c r="X201" s="80"/>
      <c r="Y201" s="80"/>
      <c r="Z201" s="80"/>
    </row>
    <row r="202">
      <c r="A202" s="33" t="s">
        <v>816</v>
      </c>
      <c r="B202" s="116" t="s">
        <v>903</v>
      </c>
      <c r="C202" s="90" t="s">
        <v>904</v>
      </c>
      <c r="D202" s="33" t="s">
        <v>905</v>
      </c>
      <c r="E202" s="33" t="s">
        <v>889</v>
      </c>
      <c r="F202" s="34">
        <v>2.0</v>
      </c>
      <c r="G202" s="80"/>
      <c r="H202" s="80"/>
      <c r="I202" s="33" t="s">
        <v>25</v>
      </c>
      <c r="J202" s="33" t="s">
        <v>25</v>
      </c>
      <c r="K202" s="33" t="s">
        <v>25</v>
      </c>
      <c r="L202" s="80"/>
      <c r="M202" s="80"/>
      <c r="N202" s="80"/>
      <c r="O202" s="80"/>
      <c r="P202" s="80"/>
      <c r="Q202" s="80"/>
      <c r="R202" s="80"/>
      <c r="S202" s="80"/>
      <c r="T202" s="80"/>
      <c r="U202" s="80"/>
      <c r="V202" s="80"/>
      <c r="W202" s="80"/>
      <c r="X202" s="80"/>
      <c r="Y202" s="80"/>
      <c r="Z202" s="80"/>
    </row>
    <row r="203">
      <c r="A203" s="33" t="s">
        <v>816</v>
      </c>
      <c r="B203" s="116" t="s">
        <v>906</v>
      </c>
      <c r="C203" s="124" t="s">
        <v>907</v>
      </c>
      <c r="D203" s="33" t="s">
        <v>908</v>
      </c>
      <c r="E203" s="33" t="s">
        <v>889</v>
      </c>
      <c r="F203" s="34">
        <v>342.0</v>
      </c>
      <c r="G203" s="80"/>
      <c r="H203" s="80"/>
      <c r="I203" s="33" t="s">
        <v>25</v>
      </c>
      <c r="J203" s="33" t="s">
        <v>25</v>
      </c>
      <c r="K203" s="33" t="s">
        <v>25</v>
      </c>
      <c r="L203" s="80"/>
      <c r="M203" s="80"/>
      <c r="N203" s="80"/>
      <c r="O203" s="80"/>
      <c r="P203" s="80"/>
      <c r="Q203" s="80"/>
      <c r="R203" s="80"/>
      <c r="S203" s="80"/>
      <c r="T203" s="80"/>
      <c r="U203" s="80"/>
      <c r="V203" s="80"/>
      <c r="W203" s="80"/>
      <c r="X203" s="80"/>
      <c r="Y203" s="80"/>
      <c r="Z203" s="80"/>
    </row>
    <row r="204">
      <c r="A204" s="33" t="s">
        <v>816</v>
      </c>
      <c r="B204" s="116" t="s">
        <v>909</v>
      </c>
      <c r="C204" s="111" t="s">
        <v>910</v>
      </c>
      <c r="D204" s="33" t="s">
        <v>911</v>
      </c>
      <c r="E204" s="33" t="s">
        <v>912</v>
      </c>
      <c r="F204" s="34">
        <v>150.0</v>
      </c>
      <c r="G204" s="80"/>
      <c r="H204" s="80"/>
      <c r="I204" s="33" t="s">
        <v>25</v>
      </c>
      <c r="J204" s="33" t="s">
        <v>25</v>
      </c>
      <c r="K204" s="33" t="s">
        <v>25</v>
      </c>
      <c r="L204" s="80"/>
      <c r="M204" s="80"/>
      <c r="N204" s="80"/>
      <c r="O204" s="80"/>
      <c r="P204" s="80"/>
      <c r="Q204" s="80"/>
      <c r="R204" s="80"/>
      <c r="S204" s="80"/>
      <c r="T204" s="80"/>
      <c r="U204" s="80"/>
      <c r="V204" s="80"/>
      <c r="W204" s="80"/>
      <c r="X204" s="80"/>
      <c r="Y204" s="80"/>
      <c r="Z204" s="80"/>
    </row>
    <row r="205">
      <c r="A205" s="33" t="s">
        <v>816</v>
      </c>
      <c r="B205" s="116" t="s">
        <v>913</v>
      </c>
      <c r="C205" s="90" t="s">
        <v>914</v>
      </c>
      <c r="D205" s="33" t="s">
        <v>915</v>
      </c>
      <c r="E205" s="33" t="s">
        <v>916</v>
      </c>
      <c r="F205" s="34">
        <v>2.0</v>
      </c>
      <c r="G205" s="80"/>
      <c r="H205" s="80"/>
      <c r="I205" s="33" t="s">
        <v>25</v>
      </c>
      <c r="J205" s="33" t="s">
        <v>25</v>
      </c>
      <c r="K205" s="33" t="s">
        <v>25</v>
      </c>
      <c r="L205" s="80"/>
      <c r="M205" s="80"/>
      <c r="N205" s="80"/>
      <c r="O205" s="80"/>
      <c r="P205" s="80"/>
      <c r="Q205" s="80"/>
      <c r="R205" s="80"/>
      <c r="S205" s="80"/>
      <c r="T205" s="80"/>
      <c r="U205" s="80"/>
      <c r="V205" s="80"/>
      <c r="W205" s="80"/>
      <c r="X205" s="80"/>
      <c r="Y205" s="80"/>
      <c r="Z205" s="80"/>
    </row>
    <row r="206">
      <c r="A206" s="33" t="s">
        <v>816</v>
      </c>
      <c r="B206" s="43" t="s">
        <v>917</v>
      </c>
      <c r="C206" s="111" t="s">
        <v>918</v>
      </c>
      <c r="D206" s="33" t="s">
        <v>919</v>
      </c>
      <c r="E206" s="33" t="s">
        <v>889</v>
      </c>
      <c r="F206" s="34">
        <v>38677.0</v>
      </c>
      <c r="G206" s="80"/>
      <c r="H206" s="80"/>
      <c r="I206" s="33" t="s">
        <v>25</v>
      </c>
      <c r="J206" s="33" t="s">
        <v>25</v>
      </c>
      <c r="K206" s="33" t="s">
        <v>25</v>
      </c>
      <c r="L206" s="80"/>
      <c r="M206" s="80"/>
      <c r="N206" s="80"/>
      <c r="O206" s="80"/>
      <c r="P206" s="80"/>
      <c r="Q206" s="80"/>
      <c r="R206" s="80"/>
      <c r="S206" s="80"/>
      <c r="T206" s="80"/>
      <c r="U206" s="80"/>
      <c r="V206" s="80"/>
      <c r="W206" s="80"/>
      <c r="X206" s="80"/>
      <c r="Y206" s="80"/>
      <c r="Z206" s="80"/>
    </row>
    <row r="207">
      <c r="A207" s="33" t="s">
        <v>816</v>
      </c>
      <c r="B207" s="43" t="s">
        <v>920</v>
      </c>
      <c r="C207" s="90" t="s">
        <v>921</v>
      </c>
      <c r="D207" s="125" t="s">
        <v>922</v>
      </c>
      <c r="E207" s="33" t="s">
        <v>889</v>
      </c>
      <c r="F207" s="61">
        <v>34272.0</v>
      </c>
      <c r="G207" s="80"/>
      <c r="H207" s="80"/>
      <c r="I207" s="33" t="s">
        <v>25</v>
      </c>
      <c r="J207" s="33" t="s">
        <v>25</v>
      </c>
      <c r="K207" s="33" t="s">
        <v>25</v>
      </c>
      <c r="L207" s="80"/>
      <c r="M207" s="80"/>
      <c r="N207" s="80"/>
      <c r="O207" s="80"/>
      <c r="P207" s="80"/>
      <c r="Q207" s="80"/>
      <c r="R207" s="80"/>
      <c r="S207" s="80"/>
      <c r="T207" s="80"/>
      <c r="U207" s="80"/>
      <c r="V207" s="80"/>
      <c r="W207" s="80"/>
      <c r="X207" s="80"/>
      <c r="Y207" s="80"/>
      <c r="Z207" s="80"/>
    </row>
    <row r="208">
      <c r="A208" s="33" t="s">
        <v>816</v>
      </c>
      <c r="B208" s="43" t="s">
        <v>923</v>
      </c>
      <c r="C208" s="111" t="s">
        <v>924</v>
      </c>
      <c r="D208" s="57" t="s">
        <v>925</v>
      </c>
      <c r="E208" s="57" t="s">
        <v>926</v>
      </c>
      <c r="F208" s="56" t="s">
        <v>927</v>
      </c>
      <c r="G208" s="80"/>
      <c r="H208" s="80"/>
      <c r="I208" s="33" t="s">
        <v>25</v>
      </c>
      <c r="J208" s="33" t="s">
        <v>25</v>
      </c>
      <c r="K208" s="33" t="s">
        <v>25</v>
      </c>
      <c r="L208" s="80"/>
      <c r="M208" s="80"/>
      <c r="N208" s="80"/>
      <c r="O208" s="80"/>
      <c r="P208" s="80"/>
      <c r="Q208" s="80"/>
      <c r="R208" s="80"/>
      <c r="S208" s="80"/>
      <c r="T208" s="80"/>
      <c r="U208" s="80"/>
      <c r="V208" s="80"/>
      <c r="W208" s="80"/>
      <c r="X208" s="80"/>
      <c r="Y208" s="80"/>
      <c r="Z208" s="80"/>
    </row>
    <row r="209">
      <c r="A209" s="46" t="s">
        <v>816</v>
      </c>
      <c r="B209" s="116" t="s">
        <v>928</v>
      </c>
      <c r="C209" s="81" t="s">
        <v>929</v>
      </c>
      <c r="D209" s="60" t="s">
        <v>930</v>
      </c>
      <c r="E209" s="60" t="s">
        <v>931</v>
      </c>
      <c r="F209" s="84" t="s">
        <v>932</v>
      </c>
      <c r="G209" s="45"/>
      <c r="H209" s="45"/>
      <c r="I209" s="33" t="s">
        <v>25</v>
      </c>
      <c r="J209" s="33" t="s">
        <v>25</v>
      </c>
      <c r="K209" s="33" t="s">
        <v>25</v>
      </c>
      <c r="L209" s="45"/>
      <c r="M209" s="45"/>
      <c r="N209" s="45"/>
      <c r="O209" s="45"/>
      <c r="P209" s="45"/>
      <c r="Q209" s="45"/>
      <c r="R209" s="45"/>
      <c r="S209" s="45"/>
      <c r="T209" s="45"/>
      <c r="U209" s="45"/>
      <c r="V209" s="45"/>
      <c r="W209" s="45"/>
      <c r="X209" s="45"/>
      <c r="Y209" s="45"/>
      <c r="Z209" s="45"/>
    </row>
    <row r="210">
      <c r="A210" s="33" t="s">
        <v>816</v>
      </c>
      <c r="B210" s="43" t="s">
        <v>933</v>
      </c>
      <c r="C210" s="111" t="s">
        <v>934</v>
      </c>
      <c r="D210" s="57" t="s">
        <v>935</v>
      </c>
      <c r="E210" s="57" t="s">
        <v>936</v>
      </c>
      <c r="F210" s="126" t="s">
        <v>937</v>
      </c>
      <c r="G210" s="80"/>
      <c r="H210" s="80"/>
      <c r="I210" s="33" t="s">
        <v>25</v>
      </c>
      <c r="J210" s="33" t="s">
        <v>25</v>
      </c>
      <c r="K210" s="33" t="s">
        <v>25</v>
      </c>
      <c r="L210" s="80"/>
      <c r="M210" s="80"/>
      <c r="N210" s="80"/>
      <c r="O210" s="80"/>
      <c r="P210" s="80"/>
      <c r="Q210" s="80"/>
      <c r="R210" s="80"/>
      <c r="S210" s="80"/>
      <c r="T210" s="80"/>
      <c r="U210" s="80"/>
      <c r="V210" s="80"/>
      <c r="W210" s="80"/>
      <c r="X210" s="80"/>
      <c r="Y210" s="80"/>
      <c r="Z210" s="80"/>
    </row>
    <row r="211">
      <c r="A211" s="28" t="s">
        <v>938</v>
      </c>
      <c r="B211" s="28" t="s">
        <v>92</v>
      </c>
      <c r="C211" s="28" t="s">
        <v>939</v>
      </c>
      <c r="D211" s="28"/>
      <c r="E211" s="28"/>
      <c r="F211" s="29"/>
      <c r="G211" s="95"/>
      <c r="H211" s="95"/>
      <c r="I211" s="95"/>
      <c r="J211" s="95"/>
      <c r="K211" s="95"/>
      <c r="L211" s="95"/>
      <c r="M211" s="95"/>
      <c r="N211" s="95"/>
      <c r="O211" s="95"/>
      <c r="P211" s="95"/>
      <c r="Q211" s="95"/>
      <c r="R211" s="95"/>
      <c r="S211" s="95"/>
      <c r="T211" s="95"/>
      <c r="U211" s="95"/>
      <c r="V211" s="95"/>
      <c r="W211" s="95"/>
      <c r="X211" s="95"/>
      <c r="Y211" s="95"/>
      <c r="Z211" s="95"/>
    </row>
    <row r="212">
      <c r="A212" s="46" t="s">
        <v>938</v>
      </c>
      <c r="B212" s="112" t="s">
        <v>940</v>
      </c>
      <c r="C212" s="81" t="s">
        <v>941</v>
      </c>
      <c r="D212" s="60" t="s">
        <v>942</v>
      </c>
      <c r="E212" s="60" t="s">
        <v>943</v>
      </c>
      <c r="F212" s="84" t="s">
        <v>944</v>
      </c>
      <c r="G212" s="45"/>
      <c r="H212" s="45"/>
      <c r="I212" s="33" t="s">
        <v>25</v>
      </c>
      <c r="J212" s="33" t="s">
        <v>25</v>
      </c>
      <c r="K212" s="33" t="s">
        <v>25</v>
      </c>
      <c r="L212" s="45"/>
      <c r="M212" s="45"/>
      <c r="N212" s="45"/>
      <c r="O212" s="45"/>
      <c r="P212" s="45"/>
      <c r="Q212" s="45"/>
      <c r="R212" s="45"/>
      <c r="S212" s="45"/>
      <c r="T212" s="45"/>
      <c r="U212" s="45"/>
      <c r="V212" s="45"/>
      <c r="W212" s="45"/>
      <c r="X212" s="45"/>
      <c r="Y212" s="45"/>
      <c r="Z212" s="45"/>
    </row>
    <row r="213">
      <c r="A213" s="46" t="s">
        <v>938</v>
      </c>
      <c r="B213" s="112" t="s">
        <v>945</v>
      </c>
      <c r="C213" s="81" t="s">
        <v>946</v>
      </c>
      <c r="D213" s="60" t="s">
        <v>947</v>
      </c>
      <c r="E213" s="60" t="s">
        <v>948</v>
      </c>
      <c r="F213" s="84" t="s">
        <v>949</v>
      </c>
      <c r="G213" s="45"/>
      <c r="H213" s="45"/>
      <c r="I213" s="33" t="s">
        <v>25</v>
      </c>
      <c r="J213" s="33" t="s">
        <v>25</v>
      </c>
      <c r="K213" s="33" t="s">
        <v>25</v>
      </c>
      <c r="L213" s="45"/>
      <c r="M213" s="45"/>
      <c r="N213" s="45"/>
      <c r="O213" s="45"/>
      <c r="P213" s="45"/>
      <c r="Q213" s="45"/>
      <c r="R213" s="45"/>
      <c r="S213" s="45"/>
      <c r="T213" s="45"/>
      <c r="U213" s="45"/>
      <c r="V213" s="45"/>
      <c r="W213" s="45"/>
      <c r="X213" s="45"/>
      <c r="Y213" s="45"/>
      <c r="Z213" s="45"/>
    </row>
    <row r="214">
      <c r="A214" s="46" t="s">
        <v>938</v>
      </c>
      <c r="B214" s="117" t="s">
        <v>950</v>
      </c>
      <c r="C214" s="81" t="s">
        <v>951</v>
      </c>
      <c r="D214" s="60" t="s">
        <v>952</v>
      </c>
      <c r="E214" s="60" t="s">
        <v>953</v>
      </c>
      <c r="F214" s="84" t="s">
        <v>954</v>
      </c>
      <c r="G214" s="45"/>
      <c r="H214" s="45"/>
      <c r="I214" s="33" t="s">
        <v>25</v>
      </c>
      <c r="J214" s="33" t="s">
        <v>25</v>
      </c>
      <c r="K214" s="33" t="s">
        <v>25</v>
      </c>
      <c r="L214" s="45"/>
      <c r="M214" s="45"/>
      <c r="N214" s="45"/>
      <c r="O214" s="45"/>
      <c r="P214" s="45"/>
      <c r="Q214" s="45"/>
      <c r="R214" s="45"/>
      <c r="S214" s="45"/>
      <c r="T214" s="45"/>
      <c r="U214" s="45"/>
      <c r="V214" s="45"/>
      <c r="W214" s="45"/>
      <c r="X214" s="45"/>
      <c r="Y214" s="45"/>
      <c r="Z214" s="45"/>
    </row>
    <row r="215">
      <c r="A215" s="46" t="s">
        <v>938</v>
      </c>
      <c r="B215" s="117" t="s">
        <v>955</v>
      </c>
      <c r="C215" s="81" t="s">
        <v>956</v>
      </c>
      <c r="D215" s="60" t="s">
        <v>957</v>
      </c>
      <c r="E215" s="60" t="s">
        <v>958</v>
      </c>
      <c r="F215" s="84">
        <v>1.3</v>
      </c>
      <c r="G215" s="45"/>
      <c r="H215" s="45"/>
      <c r="I215" s="33" t="s">
        <v>25</v>
      </c>
      <c r="J215" s="33" t="s">
        <v>25</v>
      </c>
      <c r="K215" s="33" t="s">
        <v>25</v>
      </c>
      <c r="L215" s="45"/>
      <c r="M215" s="45"/>
      <c r="N215" s="45"/>
      <c r="O215" s="45"/>
      <c r="P215" s="45"/>
      <c r="Q215" s="45"/>
      <c r="R215" s="45"/>
      <c r="S215" s="45"/>
      <c r="T215" s="45"/>
      <c r="U215" s="45"/>
      <c r="V215" s="45"/>
      <c r="W215" s="45"/>
      <c r="X215" s="45"/>
      <c r="Y215" s="45"/>
      <c r="Z215" s="45"/>
    </row>
    <row r="216">
      <c r="A216" s="46" t="s">
        <v>938</v>
      </c>
      <c r="B216" s="127" t="s">
        <v>959</v>
      </c>
      <c r="C216" s="40" t="s">
        <v>960</v>
      </c>
      <c r="D216" s="113" t="s">
        <v>961</v>
      </c>
      <c r="E216" s="113" t="s">
        <v>962</v>
      </c>
      <c r="F216" s="45" t="s">
        <v>963</v>
      </c>
      <c r="I216" s="33" t="s">
        <v>25</v>
      </c>
      <c r="J216" s="33" t="s">
        <v>25</v>
      </c>
      <c r="K216" s="33" t="s">
        <v>25</v>
      </c>
    </row>
    <row r="217">
      <c r="A217" s="46" t="s">
        <v>938</v>
      </c>
      <c r="B217" s="127" t="s">
        <v>964</v>
      </c>
      <c r="C217" s="40" t="s">
        <v>965</v>
      </c>
      <c r="D217" s="113" t="s">
        <v>966</v>
      </c>
      <c r="E217" s="113" t="s">
        <v>967</v>
      </c>
      <c r="F217" s="128">
        <v>45323.0</v>
      </c>
      <c r="I217" s="33" t="s">
        <v>25</v>
      </c>
      <c r="J217" s="33" t="s">
        <v>25</v>
      </c>
      <c r="K217" s="33" t="s">
        <v>25</v>
      </c>
    </row>
    <row r="218">
      <c r="A218" s="46" t="s">
        <v>938</v>
      </c>
      <c r="B218" s="116" t="s">
        <v>968</v>
      </c>
      <c r="C218" s="81" t="s">
        <v>969</v>
      </c>
      <c r="D218" s="60" t="s">
        <v>970</v>
      </c>
      <c r="E218" s="60" t="s">
        <v>971</v>
      </c>
      <c r="F218" s="84" t="s">
        <v>972</v>
      </c>
      <c r="G218" s="45"/>
      <c r="H218" s="45"/>
      <c r="I218" s="33" t="s">
        <v>25</v>
      </c>
      <c r="J218" s="33" t="s">
        <v>25</v>
      </c>
      <c r="K218" s="33" t="s">
        <v>25</v>
      </c>
      <c r="L218" s="45"/>
      <c r="M218" s="45"/>
      <c r="N218" s="45"/>
      <c r="O218" s="45"/>
      <c r="P218" s="45"/>
      <c r="Q218" s="45"/>
      <c r="R218" s="45"/>
      <c r="S218" s="45"/>
      <c r="T218" s="45"/>
      <c r="U218" s="45"/>
      <c r="V218" s="45"/>
      <c r="W218" s="45"/>
      <c r="X218" s="45"/>
      <c r="Y218" s="45"/>
      <c r="Z218" s="45"/>
    </row>
    <row r="219">
      <c r="A219" s="28" t="s">
        <v>973</v>
      </c>
      <c r="B219" s="28"/>
      <c r="C219" s="28" t="s">
        <v>974</v>
      </c>
      <c r="D219" s="28"/>
      <c r="E219" s="28"/>
      <c r="F219" s="29"/>
      <c r="G219" s="95"/>
      <c r="H219" s="95"/>
      <c r="I219" s="95"/>
      <c r="J219" s="95"/>
      <c r="K219" s="95"/>
      <c r="L219" s="95"/>
      <c r="M219" s="95"/>
      <c r="N219" s="95"/>
      <c r="O219" s="95"/>
      <c r="P219" s="95"/>
      <c r="Q219" s="95"/>
      <c r="R219" s="95"/>
      <c r="S219" s="95"/>
      <c r="T219" s="95"/>
      <c r="U219" s="95"/>
      <c r="V219" s="95"/>
      <c r="W219" s="95"/>
      <c r="X219" s="95"/>
      <c r="Y219" s="95"/>
      <c r="Z219" s="95"/>
    </row>
    <row r="220">
      <c r="A220" s="33" t="s">
        <v>973</v>
      </c>
      <c r="B220" s="77" t="s">
        <v>975</v>
      </c>
      <c r="C220" s="74" t="s">
        <v>976</v>
      </c>
      <c r="D220" s="74" t="s">
        <v>977</v>
      </c>
      <c r="E220" s="74" t="s">
        <v>978</v>
      </c>
      <c r="F220" s="64" t="s">
        <v>979</v>
      </c>
      <c r="G220" s="129"/>
      <c r="H220" s="129"/>
      <c r="I220" s="33" t="s">
        <v>25</v>
      </c>
      <c r="J220" s="33" t="s">
        <v>25</v>
      </c>
      <c r="K220" s="33" t="s">
        <v>25</v>
      </c>
      <c r="L220" s="129"/>
      <c r="M220" s="129"/>
      <c r="N220" s="129"/>
      <c r="O220" s="129"/>
      <c r="P220" s="129"/>
      <c r="Q220" s="129"/>
      <c r="R220" s="129"/>
      <c r="S220" s="129"/>
      <c r="T220" s="129"/>
      <c r="U220" s="129"/>
      <c r="V220" s="129"/>
      <c r="W220" s="129"/>
      <c r="X220" s="129"/>
      <c r="Y220" s="129"/>
      <c r="Z220" s="129"/>
    </row>
    <row r="221">
      <c r="A221" s="33" t="s">
        <v>973</v>
      </c>
      <c r="B221" s="77" t="s">
        <v>980</v>
      </c>
      <c r="C221" s="74" t="s">
        <v>981</v>
      </c>
      <c r="D221" s="74" t="s">
        <v>982</v>
      </c>
      <c r="E221" s="74" t="s">
        <v>983</v>
      </c>
      <c r="F221" s="64" t="s">
        <v>984</v>
      </c>
      <c r="G221" s="129"/>
      <c r="H221" s="129"/>
      <c r="I221" s="33" t="s">
        <v>25</v>
      </c>
      <c r="J221" s="33" t="s">
        <v>25</v>
      </c>
      <c r="K221" s="33" t="s">
        <v>25</v>
      </c>
      <c r="L221" s="129"/>
      <c r="M221" s="129"/>
      <c r="N221" s="129"/>
      <c r="O221" s="129"/>
      <c r="P221" s="129"/>
      <c r="Q221" s="129"/>
      <c r="R221" s="129"/>
      <c r="S221" s="129"/>
      <c r="T221" s="129"/>
      <c r="U221" s="129"/>
      <c r="V221" s="129"/>
      <c r="W221" s="129"/>
      <c r="X221" s="129"/>
      <c r="Y221" s="129"/>
      <c r="Z221" s="129"/>
    </row>
    <row r="222">
      <c r="A222" s="33" t="s">
        <v>973</v>
      </c>
      <c r="B222" s="77" t="s">
        <v>985</v>
      </c>
      <c r="C222" s="74" t="s">
        <v>986</v>
      </c>
      <c r="D222" s="74" t="s">
        <v>987</v>
      </c>
      <c r="E222" s="74" t="s">
        <v>988</v>
      </c>
      <c r="F222" s="64" t="s">
        <v>989</v>
      </c>
      <c r="G222" s="129"/>
      <c r="H222" s="129"/>
      <c r="I222" s="33" t="s">
        <v>25</v>
      </c>
      <c r="J222" s="33" t="s">
        <v>25</v>
      </c>
      <c r="K222" s="33" t="s">
        <v>25</v>
      </c>
      <c r="L222" s="129"/>
      <c r="M222" s="129"/>
      <c r="N222" s="129"/>
      <c r="O222" s="129"/>
      <c r="P222" s="129"/>
      <c r="Q222" s="129"/>
      <c r="R222" s="129"/>
      <c r="S222" s="129"/>
      <c r="T222" s="129"/>
      <c r="U222" s="129"/>
      <c r="V222" s="129"/>
      <c r="W222" s="129"/>
      <c r="X222" s="129"/>
      <c r="Y222" s="129"/>
      <c r="Z222" s="129"/>
    </row>
    <row r="223">
      <c r="A223" s="33" t="s">
        <v>973</v>
      </c>
      <c r="B223" s="77" t="s">
        <v>990</v>
      </c>
      <c r="C223" s="74" t="s">
        <v>991</v>
      </c>
      <c r="D223" s="74" t="s">
        <v>992</v>
      </c>
      <c r="E223" s="74" t="s">
        <v>993</v>
      </c>
      <c r="F223" s="64" t="s">
        <v>994</v>
      </c>
      <c r="G223" s="129"/>
      <c r="H223" s="129"/>
      <c r="I223" s="33" t="s">
        <v>25</v>
      </c>
      <c r="J223" s="33" t="s">
        <v>25</v>
      </c>
      <c r="K223" s="33" t="s">
        <v>25</v>
      </c>
      <c r="L223" s="129"/>
      <c r="M223" s="129"/>
      <c r="N223" s="129"/>
      <c r="O223" s="129"/>
      <c r="P223" s="129"/>
      <c r="Q223" s="129"/>
      <c r="R223" s="129"/>
      <c r="S223" s="129"/>
      <c r="T223" s="129"/>
      <c r="U223" s="129"/>
      <c r="V223" s="129"/>
      <c r="W223" s="129"/>
      <c r="X223" s="129"/>
      <c r="Y223" s="129"/>
      <c r="Z223" s="129"/>
    </row>
    <row r="224">
      <c r="A224" s="33" t="s">
        <v>973</v>
      </c>
      <c r="B224" s="77" t="s">
        <v>995</v>
      </c>
      <c r="C224" s="74" t="s">
        <v>996</v>
      </c>
      <c r="D224" s="74" t="s">
        <v>997</v>
      </c>
      <c r="E224" s="74" t="s">
        <v>998</v>
      </c>
      <c r="F224" s="46" t="s">
        <v>999</v>
      </c>
      <c r="G224" s="129"/>
      <c r="H224" s="129"/>
      <c r="I224" s="33" t="s">
        <v>25</v>
      </c>
      <c r="J224" s="33" t="s">
        <v>25</v>
      </c>
      <c r="K224" s="33" t="s">
        <v>25</v>
      </c>
      <c r="L224" s="129"/>
      <c r="M224" s="129"/>
      <c r="N224" s="129"/>
      <c r="O224" s="129"/>
      <c r="P224" s="129"/>
      <c r="Q224" s="129"/>
      <c r="R224" s="129"/>
      <c r="S224" s="129"/>
      <c r="T224" s="129"/>
      <c r="U224" s="129"/>
      <c r="V224" s="129"/>
      <c r="W224" s="129"/>
      <c r="X224" s="129"/>
      <c r="Y224" s="129"/>
      <c r="Z224" s="129"/>
    </row>
    <row r="225">
      <c r="A225" s="28" t="s">
        <v>1000</v>
      </c>
      <c r="B225" s="28"/>
      <c r="C225" s="28" t="s">
        <v>1001</v>
      </c>
      <c r="D225" s="28"/>
      <c r="E225" s="28"/>
      <c r="F225" s="29"/>
      <c r="G225" s="95"/>
      <c r="H225" s="95"/>
      <c r="I225" s="95"/>
      <c r="J225" s="95"/>
      <c r="K225" s="95"/>
      <c r="L225" s="95"/>
      <c r="M225" s="95"/>
      <c r="N225" s="95"/>
      <c r="O225" s="95"/>
      <c r="P225" s="95"/>
      <c r="Q225" s="95"/>
      <c r="R225" s="95"/>
      <c r="S225" s="95"/>
      <c r="T225" s="95"/>
      <c r="U225" s="95"/>
      <c r="V225" s="95"/>
      <c r="W225" s="95"/>
      <c r="X225" s="95"/>
      <c r="Y225" s="95"/>
      <c r="Z225" s="95"/>
    </row>
    <row r="226">
      <c r="A226" s="31" t="s">
        <v>1000</v>
      </c>
      <c r="B226" s="130" t="s">
        <v>1002</v>
      </c>
      <c r="C226" s="74" t="s">
        <v>1003</v>
      </c>
      <c r="D226" s="131" t="s">
        <v>1004</v>
      </c>
      <c r="E226" s="131" t="s">
        <v>1005</v>
      </c>
      <c r="F226" s="64" t="s">
        <v>1006</v>
      </c>
      <c r="G226" s="129"/>
      <c r="H226" s="129"/>
      <c r="I226" s="33" t="s">
        <v>25</v>
      </c>
      <c r="J226" s="33" t="s">
        <v>25</v>
      </c>
      <c r="K226" s="33" t="s">
        <v>25</v>
      </c>
      <c r="L226" s="129"/>
      <c r="M226" s="129"/>
      <c r="N226" s="129"/>
      <c r="O226" s="129"/>
      <c r="P226" s="129"/>
      <c r="Q226" s="129"/>
      <c r="R226" s="129"/>
      <c r="S226" s="129"/>
      <c r="T226" s="129"/>
      <c r="U226" s="129"/>
      <c r="V226" s="129"/>
      <c r="W226" s="129"/>
      <c r="X226" s="129"/>
      <c r="Y226" s="129"/>
      <c r="Z226" s="129"/>
    </row>
    <row r="227">
      <c r="A227" s="31" t="s">
        <v>1000</v>
      </c>
      <c r="B227" s="130" t="s">
        <v>1007</v>
      </c>
      <c r="C227" s="74" t="s">
        <v>1008</v>
      </c>
      <c r="D227" s="131" t="s">
        <v>1009</v>
      </c>
      <c r="E227" s="131" t="s">
        <v>1010</v>
      </c>
      <c r="F227" s="64" t="s">
        <v>1011</v>
      </c>
      <c r="G227" s="129"/>
      <c r="H227" s="129"/>
      <c r="I227" s="33" t="s">
        <v>25</v>
      </c>
      <c r="J227" s="33" t="s">
        <v>25</v>
      </c>
      <c r="K227" s="33" t="s">
        <v>25</v>
      </c>
      <c r="L227" s="129"/>
      <c r="M227" s="129"/>
      <c r="N227" s="129"/>
      <c r="O227" s="129"/>
      <c r="P227" s="129"/>
      <c r="Q227" s="129"/>
      <c r="R227" s="129"/>
      <c r="S227" s="129"/>
      <c r="T227" s="129"/>
      <c r="U227" s="129"/>
      <c r="V227" s="129"/>
      <c r="W227" s="129"/>
      <c r="X227" s="129"/>
      <c r="Y227" s="129"/>
      <c r="Z227" s="129"/>
    </row>
    <row r="228">
      <c r="A228" s="31" t="s">
        <v>1000</v>
      </c>
      <c r="B228" s="130" t="s">
        <v>1012</v>
      </c>
      <c r="C228" s="74" t="s">
        <v>1013</v>
      </c>
      <c r="D228" s="131" t="s">
        <v>1014</v>
      </c>
      <c r="E228" s="131" t="s">
        <v>1015</v>
      </c>
      <c r="F228" s="64" t="s">
        <v>1016</v>
      </c>
      <c r="G228" s="129"/>
      <c r="H228" s="129"/>
      <c r="I228" s="33" t="s">
        <v>25</v>
      </c>
      <c r="J228" s="33" t="s">
        <v>25</v>
      </c>
      <c r="K228" s="33" t="s">
        <v>25</v>
      </c>
      <c r="L228" s="129"/>
      <c r="M228" s="129"/>
      <c r="N228" s="129"/>
      <c r="O228" s="129"/>
      <c r="P228" s="129"/>
      <c r="Q228" s="129"/>
      <c r="R228" s="129"/>
      <c r="S228" s="129"/>
      <c r="T228" s="129"/>
      <c r="U228" s="129"/>
      <c r="V228" s="129"/>
      <c r="W228" s="129"/>
      <c r="X228" s="129"/>
      <c r="Y228" s="129"/>
      <c r="Z228" s="129"/>
    </row>
    <row r="229">
      <c r="A229" s="31" t="s">
        <v>1000</v>
      </c>
      <c r="B229" s="130" t="s">
        <v>1017</v>
      </c>
      <c r="C229" s="132" t="s">
        <v>1018</v>
      </c>
      <c r="D229" s="74" t="s">
        <v>1019</v>
      </c>
      <c r="E229" s="74" t="s">
        <v>1020</v>
      </c>
      <c r="F229" s="64" t="s">
        <v>1021</v>
      </c>
      <c r="G229" s="129"/>
      <c r="H229" s="129"/>
      <c r="I229" s="33" t="s">
        <v>25</v>
      </c>
      <c r="J229" s="33" t="s">
        <v>25</v>
      </c>
      <c r="K229" s="33" t="s">
        <v>25</v>
      </c>
      <c r="L229" s="129"/>
      <c r="M229" s="129"/>
      <c r="N229" s="129"/>
      <c r="O229" s="129"/>
      <c r="P229" s="129"/>
      <c r="Q229" s="129"/>
      <c r="R229" s="129"/>
      <c r="S229" s="129"/>
      <c r="T229" s="129"/>
      <c r="U229" s="129"/>
      <c r="V229" s="129"/>
      <c r="W229" s="129"/>
      <c r="X229" s="129"/>
      <c r="Y229" s="129"/>
      <c r="Z229" s="129"/>
    </row>
    <row r="230">
      <c r="A230" s="28" t="s">
        <v>1022</v>
      </c>
      <c r="B230" s="28" t="s">
        <v>92</v>
      </c>
      <c r="C230" s="28" t="s">
        <v>1023</v>
      </c>
      <c r="D230" s="28"/>
      <c r="E230" s="28"/>
      <c r="F230" s="29"/>
      <c r="G230" s="95"/>
      <c r="H230" s="95"/>
      <c r="I230" s="95"/>
      <c r="J230" s="95"/>
      <c r="K230" s="95"/>
      <c r="L230" s="95"/>
      <c r="M230" s="95"/>
      <c r="N230" s="95"/>
      <c r="O230" s="95"/>
      <c r="P230" s="95"/>
      <c r="Q230" s="95"/>
      <c r="R230" s="95"/>
      <c r="S230" s="95"/>
      <c r="T230" s="95"/>
      <c r="U230" s="95"/>
      <c r="V230" s="95"/>
      <c r="W230" s="95"/>
      <c r="X230" s="95"/>
      <c r="Y230" s="95"/>
      <c r="Z230" s="95"/>
    </row>
    <row r="231">
      <c r="A231" s="33" t="s">
        <v>1022</v>
      </c>
      <c r="B231" s="43" t="s">
        <v>154</v>
      </c>
      <c r="C231" s="33" t="s">
        <v>155</v>
      </c>
      <c r="D231" s="33" t="s">
        <v>1024</v>
      </c>
      <c r="E231" s="33" t="s">
        <v>1025</v>
      </c>
      <c r="F231" s="34" t="s">
        <v>158</v>
      </c>
      <c r="G231" s="80"/>
      <c r="H231" s="80"/>
      <c r="I231" s="33" t="s">
        <v>25</v>
      </c>
      <c r="J231" s="33" t="s">
        <v>25</v>
      </c>
      <c r="K231" s="33" t="s">
        <v>25</v>
      </c>
      <c r="L231" s="80"/>
      <c r="M231" s="80"/>
      <c r="N231" s="80"/>
      <c r="O231" s="80"/>
      <c r="P231" s="80"/>
      <c r="Q231" s="80"/>
      <c r="R231" s="80"/>
      <c r="S231" s="80"/>
      <c r="T231" s="80"/>
      <c r="U231" s="80"/>
      <c r="V231" s="80"/>
      <c r="W231" s="80"/>
      <c r="X231" s="80"/>
      <c r="Y231" s="80"/>
      <c r="Z231" s="80"/>
    </row>
    <row r="232">
      <c r="A232" s="33" t="s">
        <v>1022</v>
      </c>
      <c r="B232" s="43" t="s">
        <v>1026</v>
      </c>
      <c r="C232" s="31" t="s">
        <v>1027</v>
      </c>
      <c r="D232" s="33" t="s">
        <v>1028</v>
      </c>
      <c r="E232" s="33" t="s">
        <v>1029</v>
      </c>
      <c r="F232" s="34" t="s">
        <v>1030</v>
      </c>
      <c r="G232" s="80"/>
      <c r="H232" s="80"/>
      <c r="I232" s="33" t="s">
        <v>25</v>
      </c>
      <c r="J232" s="33" t="s">
        <v>25</v>
      </c>
      <c r="K232" s="33" t="s">
        <v>25</v>
      </c>
      <c r="L232" s="80"/>
      <c r="M232" s="80"/>
      <c r="N232" s="80"/>
      <c r="O232" s="80"/>
      <c r="P232" s="80"/>
      <c r="Q232" s="80"/>
      <c r="R232" s="80"/>
      <c r="S232" s="80"/>
      <c r="T232" s="80"/>
      <c r="U232" s="80"/>
      <c r="V232" s="80"/>
      <c r="W232" s="80"/>
      <c r="X232" s="80"/>
      <c r="Y232" s="80"/>
      <c r="Z232" s="80"/>
    </row>
    <row r="233">
      <c r="A233" s="33" t="s">
        <v>1022</v>
      </c>
      <c r="B233" s="43" t="s">
        <v>1031</v>
      </c>
      <c r="C233" s="81" t="s">
        <v>1032</v>
      </c>
      <c r="D233" s="33" t="s">
        <v>1033</v>
      </c>
      <c r="E233" s="33" t="s">
        <v>1034</v>
      </c>
      <c r="F233" s="33" t="s">
        <v>1035</v>
      </c>
      <c r="G233" s="80"/>
      <c r="H233" s="80"/>
      <c r="I233" s="33" t="s">
        <v>25</v>
      </c>
      <c r="J233" s="33" t="s">
        <v>25</v>
      </c>
      <c r="K233" s="33" t="s">
        <v>25</v>
      </c>
      <c r="L233" s="80"/>
      <c r="M233" s="80"/>
      <c r="N233" s="80"/>
      <c r="O233" s="80"/>
      <c r="P233" s="80"/>
      <c r="Q233" s="80"/>
      <c r="R233" s="80"/>
      <c r="S233" s="80"/>
      <c r="T233" s="80"/>
      <c r="U233" s="80"/>
      <c r="V233" s="80"/>
      <c r="W233" s="80"/>
      <c r="X233" s="80"/>
      <c r="Y233" s="80"/>
      <c r="Z233" s="80"/>
    </row>
    <row r="234">
      <c r="A234" s="33" t="s">
        <v>1022</v>
      </c>
      <c r="B234" s="43" t="s">
        <v>1036</v>
      </c>
      <c r="C234" s="81" t="s">
        <v>1037</v>
      </c>
      <c r="D234" s="33" t="s">
        <v>1038</v>
      </c>
      <c r="E234" s="33" t="s">
        <v>1039</v>
      </c>
      <c r="F234" s="63">
        <v>1000.0</v>
      </c>
      <c r="G234" s="80"/>
      <c r="H234" s="80"/>
      <c r="I234" s="33" t="s">
        <v>25</v>
      </c>
      <c r="J234" s="33" t="s">
        <v>25</v>
      </c>
      <c r="K234" s="33" t="s">
        <v>25</v>
      </c>
      <c r="L234" s="80"/>
      <c r="M234" s="80"/>
      <c r="N234" s="80"/>
      <c r="O234" s="80"/>
      <c r="P234" s="80"/>
      <c r="Q234" s="80"/>
      <c r="R234" s="80"/>
      <c r="S234" s="80"/>
      <c r="T234" s="80"/>
      <c r="U234" s="80"/>
      <c r="V234" s="80"/>
      <c r="W234" s="80"/>
      <c r="X234" s="80"/>
      <c r="Y234" s="80"/>
      <c r="Z234" s="80"/>
    </row>
    <row r="235">
      <c r="A235" s="33" t="s">
        <v>1022</v>
      </c>
      <c r="B235" s="43" t="s">
        <v>1040</v>
      </c>
      <c r="C235" s="81" t="s">
        <v>1041</v>
      </c>
      <c r="D235" s="33" t="s">
        <v>1042</v>
      </c>
      <c r="E235" s="33" t="s">
        <v>1043</v>
      </c>
      <c r="F235" s="63" t="s">
        <v>1044</v>
      </c>
      <c r="G235" s="80"/>
      <c r="H235" s="80"/>
      <c r="I235" s="33" t="s">
        <v>25</v>
      </c>
      <c r="J235" s="33" t="s">
        <v>25</v>
      </c>
      <c r="K235" s="33" t="s">
        <v>25</v>
      </c>
      <c r="L235" s="80"/>
      <c r="M235" s="80"/>
      <c r="N235" s="80"/>
      <c r="O235" s="80"/>
      <c r="P235" s="80"/>
      <c r="Q235" s="80"/>
      <c r="R235" s="80"/>
      <c r="S235" s="80"/>
      <c r="T235" s="80"/>
      <c r="U235" s="80"/>
      <c r="V235" s="80"/>
      <c r="W235" s="80"/>
      <c r="X235" s="80"/>
      <c r="Y235" s="80"/>
      <c r="Z235" s="80"/>
    </row>
    <row r="236">
      <c r="A236" s="33" t="s">
        <v>1022</v>
      </c>
      <c r="B236" s="43" t="s">
        <v>1045</v>
      </c>
      <c r="C236" s="81" t="s">
        <v>1046</v>
      </c>
      <c r="D236" s="33" t="s">
        <v>1047</v>
      </c>
      <c r="E236" s="33" t="s">
        <v>1048</v>
      </c>
      <c r="F236" s="63" t="s">
        <v>1049</v>
      </c>
      <c r="G236" s="80"/>
      <c r="H236" s="80"/>
      <c r="I236" s="33" t="s">
        <v>25</v>
      </c>
      <c r="J236" s="33" t="s">
        <v>25</v>
      </c>
      <c r="K236" s="33" t="s">
        <v>25</v>
      </c>
      <c r="L236" s="80"/>
      <c r="M236" s="80"/>
      <c r="N236" s="80"/>
      <c r="O236" s="80"/>
      <c r="P236" s="80"/>
      <c r="Q236" s="80"/>
      <c r="R236" s="80"/>
      <c r="S236" s="80"/>
      <c r="T236" s="80"/>
      <c r="U236" s="80"/>
      <c r="V236" s="80"/>
      <c r="W236" s="80"/>
      <c r="X236" s="80"/>
      <c r="Y236" s="80"/>
      <c r="Z236" s="80"/>
    </row>
    <row r="237">
      <c r="A237" s="28" t="s">
        <v>1050</v>
      </c>
      <c r="B237" s="28" t="s">
        <v>92</v>
      </c>
      <c r="C237" s="28" t="s">
        <v>1051</v>
      </c>
      <c r="D237" s="28"/>
      <c r="E237" s="28"/>
      <c r="F237" s="29"/>
      <c r="G237" s="95"/>
      <c r="H237" s="95"/>
      <c r="I237" s="95"/>
      <c r="J237" s="95"/>
      <c r="K237" s="95"/>
      <c r="L237" s="95"/>
      <c r="M237" s="95"/>
      <c r="N237" s="95"/>
      <c r="O237" s="95"/>
      <c r="P237" s="95"/>
      <c r="Q237" s="95"/>
      <c r="R237" s="95"/>
      <c r="S237" s="95"/>
      <c r="T237" s="95"/>
      <c r="U237" s="95"/>
      <c r="V237" s="95"/>
      <c r="W237" s="95"/>
      <c r="X237" s="95"/>
      <c r="Y237" s="95"/>
      <c r="Z237" s="95"/>
    </row>
    <row r="238">
      <c r="A238" s="33" t="s">
        <v>1050</v>
      </c>
      <c r="B238" s="82" t="s">
        <v>1052</v>
      </c>
      <c r="C238" s="33" t="s">
        <v>1053</v>
      </c>
      <c r="D238" s="33" t="s">
        <v>1054</v>
      </c>
      <c r="E238" s="33" t="s">
        <v>1055</v>
      </c>
      <c r="F238" s="34" t="s">
        <v>1056</v>
      </c>
      <c r="G238" s="80"/>
      <c r="H238" s="80"/>
      <c r="I238" s="33" t="s">
        <v>25</v>
      </c>
      <c r="J238" s="33" t="s">
        <v>25</v>
      </c>
      <c r="K238" s="33" t="s">
        <v>25</v>
      </c>
      <c r="L238" s="80"/>
      <c r="M238" s="80"/>
      <c r="N238" s="80"/>
      <c r="O238" s="80"/>
      <c r="P238" s="80"/>
      <c r="Q238" s="80"/>
      <c r="R238" s="80"/>
      <c r="S238" s="80"/>
      <c r="T238" s="80"/>
      <c r="U238" s="80"/>
      <c r="V238" s="80"/>
      <c r="W238" s="80"/>
      <c r="X238" s="80"/>
      <c r="Y238" s="80"/>
      <c r="Z238" s="80"/>
    </row>
    <row r="239">
      <c r="A239" s="133"/>
      <c r="B239" s="133"/>
      <c r="C239" s="133"/>
      <c r="D239" s="33"/>
      <c r="E239" s="33"/>
      <c r="F239" s="134"/>
      <c r="G239" s="18"/>
      <c r="H239" s="18"/>
      <c r="I239" s="18"/>
      <c r="J239" s="18"/>
      <c r="K239" s="18"/>
      <c r="L239" s="18"/>
      <c r="M239" s="18"/>
      <c r="N239" s="18"/>
      <c r="O239" s="18"/>
      <c r="P239" s="18"/>
      <c r="Q239" s="18"/>
      <c r="R239" s="18"/>
      <c r="S239" s="18"/>
      <c r="T239" s="18"/>
      <c r="U239" s="18"/>
      <c r="V239" s="18"/>
      <c r="W239" s="18"/>
      <c r="X239" s="18"/>
      <c r="Y239" s="18"/>
      <c r="Z239" s="18"/>
    </row>
    <row r="240">
      <c r="A240" s="133"/>
      <c r="B240" s="133"/>
      <c r="C240" s="133"/>
      <c r="D240" s="80"/>
      <c r="E240" s="80"/>
      <c r="F240" s="134"/>
      <c r="G240" s="18"/>
      <c r="H240" s="18"/>
      <c r="I240" s="18"/>
      <c r="J240" s="18"/>
      <c r="K240" s="18"/>
      <c r="L240" s="18"/>
      <c r="M240" s="18"/>
      <c r="N240" s="18"/>
      <c r="O240" s="18"/>
      <c r="P240" s="18"/>
      <c r="Q240" s="18"/>
      <c r="R240" s="18"/>
      <c r="S240" s="18"/>
      <c r="T240" s="18"/>
      <c r="U240" s="18"/>
      <c r="V240" s="18"/>
      <c r="W240" s="18"/>
      <c r="X240" s="18"/>
      <c r="Y240" s="18"/>
      <c r="Z240" s="18"/>
    </row>
    <row r="241">
      <c r="A241" s="133"/>
      <c r="B241" s="133"/>
      <c r="C241" s="133"/>
      <c r="D241" s="80"/>
      <c r="E241" s="80"/>
      <c r="F241" s="134"/>
      <c r="G241" s="18"/>
      <c r="H241" s="18"/>
      <c r="I241" s="18"/>
      <c r="J241" s="18"/>
      <c r="K241" s="18"/>
      <c r="L241" s="18"/>
      <c r="M241" s="18"/>
      <c r="N241" s="18"/>
      <c r="O241" s="18"/>
      <c r="P241" s="18"/>
      <c r="Q241" s="18"/>
      <c r="R241" s="18"/>
      <c r="S241" s="18"/>
      <c r="T241" s="18"/>
      <c r="U241" s="18"/>
      <c r="V241" s="18"/>
      <c r="W241" s="18"/>
      <c r="X241" s="18"/>
      <c r="Y241" s="18"/>
      <c r="Z241" s="18"/>
    </row>
    <row r="242">
      <c r="A242" s="133"/>
      <c r="B242" s="133"/>
      <c r="C242" s="133"/>
      <c r="D242" s="80"/>
      <c r="E242" s="80"/>
      <c r="F242" s="134"/>
      <c r="G242" s="18"/>
      <c r="H242" s="18"/>
      <c r="I242" s="18"/>
      <c r="J242" s="18"/>
      <c r="K242" s="18"/>
      <c r="L242" s="18"/>
      <c r="M242" s="18"/>
      <c r="N242" s="18"/>
      <c r="O242" s="18"/>
      <c r="P242" s="18"/>
      <c r="Q242" s="18"/>
      <c r="R242" s="18"/>
      <c r="S242" s="18"/>
      <c r="T242" s="18"/>
      <c r="U242" s="18"/>
      <c r="V242" s="18"/>
      <c r="W242" s="18"/>
      <c r="X242" s="18"/>
      <c r="Y242" s="18"/>
      <c r="Z242" s="18"/>
    </row>
    <row r="243">
      <c r="A243" s="133"/>
      <c r="B243" s="133"/>
      <c r="C243" s="133"/>
      <c r="D243" s="80"/>
      <c r="E243" s="80"/>
      <c r="F243" s="134"/>
      <c r="G243" s="18"/>
      <c r="H243" s="18"/>
      <c r="I243" s="18"/>
      <c r="J243" s="18"/>
      <c r="K243" s="18"/>
      <c r="L243" s="18"/>
      <c r="M243" s="18"/>
      <c r="N243" s="18"/>
      <c r="O243" s="18"/>
      <c r="P243" s="18"/>
      <c r="Q243" s="18"/>
      <c r="R243" s="18"/>
      <c r="S243" s="18"/>
      <c r="T243" s="18"/>
      <c r="U243" s="18"/>
      <c r="V243" s="18"/>
      <c r="W243" s="18"/>
      <c r="X243" s="18"/>
      <c r="Y243" s="18"/>
      <c r="Z243" s="18"/>
    </row>
    <row r="244">
      <c r="A244" s="133"/>
      <c r="B244" s="133"/>
      <c r="C244" s="133"/>
      <c r="D244" s="80"/>
      <c r="E244" s="80"/>
      <c r="F244" s="134"/>
      <c r="G244" s="18"/>
      <c r="H244" s="18"/>
      <c r="I244" s="18"/>
      <c r="J244" s="18"/>
      <c r="K244" s="18"/>
      <c r="L244" s="18"/>
      <c r="M244" s="18"/>
      <c r="N244" s="18"/>
      <c r="O244" s="18"/>
      <c r="P244" s="18"/>
      <c r="Q244" s="18"/>
      <c r="R244" s="18"/>
      <c r="S244" s="18"/>
      <c r="T244" s="18"/>
      <c r="U244" s="18"/>
      <c r="V244" s="18"/>
      <c r="W244" s="18"/>
      <c r="X244" s="18"/>
      <c r="Y244" s="18"/>
      <c r="Z244" s="18"/>
    </row>
    <row r="245">
      <c r="A245" s="54"/>
      <c r="B245" s="133"/>
      <c r="C245" s="133"/>
      <c r="D245" s="80"/>
      <c r="E245" s="80"/>
      <c r="F245" s="134"/>
      <c r="G245" s="18"/>
      <c r="H245" s="18"/>
      <c r="I245" s="18"/>
      <c r="J245" s="18"/>
      <c r="K245" s="18"/>
      <c r="L245" s="18"/>
      <c r="M245" s="18"/>
      <c r="N245" s="18"/>
      <c r="O245" s="18"/>
      <c r="P245" s="18"/>
      <c r="Q245" s="18"/>
      <c r="R245" s="18"/>
      <c r="S245" s="18"/>
      <c r="T245" s="18"/>
      <c r="U245" s="18"/>
      <c r="V245" s="18"/>
      <c r="W245" s="18"/>
      <c r="X245" s="18"/>
      <c r="Y245" s="18"/>
      <c r="Z245" s="18"/>
    </row>
    <row r="246">
      <c r="A246" s="133"/>
      <c r="B246" s="133"/>
      <c r="C246" s="133"/>
      <c r="D246" s="80"/>
      <c r="E246" s="80"/>
      <c r="F246" s="134"/>
      <c r="G246" s="18"/>
      <c r="H246" s="18"/>
      <c r="I246" s="18"/>
      <c r="J246" s="18"/>
      <c r="K246" s="18"/>
      <c r="L246" s="18"/>
      <c r="M246" s="18"/>
      <c r="N246" s="18"/>
      <c r="O246" s="18"/>
      <c r="P246" s="18"/>
      <c r="Q246" s="18"/>
      <c r="R246" s="18"/>
      <c r="S246" s="18"/>
      <c r="T246" s="18"/>
      <c r="U246" s="18"/>
      <c r="V246" s="18"/>
      <c r="W246" s="18"/>
      <c r="X246" s="18"/>
      <c r="Y246" s="18"/>
      <c r="Z246" s="18"/>
    </row>
    <row r="247">
      <c r="A247" s="133"/>
      <c r="B247" s="133"/>
      <c r="C247" s="133"/>
      <c r="D247" s="80"/>
      <c r="E247" s="80"/>
      <c r="F247" s="134"/>
      <c r="G247" s="18"/>
      <c r="H247" s="18"/>
      <c r="I247" s="18"/>
      <c r="J247" s="18"/>
      <c r="K247" s="18"/>
      <c r="L247" s="18"/>
      <c r="M247" s="18"/>
      <c r="N247" s="18"/>
      <c r="O247" s="18"/>
      <c r="P247" s="18"/>
      <c r="Q247" s="18"/>
      <c r="R247" s="18"/>
      <c r="S247" s="18"/>
      <c r="T247" s="18"/>
      <c r="U247" s="18"/>
      <c r="V247" s="18"/>
      <c r="W247" s="18"/>
      <c r="X247" s="18"/>
      <c r="Y247" s="18"/>
      <c r="Z247" s="18"/>
    </row>
    <row r="248">
      <c r="A248" s="133"/>
      <c r="B248" s="133"/>
      <c r="C248" s="133"/>
      <c r="D248" s="80"/>
      <c r="E248" s="80"/>
      <c r="F248" s="134"/>
      <c r="G248" s="18"/>
      <c r="H248" s="18"/>
      <c r="I248" s="18"/>
      <c r="J248" s="18"/>
      <c r="K248" s="18"/>
      <c r="L248" s="18"/>
      <c r="M248" s="18"/>
      <c r="N248" s="18"/>
      <c r="O248" s="18"/>
      <c r="P248" s="18"/>
      <c r="Q248" s="18"/>
      <c r="R248" s="18"/>
      <c r="S248" s="18"/>
      <c r="T248" s="18"/>
      <c r="U248" s="18"/>
      <c r="V248" s="18"/>
      <c r="W248" s="18"/>
      <c r="X248" s="18"/>
      <c r="Y248" s="18"/>
      <c r="Z248" s="18"/>
    </row>
    <row r="249">
      <c r="A249" s="133"/>
      <c r="B249" s="133"/>
      <c r="C249" s="133"/>
      <c r="D249" s="80"/>
      <c r="E249" s="80"/>
      <c r="F249" s="134"/>
      <c r="G249" s="18"/>
      <c r="H249" s="18"/>
      <c r="I249" s="18"/>
      <c r="J249" s="18"/>
      <c r="K249" s="18"/>
      <c r="L249" s="18"/>
      <c r="M249" s="18"/>
      <c r="N249" s="18"/>
      <c r="O249" s="18"/>
      <c r="P249" s="18"/>
      <c r="Q249" s="18"/>
      <c r="R249" s="18"/>
      <c r="S249" s="18"/>
      <c r="T249" s="18"/>
      <c r="U249" s="18"/>
      <c r="V249" s="18"/>
      <c r="W249" s="18"/>
      <c r="X249" s="18"/>
      <c r="Y249" s="18"/>
      <c r="Z249" s="18"/>
    </row>
    <row r="250">
      <c r="A250" s="133"/>
      <c r="B250" s="133"/>
      <c r="C250" s="133"/>
      <c r="D250" s="80"/>
      <c r="E250" s="80"/>
      <c r="F250" s="134"/>
      <c r="G250" s="18"/>
      <c r="H250" s="18"/>
      <c r="I250" s="18"/>
      <c r="J250" s="18"/>
      <c r="K250" s="18"/>
      <c r="L250" s="18"/>
      <c r="M250" s="18"/>
      <c r="N250" s="18"/>
      <c r="O250" s="18"/>
      <c r="P250" s="18"/>
      <c r="Q250" s="18"/>
      <c r="R250" s="18"/>
      <c r="S250" s="18"/>
      <c r="T250" s="18"/>
      <c r="U250" s="18"/>
      <c r="V250" s="18"/>
      <c r="W250" s="18"/>
      <c r="X250" s="18"/>
      <c r="Y250" s="18"/>
      <c r="Z250" s="18"/>
    </row>
    <row r="251">
      <c r="A251" s="133"/>
      <c r="B251" s="133"/>
      <c r="C251" s="133"/>
      <c r="D251" s="80"/>
      <c r="E251" s="80"/>
      <c r="F251" s="134"/>
      <c r="G251" s="18"/>
      <c r="H251" s="18"/>
      <c r="I251" s="18"/>
      <c r="J251" s="18"/>
      <c r="K251" s="18"/>
      <c r="L251" s="18"/>
      <c r="M251" s="18"/>
      <c r="N251" s="18"/>
      <c r="O251" s="18"/>
      <c r="P251" s="18"/>
      <c r="Q251" s="18"/>
      <c r="R251" s="18"/>
      <c r="S251" s="18"/>
      <c r="T251" s="18"/>
      <c r="U251" s="18"/>
      <c r="V251" s="18"/>
      <c r="W251" s="18"/>
      <c r="X251" s="18"/>
      <c r="Y251" s="18"/>
      <c r="Z251" s="18"/>
    </row>
    <row r="252">
      <c r="A252" s="133"/>
      <c r="B252" s="133"/>
      <c r="C252" s="133"/>
      <c r="D252" s="80"/>
      <c r="E252" s="80"/>
      <c r="F252" s="134"/>
      <c r="G252" s="18"/>
      <c r="H252" s="18"/>
      <c r="I252" s="18"/>
      <c r="J252" s="18"/>
      <c r="K252" s="18"/>
      <c r="L252" s="18"/>
      <c r="M252" s="18"/>
      <c r="N252" s="18"/>
      <c r="O252" s="18"/>
      <c r="P252" s="18"/>
      <c r="Q252" s="18"/>
      <c r="R252" s="18"/>
      <c r="S252" s="18"/>
      <c r="T252" s="18"/>
      <c r="U252" s="18"/>
      <c r="V252" s="18"/>
      <c r="W252" s="18"/>
      <c r="X252" s="18"/>
      <c r="Y252" s="18"/>
      <c r="Z252" s="18"/>
    </row>
    <row r="253">
      <c r="A253" s="133"/>
      <c r="B253" s="133"/>
      <c r="C253" s="133"/>
      <c r="D253" s="80"/>
      <c r="E253" s="80"/>
      <c r="F253" s="134"/>
      <c r="G253" s="18"/>
      <c r="H253" s="18"/>
      <c r="I253" s="18"/>
      <c r="J253" s="18"/>
      <c r="K253" s="18"/>
      <c r="L253" s="18"/>
      <c r="M253" s="18"/>
      <c r="N253" s="18"/>
      <c r="O253" s="18"/>
      <c r="P253" s="18"/>
      <c r="Q253" s="18"/>
      <c r="R253" s="18"/>
      <c r="S253" s="18"/>
      <c r="T253" s="18"/>
      <c r="U253" s="18"/>
      <c r="V253" s="18"/>
      <c r="W253" s="18"/>
      <c r="X253" s="18"/>
      <c r="Y253" s="18"/>
      <c r="Z253" s="18"/>
    </row>
    <row r="254">
      <c r="A254" s="133"/>
      <c r="B254" s="133"/>
      <c r="C254" s="133"/>
      <c r="D254" s="80"/>
      <c r="E254" s="80"/>
      <c r="F254" s="134"/>
      <c r="G254" s="18"/>
      <c r="H254" s="18"/>
      <c r="I254" s="18"/>
      <c r="J254" s="18"/>
      <c r="K254" s="18"/>
      <c r="L254" s="18"/>
      <c r="M254" s="18"/>
      <c r="N254" s="18"/>
      <c r="O254" s="18"/>
      <c r="P254" s="18"/>
      <c r="Q254" s="18"/>
      <c r="R254" s="18"/>
      <c r="S254" s="18"/>
      <c r="T254" s="18"/>
      <c r="U254" s="18"/>
      <c r="V254" s="18"/>
      <c r="W254" s="18"/>
      <c r="X254" s="18"/>
      <c r="Y254" s="18"/>
      <c r="Z254" s="18"/>
    </row>
    <row r="255">
      <c r="A255" s="133"/>
      <c r="B255" s="133"/>
      <c r="C255" s="133"/>
      <c r="D255" s="80"/>
      <c r="E255" s="80"/>
      <c r="F255" s="134"/>
      <c r="G255" s="18"/>
      <c r="H255" s="18"/>
      <c r="I255" s="18"/>
      <c r="J255" s="18"/>
      <c r="K255" s="18"/>
      <c r="L255" s="18"/>
      <c r="M255" s="18"/>
      <c r="N255" s="18"/>
      <c r="O255" s="18"/>
      <c r="P255" s="18"/>
      <c r="Q255" s="18"/>
      <c r="R255" s="18"/>
      <c r="S255" s="18"/>
      <c r="T255" s="18"/>
      <c r="U255" s="18"/>
      <c r="V255" s="18"/>
      <c r="W255" s="18"/>
      <c r="X255" s="18"/>
      <c r="Y255" s="18"/>
      <c r="Z255" s="18"/>
    </row>
    <row r="256">
      <c r="A256" s="18"/>
      <c r="B256" s="80"/>
      <c r="C256" s="18"/>
      <c r="D256" s="80"/>
      <c r="E256" s="80"/>
      <c r="F256" s="134"/>
      <c r="G256" s="18"/>
      <c r="H256" s="18"/>
      <c r="I256" s="18"/>
      <c r="J256" s="18"/>
      <c r="K256" s="18"/>
      <c r="L256" s="18"/>
      <c r="M256" s="18"/>
      <c r="N256" s="18"/>
      <c r="O256" s="18"/>
      <c r="P256" s="18"/>
      <c r="Q256" s="18"/>
      <c r="R256" s="18"/>
      <c r="S256" s="18"/>
      <c r="T256" s="18"/>
      <c r="U256" s="18"/>
      <c r="V256" s="18"/>
      <c r="W256" s="18"/>
      <c r="X256" s="18"/>
      <c r="Y256" s="18"/>
      <c r="Z256" s="18"/>
    </row>
    <row r="257">
      <c r="A257" s="18"/>
      <c r="B257" s="80"/>
      <c r="C257" s="18"/>
      <c r="D257" s="80"/>
      <c r="E257" s="80"/>
      <c r="F257" s="134"/>
      <c r="G257" s="18"/>
      <c r="H257" s="18"/>
      <c r="I257" s="18"/>
      <c r="J257" s="18"/>
      <c r="K257" s="18"/>
      <c r="L257" s="18"/>
      <c r="M257" s="18"/>
      <c r="N257" s="18"/>
      <c r="O257" s="18"/>
      <c r="P257" s="18"/>
      <c r="Q257" s="18"/>
      <c r="R257" s="18"/>
      <c r="S257" s="18"/>
      <c r="T257" s="18"/>
      <c r="U257" s="18"/>
      <c r="V257" s="18"/>
      <c r="W257" s="18"/>
      <c r="X257" s="18"/>
      <c r="Y257" s="18"/>
      <c r="Z257" s="18"/>
    </row>
    <row r="258">
      <c r="A258" s="18"/>
      <c r="B258" s="80"/>
      <c r="C258" s="18"/>
      <c r="D258" s="80"/>
      <c r="E258" s="80"/>
      <c r="F258" s="134"/>
      <c r="G258" s="18"/>
      <c r="H258" s="18"/>
      <c r="I258" s="18"/>
      <c r="J258" s="18"/>
      <c r="K258" s="18"/>
      <c r="L258" s="18"/>
      <c r="M258" s="18"/>
      <c r="N258" s="18"/>
      <c r="O258" s="18"/>
      <c r="P258" s="18"/>
      <c r="Q258" s="18"/>
      <c r="R258" s="18"/>
      <c r="S258" s="18"/>
      <c r="T258" s="18"/>
      <c r="U258" s="18"/>
      <c r="V258" s="18"/>
      <c r="W258" s="18"/>
      <c r="X258" s="18"/>
      <c r="Y258" s="18"/>
      <c r="Z258" s="18"/>
    </row>
    <row r="259">
      <c r="A259" s="18"/>
      <c r="B259" s="80"/>
      <c r="C259" s="18"/>
      <c r="D259" s="80"/>
      <c r="E259" s="80"/>
      <c r="F259" s="134"/>
      <c r="G259" s="18"/>
      <c r="H259" s="18"/>
      <c r="I259" s="18"/>
      <c r="J259" s="18"/>
      <c r="K259" s="18"/>
      <c r="L259" s="18"/>
      <c r="M259" s="18"/>
      <c r="N259" s="18"/>
      <c r="O259" s="18"/>
      <c r="P259" s="18"/>
      <c r="Q259" s="18"/>
      <c r="R259" s="18"/>
      <c r="S259" s="18"/>
      <c r="T259" s="18"/>
      <c r="U259" s="18"/>
      <c r="V259" s="18"/>
      <c r="W259" s="18"/>
      <c r="X259" s="18"/>
      <c r="Y259" s="18"/>
      <c r="Z259" s="18"/>
    </row>
    <row r="260">
      <c r="A260" s="18"/>
      <c r="B260" s="80"/>
      <c r="C260" s="18"/>
      <c r="D260" s="80"/>
      <c r="E260" s="80"/>
      <c r="F260" s="134"/>
      <c r="G260" s="18"/>
      <c r="H260" s="18"/>
      <c r="I260" s="18"/>
      <c r="J260" s="18"/>
      <c r="K260" s="18"/>
      <c r="L260" s="18"/>
      <c r="M260" s="18"/>
      <c r="N260" s="18"/>
      <c r="O260" s="18"/>
      <c r="P260" s="18"/>
      <c r="Q260" s="18"/>
      <c r="R260" s="18"/>
      <c r="S260" s="18"/>
      <c r="T260" s="18"/>
      <c r="U260" s="18"/>
      <c r="V260" s="18"/>
      <c r="W260" s="18"/>
      <c r="X260" s="18"/>
      <c r="Y260" s="18"/>
      <c r="Z260" s="18"/>
    </row>
    <row r="261">
      <c r="A261" s="18"/>
      <c r="B261" s="80"/>
      <c r="C261" s="18"/>
      <c r="D261" s="80"/>
      <c r="E261" s="80"/>
      <c r="F261" s="134"/>
      <c r="G261" s="18"/>
      <c r="H261" s="18"/>
      <c r="I261" s="18"/>
      <c r="J261" s="18"/>
      <c r="K261" s="18"/>
      <c r="L261" s="18"/>
      <c r="M261" s="18"/>
      <c r="N261" s="18"/>
      <c r="O261" s="18"/>
      <c r="P261" s="18"/>
      <c r="Q261" s="18"/>
      <c r="R261" s="18"/>
      <c r="S261" s="18"/>
      <c r="T261" s="18"/>
      <c r="U261" s="18"/>
      <c r="V261" s="18"/>
      <c r="W261" s="18"/>
      <c r="X261" s="18"/>
      <c r="Y261" s="18"/>
      <c r="Z261" s="18"/>
    </row>
    <row r="262">
      <c r="A262" s="18"/>
      <c r="B262" s="80"/>
      <c r="C262" s="18"/>
      <c r="D262" s="80"/>
      <c r="E262" s="80"/>
      <c r="F262" s="134"/>
      <c r="G262" s="18"/>
      <c r="H262" s="18"/>
      <c r="I262" s="18"/>
      <c r="J262" s="18"/>
      <c r="K262" s="18"/>
      <c r="L262" s="18"/>
      <c r="M262" s="18"/>
      <c r="N262" s="18"/>
      <c r="O262" s="18"/>
      <c r="P262" s="18"/>
      <c r="Q262" s="18"/>
      <c r="R262" s="18"/>
      <c r="S262" s="18"/>
      <c r="T262" s="18"/>
      <c r="U262" s="18"/>
      <c r="V262" s="18"/>
      <c r="W262" s="18"/>
      <c r="X262" s="18"/>
      <c r="Y262" s="18"/>
      <c r="Z262" s="18"/>
    </row>
    <row r="263">
      <c r="A263" s="18"/>
      <c r="B263" s="135"/>
      <c r="C263" s="18"/>
      <c r="D263" s="80"/>
      <c r="E263" s="80"/>
      <c r="F263" s="134"/>
      <c r="G263" s="18"/>
      <c r="H263" s="18"/>
      <c r="I263" s="18"/>
      <c r="J263" s="18"/>
      <c r="K263" s="18"/>
      <c r="L263" s="18"/>
      <c r="M263" s="18"/>
      <c r="N263" s="18"/>
      <c r="O263" s="18"/>
      <c r="P263" s="18"/>
      <c r="Q263" s="18"/>
      <c r="R263" s="18"/>
      <c r="S263" s="18"/>
      <c r="T263" s="18"/>
      <c r="U263" s="18"/>
      <c r="V263" s="18"/>
      <c r="W263" s="18"/>
      <c r="X263" s="18"/>
      <c r="Y263" s="18"/>
      <c r="Z263" s="18"/>
    </row>
    <row r="264">
      <c r="A264" s="18"/>
      <c r="B264" s="80"/>
      <c r="C264" s="18"/>
      <c r="D264" s="80"/>
      <c r="E264" s="80"/>
      <c r="F264" s="134"/>
      <c r="G264" s="18"/>
      <c r="H264" s="18"/>
      <c r="I264" s="18"/>
      <c r="J264" s="18"/>
      <c r="K264" s="18"/>
      <c r="L264" s="18"/>
      <c r="M264" s="18"/>
      <c r="N264" s="18"/>
      <c r="O264" s="18"/>
      <c r="P264" s="18"/>
      <c r="Q264" s="18"/>
      <c r="R264" s="18"/>
      <c r="S264" s="18"/>
      <c r="T264" s="18"/>
      <c r="U264" s="18"/>
      <c r="V264" s="18"/>
      <c r="W264" s="18"/>
      <c r="X264" s="18"/>
      <c r="Y264" s="18"/>
      <c r="Z264" s="18"/>
    </row>
    <row r="265">
      <c r="A265" s="18"/>
      <c r="B265" s="80"/>
      <c r="C265" s="18"/>
      <c r="D265" s="80"/>
      <c r="E265" s="80"/>
      <c r="F265" s="134"/>
      <c r="G265" s="18"/>
      <c r="H265" s="18"/>
      <c r="I265" s="18"/>
      <c r="J265" s="18"/>
      <c r="K265" s="18"/>
      <c r="L265" s="18"/>
      <c r="M265" s="18"/>
      <c r="N265" s="18"/>
      <c r="O265" s="18"/>
      <c r="P265" s="18"/>
      <c r="Q265" s="18"/>
      <c r="R265" s="18"/>
      <c r="S265" s="18"/>
      <c r="T265" s="18"/>
      <c r="U265" s="18"/>
      <c r="V265" s="18"/>
      <c r="W265" s="18"/>
      <c r="X265" s="18"/>
      <c r="Y265" s="18"/>
      <c r="Z265" s="18"/>
    </row>
    <row r="266">
      <c r="A266" s="18"/>
      <c r="B266" s="80"/>
      <c r="C266" s="18"/>
      <c r="D266" s="80"/>
      <c r="E266" s="80"/>
      <c r="F266" s="134"/>
      <c r="G266" s="18"/>
      <c r="H266" s="18"/>
      <c r="I266" s="18"/>
      <c r="J266" s="18"/>
      <c r="K266" s="18"/>
      <c r="L266" s="18"/>
      <c r="M266" s="18"/>
      <c r="N266" s="18"/>
      <c r="O266" s="18"/>
      <c r="P266" s="18"/>
      <c r="Q266" s="18"/>
      <c r="R266" s="18"/>
      <c r="S266" s="18"/>
      <c r="T266" s="18"/>
      <c r="U266" s="18"/>
      <c r="V266" s="18"/>
      <c r="W266" s="18"/>
      <c r="X266" s="18"/>
      <c r="Y266" s="18"/>
      <c r="Z266" s="18"/>
    </row>
    <row r="267">
      <c r="A267" s="18"/>
      <c r="B267" s="80"/>
      <c r="C267" s="18"/>
      <c r="D267" s="80"/>
      <c r="E267" s="80"/>
      <c r="F267" s="134"/>
      <c r="G267" s="18"/>
      <c r="H267" s="18"/>
      <c r="I267" s="18"/>
      <c r="J267" s="18"/>
      <c r="K267" s="18"/>
      <c r="L267" s="18"/>
      <c r="M267" s="18"/>
      <c r="N267" s="18"/>
      <c r="O267" s="18"/>
      <c r="P267" s="18"/>
      <c r="Q267" s="18"/>
      <c r="R267" s="18"/>
      <c r="S267" s="18"/>
      <c r="T267" s="18"/>
      <c r="U267" s="18"/>
      <c r="V267" s="18"/>
      <c r="W267" s="18"/>
      <c r="X267" s="18"/>
      <c r="Y267" s="18"/>
      <c r="Z267" s="18"/>
    </row>
    <row r="268">
      <c r="A268" s="18"/>
      <c r="B268" s="80"/>
      <c r="C268" s="18"/>
      <c r="D268" s="80"/>
      <c r="E268" s="80"/>
      <c r="F268" s="134"/>
      <c r="G268" s="18"/>
      <c r="H268" s="18"/>
      <c r="I268" s="18"/>
      <c r="J268" s="18"/>
      <c r="K268" s="18"/>
      <c r="L268" s="18"/>
      <c r="M268" s="18"/>
      <c r="N268" s="18"/>
      <c r="O268" s="18"/>
      <c r="P268" s="18"/>
      <c r="Q268" s="18"/>
      <c r="R268" s="18"/>
      <c r="S268" s="18"/>
      <c r="T268" s="18"/>
      <c r="U268" s="18"/>
      <c r="V268" s="18"/>
      <c r="W268" s="18"/>
      <c r="X268" s="18"/>
      <c r="Y268" s="18"/>
      <c r="Z268" s="18"/>
    </row>
    <row r="269">
      <c r="A269" s="18"/>
      <c r="B269" s="80"/>
      <c r="C269" s="18"/>
      <c r="D269" s="80"/>
      <c r="E269" s="80"/>
      <c r="F269" s="134"/>
      <c r="G269" s="18"/>
      <c r="H269" s="18"/>
      <c r="I269" s="18"/>
      <c r="J269" s="18"/>
      <c r="K269" s="18"/>
      <c r="L269" s="18"/>
      <c r="M269" s="18"/>
      <c r="N269" s="18"/>
      <c r="O269" s="18"/>
      <c r="P269" s="18"/>
      <c r="Q269" s="18"/>
      <c r="R269" s="18"/>
      <c r="S269" s="18"/>
      <c r="T269" s="18"/>
      <c r="U269" s="18"/>
      <c r="V269" s="18"/>
      <c r="W269" s="18"/>
      <c r="X269" s="18"/>
      <c r="Y269" s="18"/>
      <c r="Z269" s="18"/>
    </row>
    <row r="270">
      <c r="A270" s="18"/>
      <c r="B270" s="80"/>
      <c r="C270" s="18"/>
      <c r="D270" s="80"/>
      <c r="E270" s="80"/>
      <c r="F270" s="134"/>
      <c r="G270" s="18"/>
      <c r="H270" s="18"/>
      <c r="I270" s="18"/>
      <c r="J270" s="18"/>
      <c r="K270" s="18"/>
      <c r="L270" s="18"/>
      <c r="M270" s="18"/>
      <c r="N270" s="18"/>
      <c r="O270" s="18"/>
      <c r="P270" s="18"/>
      <c r="Q270" s="18"/>
      <c r="R270" s="18"/>
      <c r="S270" s="18"/>
      <c r="T270" s="18"/>
      <c r="U270" s="18"/>
      <c r="V270" s="18"/>
      <c r="W270" s="18"/>
      <c r="X270" s="18"/>
      <c r="Y270" s="18"/>
      <c r="Z270" s="18"/>
    </row>
    <row r="271">
      <c r="A271" s="18"/>
      <c r="B271" s="80"/>
      <c r="C271" s="18"/>
      <c r="D271" s="80"/>
      <c r="E271" s="80"/>
      <c r="F271" s="134"/>
      <c r="G271" s="18"/>
      <c r="H271" s="18"/>
      <c r="I271" s="18"/>
      <c r="J271" s="18"/>
      <c r="K271" s="18"/>
      <c r="L271" s="18"/>
      <c r="M271" s="18"/>
      <c r="N271" s="18"/>
      <c r="O271" s="18"/>
      <c r="P271" s="18"/>
      <c r="Q271" s="18"/>
      <c r="R271" s="18"/>
      <c r="S271" s="18"/>
      <c r="T271" s="18"/>
      <c r="U271" s="18"/>
      <c r="V271" s="18"/>
      <c r="W271" s="18"/>
      <c r="X271" s="18"/>
      <c r="Y271" s="18"/>
      <c r="Z271" s="18"/>
    </row>
    <row r="272">
      <c r="A272" s="18"/>
      <c r="B272" s="80"/>
      <c r="C272" s="18"/>
      <c r="D272" s="80"/>
      <c r="E272" s="80"/>
      <c r="F272" s="134"/>
      <c r="G272" s="18"/>
      <c r="H272" s="18"/>
      <c r="I272" s="18"/>
      <c r="J272" s="18"/>
      <c r="K272" s="18"/>
      <c r="L272" s="18"/>
      <c r="M272" s="18"/>
      <c r="N272" s="18"/>
      <c r="O272" s="18"/>
      <c r="P272" s="18"/>
      <c r="Q272" s="18"/>
      <c r="R272" s="18"/>
      <c r="S272" s="18"/>
      <c r="T272" s="18"/>
      <c r="U272" s="18"/>
      <c r="V272" s="18"/>
      <c r="W272" s="18"/>
      <c r="X272" s="18"/>
      <c r="Y272" s="18"/>
      <c r="Z272" s="18"/>
    </row>
    <row r="273">
      <c r="A273" s="18"/>
      <c r="B273" s="80"/>
      <c r="C273" s="18"/>
      <c r="D273" s="80"/>
      <c r="E273" s="80"/>
      <c r="F273" s="134"/>
      <c r="G273" s="18"/>
      <c r="H273" s="18"/>
      <c r="I273" s="18"/>
      <c r="J273" s="18"/>
      <c r="K273" s="18"/>
      <c r="L273" s="18"/>
      <c r="M273" s="18"/>
      <c r="N273" s="18"/>
      <c r="O273" s="18"/>
      <c r="P273" s="18"/>
      <c r="Q273" s="18"/>
      <c r="R273" s="18"/>
      <c r="S273" s="18"/>
      <c r="T273" s="18"/>
      <c r="U273" s="18"/>
      <c r="V273" s="18"/>
      <c r="W273" s="18"/>
      <c r="X273" s="18"/>
      <c r="Y273" s="18"/>
      <c r="Z273" s="18"/>
    </row>
    <row r="274">
      <c r="A274" s="18"/>
      <c r="B274" s="136"/>
      <c r="C274" s="18"/>
      <c r="D274" s="80"/>
      <c r="E274" s="80"/>
      <c r="F274" s="134"/>
      <c r="G274" s="18"/>
      <c r="H274" s="18"/>
      <c r="I274" s="18"/>
      <c r="J274" s="18"/>
      <c r="K274" s="18"/>
      <c r="L274" s="18"/>
      <c r="M274" s="18"/>
      <c r="N274" s="18"/>
      <c r="O274" s="18"/>
      <c r="P274" s="18"/>
      <c r="Q274" s="18"/>
      <c r="R274" s="18"/>
      <c r="S274" s="18"/>
      <c r="T274" s="18"/>
      <c r="U274" s="18"/>
      <c r="V274" s="18"/>
      <c r="W274" s="18"/>
      <c r="X274" s="18"/>
      <c r="Y274" s="18"/>
      <c r="Z274" s="18"/>
    </row>
    <row r="275">
      <c r="A275" s="18"/>
      <c r="B275" s="80"/>
      <c r="C275" s="18"/>
      <c r="D275" s="80"/>
      <c r="E275" s="80"/>
      <c r="F275" s="134"/>
      <c r="G275" s="18"/>
      <c r="H275" s="18"/>
      <c r="I275" s="18"/>
      <c r="J275" s="18"/>
      <c r="K275" s="18"/>
      <c r="L275" s="18"/>
      <c r="M275" s="18"/>
      <c r="N275" s="18"/>
      <c r="O275" s="18"/>
      <c r="P275" s="18"/>
      <c r="Q275" s="18"/>
      <c r="R275" s="18"/>
      <c r="S275" s="18"/>
      <c r="T275" s="18"/>
      <c r="U275" s="18"/>
      <c r="V275" s="18"/>
      <c r="W275" s="18"/>
      <c r="X275" s="18"/>
      <c r="Y275" s="18"/>
      <c r="Z275" s="18"/>
    </row>
    <row r="276">
      <c r="A276" s="18"/>
      <c r="B276" s="80"/>
      <c r="C276" s="18"/>
      <c r="D276" s="80"/>
      <c r="E276" s="80"/>
      <c r="F276" s="134"/>
      <c r="G276" s="18"/>
      <c r="H276" s="18"/>
      <c r="I276" s="18"/>
      <c r="J276" s="18"/>
      <c r="K276" s="18"/>
      <c r="L276" s="18"/>
      <c r="M276" s="18"/>
      <c r="N276" s="18"/>
      <c r="O276" s="18"/>
      <c r="P276" s="18"/>
      <c r="Q276" s="18"/>
      <c r="R276" s="18"/>
      <c r="S276" s="18"/>
      <c r="T276" s="18"/>
      <c r="U276" s="18"/>
      <c r="V276" s="18"/>
      <c r="W276" s="18"/>
      <c r="X276" s="18"/>
      <c r="Y276" s="18"/>
      <c r="Z276" s="18"/>
    </row>
    <row r="277">
      <c r="A277" s="18"/>
      <c r="B277" s="80"/>
      <c r="C277" s="18"/>
      <c r="D277" s="80"/>
      <c r="E277" s="80"/>
      <c r="F277" s="134"/>
      <c r="G277" s="18"/>
      <c r="H277" s="18"/>
      <c r="I277" s="18"/>
      <c r="J277" s="18"/>
      <c r="K277" s="18"/>
      <c r="L277" s="18"/>
      <c r="M277" s="18"/>
      <c r="N277" s="18"/>
      <c r="O277" s="18"/>
      <c r="P277" s="18"/>
      <c r="Q277" s="18"/>
      <c r="R277" s="18"/>
      <c r="S277" s="18"/>
      <c r="T277" s="18"/>
      <c r="U277" s="18"/>
      <c r="V277" s="18"/>
      <c r="W277" s="18"/>
      <c r="X277" s="18"/>
      <c r="Y277" s="18"/>
      <c r="Z277" s="18"/>
    </row>
    <row r="278">
      <c r="A278" s="18"/>
      <c r="B278" s="80"/>
      <c r="C278" s="18"/>
      <c r="D278" s="80"/>
      <c r="E278" s="80"/>
      <c r="F278" s="134"/>
      <c r="G278" s="18"/>
      <c r="H278" s="18"/>
      <c r="I278" s="18"/>
      <c r="J278" s="18"/>
      <c r="K278" s="18"/>
      <c r="L278" s="18"/>
      <c r="M278" s="18"/>
      <c r="N278" s="18"/>
      <c r="O278" s="18"/>
      <c r="P278" s="18"/>
      <c r="Q278" s="18"/>
      <c r="R278" s="18"/>
      <c r="S278" s="18"/>
      <c r="T278" s="18"/>
      <c r="U278" s="18"/>
      <c r="V278" s="18"/>
      <c r="W278" s="18"/>
      <c r="X278" s="18"/>
      <c r="Y278" s="18"/>
      <c r="Z278" s="18"/>
    </row>
    <row r="279">
      <c r="A279" s="18"/>
      <c r="B279" s="80"/>
      <c r="C279" s="18"/>
      <c r="D279" s="80"/>
      <c r="E279" s="80"/>
      <c r="F279" s="134"/>
      <c r="G279" s="18"/>
      <c r="H279" s="18"/>
      <c r="I279" s="18"/>
      <c r="J279" s="18"/>
      <c r="K279" s="18"/>
      <c r="L279" s="18"/>
      <c r="M279" s="18"/>
      <c r="N279" s="18"/>
      <c r="O279" s="18"/>
      <c r="P279" s="18"/>
      <c r="Q279" s="18"/>
      <c r="R279" s="18"/>
      <c r="S279" s="18"/>
      <c r="T279" s="18"/>
      <c r="U279" s="18"/>
      <c r="V279" s="18"/>
      <c r="W279" s="18"/>
      <c r="X279" s="18"/>
      <c r="Y279" s="18"/>
      <c r="Z279" s="18"/>
    </row>
    <row r="280">
      <c r="A280" s="18"/>
      <c r="B280" s="80"/>
      <c r="C280" s="18"/>
      <c r="D280" s="80"/>
      <c r="E280" s="80"/>
      <c r="F280" s="134"/>
      <c r="G280" s="18"/>
      <c r="H280" s="18"/>
      <c r="I280" s="18"/>
      <c r="J280" s="18"/>
      <c r="K280" s="18"/>
      <c r="L280" s="18"/>
      <c r="M280" s="18"/>
      <c r="N280" s="18"/>
      <c r="O280" s="18"/>
      <c r="P280" s="18"/>
      <c r="Q280" s="18"/>
      <c r="R280" s="18"/>
      <c r="S280" s="18"/>
      <c r="T280" s="18"/>
      <c r="U280" s="18"/>
      <c r="V280" s="18"/>
      <c r="W280" s="18"/>
      <c r="X280" s="18"/>
      <c r="Y280" s="18"/>
      <c r="Z280" s="18"/>
    </row>
    <row r="281">
      <c r="A281" s="18"/>
      <c r="B281" s="80"/>
      <c r="C281" s="18"/>
      <c r="D281" s="80"/>
      <c r="E281" s="80"/>
      <c r="F281" s="134"/>
      <c r="G281" s="18"/>
      <c r="H281" s="18"/>
      <c r="I281" s="18"/>
      <c r="J281" s="18"/>
      <c r="K281" s="18"/>
      <c r="L281" s="18"/>
      <c r="M281" s="18"/>
      <c r="N281" s="18"/>
      <c r="O281" s="18"/>
      <c r="P281" s="18"/>
      <c r="Q281" s="18"/>
      <c r="R281" s="18"/>
      <c r="S281" s="18"/>
      <c r="T281" s="18"/>
      <c r="U281" s="18"/>
      <c r="V281" s="18"/>
      <c r="W281" s="18"/>
      <c r="X281" s="18"/>
      <c r="Y281" s="18"/>
      <c r="Z281" s="18"/>
    </row>
    <row r="282">
      <c r="A282" s="18"/>
      <c r="B282" s="80"/>
      <c r="C282" s="18"/>
      <c r="D282" s="80"/>
      <c r="E282" s="80"/>
      <c r="F282" s="134"/>
      <c r="G282" s="18"/>
      <c r="H282" s="18"/>
      <c r="I282" s="18"/>
      <c r="J282" s="18"/>
      <c r="K282" s="18"/>
      <c r="L282" s="18"/>
      <c r="M282" s="18"/>
      <c r="N282" s="18"/>
      <c r="O282" s="18"/>
      <c r="P282" s="18"/>
      <c r="Q282" s="18"/>
      <c r="R282" s="18"/>
      <c r="S282" s="18"/>
      <c r="T282" s="18"/>
      <c r="U282" s="18"/>
      <c r="V282" s="18"/>
      <c r="W282" s="18"/>
      <c r="X282" s="18"/>
      <c r="Y282" s="18"/>
      <c r="Z282" s="18"/>
    </row>
    <row r="283">
      <c r="A283" s="18"/>
      <c r="B283" s="80"/>
      <c r="C283" s="18"/>
      <c r="D283" s="80"/>
      <c r="E283" s="80"/>
      <c r="F283" s="134"/>
      <c r="G283" s="18"/>
      <c r="H283" s="18"/>
      <c r="I283" s="18"/>
      <c r="J283" s="18"/>
      <c r="K283" s="18"/>
      <c r="L283" s="18"/>
      <c r="M283" s="18"/>
      <c r="N283" s="18"/>
      <c r="O283" s="18"/>
      <c r="P283" s="18"/>
      <c r="Q283" s="18"/>
      <c r="R283" s="18"/>
      <c r="S283" s="18"/>
      <c r="T283" s="18"/>
      <c r="U283" s="18"/>
      <c r="V283" s="18"/>
      <c r="W283" s="18"/>
      <c r="X283" s="18"/>
      <c r="Y283" s="18"/>
      <c r="Z283" s="18"/>
    </row>
    <row r="284">
      <c r="A284" s="18"/>
      <c r="B284" s="80"/>
      <c r="C284" s="18"/>
      <c r="D284" s="80"/>
      <c r="E284" s="80"/>
      <c r="F284" s="134"/>
      <c r="G284" s="18"/>
      <c r="H284" s="18"/>
      <c r="I284" s="18"/>
      <c r="J284" s="18"/>
      <c r="K284" s="18"/>
      <c r="L284" s="18"/>
      <c r="M284" s="18"/>
      <c r="N284" s="18"/>
      <c r="O284" s="18"/>
      <c r="P284" s="18"/>
      <c r="Q284" s="18"/>
      <c r="R284" s="18"/>
      <c r="S284" s="18"/>
      <c r="T284" s="18"/>
      <c r="U284" s="18"/>
      <c r="V284" s="18"/>
      <c r="W284" s="18"/>
      <c r="X284" s="18"/>
      <c r="Y284" s="18"/>
      <c r="Z284" s="18"/>
    </row>
    <row r="285">
      <c r="A285" s="18"/>
      <c r="B285" s="80"/>
      <c r="C285" s="18"/>
      <c r="D285" s="80"/>
      <c r="E285" s="80"/>
      <c r="F285" s="134"/>
      <c r="G285" s="18"/>
      <c r="H285" s="18"/>
      <c r="I285" s="18"/>
      <c r="J285" s="18"/>
      <c r="K285" s="18"/>
      <c r="L285" s="18"/>
      <c r="M285" s="18"/>
      <c r="N285" s="18"/>
      <c r="O285" s="18"/>
      <c r="P285" s="18"/>
      <c r="Q285" s="18"/>
      <c r="R285" s="18"/>
      <c r="S285" s="18"/>
      <c r="T285" s="18"/>
      <c r="U285" s="18"/>
      <c r="V285" s="18"/>
      <c r="W285" s="18"/>
      <c r="X285" s="18"/>
      <c r="Y285" s="18"/>
      <c r="Z285" s="18"/>
    </row>
    <row r="286">
      <c r="A286" s="18"/>
      <c r="B286" s="80"/>
      <c r="C286" s="18"/>
      <c r="D286" s="80"/>
      <c r="E286" s="80"/>
      <c r="F286" s="134"/>
      <c r="G286" s="18"/>
      <c r="H286" s="18"/>
      <c r="I286" s="18"/>
      <c r="J286" s="18"/>
      <c r="K286" s="18"/>
      <c r="L286" s="18"/>
      <c r="M286" s="18"/>
      <c r="N286" s="18"/>
      <c r="O286" s="18"/>
      <c r="P286" s="18"/>
      <c r="Q286" s="18"/>
      <c r="R286" s="18"/>
      <c r="S286" s="18"/>
      <c r="T286" s="18"/>
      <c r="U286" s="18"/>
      <c r="V286" s="18"/>
      <c r="W286" s="18"/>
      <c r="X286" s="18"/>
      <c r="Y286" s="18"/>
      <c r="Z286" s="18"/>
    </row>
    <row r="287">
      <c r="A287" s="18"/>
      <c r="B287" s="80"/>
      <c r="C287" s="18"/>
      <c r="D287" s="80"/>
      <c r="E287" s="80"/>
      <c r="F287" s="134"/>
      <c r="G287" s="18"/>
      <c r="H287" s="18"/>
      <c r="I287" s="18"/>
      <c r="J287" s="18"/>
      <c r="K287" s="18"/>
      <c r="L287" s="18"/>
      <c r="M287" s="18"/>
      <c r="N287" s="18"/>
      <c r="O287" s="18"/>
      <c r="P287" s="18"/>
      <c r="Q287" s="18"/>
      <c r="R287" s="18"/>
      <c r="S287" s="18"/>
      <c r="T287" s="18"/>
      <c r="U287" s="18"/>
      <c r="V287" s="18"/>
      <c r="W287" s="18"/>
      <c r="X287" s="18"/>
      <c r="Y287" s="18"/>
      <c r="Z287" s="18"/>
    </row>
    <row r="288">
      <c r="A288" s="18"/>
      <c r="B288" s="80"/>
      <c r="C288" s="18"/>
      <c r="D288" s="80"/>
      <c r="E288" s="80"/>
      <c r="F288" s="134"/>
      <c r="G288" s="18"/>
      <c r="H288" s="18"/>
      <c r="I288" s="18"/>
      <c r="J288" s="18"/>
      <c r="K288" s="18"/>
      <c r="L288" s="18"/>
      <c r="M288" s="18"/>
      <c r="N288" s="18"/>
      <c r="O288" s="18"/>
      <c r="P288" s="18"/>
      <c r="Q288" s="18"/>
      <c r="R288" s="18"/>
      <c r="S288" s="18"/>
      <c r="T288" s="18"/>
      <c r="U288" s="18"/>
      <c r="V288" s="18"/>
      <c r="W288" s="18"/>
      <c r="X288" s="18"/>
      <c r="Y288" s="18"/>
      <c r="Z288" s="18"/>
    </row>
    <row r="289">
      <c r="A289" s="18"/>
      <c r="B289" s="80"/>
      <c r="C289" s="18"/>
      <c r="D289" s="80"/>
      <c r="E289" s="80"/>
      <c r="F289" s="134"/>
      <c r="G289" s="18"/>
      <c r="H289" s="18"/>
      <c r="I289" s="18"/>
      <c r="J289" s="18"/>
      <c r="K289" s="18"/>
      <c r="L289" s="18"/>
      <c r="M289" s="18"/>
      <c r="N289" s="18"/>
      <c r="O289" s="18"/>
      <c r="P289" s="18"/>
      <c r="Q289" s="18"/>
      <c r="R289" s="18"/>
      <c r="S289" s="18"/>
      <c r="T289" s="18"/>
      <c r="U289" s="18"/>
      <c r="V289" s="18"/>
      <c r="W289" s="18"/>
      <c r="X289" s="18"/>
      <c r="Y289" s="18"/>
      <c r="Z289" s="18"/>
    </row>
    <row r="290">
      <c r="A290" s="18"/>
      <c r="B290" s="80"/>
      <c r="C290" s="18"/>
      <c r="D290" s="80"/>
      <c r="E290" s="80"/>
      <c r="F290" s="134"/>
      <c r="G290" s="18"/>
      <c r="H290" s="18"/>
      <c r="I290" s="18"/>
      <c r="J290" s="18"/>
      <c r="K290" s="18"/>
      <c r="L290" s="18"/>
      <c r="M290" s="18"/>
      <c r="N290" s="18"/>
      <c r="O290" s="18"/>
      <c r="P290" s="18"/>
      <c r="Q290" s="18"/>
      <c r="R290" s="18"/>
      <c r="S290" s="18"/>
      <c r="T290" s="18"/>
      <c r="U290" s="18"/>
      <c r="V290" s="18"/>
      <c r="W290" s="18"/>
      <c r="X290" s="18"/>
      <c r="Y290" s="18"/>
      <c r="Z290" s="18"/>
    </row>
    <row r="291">
      <c r="A291" s="18"/>
      <c r="B291" s="80"/>
      <c r="C291" s="18"/>
      <c r="D291" s="80"/>
      <c r="E291" s="80"/>
      <c r="F291" s="134"/>
      <c r="G291" s="18"/>
      <c r="H291" s="18"/>
      <c r="I291" s="18"/>
      <c r="J291" s="18"/>
      <c r="K291" s="18"/>
      <c r="L291" s="18"/>
      <c r="M291" s="18"/>
      <c r="N291" s="18"/>
      <c r="O291" s="18"/>
      <c r="P291" s="18"/>
      <c r="Q291" s="18"/>
      <c r="R291" s="18"/>
      <c r="S291" s="18"/>
      <c r="T291" s="18"/>
      <c r="U291" s="18"/>
      <c r="V291" s="18"/>
      <c r="W291" s="18"/>
      <c r="X291" s="18"/>
      <c r="Y291" s="18"/>
      <c r="Z291" s="18"/>
    </row>
    <row r="292">
      <c r="A292" s="18"/>
      <c r="B292" s="80"/>
      <c r="C292" s="18"/>
      <c r="D292" s="80"/>
      <c r="E292" s="80"/>
      <c r="F292" s="134"/>
      <c r="G292" s="18"/>
      <c r="H292" s="18"/>
      <c r="I292" s="18"/>
      <c r="J292" s="18"/>
      <c r="K292" s="18"/>
      <c r="L292" s="18"/>
      <c r="M292" s="18"/>
      <c r="N292" s="18"/>
      <c r="O292" s="18"/>
      <c r="P292" s="18"/>
      <c r="Q292" s="18"/>
      <c r="R292" s="18"/>
      <c r="S292" s="18"/>
      <c r="T292" s="18"/>
      <c r="U292" s="18"/>
      <c r="V292" s="18"/>
      <c r="W292" s="18"/>
      <c r="X292" s="18"/>
      <c r="Y292" s="18"/>
      <c r="Z292" s="18"/>
    </row>
    <row r="293">
      <c r="A293" s="18"/>
      <c r="B293" s="80"/>
      <c r="C293" s="18"/>
      <c r="D293" s="80"/>
      <c r="E293" s="80"/>
      <c r="F293" s="134"/>
      <c r="G293" s="18"/>
      <c r="H293" s="18"/>
      <c r="I293" s="18"/>
      <c r="J293" s="18"/>
      <c r="K293" s="18"/>
      <c r="L293" s="18"/>
      <c r="M293" s="18"/>
      <c r="N293" s="18"/>
      <c r="O293" s="18"/>
      <c r="P293" s="18"/>
      <c r="Q293" s="18"/>
      <c r="R293" s="18"/>
      <c r="S293" s="18"/>
      <c r="T293" s="18"/>
      <c r="U293" s="18"/>
      <c r="V293" s="18"/>
      <c r="W293" s="18"/>
      <c r="X293" s="18"/>
      <c r="Y293" s="18"/>
      <c r="Z293" s="18"/>
    </row>
    <row r="294">
      <c r="A294" s="18"/>
      <c r="B294" s="80"/>
      <c r="C294" s="18"/>
      <c r="D294" s="80"/>
      <c r="E294" s="80"/>
      <c r="F294" s="134"/>
      <c r="G294" s="18"/>
      <c r="H294" s="18"/>
      <c r="I294" s="18"/>
      <c r="J294" s="18"/>
      <c r="K294" s="18"/>
      <c r="L294" s="18"/>
      <c r="M294" s="18"/>
      <c r="N294" s="18"/>
      <c r="O294" s="18"/>
      <c r="P294" s="18"/>
      <c r="Q294" s="18"/>
      <c r="R294" s="18"/>
      <c r="S294" s="18"/>
      <c r="T294" s="18"/>
      <c r="U294" s="18"/>
      <c r="V294" s="18"/>
      <c r="W294" s="18"/>
      <c r="X294" s="18"/>
      <c r="Y294" s="18"/>
      <c r="Z294" s="18"/>
    </row>
    <row r="295">
      <c r="A295" s="18"/>
      <c r="B295" s="80"/>
      <c r="C295" s="18"/>
      <c r="D295" s="80"/>
      <c r="E295" s="80"/>
      <c r="F295" s="134"/>
      <c r="G295" s="18"/>
      <c r="H295" s="18"/>
      <c r="I295" s="18"/>
      <c r="J295" s="18"/>
      <c r="K295" s="18"/>
      <c r="L295" s="18"/>
      <c r="M295" s="18"/>
      <c r="N295" s="18"/>
      <c r="O295" s="18"/>
      <c r="P295" s="18"/>
      <c r="Q295" s="18"/>
      <c r="R295" s="18"/>
      <c r="S295" s="18"/>
      <c r="T295" s="18"/>
      <c r="U295" s="18"/>
      <c r="V295" s="18"/>
      <c r="W295" s="18"/>
      <c r="X295" s="18"/>
      <c r="Y295" s="18"/>
      <c r="Z295" s="18"/>
    </row>
    <row r="296">
      <c r="A296" s="18"/>
      <c r="B296" s="80"/>
      <c r="C296" s="18"/>
      <c r="D296" s="80"/>
      <c r="E296" s="80"/>
      <c r="F296" s="134"/>
      <c r="G296" s="18"/>
      <c r="H296" s="18"/>
      <c r="I296" s="18"/>
      <c r="J296" s="18"/>
      <c r="K296" s="18"/>
      <c r="L296" s="18"/>
      <c r="M296" s="18"/>
      <c r="N296" s="18"/>
      <c r="O296" s="18"/>
      <c r="P296" s="18"/>
      <c r="Q296" s="18"/>
      <c r="R296" s="18"/>
      <c r="S296" s="18"/>
      <c r="T296" s="18"/>
      <c r="U296" s="18"/>
      <c r="V296" s="18"/>
      <c r="W296" s="18"/>
      <c r="X296" s="18"/>
      <c r="Y296" s="18"/>
      <c r="Z296" s="18"/>
    </row>
    <row r="297">
      <c r="A297" s="18"/>
      <c r="B297" s="80"/>
      <c r="C297" s="18"/>
      <c r="D297" s="80"/>
      <c r="E297" s="80"/>
      <c r="F297" s="134"/>
      <c r="G297" s="18"/>
      <c r="H297" s="18"/>
      <c r="I297" s="18"/>
      <c r="J297" s="18"/>
      <c r="K297" s="18"/>
      <c r="L297" s="18"/>
      <c r="M297" s="18"/>
      <c r="N297" s="18"/>
      <c r="O297" s="18"/>
      <c r="P297" s="18"/>
      <c r="Q297" s="18"/>
      <c r="R297" s="18"/>
      <c r="S297" s="18"/>
      <c r="T297" s="18"/>
      <c r="U297" s="18"/>
      <c r="V297" s="18"/>
      <c r="W297" s="18"/>
      <c r="X297" s="18"/>
      <c r="Y297" s="18"/>
      <c r="Z297" s="18"/>
    </row>
    <row r="298">
      <c r="A298" s="18"/>
      <c r="B298" s="80"/>
      <c r="C298" s="18"/>
      <c r="D298" s="80"/>
      <c r="E298" s="80"/>
      <c r="F298" s="134"/>
      <c r="G298" s="18"/>
      <c r="H298" s="18"/>
      <c r="I298" s="18"/>
      <c r="J298" s="18"/>
      <c r="K298" s="18"/>
      <c r="L298" s="18"/>
      <c r="M298" s="18"/>
      <c r="N298" s="18"/>
      <c r="O298" s="18"/>
      <c r="P298" s="18"/>
      <c r="Q298" s="18"/>
      <c r="R298" s="18"/>
      <c r="S298" s="18"/>
      <c r="T298" s="18"/>
      <c r="U298" s="18"/>
      <c r="V298" s="18"/>
      <c r="W298" s="18"/>
      <c r="X298" s="18"/>
      <c r="Y298" s="18"/>
      <c r="Z298" s="18"/>
    </row>
    <row r="299">
      <c r="A299" s="18"/>
      <c r="B299" s="80"/>
      <c r="C299" s="18"/>
      <c r="D299" s="80"/>
      <c r="E299" s="80"/>
      <c r="F299" s="134"/>
      <c r="G299" s="18"/>
      <c r="H299" s="18"/>
      <c r="I299" s="18"/>
      <c r="J299" s="18"/>
      <c r="K299" s="18"/>
      <c r="L299" s="18"/>
      <c r="M299" s="18"/>
      <c r="N299" s="18"/>
      <c r="O299" s="18"/>
      <c r="P299" s="18"/>
      <c r="Q299" s="18"/>
      <c r="R299" s="18"/>
      <c r="S299" s="18"/>
      <c r="T299" s="18"/>
      <c r="U299" s="18"/>
      <c r="V299" s="18"/>
      <c r="W299" s="18"/>
      <c r="X299" s="18"/>
      <c r="Y299" s="18"/>
      <c r="Z299" s="18"/>
    </row>
    <row r="300">
      <c r="A300" s="18"/>
      <c r="B300" s="80"/>
      <c r="C300" s="18"/>
      <c r="D300" s="80"/>
      <c r="E300" s="80"/>
      <c r="F300" s="134"/>
      <c r="G300" s="18"/>
      <c r="H300" s="18"/>
      <c r="I300" s="18"/>
      <c r="J300" s="18"/>
      <c r="K300" s="18"/>
      <c r="L300" s="18"/>
      <c r="M300" s="18"/>
      <c r="N300" s="18"/>
      <c r="O300" s="18"/>
      <c r="P300" s="18"/>
      <c r="Q300" s="18"/>
      <c r="R300" s="18"/>
      <c r="S300" s="18"/>
      <c r="T300" s="18"/>
      <c r="U300" s="18"/>
      <c r="V300" s="18"/>
      <c r="W300" s="18"/>
      <c r="X300" s="18"/>
      <c r="Y300" s="18"/>
      <c r="Z300" s="18"/>
    </row>
    <row r="301">
      <c r="A301" s="18"/>
      <c r="B301" s="80"/>
      <c r="C301" s="18"/>
      <c r="D301" s="80"/>
      <c r="E301" s="80"/>
      <c r="F301" s="134"/>
      <c r="G301" s="18"/>
      <c r="H301" s="18"/>
      <c r="I301" s="18"/>
      <c r="J301" s="18"/>
      <c r="K301" s="18"/>
      <c r="L301" s="18"/>
      <c r="M301" s="18"/>
      <c r="N301" s="18"/>
      <c r="O301" s="18"/>
      <c r="P301" s="18"/>
      <c r="Q301" s="18"/>
      <c r="R301" s="18"/>
      <c r="S301" s="18"/>
      <c r="T301" s="18"/>
      <c r="U301" s="18"/>
      <c r="V301" s="18"/>
      <c r="W301" s="18"/>
      <c r="X301" s="18"/>
      <c r="Y301" s="18"/>
      <c r="Z301" s="18"/>
    </row>
    <row r="302">
      <c r="A302" s="18"/>
      <c r="B302" s="80"/>
      <c r="C302" s="18"/>
      <c r="D302" s="80"/>
      <c r="E302" s="80"/>
      <c r="F302" s="134"/>
      <c r="G302" s="18"/>
      <c r="H302" s="18"/>
      <c r="I302" s="18"/>
      <c r="J302" s="18"/>
      <c r="K302" s="18"/>
      <c r="L302" s="18"/>
      <c r="M302" s="18"/>
      <c r="N302" s="18"/>
      <c r="O302" s="18"/>
      <c r="P302" s="18"/>
      <c r="Q302" s="18"/>
      <c r="R302" s="18"/>
      <c r="S302" s="18"/>
      <c r="T302" s="18"/>
      <c r="U302" s="18"/>
      <c r="V302" s="18"/>
      <c r="W302" s="18"/>
      <c r="X302" s="18"/>
      <c r="Y302" s="18"/>
      <c r="Z302" s="18"/>
    </row>
    <row r="303">
      <c r="A303" s="18"/>
      <c r="B303" s="80"/>
      <c r="C303" s="18"/>
      <c r="D303" s="80"/>
      <c r="E303" s="80"/>
      <c r="F303" s="134"/>
      <c r="G303" s="18"/>
      <c r="H303" s="18"/>
      <c r="I303" s="18"/>
      <c r="J303" s="18"/>
      <c r="K303" s="18"/>
      <c r="L303" s="18"/>
      <c r="M303" s="18"/>
      <c r="N303" s="18"/>
      <c r="O303" s="18"/>
      <c r="P303" s="18"/>
      <c r="Q303" s="18"/>
      <c r="R303" s="18"/>
      <c r="S303" s="18"/>
      <c r="T303" s="18"/>
      <c r="U303" s="18"/>
      <c r="V303" s="18"/>
      <c r="W303" s="18"/>
      <c r="X303" s="18"/>
      <c r="Y303" s="18"/>
      <c r="Z303" s="18"/>
    </row>
    <row r="304">
      <c r="A304" s="18"/>
      <c r="B304" s="80"/>
      <c r="C304" s="18"/>
      <c r="D304" s="80"/>
      <c r="E304" s="80"/>
      <c r="F304" s="134"/>
      <c r="G304" s="18"/>
      <c r="H304" s="18"/>
      <c r="I304" s="18"/>
      <c r="J304" s="18"/>
      <c r="K304" s="18"/>
      <c r="L304" s="18"/>
      <c r="M304" s="18"/>
      <c r="N304" s="18"/>
      <c r="O304" s="18"/>
      <c r="P304" s="18"/>
      <c r="Q304" s="18"/>
      <c r="R304" s="18"/>
      <c r="S304" s="18"/>
      <c r="T304" s="18"/>
      <c r="U304" s="18"/>
      <c r="V304" s="18"/>
      <c r="W304" s="18"/>
      <c r="X304" s="18"/>
      <c r="Y304" s="18"/>
      <c r="Z304" s="18"/>
    </row>
    <row r="305">
      <c r="A305" s="18"/>
      <c r="B305" s="80"/>
      <c r="C305" s="18"/>
      <c r="D305" s="80"/>
      <c r="E305" s="80"/>
      <c r="F305" s="134"/>
      <c r="G305" s="18"/>
      <c r="H305" s="18"/>
      <c r="I305" s="18"/>
      <c r="J305" s="18"/>
      <c r="K305" s="18"/>
      <c r="L305" s="18"/>
      <c r="M305" s="18"/>
      <c r="N305" s="18"/>
      <c r="O305" s="18"/>
      <c r="P305" s="18"/>
      <c r="Q305" s="18"/>
      <c r="R305" s="18"/>
      <c r="S305" s="18"/>
      <c r="T305" s="18"/>
      <c r="U305" s="18"/>
      <c r="V305" s="18"/>
      <c r="W305" s="18"/>
      <c r="X305" s="18"/>
      <c r="Y305" s="18"/>
      <c r="Z305" s="18"/>
    </row>
    <row r="306">
      <c r="A306" s="18"/>
      <c r="B306" s="80"/>
      <c r="C306" s="18"/>
      <c r="D306" s="80"/>
      <c r="E306" s="80"/>
      <c r="F306" s="134"/>
      <c r="G306" s="18"/>
      <c r="H306" s="18"/>
      <c r="I306" s="18"/>
      <c r="J306" s="18"/>
      <c r="K306" s="18"/>
      <c r="L306" s="18"/>
      <c r="M306" s="18"/>
      <c r="N306" s="18"/>
      <c r="O306" s="18"/>
      <c r="P306" s="18"/>
      <c r="Q306" s="18"/>
      <c r="R306" s="18"/>
      <c r="S306" s="18"/>
      <c r="T306" s="18"/>
      <c r="U306" s="18"/>
      <c r="V306" s="18"/>
      <c r="W306" s="18"/>
      <c r="X306" s="18"/>
      <c r="Y306" s="18"/>
      <c r="Z306" s="18"/>
    </row>
    <row r="307">
      <c r="A307" s="18"/>
      <c r="B307" s="80"/>
      <c r="C307" s="18"/>
      <c r="D307" s="80"/>
      <c r="E307" s="80"/>
      <c r="F307" s="134"/>
      <c r="G307" s="18"/>
      <c r="H307" s="18"/>
      <c r="I307" s="18"/>
      <c r="J307" s="18"/>
      <c r="K307" s="18"/>
      <c r="L307" s="18"/>
      <c r="M307" s="18"/>
      <c r="N307" s="18"/>
      <c r="O307" s="18"/>
      <c r="P307" s="18"/>
      <c r="Q307" s="18"/>
      <c r="R307" s="18"/>
      <c r="S307" s="18"/>
      <c r="T307" s="18"/>
      <c r="U307" s="18"/>
      <c r="V307" s="18"/>
      <c r="W307" s="18"/>
      <c r="X307" s="18"/>
      <c r="Y307" s="18"/>
      <c r="Z307" s="18"/>
    </row>
    <row r="308">
      <c r="A308" s="18"/>
      <c r="B308" s="80"/>
      <c r="C308" s="18"/>
      <c r="D308" s="80"/>
      <c r="E308" s="80"/>
      <c r="F308" s="134"/>
      <c r="G308" s="18"/>
      <c r="H308" s="18"/>
      <c r="I308" s="18"/>
      <c r="J308" s="18"/>
      <c r="K308" s="18"/>
      <c r="L308" s="18"/>
      <c r="M308" s="18"/>
      <c r="N308" s="18"/>
      <c r="O308" s="18"/>
      <c r="P308" s="18"/>
      <c r="Q308" s="18"/>
      <c r="R308" s="18"/>
      <c r="S308" s="18"/>
      <c r="T308" s="18"/>
      <c r="U308" s="18"/>
      <c r="V308" s="18"/>
      <c r="W308" s="18"/>
      <c r="X308" s="18"/>
      <c r="Y308" s="18"/>
      <c r="Z308" s="18"/>
    </row>
    <row r="309">
      <c r="A309" s="18"/>
      <c r="B309" s="80"/>
      <c r="C309" s="18"/>
      <c r="D309" s="80"/>
      <c r="E309" s="80"/>
      <c r="F309" s="134"/>
      <c r="G309" s="18"/>
      <c r="H309" s="18"/>
      <c r="I309" s="18"/>
      <c r="J309" s="18"/>
      <c r="K309" s="18"/>
      <c r="L309" s="18"/>
      <c r="M309" s="18"/>
      <c r="N309" s="18"/>
      <c r="O309" s="18"/>
      <c r="P309" s="18"/>
      <c r="Q309" s="18"/>
      <c r="R309" s="18"/>
      <c r="S309" s="18"/>
      <c r="T309" s="18"/>
      <c r="U309" s="18"/>
      <c r="V309" s="18"/>
      <c r="W309" s="18"/>
      <c r="X309" s="18"/>
      <c r="Y309" s="18"/>
      <c r="Z309" s="18"/>
    </row>
    <row r="310">
      <c r="A310" s="18"/>
      <c r="B310" s="80"/>
      <c r="C310" s="18"/>
      <c r="D310" s="80"/>
      <c r="E310" s="80"/>
      <c r="F310" s="134"/>
      <c r="G310" s="18"/>
      <c r="H310" s="18"/>
      <c r="I310" s="18"/>
      <c r="J310" s="18"/>
      <c r="K310" s="18"/>
      <c r="L310" s="18"/>
      <c r="M310" s="18"/>
      <c r="N310" s="18"/>
      <c r="O310" s="18"/>
      <c r="P310" s="18"/>
      <c r="Q310" s="18"/>
      <c r="R310" s="18"/>
      <c r="S310" s="18"/>
      <c r="T310" s="18"/>
      <c r="U310" s="18"/>
      <c r="V310" s="18"/>
      <c r="W310" s="18"/>
      <c r="X310" s="18"/>
      <c r="Y310" s="18"/>
      <c r="Z310" s="18"/>
    </row>
    <row r="311">
      <c r="A311" s="18"/>
      <c r="B311" s="80"/>
      <c r="C311" s="18"/>
      <c r="D311" s="80"/>
      <c r="E311" s="80"/>
      <c r="F311" s="134"/>
      <c r="G311" s="18"/>
      <c r="H311" s="18"/>
      <c r="I311" s="18"/>
      <c r="J311" s="18"/>
      <c r="K311" s="18"/>
      <c r="L311" s="18"/>
      <c r="M311" s="18"/>
      <c r="N311" s="18"/>
      <c r="O311" s="18"/>
      <c r="P311" s="18"/>
      <c r="Q311" s="18"/>
      <c r="R311" s="18"/>
      <c r="S311" s="18"/>
      <c r="T311" s="18"/>
      <c r="U311" s="18"/>
      <c r="V311" s="18"/>
      <c r="W311" s="18"/>
      <c r="X311" s="18"/>
      <c r="Y311" s="18"/>
      <c r="Z311" s="18"/>
    </row>
    <row r="312">
      <c r="A312" s="18"/>
      <c r="B312" s="80"/>
      <c r="C312" s="18"/>
      <c r="D312" s="80"/>
      <c r="E312" s="80"/>
      <c r="F312" s="134"/>
      <c r="G312" s="18"/>
      <c r="H312" s="18"/>
      <c r="I312" s="18"/>
      <c r="J312" s="18"/>
      <c r="K312" s="18"/>
      <c r="L312" s="18"/>
      <c r="M312" s="18"/>
      <c r="N312" s="18"/>
      <c r="O312" s="18"/>
      <c r="P312" s="18"/>
      <c r="Q312" s="18"/>
      <c r="R312" s="18"/>
      <c r="S312" s="18"/>
      <c r="T312" s="18"/>
      <c r="U312" s="18"/>
      <c r="V312" s="18"/>
      <c r="W312" s="18"/>
      <c r="X312" s="18"/>
      <c r="Y312" s="18"/>
      <c r="Z312" s="18"/>
    </row>
    <row r="313">
      <c r="A313" s="18"/>
      <c r="B313" s="80"/>
      <c r="C313" s="18"/>
      <c r="D313" s="80"/>
      <c r="E313" s="80"/>
      <c r="F313" s="134"/>
      <c r="G313" s="18"/>
      <c r="H313" s="18"/>
      <c r="I313" s="18"/>
      <c r="J313" s="18"/>
      <c r="K313" s="18"/>
      <c r="L313" s="18"/>
      <c r="M313" s="18"/>
      <c r="N313" s="18"/>
      <c r="O313" s="18"/>
      <c r="P313" s="18"/>
      <c r="Q313" s="18"/>
      <c r="R313" s="18"/>
      <c r="S313" s="18"/>
      <c r="T313" s="18"/>
      <c r="U313" s="18"/>
      <c r="V313" s="18"/>
      <c r="W313" s="18"/>
      <c r="X313" s="18"/>
      <c r="Y313" s="18"/>
      <c r="Z313" s="18"/>
    </row>
    <row r="314">
      <c r="A314" s="18"/>
      <c r="B314" s="80"/>
      <c r="C314" s="18"/>
      <c r="D314" s="80"/>
      <c r="E314" s="80"/>
      <c r="F314" s="134"/>
      <c r="G314" s="18"/>
      <c r="H314" s="18"/>
      <c r="I314" s="18"/>
      <c r="J314" s="18"/>
      <c r="K314" s="18"/>
      <c r="L314" s="18"/>
      <c r="M314" s="18"/>
      <c r="N314" s="18"/>
      <c r="O314" s="18"/>
      <c r="P314" s="18"/>
      <c r="Q314" s="18"/>
      <c r="R314" s="18"/>
      <c r="S314" s="18"/>
      <c r="T314" s="18"/>
      <c r="U314" s="18"/>
      <c r="V314" s="18"/>
      <c r="W314" s="18"/>
      <c r="X314" s="18"/>
      <c r="Y314" s="18"/>
      <c r="Z314" s="18"/>
    </row>
    <row r="315">
      <c r="A315" s="18"/>
      <c r="B315" s="80"/>
      <c r="C315" s="18"/>
      <c r="D315" s="80"/>
      <c r="E315" s="80"/>
      <c r="F315" s="134"/>
      <c r="G315" s="18"/>
      <c r="H315" s="18"/>
      <c r="I315" s="18"/>
      <c r="J315" s="18"/>
      <c r="K315" s="18"/>
      <c r="L315" s="18"/>
      <c r="M315" s="18"/>
      <c r="N315" s="18"/>
      <c r="O315" s="18"/>
      <c r="P315" s="18"/>
      <c r="Q315" s="18"/>
      <c r="R315" s="18"/>
      <c r="S315" s="18"/>
      <c r="T315" s="18"/>
      <c r="U315" s="18"/>
      <c r="V315" s="18"/>
      <c r="W315" s="18"/>
      <c r="X315" s="18"/>
      <c r="Y315" s="18"/>
      <c r="Z315" s="18"/>
    </row>
    <row r="316">
      <c r="A316" s="18"/>
      <c r="B316" s="80"/>
      <c r="C316" s="18"/>
      <c r="D316" s="80"/>
      <c r="E316" s="80"/>
      <c r="F316" s="134"/>
      <c r="G316" s="18"/>
      <c r="H316" s="18"/>
      <c r="I316" s="18"/>
      <c r="J316" s="18"/>
      <c r="K316" s="18"/>
      <c r="L316" s="18"/>
      <c r="M316" s="18"/>
      <c r="N316" s="18"/>
      <c r="O316" s="18"/>
      <c r="P316" s="18"/>
      <c r="Q316" s="18"/>
      <c r="R316" s="18"/>
      <c r="S316" s="18"/>
      <c r="T316" s="18"/>
      <c r="U316" s="18"/>
      <c r="V316" s="18"/>
      <c r="W316" s="18"/>
      <c r="X316" s="18"/>
      <c r="Y316" s="18"/>
      <c r="Z316" s="18"/>
    </row>
    <row r="317">
      <c r="A317" s="18"/>
      <c r="B317" s="80"/>
      <c r="C317" s="18"/>
      <c r="D317" s="80"/>
      <c r="E317" s="80"/>
      <c r="F317" s="134"/>
      <c r="G317" s="18"/>
      <c r="H317" s="18"/>
      <c r="I317" s="18"/>
      <c r="J317" s="18"/>
      <c r="K317" s="18"/>
      <c r="L317" s="18"/>
      <c r="M317" s="18"/>
      <c r="N317" s="18"/>
      <c r="O317" s="18"/>
      <c r="P317" s="18"/>
      <c r="Q317" s="18"/>
      <c r="R317" s="18"/>
      <c r="S317" s="18"/>
      <c r="T317" s="18"/>
      <c r="U317" s="18"/>
      <c r="V317" s="18"/>
      <c r="W317" s="18"/>
      <c r="X317" s="18"/>
      <c r="Y317" s="18"/>
      <c r="Z317" s="18"/>
    </row>
    <row r="318">
      <c r="A318" s="18"/>
      <c r="B318" s="80"/>
      <c r="C318" s="18"/>
      <c r="D318" s="80"/>
      <c r="E318" s="80"/>
      <c r="F318" s="134"/>
      <c r="G318" s="18"/>
      <c r="H318" s="18"/>
      <c r="I318" s="18"/>
      <c r="J318" s="18"/>
      <c r="K318" s="18"/>
      <c r="L318" s="18"/>
      <c r="M318" s="18"/>
      <c r="N318" s="18"/>
      <c r="O318" s="18"/>
      <c r="P318" s="18"/>
      <c r="Q318" s="18"/>
      <c r="R318" s="18"/>
      <c r="S318" s="18"/>
      <c r="T318" s="18"/>
      <c r="U318" s="18"/>
      <c r="V318" s="18"/>
      <c r="W318" s="18"/>
      <c r="X318" s="18"/>
      <c r="Y318" s="18"/>
      <c r="Z318" s="18"/>
    </row>
    <row r="319">
      <c r="A319" s="18"/>
      <c r="B319" s="80"/>
      <c r="C319" s="18"/>
      <c r="D319" s="80"/>
      <c r="E319" s="80"/>
      <c r="F319" s="134"/>
      <c r="G319" s="18"/>
      <c r="H319" s="18"/>
      <c r="I319" s="18"/>
      <c r="J319" s="18"/>
      <c r="K319" s="18"/>
      <c r="L319" s="18"/>
      <c r="M319" s="18"/>
      <c r="N319" s="18"/>
      <c r="O319" s="18"/>
      <c r="P319" s="18"/>
      <c r="Q319" s="18"/>
      <c r="R319" s="18"/>
      <c r="S319" s="18"/>
      <c r="T319" s="18"/>
      <c r="U319" s="18"/>
      <c r="V319" s="18"/>
      <c r="W319" s="18"/>
      <c r="X319" s="18"/>
      <c r="Y319" s="18"/>
      <c r="Z319" s="18"/>
    </row>
    <row r="320">
      <c r="A320" s="18"/>
      <c r="B320" s="80"/>
      <c r="C320" s="18"/>
      <c r="D320" s="80"/>
      <c r="E320" s="80"/>
      <c r="F320" s="134"/>
      <c r="G320" s="18"/>
      <c r="H320" s="18"/>
      <c r="I320" s="18"/>
      <c r="J320" s="18"/>
      <c r="K320" s="18"/>
      <c r="L320" s="18"/>
      <c r="M320" s="18"/>
      <c r="N320" s="18"/>
      <c r="O320" s="18"/>
      <c r="P320" s="18"/>
      <c r="Q320" s="18"/>
      <c r="R320" s="18"/>
      <c r="S320" s="18"/>
      <c r="T320" s="18"/>
      <c r="U320" s="18"/>
      <c r="V320" s="18"/>
      <c r="W320" s="18"/>
      <c r="X320" s="18"/>
      <c r="Y320" s="18"/>
      <c r="Z320" s="18"/>
    </row>
    <row r="321">
      <c r="A321" s="18"/>
      <c r="B321" s="80"/>
      <c r="C321" s="18"/>
      <c r="D321" s="80"/>
      <c r="E321" s="80"/>
      <c r="F321" s="134"/>
      <c r="G321" s="18"/>
      <c r="H321" s="18"/>
      <c r="I321" s="18"/>
      <c r="J321" s="18"/>
      <c r="K321" s="18"/>
      <c r="L321" s="18"/>
      <c r="M321" s="18"/>
      <c r="N321" s="18"/>
      <c r="O321" s="18"/>
      <c r="P321" s="18"/>
      <c r="Q321" s="18"/>
      <c r="R321" s="18"/>
      <c r="S321" s="18"/>
      <c r="T321" s="18"/>
      <c r="U321" s="18"/>
      <c r="V321" s="18"/>
      <c r="W321" s="18"/>
      <c r="X321" s="18"/>
      <c r="Y321" s="18"/>
      <c r="Z321" s="18"/>
    </row>
    <row r="322">
      <c r="A322" s="18"/>
      <c r="B322" s="80"/>
      <c r="C322" s="18"/>
      <c r="D322" s="80"/>
      <c r="E322" s="80"/>
      <c r="F322" s="134"/>
      <c r="G322" s="18"/>
      <c r="H322" s="18"/>
      <c r="I322" s="18"/>
      <c r="J322" s="18"/>
      <c r="K322" s="18"/>
      <c r="L322" s="18"/>
      <c r="M322" s="18"/>
      <c r="N322" s="18"/>
      <c r="O322" s="18"/>
      <c r="P322" s="18"/>
      <c r="Q322" s="18"/>
      <c r="R322" s="18"/>
      <c r="S322" s="18"/>
      <c r="T322" s="18"/>
      <c r="U322" s="18"/>
      <c r="V322" s="18"/>
      <c r="W322" s="18"/>
      <c r="X322" s="18"/>
      <c r="Y322" s="18"/>
      <c r="Z322" s="18"/>
    </row>
    <row r="323">
      <c r="A323" s="18"/>
      <c r="B323" s="80"/>
      <c r="C323" s="18"/>
      <c r="D323" s="80"/>
      <c r="E323" s="80"/>
      <c r="F323" s="134"/>
      <c r="G323" s="18"/>
      <c r="H323" s="18"/>
      <c r="I323" s="18"/>
      <c r="J323" s="18"/>
      <c r="K323" s="18"/>
      <c r="L323" s="18"/>
      <c r="M323" s="18"/>
      <c r="N323" s="18"/>
      <c r="O323" s="18"/>
      <c r="P323" s="18"/>
      <c r="Q323" s="18"/>
      <c r="R323" s="18"/>
      <c r="S323" s="18"/>
      <c r="T323" s="18"/>
      <c r="U323" s="18"/>
      <c r="V323" s="18"/>
      <c r="W323" s="18"/>
      <c r="X323" s="18"/>
      <c r="Y323" s="18"/>
      <c r="Z323" s="18"/>
    </row>
    <row r="324">
      <c r="A324" s="18"/>
      <c r="B324" s="80"/>
      <c r="C324" s="18"/>
      <c r="D324" s="80"/>
      <c r="E324" s="80"/>
      <c r="F324" s="134"/>
      <c r="G324" s="18"/>
      <c r="H324" s="18"/>
      <c r="I324" s="18"/>
      <c r="J324" s="18"/>
      <c r="K324" s="18"/>
      <c r="L324" s="18"/>
      <c r="M324" s="18"/>
      <c r="N324" s="18"/>
      <c r="O324" s="18"/>
      <c r="P324" s="18"/>
      <c r="Q324" s="18"/>
      <c r="R324" s="18"/>
      <c r="S324" s="18"/>
      <c r="T324" s="18"/>
      <c r="U324" s="18"/>
      <c r="V324" s="18"/>
      <c r="W324" s="18"/>
      <c r="X324" s="18"/>
      <c r="Y324" s="18"/>
      <c r="Z324" s="18"/>
    </row>
    <row r="325">
      <c r="A325" s="18"/>
      <c r="B325" s="80"/>
      <c r="C325" s="18"/>
      <c r="D325" s="80"/>
      <c r="E325" s="80"/>
      <c r="F325" s="134"/>
      <c r="G325" s="18"/>
      <c r="H325" s="18"/>
      <c r="I325" s="18"/>
      <c r="J325" s="18"/>
      <c r="K325" s="18"/>
      <c r="L325" s="18"/>
      <c r="M325" s="18"/>
      <c r="N325" s="18"/>
      <c r="O325" s="18"/>
      <c r="P325" s="18"/>
      <c r="Q325" s="18"/>
      <c r="R325" s="18"/>
      <c r="S325" s="18"/>
      <c r="T325" s="18"/>
      <c r="U325" s="18"/>
      <c r="V325" s="18"/>
      <c r="W325" s="18"/>
      <c r="X325" s="18"/>
      <c r="Y325" s="18"/>
      <c r="Z325" s="18"/>
    </row>
    <row r="326">
      <c r="A326" s="18"/>
      <c r="B326" s="80"/>
      <c r="C326" s="18"/>
      <c r="D326" s="80"/>
      <c r="E326" s="80"/>
      <c r="F326" s="134"/>
      <c r="G326" s="18"/>
      <c r="H326" s="18"/>
      <c r="I326" s="18"/>
      <c r="J326" s="18"/>
      <c r="K326" s="18"/>
      <c r="L326" s="18"/>
      <c r="M326" s="18"/>
      <c r="N326" s="18"/>
      <c r="O326" s="18"/>
      <c r="P326" s="18"/>
      <c r="Q326" s="18"/>
      <c r="R326" s="18"/>
      <c r="S326" s="18"/>
      <c r="T326" s="18"/>
      <c r="U326" s="18"/>
      <c r="V326" s="18"/>
      <c r="W326" s="18"/>
      <c r="X326" s="18"/>
      <c r="Y326" s="18"/>
      <c r="Z326" s="18"/>
    </row>
    <row r="327">
      <c r="A327" s="18"/>
      <c r="B327" s="80"/>
      <c r="C327" s="18"/>
      <c r="D327" s="80"/>
      <c r="E327" s="80"/>
      <c r="F327" s="134"/>
      <c r="G327" s="18"/>
      <c r="H327" s="18"/>
      <c r="I327" s="18"/>
      <c r="J327" s="18"/>
      <c r="K327" s="18"/>
      <c r="L327" s="18"/>
      <c r="M327" s="18"/>
      <c r="N327" s="18"/>
      <c r="O327" s="18"/>
      <c r="P327" s="18"/>
      <c r="Q327" s="18"/>
      <c r="R327" s="18"/>
      <c r="S327" s="18"/>
      <c r="T327" s="18"/>
      <c r="U327" s="18"/>
      <c r="V327" s="18"/>
      <c r="W327" s="18"/>
      <c r="X327" s="18"/>
      <c r="Y327" s="18"/>
      <c r="Z327" s="18"/>
    </row>
    <row r="328">
      <c r="A328" s="18"/>
      <c r="B328" s="80"/>
      <c r="C328" s="18"/>
      <c r="D328" s="80"/>
      <c r="E328" s="80"/>
      <c r="F328" s="134"/>
      <c r="G328" s="18"/>
      <c r="H328" s="18"/>
      <c r="I328" s="18"/>
      <c r="J328" s="18"/>
      <c r="K328" s="18"/>
      <c r="L328" s="18"/>
      <c r="M328" s="18"/>
      <c r="N328" s="18"/>
      <c r="O328" s="18"/>
      <c r="P328" s="18"/>
      <c r="Q328" s="18"/>
      <c r="R328" s="18"/>
      <c r="S328" s="18"/>
      <c r="T328" s="18"/>
      <c r="U328" s="18"/>
      <c r="V328" s="18"/>
      <c r="W328" s="18"/>
      <c r="X328" s="18"/>
      <c r="Y328" s="18"/>
      <c r="Z328" s="18"/>
    </row>
    <row r="329">
      <c r="A329" s="18"/>
      <c r="B329" s="80"/>
      <c r="C329" s="18"/>
      <c r="D329" s="80"/>
      <c r="E329" s="80"/>
      <c r="F329" s="134"/>
      <c r="G329" s="18"/>
      <c r="H329" s="18"/>
      <c r="I329" s="18"/>
      <c r="J329" s="18"/>
      <c r="K329" s="18"/>
      <c r="L329" s="18"/>
      <c r="M329" s="18"/>
      <c r="N329" s="18"/>
      <c r="O329" s="18"/>
      <c r="P329" s="18"/>
      <c r="Q329" s="18"/>
      <c r="R329" s="18"/>
      <c r="S329" s="18"/>
      <c r="T329" s="18"/>
      <c r="U329" s="18"/>
      <c r="V329" s="18"/>
      <c r="W329" s="18"/>
      <c r="X329" s="18"/>
      <c r="Y329" s="18"/>
      <c r="Z329" s="18"/>
    </row>
    <row r="330">
      <c r="A330" s="18"/>
      <c r="B330" s="80"/>
      <c r="C330" s="18"/>
      <c r="D330" s="80"/>
      <c r="E330" s="80"/>
      <c r="F330" s="134"/>
      <c r="G330" s="18"/>
      <c r="H330" s="18"/>
      <c r="I330" s="18"/>
      <c r="J330" s="18"/>
      <c r="K330" s="18"/>
      <c r="L330" s="18"/>
      <c r="M330" s="18"/>
      <c r="N330" s="18"/>
      <c r="O330" s="18"/>
      <c r="P330" s="18"/>
      <c r="Q330" s="18"/>
      <c r="R330" s="18"/>
      <c r="S330" s="18"/>
      <c r="T330" s="18"/>
      <c r="U330" s="18"/>
      <c r="V330" s="18"/>
      <c r="W330" s="18"/>
      <c r="X330" s="18"/>
      <c r="Y330" s="18"/>
      <c r="Z330" s="18"/>
    </row>
    <row r="331">
      <c r="A331" s="18"/>
      <c r="B331" s="80"/>
      <c r="C331" s="18"/>
      <c r="D331" s="80"/>
      <c r="E331" s="80"/>
      <c r="F331" s="134"/>
      <c r="G331" s="18"/>
      <c r="H331" s="18"/>
      <c r="I331" s="18"/>
      <c r="J331" s="18"/>
      <c r="K331" s="18"/>
      <c r="L331" s="18"/>
      <c r="M331" s="18"/>
      <c r="N331" s="18"/>
      <c r="O331" s="18"/>
      <c r="P331" s="18"/>
      <c r="Q331" s="18"/>
      <c r="R331" s="18"/>
      <c r="S331" s="18"/>
      <c r="T331" s="18"/>
      <c r="U331" s="18"/>
      <c r="V331" s="18"/>
      <c r="W331" s="18"/>
      <c r="X331" s="18"/>
      <c r="Y331" s="18"/>
      <c r="Z331" s="18"/>
    </row>
    <row r="332">
      <c r="A332" s="18"/>
      <c r="B332" s="80"/>
      <c r="C332" s="18"/>
      <c r="D332" s="80"/>
      <c r="E332" s="80"/>
      <c r="F332" s="134"/>
      <c r="G332" s="18"/>
      <c r="H332" s="18"/>
      <c r="I332" s="18"/>
      <c r="J332" s="18"/>
      <c r="K332" s="18"/>
      <c r="L332" s="18"/>
      <c r="M332" s="18"/>
      <c r="N332" s="18"/>
      <c r="O332" s="18"/>
      <c r="P332" s="18"/>
      <c r="Q332" s="18"/>
      <c r="R332" s="18"/>
      <c r="S332" s="18"/>
      <c r="T332" s="18"/>
      <c r="U332" s="18"/>
      <c r="V332" s="18"/>
      <c r="W332" s="18"/>
      <c r="X332" s="18"/>
      <c r="Y332" s="18"/>
      <c r="Z332" s="18"/>
    </row>
    <row r="333">
      <c r="A333" s="18"/>
      <c r="B333" s="80"/>
      <c r="C333" s="18"/>
      <c r="D333" s="80"/>
      <c r="E333" s="80"/>
      <c r="F333" s="134"/>
      <c r="G333" s="18"/>
      <c r="H333" s="18"/>
      <c r="I333" s="18"/>
      <c r="J333" s="18"/>
      <c r="K333" s="18"/>
      <c r="L333" s="18"/>
      <c r="M333" s="18"/>
      <c r="N333" s="18"/>
      <c r="O333" s="18"/>
      <c r="P333" s="18"/>
      <c r="Q333" s="18"/>
      <c r="R333" s="18"/>
      <c r="S333" s="18"/>
      <c r="T333" s="18"/>
      <c r="U333" s="18"/>
      <c r="V333" s="18"/>
      <c r="W333" s="18"/>
      <c r="X333" s="18"/>
      <c r="Y333" s="18"/>
      <c r="Z333" s="18"/>
    </row>
    <row r="334">
      <c r="A334" s="18"/>
      <c r="B334" s="80"/>
      <c r="C334" s="18"/>
      <c r="D334" s="80"/>
      <c r="E334" s="80"/>
      <c r="F334" s="134"/>
      <c r="G334" s="18"/>
      <c r="H334" s="18"/>
      <c r="I334" s="18"/>
      <c r="J334" s="18"/>
      <c r="K334" s="18"/>
      <c r="L334" s="18"/>
      <c r="M334" s="18"/>
      <c r="N334" s="18"/>
      <c r="O334" s="18"/>
      <c r="P334" s="18"/>
      <c r="Q334" s="18"/>
      <c r="R334" s="18"/>
      <c r="S334" s="18"/>
      <c r="T334" s="18"/>
      <c r="U334" s="18"/>
      <c r="V334" s="18"/>
      <c r="W334" s="18"/>
      <c r="X334" s="18"/>
      <c r="Y334" s="18"/>
      <c r="Z334" s="18"/>
    </row>
    <row r="335">
      <c r="A335" s="18"/>
      <c r="B335" s="80"/>
      <c r="C335" s="18"/>
      <c r="D335" s="80"/>
      <c r="E335" s="80"/>
      <c r="F335" s="134"/>
      <c r="G335" s="18"/>
      <c r="H335" s="18"/>
      <c r="I335" s="18"/>
      <c r="J335" s="18"/>
      <c r="K335" s="18"/>
      <c r="L335" s="18"/>
      <c r="M335" s="18"/>
      <c r="N335" s="18"/>
      <c r="O335" s="18"/>
      <c r="P335" s="18"/>
      <c r="Q335" s="18"/>
      <c r="R335" s="18"/>
      <c r="S335" s="18"/>
      <c r="T335" s="18"/>
      <c r="U335" s="18"/>
      <c r="V335" s="18"/>
      <c r="W335" s="18"/>
      <c r="X335" s="18"/>
      <c r="Y335" s="18"/>
      <c r="Z335" s="18"/>
    </row>
    <row r="336">
      <c r="A336" s="18"/>
      <c r="B336" s="80"/>
      <c r="C336" s="18"/>
      <c r="D336" s="80"/>
      <c r="E336" s="80"/>
      <c r="F336" s="134"/>
      <c r="G336" s="18"/>
      <c r="H336" s="18"/>
      <c r="I336" s="18"/>
      <c r="J336" s="18"/>
      <c r="K336" s="18"/>
      <c r="L336" s="18"/>
      <c r="M336" s="18"/>
      <c r="N336" s="18"/>
      <c r="O336" s="18"/>
      <c r="P336" s="18"/>
      <c r="Q336" s="18"/>
      <c r="R336" s="18"/>
      <c r="S336" s="18"/>
      <c r="T336" s="18"/>
      <c r="U336" s="18"/>
      <c r="V336" s="18"/>
      <c r="W336" s="18"/>
      <c r="X336" s="18"/>
      <c r="Y336" s="18"/>
      <c r="Z336" s="18"/>
    </row>
    <row r="337">
      <c r="A337" s="18"/>
      <c r="B337" s="80"/>
      <c r="C337" s="18"/>
      <c r="D337" s="80"/>
      <c r="E337" s="80"/>
      <c r="F337" s="134"/>
      <c r="G337" s="18"/>
      <c r="H337" s="18"/>
      <c r="I337" s="18"/>
      <c r="J337" s="18"/>
      <c r="K337" s="18"/>
      <c r="L337" s="18"/>
      <c r="M337" s="18"/>
      <c r="N337" s="18"/>
      <c r="O337" s="18"/>
      <c r="P337" s="18"/>
      <c r="Q337" s="18"/>
      <c r="R337" s="18"/>
      <c r="S337" s="18"/>
      <c r="T337" s="18"/>
      <c r="U337" s="18"/>
      <c r="V337" s="18"/>
      <c r="W337" s="18"/>
      <c r="X337" s="18"/>
      <c r="Y337" s="18"/>
      <c r="Z337" s="18"/>
    </row>
    <row r="338">
      <c r="A338" s="18"/>
      <c r="B338" s="80"/>
      <c r="C338" s="18"/>
      <c r="D338" s="80"/>
      <c r="E338" s="80"/>
      <c r="F338" s="134"/>
      <c r="G338" s="18"/>
      <c r="H338" s="18"/>
      <c r="I338" s="18"/>
      <c r="J338" s="18"/>
      <c r="K338" s="18"/>
      <c r="L338" s="18"/>
      <c r="M338" s="18"/>
      <c r="N338" s="18"/>
      <c r="O338" s="18"/>
      <c r="P338" s="18"/>
      <c r="Q338" s="18"/>
      <c r="R338" s="18"/>
      <c r="S338" s="18"/>
      <c r="T338" s="18"/>
      <c r="U338" s="18"/>
      <c r="V338" s="18"/>
      <c r="W338" s="18"/>
      <c r="X338" s="18"/>
      <c r="Y338" s="18"/>
      <c r="Z338" s="18"/>
    </row>
    <row r="339">
      <c r="A339" s="18"/>
      <c r="B339" s="80"/>
      <c r="C339" s="18"/>
      <c r="D339" s="80"/>
      <c r="E339" s="80"/>
      <c r="F339" s="134"/>
      <c r="G339" s="18"/>
      <c r="H339" s="18"/>
      <c r="I339" s="18"/>
      <c r="J339" s="18"/>
      <c r="K339" s="18"/>
      <c r="L339" s="18"/>
      <c r="M339" s="18"/>
      <c r="N339" s="18"/>
      <c r="O339" s="18"/>
      <c r="P339" s="18"/>
      <c r="Q339" s="18"/>
      <c r="R339" s="18"/>
      <c r="S339" s="18"/>
      <c r="T339" s="18"/>
      <c r="U339" s="18"/>
      <c r="V339" s="18"/>
      <c r="W339" s="18"/>
      <c r="X339" s="18"/>
      <c r="Y339" s="18"/>
      <c r="Z339" s="18"/>
    </row>
    <row r="340">
      <c r="A340" s="18"/>
      <c r="B340" s="80"/>
      <c r="C340" s="18"/>
      <c r="D340" s="80"/>
      <c r="E340" s="80"/>
      <c r="F340" s="134"/>
      <c r="G340" s="18"/>
      <c r="H340" s="18"/>
      <c r="I340" s="18"/>
      <c r="J340" s="18"/>
      <c r="K340" s="18"/>
      <c r="L340" s="18"/>
      <c r="M340" s="18"/>
      <c r="N340" s="18"/>
      <c r="O340" s="18"/>
      <c r="P340" s="18"/>
      <c r="Q340" s="18"/>
      <c r="R340" s="18"/>
      <c r="S340" s="18"/>
      <c r="T340" s="18"/>
      <c r="U340" s="18"/>
      <c r="V340" s="18"/>
      <c r="W340" s="18"/>
      <c r="X340" s="18"/>
      <c r="Y340" s="18"/>
      <c r="Z340" s="18"/>
    </row>
    <row r="341">
      <c r="A341" s="18"/>
      <c r="B341" s="80"/>
      <c r="C341" s="18"/>
      <c r="D341" s="80"/>
      <c r="E341" s="80"/>
      <c r="F341" s="134"/>
      <c r="G341" s="18"/>
      <c r="H341" s="18"/>
      <c r="I341" s="18"/>
      <c r="J341" s="18"/>
      <c r="K341" s="18"/>
      <c r="L341" s="18"/>
      <c r="M341" s="18"/>
      <c r="N341" s="18"/>
      <c r="O341" s="18"/>
      <c r="P341" s="18"/>
      <c r="Q341" s="18"/>
      <c r="R341" s="18"/>
      <c r="S341" s="18"/>
      <c r="T341" s="18"/>
      <c r="U341" s="18"/>
      <c r="V341" s="18"/>
      <c r="W341" s="18"/>
      <c r="X341" s="18"/>
      <c r="Y341" s="18"/>
      <c r="Z341" s="18"/>
    </row>
    <row r="342">
      <c r="A342" s="18"/>
      <c r="B342" s="80"/>
      <c r="C342" s="18"/>
      <c r="D342" s="80"/>
      <c r="E342" s="80"/>
      <c r="F342" s="134"/>
      <c r="G342" s="18"/>
      <c r="H342" s="18"/>
      <c r="I342" s="18"/>
      <c r="J342" s="18"/>
      <c r="K342" s="18"/>
      <c r="L342" s="18"/>
      <c r="M342" s="18"/>
      <c r="N342" s="18"/>
      <c r="O342" s="18"/>
      <c r="P342" s="18"/>
      <c r="Q342" s="18"/>
      <c r="R342" s="18"/>
      <c r="S342" s="18"/>
      <c r="T342" s="18"/>
      <c r="U342" s="18"/>
      <c r="V342" s="18"/>
      <c r="W342" s="18"/>
      <c r="X342" s="18"/>
      <c r="Y342" s="18"/>
      <c r="Z342" s="18"/>
    </row>
    <row r="343">
      <c r="A343" s="18"/>
      <c r="B343" s="80"/>
      <c r="C343" s="18"/>
      <c r="D343" s="80"/>
      <c r="E343" s="80"/>
      <c r="F343" s="134"/>
      <c r="G343" s="18"/>
      <c r="H343" s="18"/>
      <c r="I343" s="18"/>
      <c r="J343" s="18"/>
      <c r="K343" s="18"/>
      <c r="L343" s="18"/>
      <c r="M343" s="18"/>
      <c r="N343" s="18"/>
      <c r="O343" s="18"/>
      <c r="P343" s="18"/>
      <c r="Q343" s="18"/>
      <c r="R343" s="18"/>
      <c r="S343" s="18"/>
      <c r="T343" s="18"/>
      <c r="U343" s="18"/>
      <c r="V343" s="18"/>
      <c r="W343" s="18"/>
      <c r="X343" s="18"/>
      <c r="Y343" s="18"/>
      <c r="Z343" s="18"/>
    </row>
    <row r="344">
      <c r="A344" s="18"/>
      <c r="B344" s="80"/>
      <c r="C344" s="18"/>
      <c r="D344" s="80"/>
      <c r="E344" s="80"/>
      <c r="F344" s="134"/>
      <c r="G344" s="18"/>
      <c r="H344" s="18"/>
      <c r="I344" s="18"/>
      <c r="J344" s="18"/>
      <c r="K344" s="18"/>
      <c r="L344" s="18"/>
      <c r="M344" s="18"/>
      <c r="N344" s="18"/>
      <c r="O344" s="18"/>
      <c r="P344" s="18"/>
      <c r="Q344" s="18"/>
      <c r="R344" s="18"/>
      <c r="S344" s="18"/>
      <c r="T344" s="18"/>
      <c r="U344" s="18"/>
      <c r="V344" s="18"/>
      <c r="W344" s="18"/>
      <c r="X344" s="18"/>
      <c r="Y344" s="18"/>
      <c r="Z344" s="18"/>
    </row>
    <row r="345">
      <c r="A345" s="18"/>
      <c r="B345" s="80"/>
      <c r="C345" s="18"/>
      <c r="D345" s="80"/>
      <c r="E345" s="80"/>
      <c r="F345" s="134"/>
      <c r="G345" s="18"/>
      <c r="H345" s="18"/>
      <c r="I345" s="18"/>
      <c r="J345" s="18"/>
      <c r="K345" s="18"/>
      <c r="L345" s="18"/>
      <c r="M345" s="18"/>
      <c r="N345" s="18"/>
      <c r="O345" s="18"/>
      <c r="P345" s="18"/>
      <c r="Q345" s="18"/>
      <c r="R345" s="18"/>
      <c r="S345" s="18"/>
      <c r="T345" s="18"/>
      <c r="U345" s="18"/>
      <c r="V345" s="18"/>
      <c r="W345" s="18"/>
      <c r="X345" s="18"/>
      <c r="Y345" s="18"/>
      <c r="Z345" s="18"/>
    </row>
    <row r="346">
      <c r="A346" s="18"/>
      <c r="B346" s="80"/>
      <c r="C346" s="18"/>
      <c r="D346" s="80"/>
      <c r="E346" s="80"/>
      <c r="F346" s="134"/>
      <c r="G346" s="18"/>
      <c r="H346" s="18"/>
      <c r="I346" s="18"/>
      <c r="J346" s="18"/>
      <c r="K346" s="18"/>
      <c r="L346" s="18"/>
      <c r="M346" s="18"/>
      <c r="N346" s="18"/>
      <c r="O346" s="18"/>
      <c r="P346" s="18"/>
      <c r="Q346" s="18"/>
      <c r="R346" s="18"/>
      <c r="S346" s="18"/>
      <c r="T346" s="18"/>
      <c r="U346" s="18"/>
      <c r="V346" s="18"/>
      <c r="W346" s="18"/>
      <c r="X346" s="18"/>
      <c r="Y346" s="18"/>
      <c r="Z346" s="18"/>
    </row>
    <row r="347">
      <c r="A347" s="18"/>
      <c r="B347" s="80"/>
      <c r="C347" s="18"/>
      <c r="D347" s="80"/>
      <c r="E347" s="80"/>
      <c r="F347" s="134"/>
      <c r="G347" s="18"/>
      <c r="H347" s="18"/>
      <c r="I347" s="18"/>
      <c r="J347" s="18"/>
      <c r="K347" s="18"/>
      <c r="L347" s="18"/>
      <c r="M347" s="18"/>
      <c r="N347" s="18"/>
      <c r="O347" s="18"/>
      <c r="P347" s="18"/>
      <c r="Q347" s="18"/>
      <c r="R347" s="18"/>
      <c r="S347" s="18"/>
      <c r="T347" s="18"/>
      <c r="U347" s="18"/>
      <c r="V347" s="18"/>
      <c r="W347" s="18"/>
      <c r="X347" s="18"/>
      <c r="Y347" s="18"/>
      <c r="Z347" s="18"/>
    </row>
    <row r="348">
      <c r="A348" s="18"/>
      <c r="B348" s="80"/>
      <c r="C348" s="18"/>
      <c r="D348" s="80"/>
      <c r="E348" s="80"/>
      <c r="F348" s="134"/>
      <c r="G348" s="18"/>
      <c r="H348" s="18"/>
      <c r="I348" s="18"/>
      <c r="J348" s="18"/>
      <c r="K348" s="18"/>
      <c r="L348" s="18"/>
      <c r="M348" s="18"/>
      <c r="N348" s="18"/>
      <c r="O348" s="18"/>
      <c r="P348" s="18"/>
      <c r="Q348" s="18"/>
      <c r="R348" s="18"/>
      <c r="S348" s="18"/>
      <c r="T348" s="18"/>
      <c r="U348" s="18"/>
      <c r="V348" s="18"/>
      <c r="W348" s="18"/>
      <c r="X348" s="18"/>
      <c r="Y348" s="18"/>
      <c r="Z348" s="18"/>
    </row>
    <row r="349">
      <c r="A349" s="18"/>
      <c r="B349" s="80"/>
      <c r="C349" s="18"/>
      <c r="D349" s="80"/>
      <c r="E349" s="80"/>
      <c r="F349" s="134"/>
      <c r="G349" s="18"/>
      <c r="H349" s="18"/>
      <c r="I349" s="18"/>
      <c r="J349" s="18"/>
      <c r="K349" s="18"/>
      <c r="L349" s="18"/>
      <c r="M349" s="18"/>
      <c r="N349" s="18"/>
      <c r="O349" s="18"/>
      <c r="P349" s="18"/>
      <c r="Q349" s="18"/>
      <c r="R349" s="18"/>
      <c r="S349" s="18"/>
      <c r="T349" s="18"/>
      <c r="U349" s="18"/>
      <c r="V349" s="18"/>
      <c r="W349" s="18"/>
      <c r="X349" s="18"/>
      <c r="Y349" s="18"/>
      <c r="Z349" s="18"/>
    </row>
    <row r="350">
      <c r="A350" s="18"/>
      <c r="B350" s="80"/>
      <c r="C350" s="18"/>
      <c r="D350" s="80"/>
      <c r="E350" s="80"/>
      <c r="F350" s="134"/>
      <c r="G350" s="18"/>
      <c r="H350" s="18"/>
      <c r="I350" s="18"/>
      <c r="J350" s="18"/>
      <c r="K350" s="18"/>
      <c r="L350" s="18"/>
      <c r="M350" s="18"/>
      <c r="N350" s="18"/>
      <c r="O350" s="18"/>
      <c r="P350" s="18"/>
      <c r="Q350" s="18"/>
      <c r="R350" s="18"/>
      <c r="S350" s="18"/>
      <c r="T350" s="18"/>
      <c r="U350" s="18"/>
      <c r="V350" s="18"/>
      <c r="W350" s="18"/>
      <c r="X350" s="18"/>
      <c r="Y350" s="18"/>
      <c r="Z350" s="18"/>
    </row>
    <row r="351">
      <c r="A351" s="18"/>
      <c r="B351" s="80"/>
      <c r="C351" s="18"/>
      <c r="D351" s="80"/>
      <c r="E351" s="80"/>
      <c r="F351" s="134"/>
      <c r="G351" s="18"/>
      <c r="H351" s="18"/>
      <c r="I351" s="18"/>
      <c r="J351" s="18"/>
      <c r="K351" s="18"/>
      <c r="L351" s="18"/>
      <c r="M351" s="18"/>
      <c r="N351" s="18"/>
      <c r="O351" s="18"/>
      <c r="P351" s="18"/>
      <c r="Q351" s="18"/>
      <c r="R351" s="18"/>
      <c r="S351" s="18"/>
      <c r="T351" s="18"/>
      <c r="U351" s="18"/>
      <c r="V351" s="18"/>
      <c r="W351" s="18"/>
      <c r="X351" s="18"/>
      <c r="Y351" s="18"/>
      <c r="Z351" s="18"/>
    </row>
    <row r="352">
      <c r="A352" s="18"/>
      <c r="B352" s="80"/>
      <c r="C352" s="18"/>
      <c r="D352" s="80"/>
      <c r="E352" s="80"/>
      <c r="F352" s="134"/>
      <c r="G352" s="18"/>
      <c r="H352" s="18"/>
      <c r="I352" s="18"/>
      <c r="J352" s="18"/>
      <c r="K352" s="18"/>
      <c r="L352" s="18"/>
      <c r="M352" s="18"/>
      <c r="N352" s="18"/>
      <c r="O352" s="18"/>
      <c r="P352" s="18"/>
      <c r="Q352" s="18"/>
      <c r="R352" s="18"/>
      <c r="S352" s="18"/>
      <c r="T352" s="18"/>
      <c r="U352" s="18"/>
      <c r="V352" s="18"/>
      <c r="W352" s="18"/>
      <c r="X352" s="18"/>
      <c r="Y352" s="18"/>
      <c r="Z352" s="18"/>
    </row>
    <row r="353">
      <c r="A353" s="18"/>
      <c r="B353" s="80"/>
      <c r="C353" s="18"/>
      <c r="D353" s="80"/>
      <c r="E353" s="80"/>
      <c r="F353" s="134"/>
      <c r="G353" s="18"/>
      <c r="H353" s="18"/>
      <c r="I353" s="18"/>
      <c r="J353" s="18"/>
      <c r="K353" s="18"/>
      <c r="L353" s="18"/>
      <c r="M353" s="18"/>
      <c r="N353" s="18"/>
      <c r="O353" s="18"/>
      <c r="P353" s="18"/>
      <c r="Q353" s="18"/>
      <c r="R353" s="18"/>
      <c r="S353" s="18"/>
      <c r="T353" s="18"/>
      <c r="U353" s="18"/>
      <c r="V353" s="18"/>
      <c r="W353" s="18"/>
      <c r="X353" s="18"/>
      <c r="Y353" s="18"/>
      <c r="Z353" s="18"/>
    </row>
    <row r="354">
      <c r="A354" s="18"/>
      <c r="B354" s="80"/>
      <c r="C354" s="18"/>
      <c r="D354" s="80"/>
      <c r="E354" s="80"/>
      <c r="F354" s="134"/>
      <c r="G354" s="18"/>
      <c r="H354" s="18"/>
      <c r="I354" s="18"/>
      <c r="J354" s="18"/>
      <c r="K354" s="18"/>
      <c r="L354" s="18"/>
      <c r="M354" s="18"/>
      <c r="N354" s="18"/>
      <c r="O354" s="18"/>
      <c r="P354" s="18"/>
      <c r="Q354" s="18"/>
      <c r="R354" s="18"/>
      <c r="S354" s="18"/>
      <c r="T354" s="18"/>
      <c r="U354" s="18"/>
      <c r="V354" s="18"/>
      <c r="W354" s="18"/>
      <c r="X354" s="18"/>
      <c r="Y354" s="18"/>
      <c r="Z354" s="18"/>
    </row>
    <row r="355">
      <c r="A355" s="18"/>
      <c r="B355" s="80"/>
      <c r="C355" s="18"/>
      <c r="D355" s="80"/>
      <c r="E355" s="80"/>
      <c r="F355" s="134"/>
      <c r="G355" s="18"/>
      <c r="H355" s="18"/>
      <c r="I355" s="18"/>
      <c r="J355" s="18"/>
      <c r="K355" s="18"/>
      <c r="L355" s="18"/>
      <c r="M355" s="18"/>
      <c r="N355" s="18"/>
      <c r="O355" s="18"/>
      <c r="P355" s="18"/>
      <c r="Q355" s="18"/>
      <c r="R355" s="18"/>
      <c r="S355" s="18"/>
      <c r="T355" s="18"/>
      <c r="U355" s="18"/>
      <c r="V355" s="18"/>
      <c r="W355" s="18"/>
      <c r="X355" s="18"/>
      <c r="Y355" s="18"/>
      <c r="Z355" s="18"/>
    </row>
    <row r="356">
      <c r="A356" s="18"/>
      <c r="B356" s="80"/>
      <c r="C356" s="18"/>
      <c r="D356" s="80"/>
      <c r="E356" s="80"/>
      <c r="F356" s="134"/>
      <c r="G356" s="18"/>
      <c r="H356" s="18"/>
      <c r="I356" s="18"/>
      <c r="J356" s="18"/>
      <c r="K356" s="18"/>
      <c r="L356" s="18"/>
      <c r="M356" s="18"/>
      <c r="N356" s="18"/>
      <c r="O356" s="18"/>
      <c r="P356" s="18"/>
      <c r="Q356" s="18"/>
      <c r="R356" s="18"/>
      <c r="S356" s="18"/>
      <c r="T356" s="18"/>
      <c r="U356" s="18"/>
      <c r="V356" s="18"/>
      <c r="W356" s="18"/>
      <c r="X356" s="18"/>
      <c r="Y356" s="18"/>
      <c r="Z356" s="18"/>
    </row>
    <row r="357">
      <c r="A357" s="18"/>
      <c r="B357" s="80"/>
      <c r="C357" s="18"/>
      <c r="D357" s="80"/>
      <c r="E357" s="80"/>
      <c r="F357" s="134"/>
      <c r="G357" s="18"/>
      <c r="H357" s="18"/>
      <c r="I357" s="18"/>
      <c r="J357" s="18"/>
      <c r="K357" s="18"/>
      <c r="L357" s="18"/>
      <c r="M357" s="18"/>
      <c r="N357" s="18"/>
      <c r="O357" s="18"/>
      <c r="P357" s="18"/>
      <c r="Q357" s="18"/>
      <c r="R357" s="18"/>
      <c r="S357" s="18"/>
      <c r="T357" s="18"/>
      <c r="U357" s="18"/>
      <c r="V357" s="18"/>
      <c r="W357" s="18"/>
      <c r="X357" s="18"/>
      <c r="Y357" s="18"/>
      <c r="Z357" s="18"/>
    </row>
    <row r="358">
      <c r="A358" s="18"/>
      <c r="B358" s="80"/>
      <c r="C358" s="18"/>
      <c r="D358" s="80"/>
      <c r="E358" s="80"/>
      <c r="F358" s="134"/>
      <c r="G358" s="18"/>
      <c r="H358" s="18"/>
      <c r="I358" s="18"/>
      <c r="J358" s="18"/>
      <c r="K358" s="18"/>
      <c r="L358" s="18"/>
      <c r="M358" s="18"/>
      <c r="N358" s="18"/>
      <c r="O358" s="18"/>
      <c r="P358" s="18"/>
      <c r="Q358" s="18"/>
      <c r="R358" s="18"/>
      <c r="S358" s="18"/>
      <c r="T358" s="18"/>
      <c r="U358" s="18"/>
      <c r="V358" s="18"/>
      <c r="W358" s="18"/>
      <c r="X358" s="18"/>
      <c r="Y358" s="18"/>
      <c r="Z358" s="18"/>
    </row>
    <row r="359">
      <c r="A359" s="18"/>
      <c r="B359" s="80"/>
      <c r="C359" s="18"/>
      <c r="D359" s="80"/>
      <c r="E359" s="80"/>
      <c r="F359" s="134"/>
      <c r="G359" s="18"/>
      <c r="H359" s="18"/>
      <c r="I359" s="18"/>
      <c r="J359" s="18"/>
      <c r="K359" s="18"/>
      <c r="L359" s="18"/>
      <c r="M359" s="18"/>
      <c r="N359" s="18"/>
      <c r="O359" s="18"/>
      <c r="P359" s="18"/>
      <c r="Q359" s="18"/>
      <c r="R359" s="18"/>
      <c r="S359" s="18"/>
      <c r="T359" s="18"/>
      <c r="U359" s="18"/>
      <c r="V359" s="18"/>
      <c r="W359" s="18"/>
      <c r="X359" s="18"/>
      <c r="Y359" s="18"/>
      <c r="Z359" s="18"/>
    </row>
    <row r="360">
      <c r="A360" s="18"/>
      <c r="B360" s="80"/>
      <c r="C360" s="18"/>
      <c r="D360" s="80"/>
      <c r="E360" s="80"/>
      <c r="F360" s="134"/>
      <c r="G360" s="18"/>
      <c r="H360" s="18"/>
      <c r="I360" s="18"/>
      <c r="J360" s="18"/>
      <c r="K360" s="18"/>
      <c r="L360" s="18"/>
      <c r="M360" s="18"/>
      <c r="N360" s="18"/>
      <c r="O360" s="18"/>
      <c r="P360" s="18"/>
      <c r="Q360" s="18"/>
      <c r="R360" s="18"/>
      <c r="S360" s="18"/>
      <c r="T360" s="18"/>
      <c r="U360" s="18"/>
      <c r="V360" s="18"/>
      <c r="W360" s="18"/>
      <c r="X360" s="18"/>
      <c r="Y360" s="18"/>
      <c r="Z360" s="18"/>
    </row>
    <row r="361">
      <c r="A361" s="18"/>
      <c r="B361" s="80"/>
      <c r="C361" s="18"/>
      <c r="D361" s="80"/>
      <c r="E361" s="80"/>
      <c r="F361" s="134"/>
      <c r="G361" s="18"/>
      <c r="H361" s="18"/>
      <c r="I361" s="18"/>
      <c r="J361" s="18"/>
      <c r="K361" s="18"/>
      <c r="L361" s="18"/>
      <c r="M361" s="18"/>
      <c r="N361" s="18"/>
      <c r="O361" s="18"/>
      <c r="P361" s="18"/>
      <c r="Q361" s="18"/>
      <c r="R361" s="18"/>
      <c r="S361" s="18"/>
      <c r="T361" s="18"/>
      <c r="U361" s="18"/>
      <c r="V361" s="18"/>
      <c r="W361" s="18"/>
      <c r="X361" s="18"/>
      <c r="Y361" s="18"/>
      <c r="Z361" s="18"/>
    </row>
    <row r="362">
      <c r="A362" s="18"/>
      <c r="B362" s="80"/>
      <c r="C362" s="18"/>
      <c r="D362" s="80"/>
      <c r="E362" s="80"/>
      <c r="F362" s="134"/>
      <c r="G362" s="18"/>
      <c r="H362" s="18"/>
      <c r="I362" s="18"/>
      <c r="J362" s="18"/>
      <c r="K362" s="18"/>
      <c r="L362" s="18"/>
      <c r="M362" s="18"/>
      <c r="N362" s="18"/>
      <c r="O362" s="18"/>
      <c r="P362" s="18"/>
      <c r="Q362" s="18"/>
      <c r="R362" s="18"/>
      <c r="S362" s="18"/>
      <c r="T362" s="18"/>
      <c r="U362" s="18"/>
      <c r="V362" s="18"/>
      <c r="W362" s="18"/>
      <c r="X362" s="18"/>
      <c r="Y362" s="18"/>
      <c r="Z362" s="18"/>
    </row>
    <row r="363">
      <c r="A363" s="18"/>
      <c r="B363" s="80"/>
      <c r="C363" s="18"/>
      <c r="D363" s="80"/>
      <c r="E363" s="80"/>
      <c r="F363" s="134"/>
      <c r="G363" s="18"/>
      <c r="H363" s="18"/>
      <c r="I363" s="18"/>
      <c r="J363" s="18"/>
      <c r="K363" s="18"/>
      <c r="L363" s="18"/>
      <c r="M363" s="18"/>
      <c r="N363" s="18"/>
      <c r="O363" s="18"/>
      <c r="P363" s="18"/>
      <c r="Q363" s="18"/>
      <c r="R363" s="18"/>
      <c r="S363" s="18"/>
      <c r="T363" s="18"/>
      <c r="U363" s="18"/>
      <c r="V363" s="18"/>
      <c r="W363" s="18"/>
      <c r="X363" s="18"/>
      <c r="Y363" s="18"/>
      <c r="Z363" s="18"/>
    </row>
    <row r="364">
      <c r="A364" s="18"/>
      <c r="B364" s="80"/>
      <c r="C364" s="18"/>
      <c r="D364" s="80"/>
      <c r="E364" s="80"/>
      <c r="F364" s="134"/>
      <c r="G364" s="18"/>
      <c r="H364" s="18"/>
      <c r="I364" s="18"/>
      <c r="J364" s="18"/>
      <c r="K364" s="18"/>
      <c r="L364" s="18"/>
      <c r="M364" s="18"/>
      <c r="N364" s="18"/>
      <c r="O364" s="18"/>
      <c r="P364" s="18"/>
      <c r="Q364" s="18"/>
      <c r="R364" s="18"/>
      <c r="S364" s="18"/>
      <c r="T364" s="18"/>
      <c r="U364" s="18"/>
      <c r="V364" s="18"/>
      <c r="W364" s="18"/>
      <c r="X364" s="18"/>
      <c r="Y364" s="18"/>
      <c r="Z364" s="18"/>
    </row>
    <row r="365">
      <c r="A365" s="18"/>
      <c r="B365" s="80"/>
      <c r="C365" s="18"/>
      <c r="D365" s="80"/>
      <c r="E365" s="80"/>
      <c r="F365" s="134"/>
      <c r="G365" s="18"/>
      <c r="H365" s="18"/>
      <c r="I365" s="18"/>
      <c r="J365" s="18"/>
      <c r="K365" s="18"/>
      <c r="L365" s="18"/>
      <c r="M365" s="18"/>
      <c r="N365" s="18"/>
      <c r="O365" s="18"/>
      <c r="P365" s="18"/>
      <c r="Q365" s="18"/>
      <c r="R365" s="18"/>
      <c r="S365" s="18"/>
      <c r="T365" s="18"/>
      <c r="U365" s="18"/>
      <c r="V365" s="18"/>
      <c r="W365" s="18"/>
      <c r="X365" s="18"/>
      <c r="Y365" s="18"/>
      <c r="Z365" s="18"/>
    </row>
    <row r="366">
      <c r="A366" s="18"/>
      <c r="B366" s="80"/>
      <c r="C366" s="18"/>
      <c r="D366" s="80"/>
      <c r="E366" s="80"/>
      <c r="F366" s="134"/>
      <c r="G366" s="18"/>
      <c r="H366" s="18"/>
      <c r="I366" s="18"/>
      <c r="J366" s="18"/>
      <c r="K366" s="18"/>
      <c r="L366" s="18"/>
      <c r="M366" s="18"/>
      <c r="N366" s="18"/>
      <c r="O366" s="18"/>
      <c r="P366" s="18"/>
      <c r="Q366" s="18"/>
      <c r="R366" s="18"/>
      <c r="S366" s="18"/>
      <c r="T366" s="18"/>
      <c r="U366" s="18"/>
      <c r="V366" s="18"/>
      <c r="W366" s="18"/>
      <c r="X366" s="18"/>
      <c r="Y366" s="18"/>
      <c r="Z366" s="18"/>
    </row>
    <row r="367">
      <c r="A367" s="18"/>
      <c r="B367" s="80"/>
      <c r="C367" s="18"/>
      <c r="D367" s="80"/>
      <c r="E367" s="80"/>
      <c r="F367" s="134"/>
      <c r="G367" s="18"/>
      <c r="H367" s="18"/>
      <c r="I367" s="18"/>
      <c r="J367" s="18"/>
      <c r="K367" s="18"/>
      <c r="L367" s="18"/>
      <c r="M367" s="18"/>
      <c r="N367" s="18"/>
      <c r="O367" s="18"/>
      <c r="P367" s="18"/>
      <c r="Q367" s="18"/>
      <c r="R367" s="18"/>
      <c r="S367" s="18"/>
      <c r="T367" s="18"/>
      <c r="U367" s="18"/>
      <c r="V367" s="18"/>
      <c r="W367" s="18"/>
      <c r="X367" s="18"/>
      <c r="Y367" s="18"/>
      <c r="Z367" s="18"/>
    </row>
    <row r="368">
      <c r="A368" s="18"/>
      <c r="B368" s="80"/>
      <c r="C368" s="18"/>
      <c r="D368" s="80"/>
      <c r="E368" s="80"/>
      <c r="F368" s="134"/>
      <c r="G368" s="18"/>
      <c r="H368" s="18"/>
      <c r="I368" s="18"/>
      <c r="J368" s="18"/>
      <c r="K368" s="18"/>
      <c r="L368" s="18"/>
      <c r="M368" s="18"/>
      <c r="N368" s="18"/>
      <c r="O368" s="18"/>
      <c r="P368" s="18"/>
      <c r="Q368" s="18"/>
      <c r="R368" s="18"/>
      <c r="S368" s="18"/>
      <c r="T368" s="18"/>
      <c r="U368" s="18"/>
      <c r="V368" s="18"/>
      <c r="W368" s="18"/>
      <c r="X368" s="18"/>
      <c r="Y368" s="18"/>
      <c r="Z368" s="18"/>
    </row>
    <row r="369">
      <c r="A369" s="18"/>
      <c r="B369" s="80"/>
      <c r="C369" s="18"/>
      <c r="D369" s="80"/>
      <c r="E369" s="80"/>
      <c r="F369" s="134"/>
      <c r="G369" s="18"/>
      <c r="H369" s="18"/>
      <c r="I369" s="18"/>
      <c r="J369" s="18"/>
      <c r="K369" s="18"/>
      <c r="L369" s="18"/>
      <c r="M369" s="18"/>
      <c r="N369" s="18"/>
      <c r="O369" s="18"/>
      <c r="P369" s="18"/>
      <c r="Q369" s="18"/>
      <c r="R369" s="18"/>
      <c r="S369" s="18"/>
      <c r="T369" s="18"/>
      <c r="U369" s="18"/>
      <c r="V369" s="18"/>
      <c r="W369" s="18"/>
      <c r="X369" s="18"/>
      <c r="Y369" s="18"/>
      <c r="Z369" s="18"/>
    </row>
    <row r="370">
      <c r="A370" s="18"/>
      <c r="B370" s="80"/>
      <c r="C370" s="18"/>
      <c r="D370" s="80"/>
      <c r="E370" s="80"/>
      <c r="F370" s="134"/>
      <c r="G370" s="18"/>
      <c r="H370" s="18"/>
      <c r="I370" s="18"/>
      <c r="J370" s="18"/>
      <c r="K370" s="18"/>
      <c r="L370" s="18"/>
      <c r="M370" s="18"/>
      <c r="N370" s="18"/>
      <c r="O370" s="18"/>
      <c r="P370" s="18"/>
      <c r="Q370" s="18"/>
      <c r="R370" s="18"/>
      <c r="S370" s="18"/>
      <c r="T370" s="18"/>
      <c r="U370" s="18"/>
      <c r="V370" s="18"/>
      <c r="W370" s="18"/>
      <c r="X370" s="18"/>
      <c r="Y370" s="18"/>
      <c r="Z370" s="18"/>
    </row>
    <row r="371">
      <c r="A371" s="18"/>
      <c r="B371" s="80"/>
      <c r="C371" s="18"/>
      <c r="D371" s="80"/>
      <c r="E371" s="80"/>
      <c r="F371" s="134"/>
      <c r="G371" s="18"/>
      <c r="H371" s="18"/>
      <c r="I371" s="18"/>
      <c r="J371" s="18"/>
      <c r="K371" s="18"/>
      <c r="L371" s="18"/>
      <c r="M371" s="18"/>
      <c r="N371" s="18"/>
      <c r="O371" s="18"/>
      <c r="P371" s="18"/>
      <c r="Q371" s="18"/>
      <c r="R371" s="18"/>
      <c r="S371" s="18"/>
      <c r="T371" s="18"/>
      <c r="U371" s="18"/>
      <c r="V371" s="18"/>
      <c r="W371" s="18"/>
      <c r="X371" s="18"/>
      <c r="Y371" s="18"/>
      <c r="Z371" s="18"/>
    </row>
    <row r="372">
      <c r="A372" s="18"/>
      <c r="B372" s="80"/>
      <c r="C372" s="18"/>
      <c r="D372" s="80"/>
      <c r="E372" s="80"/>
      <c r="F372" s="134"/>
      <c r="G372" s="18"/>
      <c r="H372" s="18"/>
      <c r="I372" s="18"/>
      <c r="J372" s="18"/>
      <c r="K372" s="18"/>
      <c r="L372" s="18"/>
      <c r="M372" s="18"/>
      <c r="N372" s="18"/>
      <c r="O372" s="18"/>
      <c r="P372" s="18"/>
      <c r="Q372" s="18"/>
      <c r="R372" s="18"/>
      <c r="S372" s="18"/>
      <c r="T372" s="18"/>
      <c r="U372" s="18"/>
      <c r="V372" s="18"/>
      <c r="W372" s="18"/>
      <c r="X372" s="18"/>
      <c r="Y372" s="18"/>
      <c r="Z372" s="18"/>
    </row>
    <row r="373">
      <c r="A373" s="18"/>
      <c r="B373" s="80"/>
      <c r="C373" s="18"/>
      <c r="D373" s="80"/>
      <c r="E373" s="80"/>
      <c r="F373" s="134"/>
      <c r="G373" s="18"/>
      <c r="H373" s="18"/>
      <c r="I373" s="18"/>
      <c r="J373" s="18"/>
      <c r="K373" s="18"/>
      <c r="L373" s="18"/>
      <c r="M373" s="18"/>
      <c r="N373" s="18"/>
      <c r="O373" s="18"/>
      <c r="P373" s="18"/>
      <c r="Q373" s="18"/>
      <c r="R373" s="18"/>
      <c r="S373" s="18"/>
      <c r="T373" s="18"/>
      <c r="U373" s="18"/>
      <c r="V373" s="18"/>
      <c r="W373" s="18"/>
      <c r="X373" s="18"/>
      <c r="Y373" s="18"/>
      <c r="Z373" s="18"/>
    </row>
    <row r="374">
      <c r="A374" s="18"/>
      <c r="B374" s="80"/>
      <c r="C374" s="18"/>
      <c r="D374" s="80"/>
      <c r="E374" s="80"/>
      <c r="F374" s="134"/>
      <c r="G374" s="18"/>
      <c r="H374" s="18"/>
      <c r="I374" s="18"/>
      <c r="J374" s="18"/>
      <c r="K374" s="18"/>
      <c r="L374" s="18"/>
      <c r="M374" s="18"/>
      <c r="N374" s="18"/>
      <c r="O374" s="18"/>
      <c r="P374" s="18"/>
      <c r="Q374" s="18"/>
      <c r="R374" s="18"/>
      <c r="S374" s="18"/>
      <c r="T374" s="18"/>
      <c r="U374" s="18"/>
      <c r="V374" s="18"/>
      <c r="W374" s="18"/>
      <c r="X374" s="18"/>
      <c r="Y374" s="18"/>
      <c r="Z374" s="18"/>
    </row>
    <row r="375">
      <c r="A375" s="18"/>
      <c r="B375" s="80"/>
      <c r="C375" s="18"/>
      <c r="D375" s="80"/>
      <c r="E375" s="80"/>
      <c r="F375" s="134"/>
      <c r="G375" s="18"/>
      <c r="H375" s="18"/>
      <c r="I375" s="18"/>
      <c r="J375" s="18"/>
      <c r="K375" s="18"/>
      <c r="L375" s="18"/>
      <c r="M375" s="18"/>
      <c r="N375" s="18"/>
      <c r="O375" s="18"/>
      <c r="P375" s="18"/>
      <c r="Q375" s="18"/>
      <c r="R375" s="18"/>
      <c r="S375" s="18"/>
      <c r="T375" s="18"/>
      <c r="U375" s="18"/>
      <c r="V375" s="18"/>
      <c r="W375" s="18"/>
      <c r="X375" s="18"/>
      <c r="Y375" s="18"/>
      <c r="Z375" s="18"/>
    </row>
    <row r="376">
      <c r="A376" s="18"/>
      <c r="B376" s="80"/>
      <c r="C376" s="18"/>
      <c r="D376" s="80"/>
      <c r="E376" s="80"/>
      <c r="F376" s="134"/>
      <c r="G376" s="18"/>
      <c r="H376" s="18"/>
      <c r="I376" s="18"/>
      <c r="J376" s="18"/>
      <c r="K376" s="18"/>
      <c r="L376" s="18"/>
      <c r="M376" s="18"/>
      <c r="N376" s="18"/>
      <c r="O376" s="18"/>
      <c r="P376" s="18"/>
      <c r="Q376" s="18"/>
      <c r="R376" s="18"/>
      <c r="S376" s="18"/>
      <c r="T376" s="18"/>
      <c r="U376" s="18"/>
      <c r="V376" s="18"/>
      <c r="W376" s="18"/>
      <c r="X376" s="18"/>
      <c r="Y376" s="18"/>
      <c r="Z376" s="18"/>
    </row>
    <row r="377">
      <c r="A377" s="18"/>
      <c r="B377" s="80"/>
      <c r="C377" s="18"/>
      <c r="D377" s="80"/>
      <c r="E377" s="80"/>
      <c r="F377" s="134"/>
      <c r="G377" s="18"/>
      <c r="H377" s="18"/>
      <c r="I377" s="18"/>
      <c r="J377" s="18"/>
      <c r="K377" s="18"/>
      <c r="L377" s="18"/>
      <c r="M377" s="18"/>
      <c r="N377" s="18"/>
      <c r="O377" s="18"/>
      <c r="P377" s="18"/>
      <c r="Q377" s="18"/>
      <c r="R377" s="18"/>
      <c r="S377" s="18"/>
      <c r="T377" s="18"/>
      <c r="U377" s="18"/>
      <c r="V377" s="18"/>
      <c r="W377" s="18"/>
      <c r="X377" s="18"/>
      <c r="Y377" s="18"/>
      <c r="Z377" s="18"/>
    </row>
    <row r="378">
      <c r="A378" s="18"/>
      <c r="B378" s="80"/>
      <c r="C378" s="18"/>
      <c r="D378" s="80"/>
      <c r="E378" s="80"/>
      <c r="F378" s="134"/>
      <c r="G378" s="18"/>
      <c r="H378" s="18"/>
      <c r="I378" s="18"/>
      <c r="J378" s="18"/>
      <c r="K378" s="18"/>
      <c r="L378" s="18"/>
      <c r="M378" s="18"/>
      <c r="N378" s="18"/>
      <c r="O378" s="18"/>
      <c r="P378" s="18"/>
      <c r="Q378" s="18"/>
      <c r="R378" s="18"/>
      <c r="S378" s="18"/>
      <c r="T378" s="18"/>
      <c r="U378" s="18"/>
      <c r="V378" s="18"/>
      <c r="W378" s="18"/>
      <c r="X378" s="18"/>
      <c r="Y378" s="18"/>
      <c r="Z378" s="18"/>
    </row>
    <row r="379">
      <c r="A379" s="18"/>
      <c r="B379" s="80"/>
      <c r="C379" s="18"/>
      <c r="D379" s="80"/>
      <c r="E379" s="80"/>
      <c r="F379" s="134"/>
      <c r="G379" s="18"/>
      <c r="H379" s="18"/>
      <c r="I379" s="18"/>
      <c r="J379" s="18"/>
      <c r="K379" s="18"/>
      <c r="L379" s="18"/>
      <c r="M379" s="18"/>
      <c r="N379" s="18"/>
      <c r="O379" s="18"/>
      <c r="P379" s="18"/>
      <c r="Q379" s="18"/>
      <c r="R379" s="18"/>
      <c r="S379" s="18"/>
      <c r="T379" s="18"/>
      <c r="U379" s="18"/>
      <c r="V379" s="18"/>
      <c r="W379" s="18"/>
      <c r="X379" s="18"/>
      <c r="Y379" s="18"/>
      <c r="Z379" s="18"/>
    </row>
    <row r="380">
      <c r="A380" s="18"/>
      <c r="B380" s="80"/>
      <c r="C380" s="18"/>
      <c r="D380" s="80"/>
      <c r="E380" s="80"/>
      <c r="F380" s="134"/>
      <c r="G380" s="18"/>
      <c r="H380" s="18"/>
      <c r="I380" s="18"/>
      <c r="J380" s="18"/>
      <c r="K380" s="18"/>
      <c r="L380" s="18"/>
      <c r="M380" s="18"/>
      <c r="N380" s="18"/>
      <c r="O380" s="18"/>
      <c r="P380" s="18"/>
      <c r="Q380" s="18"/>
      <c r="R380" s="18"/>
      <c r="S380" s="18"/>
      <c r="T380" s="18"/>
      <c r="U380" s="18"/>
      <c r="V380" s="18"/>
      <c r="W380" s="18"/>
      <c r="X380" s="18"/>
      <c r="Y380" s="18"/>
      <c r="Z380" s="18"/>
    </row>
    <row r="381">
      <c r="A381" s="18"/>
      <c r="B381" s="80"/>
      <c r="C381" s="18"/>
      <c r="D381" s="80"/>
      <c r="E381" s="80"/>
      <c r="F381" s="134"/>
      <c r="G381" s="18"/>
      <c r="H381" s="18"/>
      <c r="I381" s="18"/>
      <c r="J381" s="18"/>
      <c r="K381" s="18"/>
      <c r="L381" s="18"/>
      <c r="M381" s="18"/>
      <c r="N381" s="18"/>
      <c r="O381" s="18"/>
      <c r="P381" s="18"/>
      <c r="Q381" s="18"/>
      <c r="R381" s="18"/>
      <c r="S381" s="18"/>
      <c r="T381" s="18"/>
      <c r="U381" s="18"/>
      <c r="V381" s="18"/>
      <c r="W381" s="18"/>
      <c r="X381" s="18"/>
      <c r="Y381" s="18"/>
      <c r="Z381" s="18"/>
    </row>
    <row r="382">
      <c r="A382" s="18"/>
      <c r="B382" s="80"/>
      <c r="C382" s="18"/>
      <c r="D382" s="80"/>
      <c r="E382" s="80"/>
      <c r="F382" s="134"/>
      <c r="G382" s="18"/>
      <c r="H382" s="18"/>
      <c r="I382" s="18"/>
      <c r="J382" s="18"/>
      <c r="K382" s="18"/>
      <c r="L382" s="18"/>
      <c r="M382" s="18"/>
      <c r="N382" s="18"/>
      <c r="O382" s="18"/>
      <c r="P382" s="18"/>
      <c r="Q382" s="18"/>
      <c r="R382" s="18"/>
      <c r="S382" s="18"/>
      <c r="T382" s="18"/>
      <c r="U382" s="18"/>
      <c r="V382" s="18"/>
      <c r="W382" s="18"/>
      <c r="X382" s="18"/>
      <c r="Y382" s="18"/>
      <c r="Z382" s="18"/>
    </row>
    <row r="383">
      <c r="A383" s="18"/>
      <c r="B383" s="80"/>
      <c r="C383" s="18"/>
      <c r="D383" s="80"/>
      <c r="E383" s="80"/>
      <c r="F383" s="134"/>
      <c r="G383" s="18"/>
      <c r="H383" s="18"/>
      <c r="I383" s="18"/>
      <c r="J383" s="18"/>
      <c r="K383" s="18"/>
      <c r="L383" s="18"/>
      <c r="M383" s="18"/>
      <c r="N383" s="18"/>
      <c r="O383" s="18"/>
      <c r="P383" s="18"/>
      <c r="Q383" s="18"/>
      <c r="R383" s="18"/>
      <c r="S383" s="18"/>
      <c r="T383" s="18"/>
      <c r="U383" s="18"/>
      <c r="V383" s="18"/>
      <c r="W383" s="18"/>
      <c r="X383" s="18"/>
      <c r="Y383" s="18"/>
      <c r="Z383" s="18"/>
    </row>
    <row r="384">
      <c r="A384" s="18"/>
      <c r="B384" s="80"/>
      <c r="C384" s="18"/>
      <c r="D384" s="80"/>
      <c r="E384" s="80"/>
      <c r="F384" s="134"/>
      <c r="G384" s="18"/>
      <c r="H384" s="18"/>
      <c r="I384" s="18"/>
      <c r="J384" s="18"/>
      <c r="K384" s="18"/>
      <c r="L384" s="18"/>
      <c r="M384" s="18"/>
      <c r="N384" s="18"/>
      <c r="O384" s="18"/>
      <c r="P384" s="18"/>
      <c r="Q384" s="18"/>
      <c r="R384" s="18"/>
      <c r="S384" s="18"/>
      <c r="T384" s="18"/>
      <c r="U384" s="18"/>
      <c r="V384" s="18"/>
      <c r="W384" s="18"/>
      <c r="X384" s="18"/>
      <c r="Y384" s="18"/>
      <c r="Z384" s="18"/>
    </row>
    <row r="385">
      <c r="A385" s="18"/>
      <c r="B385" s="80"/>
      <c r="C385" s="18"/>
      <c r="D385" s="80"/>
      <c r="E385" s="80"/>
      <c r="F385" s="134"/>
      <c r="G385" s="18"/>
      <c r="H385" s="18"/>
      <c r="I385" s="18"/>
      <c r="J385" s="18"/>
      <c r="K385" s="18"/>
      <c r="L385" s="18"/>
      <c r="M385" s="18"/>
      <c r="N385" s="18"/>
      <c r="O385" s="18"/>
      <c r="P385" s="18"/>
      <c r="Q385" s="18"/>
      <c r="R385" s="18"/>
      <c r="S385" s="18"/>
      <c r="T385" s="18"/>
      <c r="U385" s="18"/>
      <c r="V385" s="18"/>
      <c r="W385" s="18"/>
      <c r="X385" s="18"/>
      <c r="Y385" s="18"/>
      <c r="Z385" s="18"/>
    </row>
    <row r="386">
      <c r="A386" s="18"/>
      <c r="B386" s="80"/>
      <c r="C386" s="18"/>
      <c r="D386" s="80"/>
      <c r="E386" s="80"/>
      <c r="F386" s="134"/>
      <c r="G386" s="18"/>
      <c r="H386" s="18"/>
      <c r="I386" s="18"/>
      <c r="J386" s="18"/>
      <c r="K386" s="18"/>
      <c r="L386" s="18"/>
      <c r="M386" s="18"/>
      <c r="N386" s="18"/>
      <c r="O386" s="18"/>
      <c r="P386" s="18"/>
      <c r="Q386" s="18"/>
      <c r="R386" s="18"/>
      <c r="S386" s="18"/>
      <c r="T386" s="18"/>
      <c r="U386" s="18"/>
      <c r="V386" s="18"/>
      <c r="W386" s="18"/>
      <c r="X386" s="18"/>
      <c r="Y386" s="18"/>
      <c r="Z386" s="18"/>
    </row>
    <row r="387">
      <c r="A387" s="18"/>
      <c r="B387" s="80"/>
      <c r="C387" s="18"/>
      <c r="D387" s="80"/>
      <c r="E387" s="80"/>
      <c r="F387" s="134"/>
      <c r="G387" s="18"/>
      <c r="H387" s="18"/>
      <c r="I387" s="18"/>
      <c r="J387" s="18"/>
      <c r="K387" s="18"/>
      <c r="L387" s="18"/>
      <c r="M387" s="18"/>
      <c r="N387" s="18"/>
      <c r="O387" s="18"/>
      <c r="P387" s="18"/>
      <c r="Q387" s="18"/>
      <c r="R387" s="18"/>
      <c r="S387" s="18"/>
      <c r="T387" s="18"/>
      <c r="U387" s="18"/>
      <c r="V387" s="18"/>
      <c r="W387" s="18"/>
      <c r="X387" s="18"/>
      <c r="Y387" s="18"/>
      <c r="Z387" s="18"/>
    </row>
    <row r="388">
      <c r="A388" s="18"/>
      <c r="B388" s="80"/>
      <c r="C388" s="18"/>
      <c r="D388" s="80"/>
      <c r="E388" s="80"/>
      <c r="F388" s="134"/>
      <c r="G388" s="18"/>
      <c r="H388" s="18"/>
      <c r="I388" s="18"/>
      <c r="J388" s="18"/>
      <c r="K388" s="18"/>
      <c r="L388" s="18"/>
      <c r="M388" s="18"/>
      <c r="N388" s="18"/>
      <c r="O388" s="18"/>
      <c r="P388" s="18"/>
      <c r="Q388" s="18"/>
      <c r="R388" s="18"/>
      <c r="S388" s="18"/>
      <c r="T388" s="18"/>
      <c r="U388" s="18"/>
      <c r="V388" s="18"/>
      <c r="W388" s="18"/>
      <c r="X388" s="18"/>
      <c r="Y388" s="18"/>
      <c r="Z388" s="18"/>
    </row>
    <row r="389">
      <c r="A389" s="18"/>
      <c r="B389" s="80"/>
      <c r="C389" s="18"/>
      <c r="D389" s="80"/>
      <c r="E389" s="80"/>
      <c r="F389" s="134"/>
      <c r="G389" s="18"/>
      <c r="H389" s="18"/>
      <c r="I389" s="18"/>
      <c r="J389" s="18"/>
      <c r="K389" s="18"/>
      <c r="L389" s="18"/>
      <c r="M389" s="18"/>
      <c r="N389" s="18"/>
      <c r="O389" s="18"/>
      <c r="P389" s="18"/>
      <c r="Q389" s="18"/>
      <c r="R389" s="18"/>
      <c r="S389" s="18"/>
      <c r="T389" s="18"/>
      <c r="U389" s="18"/>
      <c r="V389" s="18"/>
      <c r="W389" s="18"/>
      <c r="X389" s="18"/>
      <c r="Y389" s="18"/>
      <c r="Z389" s="18"/>
    </row>
    <row r="390">
      <c r="A390" s="18"/>
      <c r="B390" s="80"/>
      <c r="C390" s="18"/>
      <c r="D390" s="80"/>
      <c r="E390" s="80"/>
      <c r="F390" s="134"/>
      <c r="G390" s="18"/>
      <c r="H390" s="18"/>
      <c r="I390" s="18"/>
      <c r="J390" s="18"/>
      <c r="K390" s="18"/>
      <c r="L390" s="18"/>
      <c r="M390" s="18"/>
      <c r="N390" s="18"/>
      <c r="O390" s="18"/>
      <c r="P390" s="18"/>
      <c r="Q390" s="18"/>
      <c r="R390" s="18"/>
      <c r="S390" s="18"/>
      <c r="T390" s="18"/>
      <c r="U390" s="18"/>
      <c r="V390" s="18"/>
      <c r="W390" s="18"/>
      <c r="X390" s="18"/>
      <c r="Y390" s="18"/>
      <c r="Z390" s="18"/>
    </row>
    <row r="391">
      <c r="A391" s="18"/>
      <c r="B391" s="80"/>
      <c r="C391" s="18"/>
      <c r="D391" s="80"/>
      <c r="E391" s="80"/>
      <c r="F391" s="134"/>
      <c r="G391" s="18"/>
      <c r="H391" s="18"/>
      <c r="I391" s="18"/>
      <c r="J391" s="18"/>
      <c r="K391" s="18"/>
      <c r="L391" s="18"/>
      <c r="M391" s="18"/>
      <c r="N391" s="18"/>
      <c r="O391" s="18"/>
      <c r="P391" s="18"/>
      <c r="Q391" s="18"/>
      <c r="R391" s="18"/>
      <c r="S391" s="18"/>
      <c r="T391" s="18"/>
      <c r="U391" s="18"/>
      <c r="V391" s="18"/>
      <c r="W391" s="18"/>
      <c r="X391" s="18"/>
      <c r="Y391" s="18"/>
      <c r="Z391" s="18"/>
    </row>
    <row r="392">
      <c r="A392" s="18"/>
      <c r="B392" s="80"/>
      <c r="C392" s="18"/>
      <c r="D392" s="80"/>
      <c r="E392" s="80"/>
      <c r="F392" s="134"/>
      <c r="G392" s="18"/>
      <c r="H392" s="18"/>
      <c r="I392" s="18"/>
      <c r="J392" s="18"/>
      <c r="K392" s="18"/>
      <c r="L392" s="18"/>
      <c r="M392" s="18"/>
      <c r="N392" s="18"/>
      <c r="O392" s="18"/>
      <c r="P392" s="18"/>
      <c r="Q392" s="18"/>
      <c r="R392" s="18"/>
      <c r="S392" s="18"/>
      <c r="T392" s="18"/>
      <c r="U392" s="18"/>
      <c r="V392" s="18"/>
      <c r="W392" s="18"/>
      <c r="X392" s="18"/>
      <c r="Y392" s="18"/>
      <c r="Z392" s="18"/>
    </row>
    <row r="393">
      <c r="A393" s="18"/>
      <c r="B393" s="80"/>
      <c r="C393" s="18"/>
      <c r="D393" s="80"/>
      <c r="E393" s="80"/>
      <c r="F393" s="134"/>
      <c r="G393" s="18"/>
      <c r="H393" s="18"/>
      <c r="I393" s="18"/>
      <c r="J393" s="18"/>
      <c r="K393" s="18"/>
      <c r="L393" s="18"/>
      <c r="M393" s="18"/>
      <c r="N393" s="18"/>
      <c r="O393" s="18"/>
      <c r="P393" s="18"/>
      <c r="Q393" s="18"/>
      <c r="R393" s="18"/>
      <c r="S393" s="18"/>
      <c r="T393" s="18"/>
      <c r="U393" s="18"/>
      <c r="V393" s="18"/>
      <c r="W393" s="18"/>
      <c r="X393" s="18"/>
      <c r="Y393" s="18"/>
      <c r="Z393" s="18"/>
    </row>
    <row r="394">
      <c r="A394" s="18"/>
      <c r="B394" s="80"/>
      <c r="C394" s="18"/>
      <c r="D394" s="80"/>
      <c r="E394" s="80"/>
      <c r="F394" s="134"/>
      <c r="G394" s="18"/>
      <c r="H394" s="18"/>
      <c r="I394" s="18"/>
      <c r="J394" s="18"/>
      <c r="K394" s="18"/>
      <c r="L394" s="18"/>
      <c r="M394" s="18"/>
      <c r="N394" s="18"/>
      <c r="O394" s="18"/>
      <c r="P394" s="18"/>
      <c r="Q394" s="18"/>
      <c r="R394" s="18"/>
      <c r="S394" s="18"/>
      <c r="T394" s="18"/>
      <c r="U394" s="18"/>
      <c r="V394" s="18"/>
      <c r="W394" s="18"/>
      <c r="X394" s="18"/>
      <c r="Y394" s="18"/>
      <c r="Z394" s="18"/>
    </row>
    <row r="395">
      <c r="A395" s="18"/>
      <c r="B395" s="80"/>
      <c r="C395" s="18"/>
      <c r="D395" s="80"/>
      <c r="E395" s="80"/>
      <c r="F395" s="134"/>
      <c r="G395" s="18"/>
      <c r="H395" s="18"/>
      <c r="I395" s="18"/>
      <c r="J395" s="18"/>
      <c r="K395" s="18"/>
      <c r="L395" s="18"/>
      <c r="M395" s="18"/>
      <c r="N395" s="18"/>
      <c r="O395" s="18"/>
      <c r="P395" s="18"/>
      <c r="Q395" s="18"/>
      <c r="R395" s="18"/>
      <c r="S395" s="18"/>
      <c r="T395" s="18"/>
      <c r="U395" s="18"/>
      <c r="V395" s="18"/>
      <c r="W395" s="18"/>
      <c r="X395" s="18"/>
      <c r="Y395" s="18"/>
      <c r="Z395" s="18"/>
    </row>
    <row r="396">
      <c r="A396" s="18"/>
      <c r="B396" s="80"/>
      <c r="C396" s="18"/>
      <c r="D396" s="80"/>
      <c r="E396" s="80"/>
      <c r="F396" s="134"/>
      <c r="G396" s="18"/>
      <c r="H396" s="18"/>
      <c r="I396" s="18"/>
      <c r="J396" s="18"/>
      <c r="K396" s="18"/>
      <c r="L396" s="18"/>
      <c r="M396" s="18"/>
      <c r="N396" s="18"/>
      <c r="O396" s="18"/>
      <c r="P396" s="18"/>
      <c r="Q396" s="18"/>
      <c r="R396" s="18"/>
      <c r="S396" s="18"/>
      <c r="T396" s="18"/>
      <c r="U396" s="18"/>
      <c r="V396" s="18"/>
      <c r="W396" s="18"/>
      <c r="X396" s="18"/>
      <c r="Y396" s="18"/>
      <c r="Z396" s="18"/>
    </row>
    <row r="397">
      <c r="A397" s="18"/>
      <c r="B397" s="80"/>
      <c r="C397" s="18"/>
      <c r="D397" s="80"/>
      <c r="E397" s="80"/>
      <c r="F397" s="134"/>
      <c r="G397" s="18"/>
      <c r="H397" s="18"/>
      <c r="I397" s="18"/>
      <c r="J397" s="18"/>
      <c r="K397" s="18"/>
      <c r="L397" s="18"/>
      <c r="M397" s="18"/>
      <c r="N397" s="18"/>
      <c r="O397" s="18"/>
      <c r="P397" s="18"/>
      <c r="Q397" s="18"/>
      <c r="R397" s="18"/>
      <c r="S397" s="18"/>
      <c r="T397" s="18"/>
      <c r="U397" s="18"/>
      <c r="V397" s="18"/>
      <c r="W397" s="18"/>
      <c r="X397" s="18"/>
      <c r="Y397" s="18"/>
      <c r="Z397" s="18"/>
    </row>
    <row r="398">
      <c r="A398" s="18"/>
      <c r="B398" s="80"/>
      <c r="C398" s="18"/>
      <c r="D398" s="80"/>
      <c r="E398" s="80"/>
      <c r="F398" s="134"/>
      <c r="G398" s="18"/>
      <c r="H398" s="18"/>
      <c r="I398" s="18"/>
      <c r="J398" s="18"/>
      <c r="K398" s="18"/>
      <c r="L398" s="18"/>
      <c r="M398" s="18"/>
      <c r="N398" s="18"/>
      <c r="O398" s="18"/>
      <c r="P398" s="18"/>
      <c r="Q398" s="18"/>
      <c r="R398" s="18"/>
      <c r="S398" s="18"/>
      <c r="T398" s="18"/>
      <c r="U398" s="18"/>
      <c r="V398" s="18"/>
      <c r="W398" s="18"/>
      <c r="X398" s="18"/>
      <c r="Y398" s="18"/>
      <c r="Z398" s="18"/>
    </row>
    <row r="399">
      <c r="A399" s="18"/>
      <c r="B399" s="80"/>
      <c r="C399" s="18"/>
      <c r="D399" s="80"/>
      <c r="E399" s="80"/>
      <c r="F399" s="134"/>
      <c r="G399" s="18"/>
      <c r="H399" s="18"/>
      <c r="I399" s="18"/>
      <c r="J399" s="18"/>
      <c r="K399" s="18"/>
      <c r="L399" s="18"/>
      <c r="M399" s="18"/>
      <c r="N399" s="18"/>
      <c r="O399" s="18"/>
      <c r="P399" s="18"/>
      <c r="Q399" s="18"/>
      <c r="R399" s="18"/>
      <c r="S399" s="18"/>
      <c r="T399" s="18"/>
      <c r="U399" s="18"/>
      <c r="V399" s="18"/>
      <c r="W399" s="18"/>
      <c r="X399" s="18"/>
      <c r="Y399" s="18"/>
      <c r="Z399" s="18"/>
    </row>
    <row r="400">
      <c r="A400" s="18"/>
      <c r="B400" s="80"/>
      <c r="C400" s="18"/>
      <c r="D400" s="80"/>
      <c r="E400" s="80"/>
      <c r="F400" s="134"/>
      <c r="G400" s="18"/>
      <c r="H400" s="18"/>
      <c r="I400" s="18"/>
      <c r="J400" s="18"/>
      <c r="K400" s="18"/>
      <c r="L400" s="18"/>
      <c r="M400" s="18"/>
      <c r="N400" s="18"/>
      <c r="O400" s="18"/>
      <c r="P400" s="18"/>
      <c r="Q400" s="18"/>
      <c r="R400" s="18"/>
      <c r="S400" s="18"/>
      <c r="T400" s="18"/>
      <c r="U400" s="18"/>
      <c r="V400" s="18"/>
      <c r="W400" s="18"/>
      <c r="X400" s="18"/>
      <c r="Y400" s="18"/>
      <c r="Z400" s="18"/>
    </row>
    <row r="401">
      <c r="A401" s="18"/>
      <c r="B401" s="80"/>
      <c r="C401" s="18"/>
      <c r="D401" s="80"/>
      <c r="E401" s="80"/>
      <c r="F401" s="134"/>
      <c r="G401" s="18"/>
      <c r="H401" s="18"/>
      <c r="I401" s="18"/>
      <c r="J401" s="18"/>
      <c r="K401" s="18"/>
      <c r="L401" s="18"/>
      <c r="M401" s="18"/>
      <c r="N401" s="18"/>
      <c r="O401" s="18"/>
      <c r="P401" s="18"/>
      <c r="Q401" s="18"/>
      <c r="R401" s="18"/>
      <c r="S401" s="18"/>
      <c r="T401" s="18"/>
      <c r="U401" s="18"/>
      <c r="V401" s="18"/>
      <c r="W401" s="18"/>
      <c r="X401" s="18"/>
      <c r="Y401" s="18"/>
      <c r="Z401" s="18"/>
    </row>
    <row r="402">
      <c r="A402" s="18"/>
      <c r="B402" s="80"/>
      <c r="C402" s="18"/>
      <c r="D402" s="80"/>
      <c r="E402" s="80"/>
      <c r="F402" s="134"/>
      <c r="G402" s="18"/>
      <c r="H402" s="18"/>
      <c r="I402" s="18"/>
      <c r="J402" s="18"/>
      <c r="K402" s="18"/>
      <c r="L402" s="18"/>
      <c r="M402" s="18"/>
      <c r="N402" s="18"/>
      <c r="O402" s="18"/>
      <c r="P402" s="18"/>
      <c r="Q402" s="18"/>
      <c r="R402" s="18"/>
      <c r="S402" s="18"/>
      <c r="T402" s="18"/>
      <c r="U402" s="18"/>
      <c r="V402" s="18"/>
      <c r="W402" s="18"/>
      <c r="X402" s="18"/>
      <c r="Y402" s="18"/>
      <c r="Z402" s="18"/>
    </row>
    <row r="403">
      <c r="A403" s="18"/>
      <c r="B403" s="80"/>
      <c r="C403" s="18"/>
      <c r="D403" s="80"/>
      <c r="E403" s="80"/>
      <c r="F403" s="134"/>
      <c r="G403" s="18"/>
      <c r="H403" s="18"/>
      <c r="I403" s="18"/>
      <c r="J403" s="18"/>
      <c r="K403" s="18"/>
      <c r="L403" s="18"/>
      <c r="M403" s="18"/>
      <c r="N403" s="18"/>
      <c r="O403" s="18"/>
      <c r="P403" s="18"/>
      <c r="Q403" s="18"/>
      <c r="R403" s="18"/>
      <c r="S403" s="18"/>
      <c r="T403" s="18"/>
      <c r="U403" s="18"/>
      <c r="V403" s="18"/>
      <c r="W403" s="18"/>
      <c r="X403" s="18"/>
      <c r="Y403" s="18"/>
      <c r="Z403" s="18"/>
    </row>
    <row r="404">
      <c r="A404" s="18"/>
      <c r="B404" s="80"/>
      <c r="C404" s="18"/>
      <c r="D404" s="80"/>
      <c r="E404" s="80"/>
      <c r="F404" s="134"/>
      <c r="G404" s="18"/>
      <c r="H404" s="18"/>
      <c r="I404" s="18"/>
      <c r="J404" s="18"/>
      <c r="K404" s="18"/>
      <c r="L404" s="18"/>
      <c r="M404" s="18"/>
      <c r="N404" s="18"/>
      <c r="O404" s="18"/>
      <c r="P404" s="18"/>
      <c r="Q404" s="18"/>
      <c r="R404" s="18"/>
      <c r="S404" s="18"/>
      <c r="T404" s="18"/>
      <c r="U404" s="18"/>
      <c r="V404" s="18"/>
      <c r="W404" s="18"/>
      <c r="X404" s="18"/>
      <c r="Y404" s="18"/>
      <c r="Z404" s="18"/>
    </row>
    <row r="405">
      <c r="A405" s="18"/>
      <c r="B405" s="80"/>
      <c r="C405" s="18"/>
      <c r="D405" s="80"/>
      <c r="E405" s="80"/>
      <c r="F405" s="134"/>
      <c r="G405" s="18"/>
      <c r="H405" s="18"/>
      <c r="I405" s="18"/>
      <c r="J405" s="18"/>
      <c r="K405" s="18"/>
      <c r="L405" s="18"/>
      <c r="M405" s="18"/>
      <c r="N405" s="18"/>
      <c r="O405" s="18"/>
      <c r="P405" s="18"/>
      <c r="Q405" s="18"/>
      <c r="R405" s="18"/>
      <c r="S405" s="18"/>
      <c r="T405" s="18"/>
      <c r="U405" s="18"/>
      <c r="V405" s="18"/>
      <c r="W405" s="18"/>
      <c r="X405" s="18"/>
      <c r="Y405" s="18"/>
      <c r="Z405" s="18"/>
    </row>
    <row r="406">
      <c r="A406" s="18"/>
      <c r="B406" s="80"/>
      <c r="C406" s="18"/>
      <c r="D406" s="80"/>
      <c r="E406" s="80"/>
      <c r="F406" s="134"/>
      <c r="G406" s="18"/>
      <c r="H406" s="18"/>
      <c r="I406" s="18"/>
      <c r="J406" s="18"/>
      <c r="K406" s="18"/>
      <c r="L406" s="18"/>
      <c r="M406" s="18"/>
      <c r="N406" s="18"/>
      <c r="O406" s="18"/>
      <c r="P406" s="18"/>
      <c r="Q406" s="18"/>
      <c r="R406" s="18"/>
      <c r="S406" s="18"/>
      <c r="T406" s="18"/>
      <c r="U406" s="18"/>
      <c r="V406" s="18"/>
      <c r="W406" s="18"/>
      <c r="X406" s="18"/>
      <c r="Y406" s="18"/>
      <c r="Z406" s="18"/>
    </row>
    <row r="407">
      <c r="A407" s="18"/>
      <c r="B407" s="80"/>
      <c r="C407" s="18"/>
      <c r="D407" s="80"/>
      <c r="E407" s="80"/>
      <c r="F407" s="134"/>
      <c r="G407" s="18"/>
      <c r="H407" s="18"/>
      <c r="I407" s="18"/>
      <c r="J407" s="18"/>
      <c r="K407" s="18"/>
      <c r="L407" s="18"/>
      <c r="M407" s="18"/>
      <c r="N407" s="18"/>
      <c r="O407" s="18"/>
      <c r="P407" s="18"/>
      <c r="Q407" s="18"/>
      <c r="R407" s="18"/>
      <c r="S407" s="18"/>
      <c r="T407" s="18"/>
      <c r="U407" s="18"/>
      <c r="V407" s="18"/>
      <c r="W407" s="18"/>
      <c r="X407" s="18"/>
      <c r="Y407" s="18"/>
      <c r="Z407" s="18"/>
    </row>
    <row r="408">
      <c r="A408" s="18"/>
      <c r="B408" s="80"/>
      <c r="C408" s="18"/>
      <c r="D408" s="80"/>
      <c r="E408" s="80"/>
      <c r="F408" s="134"/>
      <c r="G408" s="18"/>
      <c r="H408" s="18"/>
      <c r="I408" s="18"/>
      <c r="J408" s="18"/>
      <c r="K408" s="18"/>
      <c r="L408" s="18"/>
      <c r="M408" s="18"/>
      <c r="N408" s="18"/>
      <c r="O408" s="18"/>
      <c r="P408" s="18"/>
      <c r="Q408" s="18"/>
      <c r="R408" s="18"/>
      <c r="S408" s="18"/>
      <c r="T408" s="18"/>
      <c r="U408" s="18"/>
      <c r="V408" s="18"/>
      <c r="W408" s="18"/>
      <c r="X408" s="18"/>
      <c r="Y408" s="18"/>
      <c r="Z408" s="18"/>
    </row>
    <row r="409">
      <c r="A409" s="18"/>
      <c r="B409" s="80"/>
      <c r="C409" s="18"/>
      <c r="D409" s="80"/>
      <c r="E409" s="80"/>
      <c r="F409" s="134"/>
      <c r="G409" s="18"/>
      <c r="H409" s="18"/>
      <c r="I409" s="18"/>
      <c r="J409" s="18"/>
      <c r="K409" s="18"/>
      <c r="L409" s="18"/>
      <c r="M409" s="18"/>
      <c r="N409" s="18"/>
      <c r="O409" s="18"/>
      <c r="P409" s="18"/>
      <c r="Q409" s="18"/>
      <c r="R409" s="18"/>
      <c r="S409" s="18"/>
      <c r="T409" s="18"/>
      <c r="U409" s="18"/>
      <c r="V409" s="18"/>
      <c r="W409" s="18"/>
      <c r="X409" s="18"/>
      <c r="Y409" s="18"/>
      <c r="Z409" s="18"/>
    </row>
    <row r="410">
      <c r="A410" s="18"/>
      <c r="B410" s="80"/>
      <c r="C410" s="18"/>
      <c r="D410" s="80"/>
      <c r="E410" s="80"/>
      <c r="F410" s="134"/>
      <c r="G410" s="18"/>
      <c r="H410" s="18"/>
      <c r="I410" s="18"/>
      <c r="J410" s="18"/>
      <c r="K410" s="18"/>
      <c r="L410" s="18"/>
      <c r="M410" s="18"/>
      <c r="N410" s="18"/>
      <c r="O410" s="18"/>
      <c r="P410" s="18"/>
      <c r="Q410" s="18"/>
      <c r="R410" s="18"/>
      <c r="S410" s="18"/>
      <c r="T410" s="18"/>
      <c r="U410" s="18"/>
      <c r="V410" s="18"/>
      <c r="W410" s="18"/>
      <c r="X410" s="18"/>
      <c r="Y410" s="18"/>
      <c r="Z410" s="18"/>
    </row>
    <row r="411">
      <c r="A411" s="18"/>
      <c r="B411" s="80"/>
      <c r="C411" s="18"/>
      <c r="D411" s="80"/>
      <c r="E411" s="80"/>
      <c r="F411" s="134"/>
      <c r="G411" s="18"/>
      <c r="H411" s="18"/>
      <c r="I411" s="18"/>
      <c r="J411" s="18"/>
      <c r="K411" s="18"/>
      <c r="L411" s="18"/>
      <c r="M411" s="18"/>
      <c r="N411" s="18"/>
      <c r="O411" s="18"/>
      <c r="P411" s="18"/>
      <c r="Q411" s="18"/>
      <c r="R411" s="18"/>
      <c r="S411" s="18"/>
      <c r="T411" s="18"/>
      <c r="U411" s="18"/>
      <c r="V411" s="18"/>
      <c r="W411" s="18"/>
      <c r="X411" s="18"/>
      <c r="Y411" s="18"/>
      <c r="Z411" s="18"/>
    </row>
    <row r="412">
      <c r="A412" s="18"/>
      <c r="B412" s="80"/>
      <c r="C412" s="18"/>
      <c r="D412" s="80"/>
      <c r="E412" s="80"/>
      <c r="F412" s="134"/>
      <c r="G412" s="18"/>
      <c r="H412" s="18"/>
      <c r="I412" s="18"/>
      <c r="J412" s="18"/>
      <c r="K412" s="18"/>
      <c r="L412" s="18"/>
      <c r="M412" s="18"/>
      <c r="N412" s="18"/>
      <c r="O412" s="18"/>
      <c r="P412" s="18"/>
      <c r="Q412" s="18"/>
      <c r="R412" s="18"/>
      <c r="S412" s="18"/>
      <c r="T412" s="18"/>
      <c r="U412" s="18"/>
      <c r="V412" s="18"/>
      <c r="W412" s="18"/>
      <c r="X412" s="18"/>
      <c r="Y412" s="18"/>
      <c r="Z412" s="18"/>
    </row>
    <row r="413">
      <c r="A413" s="18"/>
      <c r="B413" s="80"/>
      <c r="C413" s="18"/>
      <c r="D413" s="80"/>
      <c r="E413" s="80"/>
      <c r="F413" s="134"/>
      <c r="G413" s="18"/>
      <c r="H413" s="18"/>
      <c r="I413" s="18"/>
      <c r="J413" s="18"/>
      <c r="K413" s="18"/>
      <c r="L413" s="18"/>
      <c r="M413" s="18"/>
      <c r="N413" s="18"/>
      <c r="O413" s="18"/>
      <c r="P413" s="18"/>
      <c r="Q413" s="18"/>
      <c r="R413" s="18"/>
      <c r="S413" s="18"/>
      <c r="T413" s="18"/>
      <c r="U413" s="18"/>
      <c r="V413" s="18"/>
      <c r="W413" s="18"/>
      <c r="X413" s="18"/>
      <c r="Y413" s="18"/>
      <c r="Z413" s="18"/>
    </row>
    <row r="414">
      <c r="A414" s="18"/>
      <c r="B414" s="80"/>
      <c r="C414" s="18"/>
      <c r="D414" s="80"/>
      <c r="E414" s="80"/>
      <c r="F414" s="134"/>
      <c r="G414" s="18"/>
      <c r="H414" s="18"/>
      <c r="I414" s="18"/>
      <c r="J414" s="18"/>
      <c r="K414" s="18"/>
      <c r="L414" s="18"/>
      <c r="M414" s="18"/>
      <c r="N414" s="18"/>
      <c r="O414" s="18"/>
      <c r="P414" s="18"/>
      <c r="Q414" s="18"/>
      <c r="R414" s="18"/>
      <c r="S414" s="18"/>
      <c r="T414" s="18"/>
      <c r="U414" s="18"/>
      <c r="V414" s="18"/>
      <c r="W414" s="18"/>
      <c r="X414" s="18"/>
      <c r="Y414" s="18"/>
      <c r="Z414" s="18"/>
    </row>
    <row r="415">
      <c r="A415" s="18"/>
      <c r="B415" s="80"/>
      <c r="C415" s="18"/>
      <c r="D415" s="80"/>
      <c r="E415" s="80"/>
      <c r="F415" s="134"/>
      <c r="G415" s="18"/>
      <c r="H415" s="18"/>
      <c r="I415" s="18"/>
      <c r="J415" s="18"/>
      <c r="K415" s="18"/>
      <c r="L415" s="18"/>
      <c r="M415" s="18"/>
      <c r="N415" s="18"/>
      <c r="O415" s="18"/>
      <c r="P415" s="18"/>
      <c r="Q415" s="18"/>
      <c r="R415" s="18"/>
      <c r="S415" s="18"/>
      <c r="T415" s="18"/>
      <c r="U415" s="18"/>
      <c r="V415" s="18"/>
      <c r="W415" s="18"/>
      <c r="X415" s="18"/>
      <c r="Y415" s="18"/>
      <c r="Z415" s="18"/>
    </row>
    <row r="416">
      <c r="A416" s="18"/>
      <c r="B416" s="80"/>
      <c r="C416" s="18"/>
      <c r="D416" s="80"/>
      <c r="E416" s="80"/>
      <c r="F416" s="134"/>
      <c r="G416" s="18"/>
      <c r="H416" s="18"/>
      <c r="I416" s="18"/>
      <c r="J416" s="18"/>
      <c r="K416" s="18"/>
      <c r="L416" s="18"/>
      <c r="M416" s="18"/>
      <c r="N416" s="18"/>
      <c r="O416" s="18"/>
      <c r="P416" s="18"/>
      <c r="Q416" s="18"/>
      <c r="R416" s="18"/>
      <c r="S416" s="18"/>
      <c r="T416" s="18"/>
      <c r="U416" s="18"/>
      <c r="V416" s="18"/>
      <c r="W416" s="18"/>
      <c r="X416" s="18"/>
      <c r="Y416" s="18"/>
      <c r="Z416" s="18"/>
    </row>
    <row r="417">
      <c r="A417" s="18"/>
      <c r="B417" s="80"/>
      <c r="C417" s="18"/>
      <c r="D417" s="80"/>
      <c r="E417" s="80"/>
      <c r="F417" s="134"/>
      <c r="G417" s="18"/>
      <c r="H417" s="18"/>
      <c r="I417" s="18"/>
      <c r="J417" s="18"/>
      <c r="K417" s="18"/>
      <c r="L417" s="18"/>
      <c r="M417" s="18"/>
      <c r="N417" s="18"/>
      <c r="O417" s="18"/>
      <c r="P417" s="18"/>
      <c r="Q417" s="18"/>
      <c r="R417" s="18"/>
      <c r="S417" s="18"/>
      <c r="T417" s="18"/>
      <c r="U417" s="18"/>
      <c r="V417" s="18"/>
      <c r="W417" s="18"/>
      <c r="X417" s="18"/>
      <c r="Y417" s="18"/>
      <c r="Z417" s="18"/>
    </row>
    <row r="418">
      <c r="A418" s="18"/>
      <c r="B418" s="80"/>
      <c r="C418" s="18"/>
      <c r="D418" s="80"/>
      <c r="E418" s="80"/>
      <c r="F418" s="134"/>
      <c r="G418" s="18"/>
      <c r="H418" s="18"/>
      <c r="I418" s="18"/>
      <c r="J418" s="18"/>
      <c r="K418" s="18"/>
      <c r="L418" s="18"/>
      <c r="M418" s="18"/>
      <c r="N418" s="18"/>
      <c r="O418" s="18"/>
      <c r="P418" s="18"/>
      <c r="Q418" s="18"/>
      <c r="R418" s="18"/>
      <c r="S418" s="18"/>
      <c r="T418" s="18"/>
      <c r="U418" s="18"/>
      <c r="V418" s="18"/>
      <c r="W418" s="18"/>
      <c r="X418" s="18"/>
      <c r="Y418" s="18"/>
      <c r="Z418" s="18"/>
    </row>
    <row r="419">
      <c r="A419" s="18"/>
      <c r="B419" s="80"/>
      <c r="C419" s="18"/>
      <c r="D419" s="80"/>
      <c r="E419" s="80"/>
      <c r="F419" s="134"/>
      <c r="G419" s="18"/>
      <c r="H419" s="18"/>
      <c r="I419" s="18"/>
      <c r="J419" s="18"/>
      <c r="K419" s="18"/>
      <c r="L419" s="18"/>
      <c r="M419" s="18"/>
      <c r="N419" s="18"/>
      <c r="O419" s="18"/>
      <c r="P419" s="18"/>
      <c r="Q419" s="18"/>
      <c r="R419" s="18"/>
      <c r="S419" s="18"/>
      <c r="T419" s="18"/>
      <c r="U419" s="18"/>
      <c r="V419" s="18"/>
      <c r="W419" s="18"/>
      <c r="X419" s="18"/>
      <c r="Y419" s="18"/>
      <c r="Z419" s="18"/>
    </row>
    <row r="420">
      <c r="A420" s="18"/>
      <c r="B420" s="80"/>
      <c r="C420" s="18"/>
      <c r="D420" s="80"/>
      <c r="E420" s="80"/>
      <c r="F420" s="134"/>
      <c r="G420" s="18"/>
      <c r="H420" s="18"/>
      <c r="I420" s="18"/>
      <c r="J420" s="18"/>
      <c r="K420" s="18"/>
      <c r="L420" s="18"/>
      <c r="M420" s="18"/>
      <c r="N420" s="18"/>
      <c r="O420" s="18"/>
      <c r="P420" s="18"/>
      <c r="Q420" s="18"/>
      <c r="R420" s="18"/>
      <c r="S420" s="18"/>
      <c r="T420" s="18"/>
      <c r="U420" s="18"/>
      <c r="V420" s="18"/>
      <c r="W420" s="18"/>
      <c r="X420" s="18"/>
      <c r="Y420" s="18"/>
      <c r="Z420" s="18"/>
    </row>
    <row r="421">
      <c r="A421" s="18"/>
      <c r="B421" s="80"/>
      <c r="C421" s="18"/>
      <c r="D421" s="80"/>
      <c r="E421" s="80"/>
      <c r="F421" s="134"/>
      <c r="G421" s="18"/>
      <c r="H421" s="18"/>
      <c r="I421" s="18"/>
      <c r="J421" s="18"/>
      <c r="K421" s="18"/>
      <c r="L421" s="18"/>
      <c r="M421" s="18"/>
      <c r="N421" s="18"/>
      <c r="O421" s="18"/>
      <c r="P421" s="18"/>
      <c r="Q421" s="18"/>
      <c r="R421" s="18"/>
      <c r="S421" s="18"/>
      <c r="T421" s="18"/>
      <c r="U421" s="18"/>
      <c r="V421" s="18"/>
      <c r="W421" s="18"/>
      <c r="X421" s="18"/>
      <c r="Y421" s="18"/>
      <c r="Z421" s="18"/>
    </row>
    <row r="422">
      <c r="A422" s="18"/>
      <c r="B422" s="80"/>
      <c r="C422" s="18"/>
      <c r="D422" s="80"/>
      <c r="E422" s="80"/>
      <c r="F422" s="134"/>
      <c r="G422" s="18"/>
      <c r="H422" s="18"/>
      <c r="I422" s="18"/>
      <c r="J422" s="18"/>
      <c r="K422" s="18"/>
      <c r="L422" s="18"/>
      <c r="M422" s="18"/>
      <c r="N422" s="18"/>
      <c r="O422" s="18"/>
      <c r="P422" s="18"/>
      <c r="Q422" s="18"/>
      <c r="R422" s="18"/>
      <c r="S422" s="18"/>
      <c r="T422" s="18"/>
      <c r="U422" s="18"/>
      <c r="V422" s="18"/>
      <c r="W422" s="18"/>
      <c r="X422" s="18"/>
      <c r="Y422" s="18"/>
      <c r="Z422" s="18"/>
    </row>
    <row r="423">
      <c r="A423" s="18"/>
      <c r="B423" s="80"/>
      <c r="C423" s="18"/>
      <c r="D423" s="80"/>
      <c r="E423" s="80"/>
      <c r="F423" s="134"/>
      <c r="G423" s="18"/>
      <c r="H423" s="18"/>
      <c r="I423" s="18"/>
      <c r="J423" s="18"/>
      <c r="K423" s="18"/>
      <c r="L423" s="18"/>
      <c r="M423" s="18"/>
      <c r="N423" s="18"/>
      <c r="O423" s="18"/>
      <c r="P423" s="18"/>
      <c r="Q423" s="18"/>
      <c r="R423" s="18"/>
      <c r="S423" s="18"/>
      <c r="T423" s="18"/>
      <c r="U423" s="18"/>
      <c r="V423" s="18"/>
      <c r="W423" s="18"/>
      <c r="X423" s="18"/>
      <c r="Y423" s="18"/>
      <c r="Z423" s="18"/>
    </row>
    <row r="424">
      <c r="A424" s="18"/>
      <c r="B424" s="80"/>
      <c r="C424" s="18"/>
      <c r="D424" s="80"/>
      <c r="E424" s="80"/>
      <c r="F424" s="134"/>
      <c r="G424" s="18"/>
      <c r="H424" s="18"/>
      <c r="I424" s="18"/>
      <c r="J424" s="18"/>
      <c r="K424" s="18"/>
      <c r="L424" s="18"/>
      <c r="M424" s="18"/>
      <c r="N424" s="18"/>
      <c r="O424" s="18"/>
      <c r="P424" s="18"/>
      <c r="Q424" s="18"/>
      <c r="R424" s="18"/>
      <c r="S424" s="18"/>
      <c r="T424" s="18"/>
      <c r="U424" s="18"/>
      <c r="V424" s="18"/>
      <c r="W424" s="18"/>
      <c r="X424" s="18"/>
      <c r="Y424" s="18"/>
      <c r="Z424" s="18"/>
    </row>
    <row r="425">
      <c r="A425" s="18"/>
      <c r="B425" s="80"/>
      <c r="C425" s="18"/>
      <c r="D425" s="80"/>
      <c r="E425" s="80"/>
      <c r="F425" s="134"/>
      <c r="G425" s="18"/>
      <c r="H425" s="18"/>
      <c r="I425" s="18"/>
      <c r="J425" s="18"/>
      <c r="K425" s="18"/>
      <c r="L425" s="18"/>
      <c r="M425" s="18"/>
      <c r="N425" s="18"/>
      <c r="O425" s="18"/>
      <c r="P425" s="18"/>
      <c r="Q425" s="18"/>
      <c r="R425" s="18"/>
      <c r="S425" s="18"/>
      <c r="T425" s="18"/>
      <c r="U425" s="18"/>
      <c r="V425" s="18"/>
      <c r="W425" s="18"/>
      <c r="X425" s="18"/>
      <c r="Y425" s="18"/>
      <c r="Z425" s="18"/>
    </row>
    <row r="426">
      <c r="A426" s="18"/>
      <c r="B426" s="80"/>
      <c r="C426" s="18"/>
      <c r="D426" s="80"/>
      <c r="E426" s="80"/>
      <c r="F426" s="134"/>
      <c r="G426" s="18"/>
      <c r="H426" s="18"/>
      <c r="I426" s="18"/>
      <c r="J426" s="18"/>
      <c r="K426" s="18"/>
      <c r="L426" s="18"/>
      <c r="M426" s="18"/>
      <c r="N426" s="18"/>
      <c r="O426" s="18"/>
      <c r="P426" s="18"/>
      <c r="Q426" s="18"/>
      <c r="R426" s="18"/>
      <c r="S426" s="18"/>
      <c r="T426" s="18"/>
      <c r="U426" s="18"/>
      <c r="V426" s="18"/>
      <c r="W426" s="18"/>
      <c r="X426" s="18"/>
      <c r="Y426" s="18"/>
      <c r="Z426" s="18"/>
    </row>
    <row r="427">
      <c r="A427" s="18"/>
      <c r="B427" s="80"/>
      <c r="C427" s="18"/>
      <c r="D427" s="80"/>
      <c r="E427" s="80"/>
      <c r="F427" s="134"/>
      <c r="G427" s="18"/>
      <c r="H427" s="18"/>
      <c r="I427" s="18"/>
      <c r="J427" s="18"/>
      <c r="K427" s="18"/>
      <c r="L427" s="18"/>
      <c r="M427" s="18"/>
      <c r="N427" s="18"/>
      <c r="O427" s="18"/>
      <c r="P427" s="18"/>
      <c r="Q427" s="18"/>
      <c r="R427" s="18"/>
      <c r="S427" s="18"/>
      <c r="T427" s="18"/>
      <c r="U427" s="18"/>
      <c r="V427" s="18"/>
      <c r="W427" s="18"/>
      <c r="X427" s="18"/>
      <c r="Y427" s="18"/>
      <c r="Z427" s="18"/>
    </row>
    <row r="428">
      <c r="A428" s="18"/>
      <c r="B428" s="80"/>
      <c r="C428" s="18"/>
      <c r="D428" s="80"/>
      <c r="E428" s="80"/>
      <c r="F428" s="134"/>
      <c r="G428" s="18"/>
      <c r="H428" s="18"/>
      <c r="I428" s="18"/>
      <c r="J428" s="18"/>
      <c r="K428" s="18"/>
      <c r="L428" s="18"/>
      <c r="M428" s="18"/>
      <c r="N428" s="18"/>
      <c r="O428" s="18"/>
      <c r="P428" s="18"/>
      <c r="Q428" s="18"/>
      <c r="R428" s="18"/>
      <c r="S428" s="18"/>
      <c r="T428" s="18"/>
      <c r="U428" s="18"/>
      <c r="V428" s="18"/>
      <c r="W428" s="18"/>
      <c r="X428" s="18"/>
      <c r="Y428" s="18"/>
      <c r="Z428" s="18"/>
    </row>
    <row r="429">
      <c r="A429" s="18"/>
      <c r="B429" s="80"/>
      <c r="C429" s="18"/>
      <c r="D429" s="80"/>
      <c r="E429" s="80"/>
      <c r="F429" s="134"/>
      <c r="G429" s="18"/>
      <c r="H429" s="18"/>
      <c r="I429" s="18"/>
      <c r="J429" s="18"/>
      <c r="K429" s="18"/>
      <c r="L429" s="18"/>
      <c r="M429" s="18"/>
      <c r="N429" s="18"/>
      <c r="O429" s="18"/>
      <c r="P429" s="18"/>
      <c r="Q429" s="18"/>
      <c r="R429" s="18"/>
      <c r="S429" s="18"/>
      <c r="T429" s="18"/>
      <c r="U429" s="18"/>
      <c r="V429" s="18"/>
      <c r="W429" s="18"/>
      <c r="X429" s="18"/>
      <c r="Y429" s="18"/>
      <c r="Z429" s="18"/>
    </row>
    <row r="430">
      <c r="A430" s="18"/>
      <c r="B430" s="80"/>
      <c r="C430" s="18"/>
      <c r="D430" s="80"/>
      <c r="E430" s="80"/>
      <c r="F430" s="134"/>
      <c r="G430" s="18"/>
      <c r="H430" s="18"/>
      <c r="I430" s="18"/>
      <c r="J430" s="18"/>
      <c r="K430" s="18"/>
      <c r="L430" s="18"/>
      <c r="M430" s="18"/>
      <c r="N430" s="18"/>
      <c r="O430" s="18"/>
      <c r="P430" s="18"/>
      <c r="Q430" s="18"/>
      <c r="R430" s="18"/>
      <c r="S430" s="18"/>
      <c r="T430" s="18"/>
      <c r="U430" s="18"/>
      <c r="V430" s="18"/>
      <c r="W430" s="18"/>
      <c r="X430" s="18"/>
      <c r="Y430" s="18"/>
      <c r="Z430" s="18"/>
    </row>
    <row r="431">
      <c r="A431" s="18"/>
      <c r="B431" s="80"/>
      <c r="C431" s="18"/>
      <c r="D431" s="80"/>
      <c r="E431" s="80"/>
      <c r="F431" s="134"/>
      <c r="G431" s="18"/>
      <c r="H431" s="18"/>
      <c r="I431" s="18"/>
      <c r="J431" s="18"/>
      <c r="K431" s="18"/>
      <c r="L431" s="18"/>
      <c r="M431" s="18"/>
      <c r="N431" s="18"/>
      <c r="O431" s="18"/>
      <c r="P431" s="18"/>
      <c r="Q431" s="18"/>
      <c r="R431" s="18"/>
      <c r="S431" s="18"/>
      <c r="T431" s="18"/>
      <c r="U431" s="18"/>
      <c r="V431" s="18"/>
      <c r="W431" s="18"/>
      <c r="X431" s="18"/>
      <c r="Y431" s="18"/>
      <c r="Z431" s="18"/>
    </row>
    <row r="432">
      <c r="A432" s="18"/>
      <c r="B432" s="80"/>
      <c r="C432" s="18"/>
      <c r="D432" s="80"/>
      <c r="E432" s="80"/>
      <c r="F432" s="134"/>
      <c r="G432" s="18"/>
      <c r="H432" s="18"/>
      <c r="I432" s="18"/>
      <c r="J432" s="18"/>
      <c r="K432" s="18"/>
      <c r="L432" s="18"/>
      <c r="M432" s="18"/>
      <c r="N432" s="18"/>
      <c r="O432" s="18"/>
      <c r="P432" s="18"/>
      <c r="Q432" s="18"/>
      <c r="R432" s="18"/>
      <c r="S432" s="18"/>
      <c r="T432" s="18"/>
      <c r="U432" s="18"/>
      <c r="V432" s="18"/>
      <c r="W432" s="18"/>
      <c r="X432" s="18"/>
      <c r="Y432" s="18"/>
      <c r="Z432" s="18"/>
    </row>
    <row r="433">
      <c r="A433" s="18"/>
      <c r="B433" s="80"/>
      <c r="C433" s="18"/>
      <c r="D433" s="80"/>
      <c r="E433" s="80"/>
      <c r="F433" s="134"/>
      <c r="G433" s="18"/>
      <c r="H433" s="18"/>
      <c r="I433" s="18"/>
      <c r="J433" s="18"/>
      <c r="K433" s="18"/>
      <c r="L433" s="18"/>
      <c r="M433" s="18"/>
      <c r="N433" s="18"/>
      <c r="O433" s="18"/>
      <c r="P433" s="18"/>
      <c r="Q433" s="18"/>
      <c r="R433" s="18"/>
      <c r="S433" s="18"/>
      <c r="T433" s="18"/>
      <c r="U433" s="18"/>
      <c r="V433" s="18"/>
      <c r="W433" s="18"/>
      <c r="X433" s="18"/>
      <c r="Y433" s="18"/>
      <c r="Z433" s="18"/>
    </row>
    <row r="434">
      <c r="A434" s="18"/>
      <c r="B434" s="80"/>
      <c r="C434" s="18"/>
      <c r="D434" s="80"/>
      <c r="E434" s="80"/>
      <c r="F434" s="134"/>
      <c r="G434" s="18"/>
      <c r="H434" s="18"/>
      <c r="I434" s="18"/>
      <c r="J434" s="18"/>
      <c r="K434" s="18"/>
      <c r="L434" s="18"/>
      <c r="M434" s="18"/>
      <c r="N434" s="18"/>
      <c r="O434" s="18"/>
      <c r="P434" s="18"/>
      <c r="Q434" s="18"/>
      <c r="R434" s="18"/>
      <c r="S434" s="18"/>
      <c r="T434" s="18"/>
      <c r="U434" s="18"/>
      <c r="V434" s="18"/>
      <c r="W434" s="18"/>
      <c r="X434" s="18"/>
      <c r="Y434" s="18"/>
      <c r="Z434" s="18"/>
    </row>
    <row r="435">
      <c r="A435" s="18"/>
      <c r="B435" s="80"/>
      <c r="C435" s="18"/>
      <c r="D435" s="80"/>
      <c r="E435" s="80"/>
      <c r="F435" s="134"/>
      <c r="G435" s="18"/>
      <c r="H435" s="18"/>
      <c r="I435" s="18"/>
      <c r="J435" s="18"/>
      <c r="K435" s="18"/>
      <c r="L435" s="18"/>
      <c r="M435" s="18"/>
      <c r="N435" s="18"/>
      <c r="O435" s="18"/>
      <c r="P435" s="18"/>
      <c r="Q435" s="18"/>
      <c r="R435" s="18"/>
      <c r="S435" s="18"/>
      <c r="T435" s="18"/>
      <c r="U435" s="18"/>
      <c r="V435" s="18"/>
      <c r="W435" s="18"/>
      <c r="X435" s="18"/>
      <c r="Y435" s="18"/>
      <c r="Z435" s="18"/>
    </row>
    <row r="436">
      <c r="A436" s="18"/>
      <c r="B436" s="80"/>
      <c r="C436" s="18"/>
      <c r="D436" s="80"/>
      <c r="E436" s="80"/>
      <c r="F436" s="134"/>
      <c r="G436" s="18"/>
      <c r="H436" s="18"/>
      <c r="I436" s="18"/>
      <c r="J436" s="18"/>
      <c r="K436" s="18"/>
      <c r="L436" s="18"/>
      <c r="M436" s="18"/>
      <c r="N436" s="18"/>
      <c r="O436" s="18"/>
      <c r="P436" s="18"/>
      <c r="Q436" s="18"/>
      <c r="R436" s="18"/>
      <c r="S436" s="18"/>
      <c r="T436" s="18"/>
      <c r="U436" s="18"/>
      <c r="V436" s="18"/>
      <c r="W436" s="18"/>
      <c r="X436" s="18"/>
      <c r="Y436" s="18"/>
      <c r="Z436" s="18"/>
    </row>
    <row r="437">
      <c r="A437" s="18"/>
      <c r="B437" s="80"/>
      <c r="C437" s="18"/>
      <c r="D437" s="80"/>
      <c r="E437" s="80"/>
      <c r="F437" s="134"/>
      <c r="G437" s="18"/>
      <c r="H437" s="18"/>
      <c r="I437" s="18"/>
      <c r="J437" s="18"/>
      <c r="K437" s="18"/>
      <c r="L437" s="18"/>
      <c r="M437" s="18"/>
      <c r="N437" s="18"/>
      <c r="O437" s="18"/>
      <c r="P437" s="18"/>
      <c r="Q437" s="18"/>
      <c r="R437" s="18"/>
      <c r="S437" s="18"/>
      <c r="T437" s="18"/>
      <c r="U437" s="18"/>
      <c r="V437" s="18"/>
      <c r="W437" s="18"/>
      <c r="X437" s="18"/>
      <c r="Y437" s="18"/>
      <c r="Z437" s="18"/>
    </row>
    <row r="438">
      <c r="A438" s="18"/>
      <c r="B438" s="80"/>
      <c r="C438" s="18"/>
      <c r="D438" s="80"/>
      <c r="E438" s="80"/>
      <c r="F438" s="134"/>
      <c r="G438" s="18"/>
      <c r="H438" s="18"/>
      <c r="I438" s="18"/>
      <c r="J438" s="18"/>
      <c r="K438" s="18"/>
      <c r="L438" s="18"/>
      <c r="M438" s="18"/>
      <c r="N438" s="18"/>
      <c r="O438" s="18"/>
      <c r="P438" s="18"/>
      <c r="Q438" s="18"/>
      <c r="R438" s="18"/>
      <c r="S438" s="18"/>
      <c r="T438" s="18"/>
      <c r="U438" s="18"/>
      <c r="V438" s="18"/>
      <c r="W438" s="18"/>
      <c r="X438" s="18"/>
      <c r="Y438" s="18"/>
      <c r="Z438" s="18"/>
    </row>
    <row r="439">
      <c r="A439" s="18"/>
      <c r="B439" s="80"/>
      <c r="C439" s="18"/>
      <c r="D439" s="80"/>
      <c r="E439" s="80"/>
      <c r="F439" s="134"/>
      <c r="G439" s="18"/>
      <c r="H439" s="18"/>
      <c r="I439" s="18"/>
      <c r="J439" s="18"/>
      <c r="K439" s="18"/>
      <c r="L439" s="18"/>
      <c r="M439" s="18"/>
      <c r="N439" s="18"/>
      <c r="O439" s="18"/>
      <c r="P439" s="18"/>
      <c r="Q439" s="18"/>
      <c r="R439" s="18"/>
      <c r="S439" s="18"/>
      <c r="T439" s="18"/>
      <c r="U439" s="18"/>
      <c r="V439" s="18"/>
      <c r="W439" s="18"/>
      <c r="X439" s="18"/>
      <c r="Y439" s="18"/>
      <c r="Z439" s="18"/>
    </row>
    <row r="440">
      <c r="A440" s="18"/>
      <c r="B440" s="80"/>
      <c r="C440" s="18"/>
      <c r="D440" s="80"/>
      <c r="E440" s="80"/>
      <c r="F440" s="134"/>
      <c r="G440" s="18"/>
      <c r="H440" s="18"/>
      <c r="I440" s="18"/>
      <c r="J440" s="18"/>
      <c r="K440" s="18"/>
      <c r="L440" s="18"/>
      <c r="M440" s="18"/>
      <c r="N440" s="18"/>
      <c r="O440" s="18"/>
      <c r="P440" s="18"/>
      <c r="Q440" s="18"/>
      <c r="R440" s="18"/>
      <c r="S440" s="18"/>
      <c r="T440" s="18"/>
      <c r="U440" s="18"/>
      <c r="V440" s="18"/>
      <c r="W440" s="18"/>
      <c r="X440" s="18"/>
      <c r="Y440" s="18"/>
      <c r="Z440" s="18"/>
    </row>
    <row r="441">
      <c r="A441" s="18"/>
      <c r="B441" s="80"/>
      <c r="C441" s="18"/>
      <c r="D441" s="80"/>
      <c r="E441" s="80"/>
      <c r="F441" s="134"/>
      <c r="G441" s="18"/>
      <c r="H441" s="18"/>
      <c r="I441" s="18"/>
      <c r="J441" s="18"/>
      <c r="K441" s="18"/>
      <c r="L441" s="18"/>
      <c r="M441" s="18"/>
      <c r="N441" s="18"/>
      <c r="O441" s="18"/>
      <c r="P441" s="18"/>
      <c r="Q441" s="18"/>
      <c r="R441" s="18"/>
      <c r="S441" s="18"/>
      <c r="T441" s="18"/>
      <c r="U441" s="18"/>
      <c r="V441" s="18"/>
      <c r="W441" s="18"/>
      <c r="X441" s="18"/>
      <c r="Y441" s="18"/>
      <c r="Z441" s="18"/>
    </row>
    <row r="442">
      <c r="A442" s="18"/>
      <c r="B442" s="80"/>
      <c r="C442" s="18"/>
      <c r="D442" s="80"/>
      <c r="E442" s="80"/>
      <c r="F442" s="134"/>
      <c r="G442" s="18"/>
      <c r="H442" s="18"/>
      <c r="I442" s="18"/>
      <c r="J442" s="18"/>
      <c r="K442" s="18"/>
      <c r="L442" s="18"/>
      <c r="M442" s="18"/>
      <c r="N442" s="18"/>
      <c r="O442" s="18"/>
      <c r="P442" s="18"/>
      <c r="Q442" s="18"/>
      <c r="R442" s="18"/>
      <c r="S442" s="18"/>
      <c r="T442" s="18"/>
      <c r="U442" s="18"/>
      <c r="V442" s="18"/>
      <c r="W442" s="18"/>
      <c r="X442" s="18"/>
      <c r="Y442" s="18"/>
      <c r="Z442" s="18"/>
    </row>
    <row r="443">
      <c r="A443" s="18"/>
      <c r="B443" s="80"/>
      <c r="C443" s="18"/>
      <c r="D443" s="80"/>
      <c r="E443" s="80"/>
      <c r="F443" s="134"/>
      <c r="G443" s="18"/>
      <c r="H443" s="18"/>
      <c r="I443" s="18"/>
      <c r="J443" s="18"/>
      <c r="K443" s="18"/>
      <c r="L443" s="18"/>
      <c r="M443" s="18"/>
      <c r="N443" s="18"/>
      <c r="O443" s="18"/>
      <c r="P443" s="18"/>
      <c r="Q443" s="18"/>
      <c r="R443" s="18"/>
      <c r="S443" s="18"/>
      <c r="T443" s="18"/>
      <c r="U443" s="18"/>
      <c r="V443" s="18"/>
      <c r="W443" s="18"/>
      <c r="X443" s="18"/>
      <c r="Y443" s="18"/>
      <c r="Z443" s="18"/>
    </row>
    <row r="444">
      <c r="A444" s="18"/>
      <c r="B444" s="80"/>
      <c r="C444" s="18"/>
      <c r="D444" s="80"/>
      <c r="E444" s="80"/>
      <c r="F444" s="134"/>
      <c r="G444" s="18"/>
      <c r="H444" s="18"/>
      <c r="I444" s="18"/>
      <c r="J444" s="18"/>
      <c r="K444" s="18"/>
      <c r="L444" s="18"/>
      <c r="M444" s="18"/>
      <c r="N444" s="18"/>
      <c r="O444" s="18"/>
      <c r="P444" s="18"/>
      <c r="Q444" s="18"/>
      <c r="R444" s="18"/>
      <c r="S444" s="18"/>
      <c r="T444" s="18"/>
      <c r="U444" s="18"/>
      <c r="V444" s="18"/>
      <c r="W444" s="18"/>
      <c r="X444" s="18"/>
      <c r="Y444" s="18"/>
      <c r="Z444" s="18"/>
    </row>
    <row r="445">
      <c r="A445" s="18"/>
      <c r="B445" s="80"/>
      <c r="C445" s="18"/>
      <c r="D445" s="80"/>
      <c r="E445" s="80"/>
      <c r="F445" s="134"/>
      <c r="G445" s="18"/>
      <c r="H445" s="18"/>
      <c r="I445" s="18"/>
      <c r="J445" s="18"/>
      <c r="K445" s="18"/>
      <c r="L445" s="18"/>
      <c r="M445" s="18"/>
      <c r="N445" s="18"/>
      <c r="O445" s="18"/>
      <c r="P445" s="18"/>
      <c r="Q445" s="18"/>
      <c r="R445" s="18"/>
      <c r="S445" s="18"/>
      <c r="T445" s="18"/>
      <c r="U445" s="18"/>
      <c r="V445" s="18"/>
      <c r="W445" s="18"/>
      <c r="X445" s="18"/>
      <c r="Y445" s="18"/>
      <c r="Z445" s="18"/>
    </row>
    <row r="446">
      <c r="A446" s="18"/>
      <c r="B446" s="80"/>
      <c r="C446" s="18"/>
      <c r="D446" s="80"/>
      <c r="E446" s="80"/>
      <c r="F446" s="134"/>
      <c r="G446" s="18"/>
      <c r="H446" s="18"/>
      <c r="I446" s="18"/>
      <c r="J446" s="18"/>
      <c r="K446" s="18"/>
      <c r="L446" s="18"/>
      <c r="M446" s="18"/>
      <c r="N446" s="18"/>
      <c r="O446" s="18"/>
      <c r="P446" s="18"/>
      <c r="Q446" s="18"/>
      <c r="R446" s="18"/>
      <c r="S446" s="18"/>
      <c r="T446" s="18"/>
      <c r="U446" s="18"/>
      <c r="V446" s="18"/>
      <c r="W446" s="18"/>
      <c r="X446" s="18"/>
      <c r="Y446" s="18"/>
      <c r="Z446" s="18"/>
    </row>
    <row r="447">
      <c r="A447" s="18"/>
      <c r="B447" s="80"/>
      <c r="C447" s="18"/>
      <c r="D447" s="80"/>
      <c r="E447" s="80"/>
      <c r="F447" s="134"/>
      <c r="G447" s="18"/>
      <c r="H447" s="18"/>
      <c r="I447" s="18"/>
      <c r="J447" s="18"/>
      <c r="K447" s="18"/>
      <c r="L447" s="18"/>
      <c r="M447" s="18"/>
      <c r="N447" s="18"/>
      <c r="O447" s="18"/>
      <c r="P447" s="18"/>
      <c r="Q447" s="18"/>
      <c r="R447" s="18"/>
      <c r="S447" s="18"/>
      <c r="T447" s="18"/>
      <c r="U447" s="18"/>
      <c r="V447" s="18"/>
      <c r="W447" s="18"/>
      <c r="X447" s="18"/>
      <c r="Y447" s="18"/>
      <c r="Z447" s="18"/>
    </row>
    <row r="448">
      <c r="A448" s="18"/>
      <c r="B448" s="80"/>
      <c r="C448" s="18"/>
      <c r="D448" s="80"/>
      <c r="E448" s="80"/>
      <c r="F448" s="134"/>
      <c r="G448" s="18"/>
      <c r="H448" s="18"/>
      <c r="I448" s="18"/>
      <c r="J448" s="18"/>
      <c r="K448" s="18"/>
      <c r="L448" s="18"/>
      <c r="M448" s="18"/>
      <c r="N448" s="18"/>
      <c r="O448" s="18"/>
      <c r="P448" s="18"/>
      <c r="Q448" s="18"/>
      <c r="R448" s="18"/>
      <c r="S448" s="18"/>
      <c r="T448" s="18"/>
      <c r="U448" s="18"/>
      <c r="V448" s="18"/>
      <c r="W448" s="18"/>
      <c r="X448" s="18"/>
      <c r="Y448" s="18"/>
      <c r="Z448" s="18"/>
    </row>
    <row r="449">
      <c r="A449" s="18"/>
      <c r="B449" s="80"/>
      <c r="C449" s="18"/>
      <c r="D449" s="80"/>
      <c r="E449" s="80"/>
      <c r="F449" s="134"/>
      <c r="G449" s="18"/>
      <c r="H449" s="18"/>
      <c r="I449" s="18"/>
      <c r="J449" s="18"/>
      <c r="K449" s="18"/>
      <c r="L449" s="18"/>
      <c r="M449" s="18"/>
      <c r="N449" s="18"/>
      <c r="O449" s="18"/>
      <c r="P449" s="18"/>
      <c r="Q449" s="18"/>
      <c r="R449" s="18"/>
      <c r="S449" s="18"/>
      <c r="T449" s="18"/>
      <c r="U449" s="18"/>
      <c r="V449" s="18"/>
      <c r="W449" s="18"/>
      <c r="X449" s="18"/>
      <c r="Y449" s="18"/>
      <c r="Z449" s="18"/>
    </row>
    <row r="450">
      <c r="A450" s="18"/>
      <c r="B450" s="80"/>
      <c r="C450" s="18"/>
      <c r="D450" s="80"/>
      <c r="E450" s="80"/>
      <c r="F450" s="134"/>
      <c r="G450" s="18"/>
      <c r="H450" s="18"/>
      <c r="I450" s="18"/>
      <c r="J450" s="18"/>
      <c r="K450" s="18"/>
      <c r="L450" s="18"/>
      <c r="M450" s="18"/>
      <c r="N450" s="18"/>
      <c r="O450" s="18"/>
      <c r="P450" s="18"/>
      <c r="Q450" s="18"/>
      <c r="R450" s="18"/>
      <c r="S450" s="18"/>
      <c r="T450" s="18"/>
      <c r="U450" s="18"/>
      <c r="V450" s="18"/>
      <c r="W450" s="18"/>
      <c r="X450" s="18"/>
      <c r="Y450" s="18"/>
      <c r="Z450" s="18"/>
    </row>
    <row r="451">
      <c r="A451" s="18"/>
      <c r="B451" s="80"/>
      <c r="C451" s="18"/>
      <c r="D451" s="80"/>
      <c r="E451" s="80"/>
      <c r="F451" s="134"/>
      <c r="G451" s="18"/>
      <c r="H451" s="18"/>
      <c r="I451" s="18"/>
      <c r="J451" s="18"/>
      <c r="K451" s="18"/>
      <c r="L451" s="18"/>
      <c r="M451" s="18"/>
      <c r="N451" s="18"/>
      <c r="O451" s="18"/>
      <c r="P451" s="18"/>
      <c r="Q451" s="18"/>
      <c r="R451" s="18"/>
      <c r="S451" s="18"/>
      <c r="T451" s="18"/>
      <c r="U451" s="18"/>
      <c r="V451" s="18"/>
      <c r="W451" s="18"/>
      <c r="X451" s="18"/>
      <c r="Y451" s="18"/>
      <c r="Z451" s="18"/>
    </row>
    <row r="452">
      <c r="A452" s="18"/>
      <c r="B452" s="80"/>
      <c r="C452" s="18"/>
      <c r="D452" s="80"/>
      <c r="E452" s="80"/>
      <c r="F452" s="134"/>
      <c r="G452" s="18"/>
      <c r="H452" s="18"/>
      <c r="I452" s="18"/>
      <c r="J452" s="18"/>
      <c r="K452" s="18"/>
      <c r="L452" s="18"/>
      <c r="M452" s="18"/>
      <c r="N452" s="18"/>
      <c r="O452" s="18"/>
      <c r="P452" s="18"/>
      <c r="Q452" s="18"/>
      <c r="R452" s="18"/>
      <c r="S452" s="18"/>
      <c r="T452" s="18"/>
      <c r="U452" s="18"/>
      <c r="V452" s="18"/>
      <c r="W452" s="18"/>
      <c r="X452" s="18"/>
      <c r="Y452" s="18"/>
      <c r="Z452" s="18"/>
    </row>
    <row r="453">
      <c r="A453" s="18"/>
      <c r="B453" s="80"/>
      <c r="C453" s="18"/>
      <c r="D453" s="80"/>
      <c r="E453" s="80"/>
      <c r="F453" s="134"/>
      <c r="G453" s="18"/>
      <c r="H453" s="18"/>
      <c r="I453" s="18"/>
      <c r="J453" s="18"/>
      <c r="K453" s="18"/>
      <c r="L453" s="18"/>
      <c r="M453" s="18"/>
      <c r="N453" s="18"/>
      <c r="O453" s="18"/>
      <c r="P453" s="18"/>
      <c r="Q453" s="18"/>
      <c r="R453" s="18"/>
      <c r="S453" s="18"/>
      <c r="T453" s="18"/>
      <c r="U453" s="18"/>
      <c r="V453" s="18"/>
      <c r="W453" s="18"/>
      <c r="X453" s="18"/>
      <c r="Y453" s="18"/>
      <c r="Z453" s="18"/>
    </row>
    <row r="454">
      <c r="A454" s="18"/>
      <c r="B454" s="80"/>
      <c r="C454" s="18"/>
      <c r="D454" s="80"/>
      <c r="E454" s="80"/>
      <c r="F454" s="134"/>
      <c r="G454" s="18"/>
      <c r="H454" s="18"/>
      <c r="I454" s="18"/>
      <c r="J454" s="18"/>
      <c r="K454" s="18"/>
      <c r="L454" s="18"/>
      <c r="M454" s="18"/>
      <c r="N454" s="18"/>
      <c r="O454" s="18"/>
      <c r="P454" s="18"/>
      <c r="Q454" s="18"/>
      <c r="R454" s="18"/>
      <c r="S454" s="18"/>
      <c r="T454" s="18"/>
      <c r="U454" s="18"/>
      <c r="V454" s="18"/>
      <c r="W454" s="18"/>
      <c r="X454" s="18"/>
      <c r="Y454" s="18"/>
      <c r="Z454" s="18"/>
    </row>
    <row r="455">
      <c r="A455" s="18"/>
      <c r="B455" s="80"/>
      <c r="C455" s="18"/>
      <c r="D455" s="80"/>
      <c r="E455" s="80"/>
      <c r="F455" s="134"/>
      <c r="G455" s="18"/>
      <c r="H455" s="18"/>
      <c r="I455" s="18"/>
      <c r="J455" s="18"/>
      <c r="K455" s="18"/>
      <c r="L455" s="18"/>
      <c r="M455" s="18"/>
      <c r="N455" s="18"/>
      <c r="O455" s="18"/>
      <c r="P455" s="18"/>
      <c r="Q455" s="18"/>
      <c r="R455" s="18"/>
      <c r="S455" s="18"/>
      <c r="T455" s="18"/>
      <c r="U455" s="18"/>
      <c r="V455" s="18"/>
      <c r="W455" s="18"/>
      <c r="X455" s="18"/>
      <c r="Y455" s="18"/>
      <c r="Z455" s="18"/>
    </row>
    <row r="456">
      <c r="A456" s="18"/>
      <c r="B456" s="80"/>
      <c r="C456" s="18"/>
      <c r="D456" s="80"/>
      <c r="E456" s="80"/>
      <c r="F456" s="134"/>
      <c r="G456" s="18"/>
      <c r="H456" s="18"/>
      <c r="I456" s="18"/>
      <c r="J456" s="18"/>
      <c r="K456" s="18"/>
      <c r="L456" s="18"/>
      <c r="M456" s="18"/>
      <c r="N456" s="18"/>
      <c r="O456" s="18"/>
      <c r="P456" s="18"/>
      <c r="Q456" s="18"/>
      <c r="R456" s="18"/>
      <c r="S456" s="18"/>
      <c r="T456" s="18"/>
      <c r="U456" s="18"/>
      <c r="V456" s="18"/>
      <c r="W456" s="18"/>
      <c r="X456" s="18"/>
      <c r="Y456" s="18"/>
      <c r="Z456" s="18"/>
    </row>
    <row r="457">
      <c r="A457" s="18"/>
      <c r="B457" s="80"/>
      <c r="C457" s="18"/>
      <c r="D457" s="80"/>
      <c r="E457" s="80"/>
      <c r="F457" s="134"/>
      <c r="G457" s="18"/>
      <c r="H457" s="18"/>
      <c r="I457" s="18"/>
      <c r="J457" s="18"/>
      <c r="K457" s="18"/>
      <c r="L457" s="18"/>
      <c r="M457" s="18"/>
      <c r="N457" s="18"/>
      <c r="O457" s="18"/>
      <c r="P457" s="18"/>
      <c r="Q457" s="18"/>
      <c r="R457" s="18"/>
      <c r="S457" s="18"/>
      <c r="T457" s="18"/>
      <c r="U457" s="18"/>
      <c r="V457" s="18"/>
      <c r="W457" s="18"/>
      <c r="X457" s="18"/>
      <c r="Y457" s="18"/>
      <c r="Z457" s="18"/>
    </row>
    <row r="458">
      <c r="A458" s="18"/>
      <c r="B458" s="80"/>
      <c r="C458" s="18"/>
      <c r="D458" s="80"/>
      <c r="E458" s="80"/>
      <c r="F458" s="134"/>
      <c r="G458" s="18"/>
      <c r="H458" s="18"/>
      <c r="I458" s="18"/>
      <c r="J458" s="18"/>
      <c r="K458" s="18"/>
      <c r="L458" s="18"/>
      <c r="M458" s="18"/>
      <c r="N458" s="18"/>
      <c r="O458" s="18"/>
      <c r="P458" s="18"/>
      <c r="Q458" s="18"/>
      <c r="R458" s="18"/>
      <c r="S458" s="18"/>
      <c r="T458" s="18"/>
      <c r="U458" s="18"/>
      <c r="V458" s="18"/>
      <c r="W458" s="18"/>
      <c r="X458" s="18"/>
      <c r="Y458" s="18"/>
      <c r="Z458" s="18"/>
    </row>
    <row r="459">
      <c r="A459" s="18"/>
      <c r="B459" s="80"/>
      <c r="C459" s="18"/>
      <c r="D459" s="80"/>
      <c r="E459" s="80"/>
      <c r="F459" s="134"/>
      <c r="G459" s="18"/>
      <c r="H459" s="18"/>
      <c r="I459" s="18"/>
      <c r="J459" s="18"/>
      <c r="K459" s="18"/>
      <c r="L459" s="18"/>
      <c r="M459" s="18"/>
      <c r="N459" s="18"/>
      <c r="O459" s="18"/>
      <c r="P459" s="18"/>
      <c r="Q459" s="18"/>
      <c r="R459" s="18"/>
      <c r="S459" s="18"/>
      <c r="T459" s="18"/>
      <c r="U459" s="18"/>
      <c r="V459" s="18"/>
      <c r="W459" s="18"/>
      <c r="X459" s="18"/>
      <c r="Y459" s="18"/>
      <c r="Z459" s="18"/>
    </row>
    <row r="460">
      <c r="A460" s="18"/>
      <c r="B460" s="80"/>
      <c r="C460" s="18"/>
      <c r="D460" s="80"/>
      <c r="E460" s="80"/>
      <c r="F460" s="134"/>
      <c r="G460" s="18"/>
      <c r="H460" s="18"/>
      <c r="I460" s="18"/>
      <c r="J460" s="18"/>
      <c r="K460" s="18"/>
      <c r="L460" s="18"/>
      <c r="M460" s="18"/>
      <c r="N460" s="18"/>
      <c r="O460" s="18"/>
      <c r="P460" s="18"/>
      <c r="Q460" s="18"/>
      <c r="R460" s="18"/>
      <c r="S460" s="18"/>
      <c r="T460" s="18"/>
      <c r="U460" s="18"/>
      <c r="V460" s="18"/>
      <c r="W460" s="18"/>
      <c r="X460" s="18"/>
      <c r="Y460" s="18"/>
      <c r="Z460" s="18"/>
    </row>
    <row r="461">
      <c r="A461" s="18"/>
      <c r="B461" s="80"/>
      <c r="C461" s="18"/>
      <c r="D461" s="80"/>
      <c r="E461" s="80"/>
      <c r="F461" s="134"/>
      <c r="G461" s="18"/>
      <c r="H461" s="18"/>
      <c r="I461" s="18"/>
      <c r="J461" s="18"/>
      <c r="K461" s="18"/>
      <c r="L461" s="18"/>
      <c r="M461" s="18"/>
      <c r="N461" s="18"/>
      <c r="O461" s="18"/>
      <c r="P461" s="18"/>
      <c r="Q461" s="18"/>
      <c r="R461" s="18"/>
      <c r="S461" s="18"/>
      <c r="T461" s="18"/>
      <c r="U461" s="18"/>
      <c r="V461" s="18"/>
      <c r="W461" s="18"/>
      <c r="X461" s="18"/>
      <c r="Y461" s="18"/>
      <c r="Z461" s="18"/>
    </row>
    <row r="462">
      <c r="A462" s="18"/>
      <c r="B462" s="80"/>
      <c r="C462" s="18"/>
      <c r="D462" s="80"/>
      <c r="E462" s="80"/>
      <c r="F462" s="134"/>
      <c r="G462" s="18"/>
      <c r="H462" s="18"/>
      <c r="I462" s="18"/>
      <c r="J462" s="18"/>
      <c r="K462" s="18"/>
      <c r="L462" s="18"/>
      <c r="M462" s="18"/>
      <c r="N462" s="18"/>
      <c r="O462" s="18"/>
      <c r="P462" s="18"/>
      <c r="Q462" s="18"/>
      <c r="R462" s="18"/>
      <c r="S462" s="18"/>
      <c r="T462" s="18"/>
      <c r="U462" s="18"/>
      <c r="V462" s="18"/>
      <c r="W462" s="18"/>
      <c r="X462" s="18"/>
      <c r="Y462" s="18"/>
      <c r="Z462" s="18"/>
    </row>
    <row r="463">
      <c r="A463" s="18"/>
      <c r="B463" s="80"/>
      <c r="C463" s="18"/>
      <c r="D463" s="80"/>
      <c r="E463" s="80"/>
      <c r="F463" s="134"/>
      <c r="G463" s="18"/>
      <c r="H463" s="18"/>
      <c r="I463" s="18"/>
      <c r="J463" s="18"/>
      <c r="K463" s="18"/>
      <c r="L463" s="18"/>
      <c r="M463" s="18"/>
      <c r="N463" s="18"/>
      <c r="O463" s="18"/>
      <c r="P463" s="18"/>
      <c r="Q463" s="18"/>
      <c r="R463" s="18"/>
      <c r="S463" s="18"/>
      <c r="T463" s="18"/>
      <c r="U463" s="18"/>
      <c r="V463" s="18"/>
      <c r="W463" s="18"/>
      <c r="X463" s="18"/>
      <c r="Y463" s="18"/>
      <c r="Z463" s="18"/>
    </row>
    <row r="464">
      <c r="A464" s="18"/>
      <c r="B464" s="80"/>
      <c r="C464" s="18"/>
      <c r="D464" s="80"/>
      <c r="E464" s="80"/>
      <c r="F464" s="134"/>
      <c r="G464" s="18"/>
      <c r="H464" s="18"/>
      <c r="I464" s="18"/>
      <c r="J464" s="18"/>
      <c r="K464" s="18"/>
      <c r="L464" s="18"/>
      <c r="M464" s="18"/>
      <c r="N464" s="18"/>
      <c r="O464" s="18"/>
      <c r="P464" s="18"/>
      <c r="Q464" s="18"/>
      <c r="R464" s="18"/>
      <c r="S464" s="18"/>
      <c r="T464" s="18"/>
      <c r="U464" s="18"/>
      <c r="V464" s="18"/>
      <c r="W464" s="18"/>
      <c r="X464" s="18"/>
      <c r="Y464" s="18"/>
      <c r="Z464" s="18"/>
    </row>
    <row r="465">
      <c r="A465" s="18"/>
      <c r="B465" s="80"/>
      <c r="C465" s="18"/>
      <c r="D465" s="80"/>
      <c r="E465" s="80"/>
      <c r="F465" s="134"/>
      <c r="G465" s="18"/>
      <c r="H465" s="18"/>
      <c r="I465" s="18"/>
      <c r="J465" s="18"/>
      <c r="K465" s="18"/>
      <c r="L465" s="18"/>
      <c r="M465" s="18"/>
      <c r="N465" s="18"/>
      <c r="O465" s="18"/>
      <c r="P465" s="18"/>
      <c r="Q465" s="18"/>
      <c r="R465" s="18"/>
      <c r="S465" s="18"/>
      <c r="T465" s="18"/>
      <c r="U465" s="18"/>
      <c r="V465" s="18"/>
      <c r="W465" s="18"/>
      <c r="X465" s="18"/>
      <c r="Y465" s="18"/>
      <c r="Z465" s="18"/>
    </row>
    <row r="466">
      <c r="A466" s="18"/>
      <c r="B466" s="80"/>
      <c r="C466" s="18"/>
      <c r="D466" s="80"/>
      <c r="E466" s="80"/>
      <c r="F466" s="134"/>
      <c r="G466" s="18"/>
      <c r="H466" s="18"/>
      <c r="I466" s="18"/>
      <c r="J466" s="18"/>
      <c r="K466" s="18"/>
      <c r="L466" s="18"/>
      <c r="M466" s="18"/>
      <c r="N466" s="18"/>
      <c r="O466" s="18"/>
      <c r="P466" s="18"/>
      <c r="Q466" s="18"/>
      <c r="R466" s="18"/>
      <c r="S466" s="18"/>
      <c r="T466" s="18"/>
      <c r="U466" s="18"/>
      <c r="V466" s="18"/>
      <c r="W466" s="18"/>
      <c r="X466" s="18"/>
      <c r="Y466" s="18"/>
      <c r="Z466" s="18"/>
    </row>
    <row r="467">
      <c r="A467" s="18"/>
      <c r="B467" s="80"/>
      <c r="C467" s="18"/>
      <c r="D467" s="80"/>
      <c r="E467" s="80"/>
      <c r="F467" s="134"/>
      <c r="G467" s="18"/>
      <c r="H467" s="18"/>
      <c r="I467" s="18"/>
      <c r="J467" s="18"/>
      <c r="K467" s="18"/>
      <c r="L467" s="18"/>
      <c r="M467" s="18"/>
      <c r="N467" s="18"/>
      <c r="O467" s="18"/>
      <c r="P467" s="18"/>
      <c r="Q467" s="18"/>
      <c r="R467" s="18"/>
      <c r="S467" s="18"/>
      <c r="T467" s="18"/>
      <c r="U467" s="18"/>
      <c r="V467" s="18"/>
      <c r="W467" s="18"/>
      <c r="X467" s="18"/>
      <c r="Y467" s="18"/>
      <c r="Z467" s="18"/>
    </row>
    <row r="468">
      <c r="A468" s="18"/>
      <c r="B468" s="80"/>
      <c r="C468" s="18"/>
      <c r="D468" s="80"/>
      <c r="E468" s="80"/>
      <c r="F468" s="134"/>
      <c r="G468" s="18"/>
      <c r="H468" s="18"/>
      <c r="I468" s="18"/>
      <c r="J468" s="18"/>
      <c r="K468" s="18"/>
      <c r="L468" s="18"/>
      <c r="M468" s="18"/>
      <c r="N468" s="18"/>
      <c r="O468" s="18"/>
      <c r="P468" s="18"/>
      <c r="Q468" s="18"/>
      <c r="R468" s="18"/>
      <c r="S468" s="18"/>
      <c r="T468" s="18"/>
      <c r="U468" s="18"/>
      <c r="V468" s="18"/>
      <c r="W468" s="18"/>
      <c r="X468" s="18"/>
      <c r="Y468" s="18"/>
      <c r="Z468" s="18"/>
    </row>
    <row r="469">
      <c r="A469" s="18"/>
      <c r="B469" s="80"/>
      <c r="C469" s="18"/>
      <c r="D469" s="80"/>
      <c r="E469" s="80"/>
      <c r="F469" s="134"/>
      <c r="G469" s="18"/>
      <c r="H469" s="18"/>
      <c r="I469" s="18"/>
      <c r="J469" s="18"/>
      <c r="K469" s="18"/>
      <c r="L469" s="18"/>
      <c r="M469" s="18"/>
      <c r="N469" s="18"/>
      <c r="O469" s="18"/>
      <c r="P469" s="18"/>
      <c r="Q469" s="18"/>
      <c r="R469" s="18"/>
      <c r="S469" s="18"/>
      <c r="T469" s="18"/>
      <c r="U469" s="18"/>
      <c r="V469" s="18"/>
      <c r="W469" s="18"/>
      <c r="X469" s="18"/>
      <c r="Y469" s="18"/>
      <c r="Z469" s="18"/>
    </row>
    <row r="470">
      <c r="A470" s="18"/>
      <c r="B470" s="80"/>
      <c r="C470" s="18"/>
      <c r="D470" s="80"/>
      <c r="E470" s="80"/>
      <c r="F470" s="134"/>
      <c r="G470" s="18"/>
      <c r="H470" s="18"/>
      <c r="I470" s="18"/>
      <c r="J470" s="18"/>
      <c r="K470" s="18"/>
      <c r="L470" s="18"/>
      <c r="M470" s="18"/>
      <c r="N470" s="18"/>
      <c r="O470" s="18"/>
      <c r="P470" s="18"/>
      <c r="Q470" s="18"/>
      <c r="R470" s="18"/>
      <c r="S470" s="18"/>
      <c r="T470" s="18"/>
      <c r="U470" s="18"/>
      <c r="V470" s="18"/>
      <c r="W470" s="18"/>
      <c r="X470" s="18"/>
      <c r="Y470" s="18"/>
      <c r="Z470" s="18"/>
    </row>
    <row r="471">
      <c r="A471" s="18"/>
      <c r="B471" s="80"/>
      <c r="C471" s="18"/>
      <c r="D471" s="80"/>
      <c r="E471" s="80"/>
      <c r="F471" s="134"/>
      <c r="G471" s="18"/>
      <c r="H471" s="18"/>
      <c r="I471" s="18"/>
      <c r="J471" s="18"/>
      <c r="K471" s="18"/>
      <c r="L471" s="18"/>
      <c r="M471" s="18"/>
      <c r="N471" s="18"/>
      <c r="O471" s="18"/>
      <c r="P471" s="18"/>
      <c r="Q471" s="18"/>
      <c r="R471" s="18"/>
      <c r="S471" s="18"/>
      <c r="T471" s="18"/>
      <c r="U471" s="18"/>
      <c r="V471" s="18"/>
      <c r="W471" s="18"/>
      <c r="X471" s="18"/>
      <c r="Y471" s="18"/>
      <c r="Z471" s="18"/>
    </row>
    <row r="472">
      <c r="A472" s="18"/>
      <c r="B472" s="80"/>
      <c r="C472" s="18"/>
      <c r="D472" s="80"/>
      <c r="E472" s="80"/>
      <c r="F472" s="134"/>
      <c r="G472" s="18"/>
      <c r="H472" s="18"/>
      <c r="I472" s="18"/>
      <c r="J472" s="18"/>
      <c r="K472" s="18"/>
      <c r="L472" s="18"/>
      <c r="M472" s="18"/>
      <c r="N472" s="18"/>
      <c r="O472" s="18"/>
      <c r="P472" s="18"/>
      <c r="Q472" s="18"/>
      <c r="R472" s="18"/>
      <c r="S472" s="18"/>
      <c r="T472" s="18"/>
      <c r="U472" s="18"/>
      <c r="V472" s="18"/>
      <c r="W472" s="18"/>
      <c r="X472" s="18"/>
      <c r="Y472" s="18"/>
      <c r="Z472" s="18"/>
    </row>
    <row r="473">
      <c r="A473" s="18"/>
      <c r="B473" s="80"/>
      <c r="C473" s="18"/>
      <c r="D473" s="80"/>
      <c r="E473" s="80"/>
      <c r="F473" s="134"/>
      <c r="G473" s="18"/>
      <c r="H473" s="18"/>
      <c r="I473" s="18"/>
      <c r="J473" s="18"/>
      <c r="K473" s="18"/>
      <c r="L473" s="18"/>
      <c r="M473" s="18"/>
      <c r="N473" s="18"/>
      <c r="O473" s="18"/>
      <c r="P473" s="18"/>
      <c r="Q473" s="18"/>
      <c r="R473" s="18"/>
      <c r="S473" s="18"/>
      <c r="T473" s="18"/>
      <c r="U473" s="18"/>
      <c r="V473" s="18"/>
      <c r="W473" s="18"/>
      <c r="X473" s="18"/>
      <c r="Y473" s="18"/>
      <c r="Z473" s="18"/>
    </row>
    <row r="474">
      <c r="A474" s="18"/>
      <c r="B474" s="80"/>
      <c r="C474" s="18"/>
      <c r="D474" s="80"/>
      <c r="E474" s="80"/>
      <c r="F474" s="134"/>
      <c r="G474" s="18"/>
      <c r="H474" s="18"/>
      <c r="I474" s="18"/>
      <c r="J474" s="18"/>
      <c r="K474" s="18"/>
      <c r="L474" s="18"/>
      <c r="M474" s="18"/>
      <c r="N474" s="18"/>
      <c r="O474" s="18"/>
      <c r="P474" s="18"/>
      <c r="Q474" s="18"/>
      <c r="R474" s="18"/>
      <c r="S474" s="18"/>
      <c r="T474" s="18"/>
      <c r="U474" s="18"/>
      <c r="V474" s="18"/>
      <c r="W474" s="18"/>
      <c r="X474" s="18"/>
      <c r="Y474" s="18"/>
      <c r="Z474" s="18"/>
    </row>
    <row r="475">
      <c r="A475" s="18"/>
      <c r="B475" s="80"/>
      <c r="C475" s="18"/>
      <c r="D475" s="80"/>
      <c r="E475" s="80"/>
      <c r="F475" s="134"/>
      <c r="G475" s="18"/>
      <c r="H475" s="18"/>
      <c r="I475" s="18"/>
      <c r="J475" s="18"/>
      <c r="K475" s="18"/>
      <c r="L475" s="18"/>
      <c r="M475" s="18"/>
      <c r="N475" s="18"/>
      <c r="O475" s="18"/>
      <c r="P475" s="18"/>
      <c r="Q475" s="18"/>
      <c r="R475" s="18"/>
      <c r="S475" s="18"/>
      <c r="T475" s="18"/>
      <c r="U475" s="18"/>
      <c r="V475" s="18"/>
      <c r="W475" s="18"/>
      <c r="X475" s="18"/>
      <c r="Y475" s="18"/>
      <c r="Z475" s="18"/>
    </row>
    <row r="476">
      <c r="A476" s="18"/>
      <c r="B476" s="80"/>
      <c r="C476" s="18"/>
      <c r="D476" s="80"/>
      <c r="E476" s="80"/>
      <c r="F476" s="134"/>
      <c r="G476" s="18"/>
      <c r="H476" s="18"/>
      <c r="I476" s="18"/>
      <c r="J476" s="18"/>
      <c r="K476" s="18"/>
      <c r="L476" s="18"/>
      <c r="M476" s="18"/>
      <c r="N476" s="18"/>
      <c r="O476" s="18"/>
      <c r="P476" s="18"/>
      <c r="Q476" s="18"/>
      <c r="R476" s="18"/>
      <c r="S476" s="18"/>
      <c r="T476" s="18"/>
      <c r="U476" s="18"/>
      <c r="V476" s="18"/>
      <c r="W476" s="18"/>
      <c r="X476" s="18"/>
      <c r="Y476" s="18"/>
      <c r="Z476" s="18"/>
    </row>
    <row r="477">
      <c r="A477" s="18"/>
      <c r="B477" s="80"/>
      <c r="C477" s="18"/>
      <c r="D477" s="80"/>
      <c r="E477" s="80"/>
      <c r="F477" s="134"/>
      <c r="G477" s="18"/>
      <c r="H477" s="18"/>
      <c r="I477" s="18"/>
      <c r="J477" s="18"/>
      <c r="K477" s="18"/>
      <c r="L477" s="18"/>
      <c r="M477" s="18"/>
      <c r="N477" s="18"/>
      <c r="O477" s="18"/>
      <c r="P477" s="18"/>
      <c r="Q477" s="18"/>
      <c r="R477" s="18"/>
      <c r="S477" s="18"/>
      <c r="T477" s="18"/>
      <c r="U477" s="18"/>
      <c r="V477" s="18"/>
      <c r="W477" s="18"/>
      <c r="X477" s="18"/>
      <c r="Y477" s="18"/>
      <c r="Z477" s="18"/>
    </row>
    <row r="478">
      <c r="A478" s="18"/>
      <c r="B478" s="80"/>
      <c r="C478" s="18"/>
      <c r="D478" s="80"/>
      <c r="E478" s="80"/>
      <c r="F478" s="134"/>
      <c r="G478" s="18"/>
      <c r="H478" s="18"/>
      <c r="I478" s="18"/>
      <c r="J478" s="18"/>
      <c r="K478" s="18"/>
      <c r="L478" s="18"/>
      <c r="M478" s="18"/>
      <c r="N478" s="18"/>
      <c r="O478" s="18"/>
      <c r="P478" s="18"/>
      <c r="Q478" s="18"/>
      <c r="R478" s="18"/>
      <c r="S478" s="18"/>
      <c r="T478" s="18"/>
      <c r="U478" s="18"/>
      <c r="V478" s="18"/>
      <c r="W478" s="18"/>
      <c r="X478" s="18"/>
      <c r="Y478" s="18"/>
      <c r="Z478" s="18"/>
    </row>
    <row r="479">
      <c r="A479" s="18"/>
      <c r="B479" s="80"/>
      <c r="C479" s="18"/>
      <c r="D479" s="80"/>
      <c r="E479" s="80"/>
      <c r="F479" s="134"/>
      <c r="G479" s="18"/>
      <c r="H479" s="18"/>
      <c r="I479" s="18"/>
      <c r="J479" s="18"/>
      <c r="K479" s="18"/>
      <c r="L479" s="18"/>
      <c r="M479" s="18"/>
      <c r="N479" s="18"/>
      <c r="O479" s="18"/>
      <c r="P479" s="18"/>
      <c r="Q479" s="18"/>
      <c r="R479" s="18"/>
      <c r="S479" s="18"/>
      <c r="T479" s="18"/>
      <c r="U479" s="18"/>
      <c r="V479" s="18"/>
      <c r="W479" s="18"/>
      <c r="X479" s="18"/>
      <c r="Y479" s="18"/>
      <c r="Z479" s="18"/>
    </row>
    <row r="480">
      <c r="A480" s="18"/>
      <c r="B480" s="80"/>
      <c r="C480" s="18"/>
      <c r="D480" s="80"/>
      <c r="E480" s="80"/>
      <c r="F480" s="134"/>
      <c r="G480" s="18"/>
      <c r="H480" s="18"/>
      <c r="I480" s="18"/>
      <c r="J480" s="18"/>
      <c r="K480" s="18"/>
      <c r="L480" s="18"/>
      <c r="M480" s="18"/>
      <c r="N480" s="18"/>
      <c r="O480" s="18"/>
      <c r="P480" s="18"/>
      <c r="Q480" s="18"/>
      <c r="R480" s="18"/>
      <c r="S480" s="18"/>
      <c r="T480" s="18"/>
      <c r="U480" s="18"/>
      <c r="V480" s="18"/>
      <c r="W480" s="18"/>
      <c r="X480" s="18"/>
      <c r="Y480" s="18"/>
      <c r="Z480" s="18"/>
    </row>
    <row r="481">
      <c r="A481" s="18"/>
      <c r="B481" s="80"/>
      <c r="C481" s="18"/>
      <c r="D481" s="80"/>
      <c r="E481" s="80"/>
      <c r="F481" s="134"/>
      <c r="G481" s="18"/>
      <c r="H481" s="18"/>
      <c r="I481" s="18"/>
      <c r="J481" s="18"/>
      <c r="K481" s="18"/>
      <c r="L481" s="18"/>
      <c r="M481" s="18"/>
      <c r="N481" s="18"/>
      <c r="O481" s="18"/>
      <c r="P481" s="18"/>
      <c r="Q481" s="18"/>
      <c r="R481" s="18"/>
      <c r="S481" s="18"/>
      <c r="T481" s="18"/>
      <c r="U481" s="18"/>
      <c r="V481" s="18"/>
      <c r="W481" s="18"/>
      <c r="X481" s="18"/>
      <c r="Y481" s="18"/>
      <c r="Z481" s="18"/>
    </row>
    <row r="482">
      <c r="A482" s="18"/>
      <c r="B482" s="80"/>
      <c r="C482" s="18"/>
      <c r="D482" s="80"/>
      <c r="E482" s="80"/>
      <c r="F482" s="134"/>
      <c r="G482" s="18"/>
      <c r="H482" s="18"/>
      <c r="I482" s="18"/>
      <c r="J482" s="18"/>
      <c r="K482" s="18"/>
      <c r="L482" s="18"/>
      <c r="M482" s="18"/>
      <c r="N482" s="18"/>
      <c r="O482" s="18"/>
      <c r="P482" s="18"/>
      <c r="Q482" s="18"/>
      <c r="R482" s="18"/>
      <c r="S482" s="18"/>
      <c r="T482" s="18"/>
      <c r="U482" s="18"/>
      <c r="V482" s="18"/>
      <c r="W482" s="18"/>
      <c r="X482" s="18"/>
      <c r="Y482" s="18"/>
      <c r="Z482" s="18"/>
    </row>
    <row r="483">
      <c r="A483" s="18"/>
      <c r="B483" s="80"/>
      <c r="C483" s="18"/>
      <c r="D483" s="80"/>
      <c r="E483" s="80"/>
      <c r="F483" s="134"/>
      <c r="G483" s="18"/>
      <c r="H483" s="18"/>
      <c r="I483" s="18"/>
      <c r="J483" s="18"/>
      <c r="K483" s="18"/>
      <c r="L483" s="18"/>
      <c r="M483" s="18"/>
      <c r="N483" s="18"/>
      <c r="O483" s="18"/>
      <c r="P483" s="18"/>
      <c r="Q483" s="18"/>
      <c r="R483" s="18"/>
      <c r="S483" s="18"/>
      <c r="T483" s="18"/>
      <c r="U483" s="18"/>
      <c r="V483" s="18"/>
      <c r="W483" s="18"/>
      <c r="X483" s="18"/>
      <c r="Y483" s="18"/>
      <c r="Z483" s="18"/>
    </row>
    <row r="484">
      <c r="A484" s="18"/>
      <c r="B484" s="80"/>
      <c r="C484" s="18"/>
      <c r="D484" s="80"/>
      <c r="E484" s="80"/>
      <c r="F484" s="134"/>
      <c r="G484" s="18"/>
      <c r="H484" s="18"/>
      <c r="I484" s="18"/>
      <c r="J484" s="18"/>
      <c r="K484" s="18"/>
      <c r="L484" s="18"/>
      <c r="M484" s="18"/>
      <c r="N484" s="18"/>
      <c r="O484" s="18"/>
      <c r="P484" s="18"/>
      <c r="Q484" s="18"/>
      <c r="R484" s="18"/>
      <c r="S484" s="18"/>
      <c r="T484" s="18"/>
      <c r="U484" s="18"/>
      <c r="V484" s="18"/>
      <c r="W484" s="18"/>
      <c r="X484" s="18"/>
      <c r="Y484" s="18"/>
      <c r="Z484" s="18"/>
    </row>
    <row r="485">
      <c r="A485" s="18"/>
      <c r="B485" s="80"/>
      <c r="C485" s="18"/>
      <c r="D485" s="80"/>
      <c r="E485" s="80"/>
      <c r="F485" s="134"/>
      <c r="G485" s="18"/>
      <c r="H485" s="18"/>
      <c r="I485" s="18"/>
      <c r="J485" s="18"/>
      <c r="K485" s="18"/>
      <c r="L485" s="18"/>
      <c r="M485" s="18"/>
      <c r="N485" s="18"/>
      <c r="O485" s="18"/>
      <c r="P485" s="18"/>
      <c r="Q485" s="18"/>
      <c r="R485" s="18"/>
      <c r="S485" s="18"/>
      <c r="T485" s="18"/>
      <c r="U485" s="18"/>
      <c r="V485" s="18"/>
      <c r="W485" s="18"/>
      <c r="X485" s="18"/>
      <c r="Y485" s="18"/>
      <c r="Z485" s="18"/>
    </row>
    <row r="486">
      <c r="A486" s="18"/>
      <c r="B486" s="80"/>
      <c r="C486" s="18"/>
      <c r="D486" s="80"/>
      <c r="E486" s="80"/>
      <c r="F486" s="134"/>
      <c r="G486" s="18"/>
      <c r="H486" s="18"/>
      <c r="I486" s="18"/>
      <c r="J486" s="18"/>
      <c r="K486" s="18"/>
      <c r="L486" s="18"/>
      <c r="M486" s="18"/>
      <c r="N486" s="18"/>
      <c r="O486" s="18"/>
      <c r="P486" s="18"/>
      <c r="Q486" s="18"/>
      <c r="R486" s="18"/>
      <c r="S486" s="18"/>
      <c r="T486" s="18"/>
      <c r="U486" s="18"/>
      <c r="V486" s="18"/>
      <c r="W486" s="18"/>
      <c r="X486" s="18"/>
      <c r="Y486" s="18"/>
      <c r="Z486" s="18"/>
    </row>
    <row r="487">
      <c r="A487" s="18"/>
      <c r="B487" s="80"/>
      <c r="C487" s="18"/>
      <c r="D487" s="80"/>
      <c r="E487" s="80"/>
      <c r="F487" s="134"/>
      <c r="G487" s="18"/>
      <c r="H487" s="18"/>
      <c r="I487" s="18"/>
      <c r="J487" s="18"/>
      <c r="K487" s="18"/>
      <c r="L487" s="18"/>
      <c r="M487" s="18"/>
      <c r="N487" s="18"/>
      <c r="O487" s="18"/>
      <c r="P487" s="18"/>
      <c r="Q487" s="18"/>
      <c r="R487" s="18"/>
      <c r="S487" s="18"/>
      <c r="T487" s="18"/>
      <c r="U487" s="18"/>
      <c r="V487" s="18"/>
      <c r="W487" s="18"/>
      <c r="X487" s="18"/>
      <c r="Y487" s="18"/>
      <c r="Z487" s="18"/>
    </row>
    <row r="488">
      <c r="A488" s="18"/>
      <c r="B488" s="80"/>
      <c r="C488" s="18"/>
      <c r="D488" s="80"/>
      <c r="E488" s="80"/>
      <c r="F488" s="134"/>
      <c r="G488" s="18"/>
      <c r="H488" s="18"/>
      <c r="I488" s="18"/>
      <c r="J488" s="18"/>
      <c r="K488" s="18"/>
      <c r="L488" s="18"/>
      <c r="M488" s="18"/>
      <c r="N488" s="18"/>
      <c r="O488" s="18"/>
      <c r="P488" s="18"/>
      <c r="Q488" s="18"/>
      <c r="R488" s="18"/>
      <c r="S488" s="18"/>
      <c r="T488" s="18"/>
      <c r="U488" s="18"/>
      <c r="V488" s="18"/>
      <c r="W488" s="18"/>
      <c r="X488" s="18"/>
      <c r="Y488" s="18"/>
      <c r="Z488" s="18"/>
    </row>
    <row r="489">
      <c r="A489" s="18"/>
      <c r="B489" s="80"/>
      <c r="C489" s="18"/>
      <c r="D489" s="80"/>
      <c r="E489" s="80"/>
      <c r="F489" s="134"/>
      <c r="G489" s="18"/>
      <c r="H489" s="18"/>
      <c r="I489" s="18"/>
      <c r="J489" s="18"/>
      <c r="K489" s="18"/>
      <c r="L489" s="18"/>
      <c r="M489" s="18"/>
      <c r="N489" s="18"/>
      <c r="O489" s="18"/>
      <c r="P489" s="18"/>
      <c r="Q489" s="18"/>
      <c r="R489" s="18"/>
      <c r="S489" s="18"/>
      <c r="T489" s="18"/>
      <c r="U489" s="18"/>
      <c r="V489" s="18"/>
      <c r="W489" s="18"/>
      <c r="X489" s="18"/>
      <c r="Y489" s="18"/>
      <c r="Z489" s="18"/>
    </row>
    <row r="490">
      <c r="A490" s="18"/>
      <c r="B490" s="80"/>
      <c r="C490" s="18"/>
      <c r="D490" s="80"/>
      <c r="E490" s="80"/>
      <c r="F490" s="134"/>
      <c r="G490" s="18"/>
      <c r="H490" s="18"/>
      <c r="I490" s="18"/>
      <c r="J490" s="18"/>
      <c r="K490" s="18"/>
      <c r="L490" s="18"/>
      <c r="M490" s="18"/>
      <c r="N490" s="18"/>
      <c r="O490" s="18"/>
      <c r="P490" s="18"/>
      <c r="Q490" s="18"/>
      <c r="R490" s="18"/>
      <c r="S490" s="18"/>
      <c r="T490" s="18"/>
      <c r="U490" s="18"/>
      <c r="V490" s="18"/>
      <c r="W490" s="18"/>
      <c r="X490" s="18"/>
      <c r="Y490" s="18"/>
      <c r="Z490" s="18"/>
    </row>
    <row r="491">
      <c r="A491" s="18"/>
      <c r="B491" s="80"/>
      <c r="C491" s="18"/>
      <c r="D491" s="80"/>
      <c r="E491" s="80"/>
      <c r="F491" s="134"/>
      <c r="G491" s="18"/>
      <c r="H491" s="18"/>
      <c r="I491" s="18"/>
      <c r="J491" s="18"/>
      <c r="K491" s="18"/>
      <c r="L491" s="18"/>
      <c r="M491" s="18"/>
      <c r="N491" s="18"/>
      <c r="O491" s="18"/>
      <c r="P491" s="18"/>
      <c r="Q491" s="18"/>
      <c r="R491" s="18"/>
      <c r="S491" s="18"/>
      <c r="T491" s="18"/>
      <c r="U491" s="18"/>
      <c r="V491" s="18"/>
      <c r="W491" s="18"/>
      <c r="X491" s="18"/>
      <c r="Y491" s="18"/>
      <c r="Z491" s="18"/>
    </row>
    <row r="492">
      <c r="A492" s="18"/>
      <c r="B492" s="80"/>
      <c r="C492" s="18"/>
      <c r="D492" s="80"/>
      <c r="E492" s="80"/>
      <c r="F492" s="134"/>
      <c r="G492" s="18"/>
      <c r="H492" s="18"/>
      <c r="I492" s="18"/>
      <c r="J492" s="18"/>
      <c r="K492" s="18"/>
      <c r="L492" s="18"/>
      <c r="M492" s="18"/>
      <c r="N492" s="18"/>
      <c r="O492" s="18"/>
      <c r="P492" s="18"/>
      <c r="Q492" s="18"/>
      <c r="R492" s="18"/>
      <c r="S492" s="18"/>
      <c r="T492" s="18"/>
      <c r="U492" s="18"/>
      <c r="V492" s="18"/>
      <c r="W492" s="18"/>
      <c r="X492" s="18"/>
      <c r="Y492" s="18"/>
      <c r="Z492" s="18"/>
    </row>
    <row r="493">
      <c r="A493" s="18"/>
      <c r="B493" s="80"/>
      <c r="C493" s="18"/>
      <c r="D493" s="80"/>
      <c r="E493" s="80"/>
      <c r="F493" s="134"/>
      <c r="G493" s="18"/>
      <c r="H493" s="18"/>
      <c r="I493" s="18"/>
      <c r="J493" s="18"/>
      <c r="K493" s="18"/>
      <c r="L493" s="18"/>
      <c r="M493" s="18"/>
      <c r="N493" s="18"/>
      <c r="O493" s="18"/>
      <c r="P493" s="18"/>
      <c r="Q493" s="18"/>
      <c r="R493" s="18"/>
      <c r="S493" s="18"/>
      <c r="T493" s="18"/>
      <c r="U493" s="18"/>
      <c r="V493" s="18"/>
      <c r="W493" s="18"/>
      <c r="X493" s="18"/>
      <c r="Y493" s="18"/>
      <c r="Z493" s="18"/>
    </row>
    <row r="494">
      <c r="A494" s="18"/>
      <c r="B494" s="80"/>
      <c r="C494" s="18"/>
      <c r="D494" s="80"/>
      <c r="E494" s="80"/>
      <c r="F494" s="134"/>
      <c r="G494" s="18"/>
      <c r="H494" s="18"/>
      <c r="I494" s="18"/>
      <c r="J494" s="18"/>
      <c r="K494" s="18"/>
      <c r="L494" s="18"/>
      <c r="M494" s="18"/>
      <c r="N494" s="18"/>
      <c r="O494" s="18"/>
      <c r="P494" s="18"/>
      <c r="Q494" s="18"/>
      <c r="R494" s="18"/>
      <c r="S494" s="18"/>
      <c r="T494" s="18"/>
      <c r="U494" s="18"/>
      <c r="V494" s="18"/>
      <c r="W494" s="18"/>
      <c r="X494" s="18"/>
      <c r="Y494" s="18"/>
      <c r="Z494" s="18"/>
    </row>
    <row r="495">
      <c r="A495" s="18"/>
      <c r="B495" s="80"/>
      <c r="C495" s="18"/>
      <c r="D495" s="80"/>
      <c r="E495" s="80"/>
      <c r="F495" s="134"/>
      <c r="G495" s="18"/>
      <c r="H495" s="18"/>
      <c r="I495" s="18"/>
      <c r="J495" s="18"/>
      <c r="K495" s="18"/>
      <c r="L495" s="18"/>
      <c r="M495" s="18"/>
      <c r="N495" s="18"/>
      <c r="O495" s="18"/>
      <c r="P495" s="18"/>
      <c r="Q495" s="18"/>
      <c r="R495" s="18"/>
      <c r="S495" s="18"/>
      <c r="T495" s="18"/>
      <c r="U495" s="18"/>
      <c r="V495" s="18"/>
      <c r="W495" s="18"/>
      <c r="X495" s="18"/>
      <c r="Y495" s="18"/>
      <c r="Z495" s="18"/>
    </row>
    <row r="496">
      <c r="A496" s="18"/>
      <c r="B496" s="80"/>
      <c r="C496" s="18"/>
      <c r="D496" s="80"/>
      <c r="E496" s="80"/>
      <c r="F496" s="134"/>
      <c r="G496" s="18"/>
      <c r="H496" s="18"/>
      <c r="I496" s="18"/>
      <c r="J496" s="18"/>
      <c r="K496" s="18"/>
      <c r="L496" s="18"/>
      <c r="M496" s="18"/>
      <c r="N496" s="18"/>
      <c r="O496" s="18"/>
      <c r="P496" s="18"/>
      <c r="Q496" s="18"/>
      <c r="R496" s="18"/>
      <c r="S496" s="18"/>
      <c r="T496" s="18"/>
      <c r="U496" s="18"/>
      <c r="V496" s="18"/>
      <c r="W496" s="18"/>
      <c r="X496" s="18"/>
      <c r="Y496" s="18"/>
      <c r="Z496" s="18"/>
    </row>
    <row r="497">
      <c r="A497" s="18"/>
      <c r="B497" s="80"/>
      <c r="C497" s="18"/>
      <c r="D497" s="80"/>
      <c r="E497" s="80"/>
      <c r="F497" s="134"/>
      <c r="G497" s="18"/>
      <c r="H497" s="18"/>
      <c r="I497" s="18"/>
      <c r="J497" s="18"/>
      <c r="K497" s="18"/>
      <c r="L497" s="18"/>
      <c r="M497" s="18"/>
      <c r="N497" s="18"/>
      <c r="O497" s="18"/>
      <c r="P497" s="18"/>
      <c r="Q497" s="18"/>
      <c r="R497" s="18"/>
      <c r="S497" s="18"/>
      <c r="T497" s="18"/>
      <c r="U497" s="18"/>
      <c r="V497" s="18"/>
      <c r="W497" s="18"/>
      <c r="X497" s="18"/>
      <c r="Y497" s="18"/>
      <c r="Z497" s="18"/>
    </row>
    <row r="498">
      <c r="A498" s="18"/>
      <c r="B498" s="80"/>
      <c r="C498" s="18"/>
      <c r="D498" s="80"/>
      <c r="E498" s="80"/>
      <c r="F498" s="134"/>
      <c r="G498" s="18"/>
      <c r="H498" s="18"/>
      <c r="I498" s="18"/>
      <c r="J498" s="18"/>
      <c r="K498" s="18"/>
      <c r="L498" s="18"/>
      <c r="M498" s="18"/>
      <c r="N498" s="18"/>
      <c r="O498" s="18"/>
      <c r="P498" s="18"/>
      <c r="Q498" s="18"/>
      <c r="R498" s="18"/>
      <c r="S498" s="18"/>
      <c r="T498" s="18"/>
      <c r="U498" s="18"/>
      <c r="V498" s="18"/>
      <c r="W498" s="18"/>
      <c r="X498" s="18"/>
      <c r="Y498" s="18"/>
      <c r="Z498" s="18"/>
    </row>
    <row r="499">
      <c r="A499" s="18"/>
      <c r="B499" s="80"/>
      <c r="C499" s="18"/>
      <c r="D499" s="80"/>
      <c r="E499" s="80"/>
      <c r="F499" s="134"/>
      <c r="G499" s="18"/>
      <c r="H499" s="18"/>
      <c r="I499" s="18"/>
      <c r="J499" s="18"/>
      <c r="K499" s="18"/>
      <c r="L499" s="18"/>
      <c r="M499" s="18"/>
      <c r="N499" s="18"/>
      <c r="O499" s="18"/>
      <c r="P499" s="18"/>
      <c r="Q499" s="18"/>
      <c r="R499" s="18"/>
      <c r="S499" s="18"/>
      <c r="T499" s="18"/>
      <c r="U499" s="18"/>
      <c r="V499" s="18"/>
      <c r="W499" s="18"/>
      <c r="X499" s="18"/>
      <c r="Y499" s="18"/>
      <c r="Z499" s="18"/>
    </row>
    <row r="500">
      <c r="A500" s="18"/>
      <c r="B500" s="80"/>
      <c r="C500" s="18"/>
      <c r="D500" s="80"/>
      <c r="E500" s="80"/>
      <c r="F500" s="134"/>
      <c r="G500" s="18"/>
      <c r="H500" s="18"/>
      <c r="I500" s="18"/>
      <c r="J500" s="18"/>
      <c r="K500" s="18"/>
      <c r="L500" s="18"/>
      <c r="M500" s="18"/>
      <c r="N500" s="18"/>
      <c r="O500" s="18"/>
      <c r="P500" s="18"/>
      <c r="Q500" s="18"/>
      <c r="R500" s="18"/>
      <c r="S500" s="18"/>
      <c r="T500" s="18"/>
      <c r="U500" s="18"/>
      <c r="V500" s="18"/>
      <c r="W500" s="18"/>
      <c r="X500" s="18"/>
      <c r="Y500" s="18"/>
      <c r="Z500" s="18"/>
    </row>
    <row r="501">
      <c r="A501" s="18"/>
      <c r="B501" s="80"/>
      <c r="C501" s="18"/>
      <c r="D501" s="80"/>
      <c r="E501" s="80"/>
      <c r="F501" s="134"/>
      <c r="G501" s="18"/>
      <c r="H501" s="18"/>
      <c r="I501" s="18"/>
      <c r="J501" s="18"/>
      <c r="K501" s="18"/>
      <c r="L501" s="18"/>
      <c r="M501" s="18"/>
      <c r="N501" s="18"/>
      <c r="O501" s="18"/>
      <c r="P501" s="18"/>
      <c r="Q501" s="18"/>
      <c r="R501" s="18"/>
      <c r="S501" s="18"/>
      <c r="T501" s="18"/>
      <c r="U501" s="18"/>
      <c r="V501" s="18"/>
      <c r="W501" s="18"/>
      <c r="X501" s="18"/>
      <c r="Y501" s="18"/>
      <c r="Z501" s="18"/>
    </row>
    <row r="502">
      <c r="A502" s="18"/>
      <c r="B502" s="80"/>
      <c r="C502" s="18"/>
      <c r="D502" s="80"/>
      <c r="E502" s="80"/>
      <c r="F502" s="134"/>
      <c r="G502" s="18"/>
      <c r="H502" s="18"/>
      <c r="I502" s="18"/>
      <c r="J502" s="18"/>
      <c r="K502" s="18"/>
      <c r="L502" s="18"/>
      <c r="M502" s="18"/>
      <c r="N502" s="18"/>
      <c r="O502" s="18"/>
      <c r="P502" s="18"/>
      <c r="Q502" s="18"/>
      <c r="R502" s="18"/>
      <c r="S502" s="18"/>
      <c r="T502" s="18"/>
      <c r="U502" s="18"/>
      <c r="V502" s="18"/>
      <c r="W502" s="18"/>
      <c r="X502" s="18"/>
      <c r="Y502" s="18"/>
      <c r="Z502" s="18"/>
    </row>
    <row r="503">
      <c r="A503" s="18"/>
      <c r="B503" s="80"/>
      <c r="C503" s="18"/>
      <c r="D503" s="80"/>
      <c r="E503" s="80"/>
      <c r="F503" s="134"/>
      <c r="G503" s="18"/>
      <c r="H503" s="18"/>
      <c r="I503" s="18"/>
      <c r="J503" s="18"/>
      <c r="K503" s="18"/>
      <c r="L503" s="18"/>
      <c r="M503" s="18"/>
      <c r="N503" s="18"/>
      <c r="O503" s="18"/>
      <c r="P503" s="18"/>
      <c r="Q503" s="18"/>
      <c r="R503" s="18"/>
      <c r="S503" s="18"/>
      <c r="T503" s="18"/>
      <c r="U503" s="18"/>
      <c r="V503" s="18"/>
      <c r="W503" s="18"/>
      <c r="X503" s="18"/>
      <c r="Y503" s="18"/>
      <c r="Z503" s="18"/>
    </row>
    <row r="504">
      <c r="A504" s="18"/>
      <c r="B504" s="80"/>
      <c r="C504" s="18"/>
      <c r="D504" s="80"/>
      <c r="E504" s="80"/>
      <c r="F504" s="134"/>
      <c r="G504" s="18"/>
      <c r="H504" s="18"/>
      <c r="I504" s="18"/>
      <c r="J504" s="18"/>
      <c r="K504" s="18"/>
      <c r="L504" s="18"/>
      <c r="M504" s="18"/>
      <c r="N504" s="18"/>
      <c r="O504" s="18"/>
      <c r="P504" s="18"/>
      <c r="Q504" s="18"/>
      <c r="R504" s="18"/>
      <c r="S504" s="18"/>
      <c r="T504" s="18"/>
      <c r="U504" s="18"/>
      <c r="V504" s="18"/>
      <c r="W504" s="18"/>
      <c r="X504" s="18"/>
      <c r="Y504" s="18"/>
      <c r="Z504" s="18"/>
    </row>
    <row r="505">
      <c r="A505" s="18"/>
      <c r="B505" s="80"/>
      <c r="C505" s="18"/>
      <c r="D505" s="80"/>
      <c r="E505" s="80"/>
      <c r="F505" s="134"/>
      <c r="G505" s="18"/>
      <c r="H505" s="18"/>
      <c r="I505" s="18"/>
      <c r="J505" s="18"/>
      <c r="K505" s="18"/>
      <c r="L505" s="18"/>
      <c r="M505" s="18"/>
      <c r="N505" s="18"/>
      <c r="O505" s="18"/>
      <c r="P505" s="18"/>
      <c r="Q505" s="18"/>
      <c r="R505" s="18"/>
      <c r="S505" s="18"/>
      <c r="T505" s="18"/>
      <c r="U505" s="18"/>
      <c r="V505" s="18"/>
      <c r="W505" s="18"/>
      <c r="X505" s="18"/>
      <c r="Y505" s="18"/>
      <c r="Z505" s="18"/>
    </row>
    <row r="506">
      <c r="A506" s="18"/>
      <c r="B506" s="80"/>
      <c r="C506" s="18"/>
      <c r="D506" s="80"/>
      <c r="E506" s="80"/>
      <c r="F506" s="134"/>
      <c r="G506" s="18"/>
      <c r="H506" s="18"/>
      <c r="I506" s="18"/>
      <c r="J506" s="18"/>
      <c r="K506" s="18"/>
      <c r="L506" s="18"/>
      <c r="M506" s="18"/>
      <c r="N506" s="18"/>
      <c r="O506" s="18"/>
      <c r="P506" s="18"/>
      <c r="Q506" s="18"/>
      <c r="R506" s="18"/>
      <c r="S506" s="18"/>
      <c r="T506" s="18"/>
      <c r="U506" s="18"/>
      <c r="V506" s="18"/>
      <c r="W506" s="18"/>
      <c r="X506" s="18"/>
      <c r="Y506" s="18"/>
      <c r="Z506" s="18"/>
    </row>
    <row r="507">
      <c r="A507" s="18"/>
      <c r="B507" s="80"/>
      <c r="C507" s="18"/>
      <c r="D507" s="80"/>
      <c r="E507" s="80"/>
      <c r="F507" s="134"/>
      <c r="G507" s="18"/>
      <c r="H507" s="18"/>
      <c r="I507" s="18"/>
      <c r="J507" s="18"/>
      <c r="K507" s="18"/>
      <c r="L507" s="18"/>
      <c r="M507" s="18"/>
      <c r="N507" s="18"/>
      <c r="O507" s="18"/>
      <c r="P507" s="18"/>
      <c r="Q507" s="18"/>
      <c r="R507" s="18"/>
      <c r="S507" s="18"/>
      <c r="T507" s="18"/>
      <c r="U507" s="18"/>
      <c r="V507" s="18"/>
      <c r="W507" s="18"/>
      <c r="X507" s="18"/>
      <c r="Y507" s="18"/>
      <c r="Z507" s="18"/>
    </row>
    <row r="508">
      <c r="A508" s="18"/>
      <c r="B508" s="80"/>
      <c r="C508" s="18"/>
      <c r="D508" s="80"/>
      <c r="E508" s="80"/>
      <c r="F508" s="134"/>
      <c r="G508" s="18"/>
      <c r="H508" s="18"/>
      <c r="I508" s="18"/>
      <c r="J508" s="18"/>
      <c r="K508" s="18"/>
      <c r="L508" s="18"/>
      <c r="M508" s="18"/>
      <c r="N508" s="18"/>
      <c r="O508" s="18"/>
      <c r="P508" s="18"/>
      <c r="Q508" s="18"/>
      <c r="R508" s="18"/>
      <c r="S508" s="18"/>
      <c r="T508" s="18"/>
      <c r="U508" s="18"/>
      <c r="V508" s="18"/>
      <c r="W508" s="18"/>
      <c r="X508" s="18"/>
      <c r="Y508" s="18"/>
      <c r="Z508" s="18"/>
    </row>
    <row r="509">
      <c r="A509" s="18"/>
      <c r="B509" s="80"/>
      <c r="C509" s="18"/>
      <c r="D509" s="80"/>
      <c r="E509" s="80"/>
      <c r="F509" s="134"/>
      <c r="G509" s="18"/>
      <c r="H509" s="18"/>
      <c r="I509" s="18"/>
      <c r="J509" s="18"/>
      <c r="K509" s="18"/>
      <c r="L509" s="18"/>
      <c r="M509" s="18"/>
      <c r="N509" s="18"/>
      <c r="O509" s="18"/>
      <c r="P509" s="18"/>
      <c r="Q509" s="18"/>
      <c r="R509" s="18"/>
      <c r="S509" s="18"/>
      <c r="T509" s="18"/>
      <c r="U509" s="18"/>
      <c r="V509" s="18"/>
      <c r="W509" s="18"/>
      <c r="X509" s="18"/>
      <c r="Y509" s="18"/>
      <c r="Z509" s="18"/>
    </row>
    <row r="510">
      <c r="A510" s="18"/>
      <c r="B510" s="80"/>
      <c r="C510" s="18"/>
      <c r="D510" s="80"/>
      <c r="E510" s="80"/>
      <c r="F510" s="134"/>
      <c r="G510" s="18"/>
      <c r="H510" s="18"/>
      <c r="I510" s="18"/>
      <c r="J510" s="18"/>
      <c r="K510" s="18"/>
      <c r="L510" s="18"/>
      <c r="M510" s="18"/>
      <c r="N510" s="18"/>
      <c r="O510" s="18"/>
      <c r="P510" s="18"/>
      <c r="Q510" s="18"/>
      <c r="R510" s="18"/>
      <c r="S510" s="18"/>
      <c r="T510" s="18"/>
      <c r="U510" s="18"/>
      <c r="V510" s="18"/>
      <c r="W510" s="18"/>
      <c r="X510" s="18"/>
      <c r="Y510" s="18"/>
      <c r="Z510" s="18"/>
    </row>
    <row r="511">
      <c r="A511" s="18"/>
      <c r="B511" s="80"/>
      <c r="C511" s="18"/>
      <c r="D511" s="80"/>
      <c r="E511" s="80"/>
      <c r="F511" s="134"/>
      <c r="G511" s="18"/>
      <c r="H511" s="18"/>
      <c r="I511" s="18"/>
      <c r="J511" s="18"/>
      <c r="K511" s="18"/>
      <c r="L511" s="18"/>
      <c r="M511" s="18"/>
      <c r="N511" s="18"/>
      <c r="O511" s="18"/>
      <c r="P511" s="18"/>
      <c r="Q511" s="18"/>
      <c r="R511" s="18"/>
      <c r="S511" s="18"/>
      <c r="T511" s="18"/>
      <c r="U511" s="18"/>
      <c r="V511" s="18"/>
      <c r="W511" s="18"/>
      <c r="X511" s="18"/>
      <c r="Y511" s="18"/>
      <c r="Z511" s="18"/>
    </row>
    <row r="512">
      <c r="A512" s="18"/>
      <c r="B512" s="80"/>
      <c r="C512" s="18"/>
      <c r="D512" s="80"/>
      <c r="E512" s="80"/>
      <c r="F512" s="134"/>
      <c r="G512" s="18"/>
      <c r="H512" s="18"/>
      <c r="I512" s="18"/>
      <c r="J512" s="18"/>
      <c r="K512" s="18"/>
      <c r="L512" s="18"/>
      <c r="M512" s="18"/>
      <c r="N512" s="18"/>
      <c r="O512" s="18"/>
      <c r="P512" s="18"/>
      <c r="Q512" s="18"/>
      <c r="R512" s="18"/>
      <c r="S512" s="18"/>
      <c r="T512" s="18"/>
      <c r="U512" s="18"/>
      <c r="V512" s="18"/>
      <c r="W512" s="18"/>
      <c r="X512" s="18"/>
      <c r="Y512" s="18"/>
      <c r="Z512" s="18"/>
    </row>
    <row r="513">
      <c r="A513" s="18"/>
      <c r="B513" s="80"/>
      <c r="C513" s="18"/>
      <c r="D513" s="80"/>
      <c r="E513" s="80"/>
      <c r="F513" s="134"/>
      <c r="G513" s="18"/>
      <c r="H513" s="18"/>
      <c r="I513" s="18"/>
      <c r="J513" s="18"/>
      <c r="K513" s="18"/>
      <c r="L513" s="18"/>
      <c r="M513" s="18"/>
      <c r="N513" s="18"/>
      <c r="O513" s="18"/>
      <c r="P513" s="18"/>
      <c r="Q513" s="18"/>
      <c r="R513" s="18"/>
      <c r="S513" s="18"/>
      <c r="T513" s="18"/>
      <c r="U513" s="18"/>
      <c r="V513" s="18"/>
      <c r="W513" s="18"/>
      <c r="X513" s="18"/>
      <c r="Y513" s="18"/>
      <c r="Z513" s="18"/>
    </row>
    <row r="514">
      <c r="A514" s="18"/>
      <c r="B514" s="80"/>
      <c r="C514" s="18"/>
      <c r="D514" s="80"/>
      <c r="E514" s="80"/>
      <c r="F514" s="134"/>
      <c r="G514" s="18"/>
      <c r="H514" s="18"/>
      <c r="I514" s="18"/>
      <c r="J514" s="18"/>
      <c r="K514" s="18"/>
      <c r="L514" s="18"/>
      <c r="M514" s="18"/>
      <c r="N514" s="18"/>
      <c r="O514" s="18"/>
      <c r="P514" s="18"/>
      <c r="Q514" s="18"/>
      <c r="R514" s="18"/>
      <c r="S514" s="18"/>
      <c r="T514" s="18"/>
      <c r="U514" s="18"/>
      <c r="V514" s="18"/>
      <c r="W514" s="18"/>
      <c r="X514" s="18"/>
      <c r="Y514" s="18"/>
      <c r="Z514" s="18"/>
    </row>
    <row r="515">
      <c r="A515" s="18"/>
      <c r="B515" s="80"/>
      <c r="C515" s="18"/>
      <c r="D515" s="80"/>
      <c r="E515" s="80"/>
      <c r="F515" s="134"/>
      <c r="G515" s="18"/>
      <c r="H515" s="18"/>
      <c r="I515" s="18"/>
      <c r="J515" s="18"/>
      <c r="K515" s="18"/>
      <c r="L515" s="18"/>
      <c r="M515" s="18"/>
      <c r="N515" s="18"/>
      <c r="O515" s="18"/>
      <c r="P515" s="18"/>
      <c r="Q515" s="18"/>
      <c r="R515" s="18"/>
      <c r="S515" s="18"/>
      <c r="T515" s="18"/>
      <c r="U515" s="18"/>
      <c r="V515" s="18"/>
      <c r="W515" s="18"/>
      <c r="X515" s="18"/>
      <c r="Y515" s="18"/>
      <c r="Z515" s="18"/>
    </row>
    <row r="516">
      <c r="A516" s="18"/>
      <c r="B516" s="80"/>
      <c r="C516" s="18"/>
      <c r="D516" s="80"/>
      <c r="E516" s="80"/>
      <c r="F516" s="134"/>
      <c r="G516" s="18"/>
      <c r="H516" s="18"/>
      <c r="I516" s="18"/>
      <c r="J516" s="18"/>
      <c r="K516" s="18"/>
      <c r="L516" s="18"/>
      <c r="M516" s="18"/>
      <c r="N516" s="18"/>
      <c r="O516" s="18"/>
      <c r="P516" s="18"/>
      <c r="Q516" s="18"/>
      <c r="R516" s="18"/>
      <c r="S516" s="18"/>
      <c r="T516" s="18"/>
      <c r="U516" s="18"/>
      <c r="V516" s="18"/>
      <c r="W516" s="18"/>
      <c r="X516" s="18"/>
      <c r="Y516" s="18"/>
      <c r="Z516" s="18"/>
    </row>
    <row r="517">
      <c r="A517" s="18"/>
      <c r="B517" s="80"/>
      <c r="C517" s="18"/>
      <c r="D517" s="80"/>
      <c r="E517" s="80"/>
      <c r="F517" s="134"/>
      <c r="G517" s="18"/>
      <c r="H517" s="18"/>
      <c r="I517" s="18"/>
      <c r="J517" s="18"/>
      <c r="K517" s="18"/>
      <c r="L517" s="18"/>
      <c r="M517" s="18"/>
      <c r="N517" s="18"/>
      <c r="O517" s="18"/>
      <c r="P517" s="18"/>
      <c r="Q517" s="18"/>
      <c r="R517" s="18"/>
      <c r="S517" s="18"/>
      <c r="T517" s="18"/>
      <c r="U517" s="18"/>
      <c r="V517" s="18"/>
      <c r="W517" s="18"/>
      <c r="X517" s="18"/>
      <c r="Y517" s="18"/>
      <c r="Z517" s="18"/>
    </row>
    <row r="518">
      <c r="A518" s="18"/>
      <c r="B518" s="80"/>
      <c r="C518" s="18"/>
      <c r="D518" s="80"/>
      <c r="E518" s="80"/>
      <c r="F518" s="134"/>
      <c r="G518" s="18"/>
      <c r="H518" s="18"/>
      <c r="I518" s="18"/>
      <c r="J518" s="18"/>
      <c r="K518" s="18"/>
      <c r="L518" s="18"/>
      <c r="M518" s="18"/>
      <c r="N518" s="18"/>
      <c r="O518" s="18"/>
      <c r="P518" s="18"/>
      <c r="Q518" s="18"/>
      <c r="R518" s="18"/>
      <c r="S518" s="18"/>
      <c r="T518" s="18"/>
      <c r="U518" s="18"/>
      <c r="V518" s="18"/>
      <c r="W518" s="18"/>
      <c r="X518" s="18"/>
      <c r="Y518" s="18"/>
      <c r="Z518" s="18"/>
    </row>
    <row r="519">
      <c r="A519" s="18"/>
      <c r="B519" s="80"/>
      <c r="C519" s="18"/>
      <c r="D519" s="80"/>
      <c r="E519" s="80"/>
      <c r="F519" s="134"/>
      <c r="G519" s="18"/>
      <c r="H519" s="18"/>
      <c r="I519" s="18"/>
      <c r="J519" s="18"/>
      <c r="K519" s="18"/>
      <c r="L519" s="18"/>
      <c r="M519" s="18"/>
      <c r="N519" s="18"/>
      <c r="O519" s="18"/>
      <c r="P519" s="18"/>
      <c r="Q519" s="18"/>
      <c r="R519" s="18"/>
      <c r="S519" s="18"/>
      <c r="T519" s="18"/>
      <c r="U519" s="18"/>
      <c r="V519" s="18"/>
      <c r="W519" s="18"/>
      <c r="X519" s="18"/>
      <c r="Y519" s="18"/>
      <c r="Z519" s="18"/>
    </row>
    <row r="520">
      <c r="A520" s="18"/>
      <c r="B520" s="80"/>
      <c r="C520" s="18"/>
      <c r="D520" s="80"/>
      <c r="E520" s="80"/>
      <c r="F520" s="134"/>
      <c r="G520" s="18"/>
      <c r="H520" s="18"/>
      <c r="I520" s="18"/>
      <c r="J520" s="18"/>
      <c r="K520" s="18"/>
      <c r="L520" s="18"/>
      <c r="M520" s="18"/>
      <c r="N520" s="18"/>
      <c r="O520" s="18"/>
      <c r="P520" s="18"/>
      <c r="Q520" s="18"/>
      <c r="R520" s="18"/>
      <c r="S520" s="18"/>
      <c r="T520" s="18"/>
      <c r="U520" s="18"/>
      <c r="V520" s="18"/>
      <c r="W520" s="18"/>
      <c r="X520" s="18"/>
      <c r="Y520" s="18"/>
      <c r="Z520" s="18"/>
    </row>
    <row r="521">
      <c r="A521" s="18"/>
      <c r="B521" s="80"/>
      <c r="C521" s="18"/>
      <c r="D521" s="80"/>
      <c r="E521" s="80"/>
      <c r="F521" s="134"/>
      <c r="G521" s="18"/>
      <c r="H521" s="18"/>
      <c r="I521" s="18"/>
      <c r="J521" s="18"/>
      <c r="K521" s="18"/>
      <c r="L521" s="18"/>
      <c r="M521" s="18"/>
      <c r="N521" s="18"/>
      <c r="O521" s="18"/>
      <c r="P521" s="18"/>
      <c r="Q521" s="18"/>
      <c r="R521" s="18"/>
      <c r="S521" s="18"/>
      <c r="T521" s="18"/>
      <c r="U521" s="18"/>
      <c r="V521" s="18"/>
      <c r="W521" s="18"/>
      <c r="X521" s="18"/>
      <c r="Y521" s="18"/>
      <c r="Z521" s="18"/>
    </row>
    <row r="522">
      <c r="A522" s="18"/>
      <c r="B522" s="80"/>
      <c r="C522" s="18"/>
      <c r="D522" s="80"/>
      <c r="E522" s="80"/>
      <c r="F522" s="134"/>
      <c r="G522" s="18"/>
      <c r="H522" s="18"/>
      <c r="I522" s="18"/>
      <c r="J522" s="18"/>
      <c r="K522" s="18"/>
      <c r="L522" s="18"/>
      <c r="M522" s="18"/>
      <c r="N522" s="18"/>
      <c r="O522" s="18"/>
      <c r="P522" s="18"/>
      <c r="Q522" s="18"/>
      <c r="R522" s="18"/>
      <c r="S522" s="18"/>
      <c r="T522" s="18"/>
      <c r="U522" s="18"/>
      <c r="V522" s="18"/>
      <c r="W522" s="18"/>
      <c r="X522" s="18"/>
      <c r="Y522" s="18"/>
      <c r="Z522" s="18"/>
    </row>
    <row r="523">
      <c r="A523" s="18"/>
      <c r="B523" s="80"/>
      <c r="C523" s="18"/>
      <c r="D523" s="80"/>
      <c r="E523" s="80"/>
      <c r="F523" s="134"/>
      <c r="G523" s="18"/>
      <c r="H523" s="18"/>
      <c r="I523" s="18"/>
      <c r="J523" s="18"/>
      <c r="K523" s="18"/>
      <c r="L523" s="18"/>
      <c r="M523" s="18"/>
      <c r="N523" s="18"/>
      <c r="O523" s="18"/>
      <c r="P523" s="18"/>
      <c r="Q523" s="18"/>
      <c r="R523" s="18"/>
      <c r="S523" s="18"/>
      <c r="T523" s="18"/>
      <c r="U523" s="18"/>
      <c r="V523" s="18"/>
      <c r="W523" s="18"/>
      <c r="X523" s="18"/>
      <c r="Y523" s="18"/>
      <c r="Z523" s="18"/>
    </row>
    <row r="524">
      <c r="A524" s="18"/>
      <c r="B524" s="80"/>
      <c r="C524" s="18"/>
      <c r="D524" s="80"/>
      <c r="E524" s="80"/>
      <c r="F524" s="134"/>
      <c r="G524" s="18"/>
      <c r="H524" s="18"/>
      <c r="I524" s="18"/>
      <c r="J524" s="18"/>
      <c r="K524" s="18"/>
      <c r="L524" s="18"/>
      <c r="M524" s="18"/>
      <c r="N524" s="18"/>
      <c r="O524" s="18"/>
      <c r="P524" s="18"/>
      <c r="Q524" s="18"/>
      <c r="R524" s="18"/>
      <c r="S524" s="18"/>
      <c r="T524" s="18"/>
      <c r="U524" s="18"/>
      <c r="V524" s="18"/>
      <c r="W524" s="18"/>
      <c r="X524" s="18"/>
      <c r="Y524" s="18"/>
      <c r="Z524" s="18"/>
    </row>
    <row r="525">
      <c r="A525" s="18"/>
      <c r="B525" s="80"/>
      <c r="C525" s="18"/>
      <c r="D525" s="80"/>
      <c r="E525" s="80"/>
      <c r="F525" s="134"/>
      <c r="G525" s="18"/>
      <c r="H525" s="18"/>
      <c r="I525" s="18"/>
      <c r="J525" s="18"/>
      <c r="K525" s="18"/>
      <c r="L525" s="18"/>
      <c r="M525" s="18"/>
      <c r="N525" s="18"/>
      <c r="O525" s="18"/>
      <c r="P525" s="18"/>
      <c r="Q525" s="18"/>
      <c r="R525" s="18"/>
      <c r="S525" s="18"/>
      <c r="T525" s="18"/>
      <c r="U525" s="18"/>
      <c r="V525" s="18"/>
      <c r="W525" s="18"/>
      <c r="X525" s="18"/>
      <c r="Y525" s="18"/>
      <c r="Z525" s="18"/>
    </row>
    <row r="526">
      <c r="A526" s="18"/>
      <c r="B526" s="80"/>
      <c r="C526" s="18"/>
      <c r="D526" s="80"/>
      <c r="E526" s="80"/>
      <c r="F526" s="134"/>
      <c r="G526" s="18"/>
      <c r="H526" s="18"/>
      <c r="I526" s="18"/>
      <c r="J526" s="18"/>
      <c r="K526" s="18"/>
      <c r="L526" s="18"/>
      <c r="M526" s="18"/>
      <c r="N526" s="18"/>
      <c r="O526" s="18"/>
      <c r="P526" s="18"/>
      <c r="Q526" s="18"/>
      <c r="R526" s="18"/>
      <c r="S526" s="18"/>
      <c r="T526" s="18"/>
      <c r="U526" s="18"/>
      <c r="V526" s="18"/>
      <c r="W526" s="18"/>
      <c r="X526" s="18"/>
      <c r="Y526" s="18"/>
      <c r="Z526" s="18"/>
    </row>
    <row r="527">
      <c r="A527" s="18"/>
      <c r="B527" s="80"/>
      <c r="C527" s="18"/>
      <c r="D527" s="80"/>
      <c r="E527" s="80"/>
      <c r="F527" s="134"/>
      <c r="G527" s="18"/>
      <c r="H527" s="18"/>
      <c r="I527" s="18"/>
      <c r="J527" s="18"/>
      <c r="K527" s="18"/>
      <c r="L527" s="18"/>
      <c r="M527" s="18"/>
      <c r="N527" s="18"/>
      <c r="O527" s="18"/>
      <c r="P527" s="18"/>
      <c r="Q527" s="18"/>
      <c r="R527" s="18"/>
      <c r="S527" s="18"/>
      <c r="T527" s="18"/>
      <c r="U527" s="18"/>
      <c r="V527" s="18"/>
      <c r="W527" s="18"/>
      <c r="X527" s="18"/>
      <c r="Y527" s="18"/>
      <c r="Z527" s="18"/>
    </row>
    <row r="528">
      <c r="A528" s="18"/>
      <c r="B528" s="80"/>
      <c r="C528" s="18"/>
      <c r="D528" s="80"/>
      <c r="E528" s="80"/>
      <c r="F528" s="134"/>
      <c r="G528" s="18"/>
      <c r="H528" s="18"/>
      <c r="I528" s="18"/>
      <c r="J528" s="18"/>
      <c r="K528" s="18"/>
      <c r="L528" s="18"/>
      <c r="M528" s="18"/>
      <c r="N528" s="18"/>
      <c r="O528" s="18"/>
      <c r="P528" s="18"/>
      <c r="Q528" s="18"/>
      <c r="R528" s="18"/>
      <c r="S528" s="18"/>
      <c r="T528" s="18"/>
      <c r="U528" s="18"/>
      <c r="V528" s="18"/>
      <c r="W528" s="18"/>
      <c r="X528" s="18"/>
      <c r="Y528" s="18"/>
      <c r="Z528" s="18"/>
    </row>
    <row r="529">
      <c r="A529" s="18"/>
      <c r="B529" s="80"/>
      <c r="C529" s="18"/>
      <c r="D529" s="80"/>
      <c r="E529" s="80"/>
      <c r="F529" s="134"/>
      <c r="G529" s="18"/>
      <c r="H529" s="18"/>
      <c r="I529" s="18"/>
      <c r="J529" s="18"/>
      <c r="K529" s="18"/>
      <c r="L529" s="18"/>
      <c r="M529" s="18"/>
      <c r="N529" s="18"/>
      <c r="O529" s="18"/>
      <c r="P529" s="18"/>
      <c r="Q529" s="18"/>
      <c r="R529" s="18"/>
      <c r="S529" s="18"/>
      <c r="T529" s="18"/>
      <c r="U529" s="18"/>
      <c r="V529" s="18"/>
      <c r="W529" s="18"/>
      <c r="X529" s="18"/>
      <c r="Y529" s="18"/>
      <c r="Z529" s="18"/>
    </row>
    <row r="530">
      <c r="A530" s="18"/>
      <c r="B530" s="80"/>
      <c r="C530" s="18"/>
      <c r="D530" s="80"/>
      <c r="E530" s="80"/>
      <c r="F530" s="134"/>
      <c r="G530" s="18"/>
      <c r="H530" s="18"/>
      <c r="I530" s="18"/>
      <c r="J530" s="18"/>
      <c r="K530" s="18"/>
      <c r="L530" s="18"/>
      <c r="M530" s="18"/>
      <c r="N530" s="18"/>
      <c r="O530" s="18"/>
      <c r="P530" s="18"/>
      <c r="Q530" s="18"/>
      <c r="R530" s="18"/>
      <c r="S530" s="18"/>
      <c r="T530" s="18"/>
      <c r="U530" s="18"/>
      <c r="V530" s="18"/>
      <c r="W530" s="18"/>
      <c r="X530" s="18"/>
      <c r="Y530" s="18"/>
      <c r="Z530" s="18"/>
    </row>
    <row r="531">
      <c r="A531" s="18"/>
      <c r="B531" s="80"/>
      <c r="C531" s="18"/>
      <c r="D531" s="80"/>
      <c r="E531" s="80"/>
      <c r="F531" s="134"/>
      <c r="G531" s="18"/>
      <c r="H531" s="18"/>
      <c r="I531" s="18"/>
      <c r="J531" s="18"/>
      <c r="K531" s="18"/>
      <c r="L531" s="18"/>
      <c r="M531" s="18"/>
      <c r="N531" s="18"/>
      <c r="O531" s="18"/>
      <c r="P531" s="18"/>
      <c r="Q531" s="18"/>
      <c r="R531" s="18"/>
      <c r="S531" s="18"/>
      <c r="T531" s="18"/>
      <c r="U531" s="18"/>
      <c r="V531" s="18"/>
      <c r="W531" s="18"/>
      <c r="X531" s="18"/>
      <c r="Y531" s="18"/>
      <c r="Z531" s="18"/>
    </row>
    <row r="532">
      <c r="A532" s="18"/>
      <c r="B532" s="80"/>
      <c r="C532" s="18"/>
      <c r="D532" s="80"/>
      <c r="E532" s="80"/>
      <c r="F532" s="134"/>
      <c r="G532" s="18"/>
      <c r="H532" s="18"/>
      <c r="I532" s="18"/>
      <c r="J532" s="18"/>
      <c r="K532" s="18"/>
      <c r="L532" s="18"/>
      <c r="M532" s="18"/>
      <c r="N532" s="18"/>
      <c r="O532" s="18"/>
      <c r="P532" s="18"/>
      <c r="Q532" s="18"/>
      <c r="R532" s="18"/>
      <c r="S532" s="18"/>
      <c r="T532" s="18"/>
      <c r="U532" s="18"/>
      <c r="V532" s="18"/>
      <c r="W532" s="18"/>
      <c r="X532" s="18"/>
      <c r="Y532" s="18"/>
      <c r="Z532" s="18"/>
    </row>
    <row r="533">
      <c r="A533" s="18"/>
      <c r="B533" s="80"/>
      <c r="C533" s="18"/>
      <c r="D533" s="80"/>
      <c r="E533" s="80"/>
      <c r="F533" s="134"/>
      <c r="G533" s="18"/>
      <c r="H533" s="18"/>
      <c r="I533" s="18"/>
      <c r="J533" s="18"/>
      <c r="K533" s="18"/>
      <c r="L533" s="18"/>
      <c r="M533" s="18"/>
      <c r="N533" s="18"/>
      <c r="O533" s="18"/>
      <c r="P533" s="18"/>
      <c r="Q533" s="18"/>
      <c r="R533" s="18"/>
      <c r="S533" s="18"/>
      <c r="T533" s="18"/>
      <c r="U533" s="18"/>
      <c r="V533" s="18"/>
      <c r="W533" s="18"/>
      <c r="X533" s="18"/>
      <c r="Y533" s="18"/>
      <c r="Z533" s="18"/>
    </row>
    <row r="534">
      <c r="A534" s="18"/>
      <c r="B534" s="80"/>
      <c r="C534" s="18"/>
      <c r="D534" s="80"/>
      <c r="E534" s="80"/>
      <c r="F534" s="134"/>
      <c r="G534" s="18"/>
      <c r="H534" s="18"/>
      <c r="I534" s="18"/>
      <c r="J534" s="18"/>
      <c r="K534" s="18"/>
      <c r="L534" s="18"/>
      <c r="M534" s="18"/>
      <c r="N534" s="18"/>
      <c r="O534" s="18"/>
      <c r="P534" s="18"/>
      <c r="Q534" s="18"/>
      <c r="R534" s="18"/>
      <c r="S534" s="18"/>
      <c r="T534" s="18"/>
      <c r="U534" s="18"/>
      <c r="V534" s="18"/>
      <c r="W534" s="18"/>
      <c r="X534" s="18"/>
      <c r="Y534" s="18"/>
      <c r="Z534" s="18"/>
    </row>
    <row r="535">
      <c r="A535" s="18"/>
      <c r="B535" s="80"/>
      <c r="C535" s="18"/>
      <c r="D535" s="80"/>
      <c r="E535" s="80"/>
      <c r="F535" s="134"/>
      <c r="G535" s="18"/>
      <c r="H535" s="18"/>
      <c r="I535" s="18"/>
      <c r="J535" s="18"/>
      <c r="K535" s="18"/>
      <c r="L535" s="18"/>
      <c r="M535" s="18"/>
      <c r="N535" s="18"/>
      <c r="O535" s="18"/>
      <c r="P535" s="18"/>
      <c r="Q535" s="18"/>
      <c r="R535" s="18"/>
      <c r="S535" s="18"/>
      <c r="T535" s="18"/>
      <c r="U535" s="18"/>
      <c r="V535" s="18"/>
      <c r="W535" s="18"/>
      <c r="X535" s="18"/>
      <c r="Y535" s="18"/>
      <c r="Z535" s="18"/>
    </row>
    <row r="536">
      <c r="A536" s="18"/>
      <c r="B536" s="80"/>
      <c r="C536" s="18"/>
      <c r="D536" s="80"/>
      <c r="E536" s="80"/>
      <c r="F536" s="134"/>
      <c r="G536" s="18"/>
      <c r="H536" s="18"/>
      <c r="I536" s="18"/>
      <c r="J536" s="18"/>
      <c r="K536" s="18"/>
      <c r="L536" s="18"/>
      <c r="M536" s="18"/>
      <c r="N536" s="18"/>
      <c r="O536" s="18"/>
      <c r="P536" s="18"/>
      <c r="Q536" s="18"/>
      <c r="R536" s="18"/>
      <c r="S536" s="18"/>
      <c r="T536" s="18"/>
      <c r="U536" s="18"/>
      <c r="V536" s="18"/>
      <c r="W536" s="18"/>
      <c r="X536" s="18"/>
      <c r="Y536" s="18"/>
      <c r="Z536" s="18"/>
    </row>
    <row r="537">
      <c r="A537" s="18"/>
      <c r="B537" s="80"/>
      <c r="C537" s="18"/>
      <c r="D537" s="80"/>
      <c r="E537" s="80"/>
      <c r="F537" s="134"/>
      <c r="G537" s="18"/>
      <c r="H537" s="18"/>
      <c r="I537" s="18"/>
      <c r="J537" s="18"/>
      <c r="K537" s="18"/>
      <c r="L537" s="18"/>
      <c r="M537" s="18"/>
      <c r="N537" s="18"/>
      <c r="O537" s="18"/>
      <c r="P537" s="18"/>
      <c r="Q537" s="18"/>
      <c r="R537" s="18"/>
      <c r="S537" s="18"/>
      <c r="T537" s="18"/>
      <c r="U537" s="18"/>
      <c r="V537" s="18"/>
      <c r="W537" s="18"/>
      <c r="X537" s="18"/>
      <c r="Y537" s="18"/>
      <c r="Z537" s="18"/>
    </row>
    <row r="538">
      <c r="A538" s="18"/>
      <c r="B538" s="80"/>
      <c r="C538" s="18"/>
      <c r="D538" s="80"/>
      <c r="E538" s="80"/>
      <c r="F538" s="134"/>
      <c r="G538" s="18"/>
      <c r="H538" s="18"/>
      <c r="I538" s="18"/>
      <c r="J538" s="18"/>
      <c r="K538" s="18"/>
      <c r="L538" s="18"/>
      <c r="M538" s="18"/>
      <c r="N538" s="18"/>
      <c r="O538" s="18"/>
      <c r="P538" s="18"/>
      <c r="Q538" s="18"/>
      <c r="R538" s="18"/>
      <c r="S538" s="18"/>
      <c r="T538" s="18"/>
      <c r="U538" s="18"/>
      <c r="V538" s="18"/>
      <c r="W538" s="18"/>
      <c r="X538" s="18"/>
      <c r="Y538" s="18"/>
      <c r="Z538" s="18"/>
    </row>
    <row r="539">
      <c r="A539" s="18"/>
      <c r="B539" s="80"/>
      <c r="C539" s="18"/>
      <c r="D539" s="80"/>
      <c r="E539" s="80"/>
      <c r="F539" s="134"/>
      <c r="G539" s="18"/>
      <c r="H539" s="18"/>
      <c r="I539" s="18"/>
      <c r="J539" s="18"/>
      <c r="K539" s="18"/>
      <c r="L539" s="18"/>
      <c r="M539" s="18"/>
      <c r="N539" s="18"/>
      <c r="O539" s="18"/>
      <c r="P539" s="18"/>
      <c r="Q539" s="18"/>
      <c r="R539" s="18"/>
      <c r="S539" s="18"/>
      <c r="T539" s="18"/>
      <c r="U539" s="18"/>
      <c r="V539" s="18"/>
      <c r="W539" s="18"/>
      <c r="X539" s="18"/>
      <c r="Y539" s="18"/>
      <c r="Z539" s="18"/>
    </row>
    <row r="540">
      <c r="A540" s="18"/>
      <c r="B540" s="80"/>
      <c r="C540" s="18"/>
      <c r="D540" s="80"/>
      <c r="E540" s="80"/>
      <c r="F540" s="134"/>
      <c r="G540" s="18"/>
      <c r="H540" s="18"/>
      <c r="I540" s="18"/>
      <c r="J540" s="18"/>
      <c r="K540" s="18"/>
      <c r="L540" s="18"/>
      <c r="M540" s="18"/>
      <c r="N540" s="18"/>
      <c r="O540" s="18"/>
      <c r="P540" s="18"/>
      <c r="Q540" s="18"/>
      <c r="R540" s="18"/>
      <c r="S540" s="18"/>
      <c r="T540" s="18"/>
      <c r="U540" s="18"/>
      <c r="V540" s="18"/>
      <c r="W540" s="18"/>
      <c r="X540" s="18"/>
      <c r="Y540" s="18"/>
      <c r="Z540" s="18"/>
    </row>
    <row r="541">
      <c r="A541" s="18"/>
      <c r="B541" s="80"/>
      <c r="C541" s="18"/>
      <c r="D541" s="80"/>
      <c r="E541" s="80"/>
      <c r="F541" s="134"/>
      <c r="G541" s="18"/>
      <c r="H541" s="18"/>
      <c r="I541" s="18"/>
      <c r="J541" s="18"/>
      <c r="K541" s="18"/>
      <c r="L541" s="18"/>
      <c r="M541" s="18"/>
      <c r="N541" s="18"/>
      <c r="O541" s="18"/>
      <c r="P541" s="18"/>
      <c r="Q541" s="18"/>
      <c r="R541" s="18"/>
      <c r="S541" s="18"/>
      <c r="T541" s="18"/>
      <c r="U541" s="18"/>
      <c r="V541" s="18"/>
      <c r="W541" s="18"/>
      <c r="X541" s="18"/>
      <c r="Y541" s="18"/>
      <c r="Z541" s="18"/>
    </row>
    <row r="542">
      <c r="A542" s="18"/>
      <c r="B542" s="80"/>
      <c r="C542" s="18"/>
      <c r="D542" s="80"/>
      <c r="E542" s="80"/>
      <c r="F542" s="134"/>
      <c r="G542" s="18"/>
      <c r="H542" s="18"/>
      <c r="I542" s="18"/>
      <c r="J542" s="18"/>
      <c r="K542" s="18"/>
      <c r="L542" s="18"/>
      <c r="M542" s="18"/>
      <c r="N542" s="18"/>
      <c r="O542" s="18"/>
      <c r="P542" s="18"/>
      <c r="Q542" s="18"/>
      <c r="R542" s="18"/>
      <c r="S542" s="18"/>
      <c r="T542" s="18"/>
      <c r="U542" s="18"/>
      <c r="V542" s="18"/>
      <c r="W542" s="18"/>
      <c r="X542" s="18"/>
      <c r="Y542" s="18"/>
      <c r="Z542" s="18"/>
    </row>
    <row r="543">
      <c r="A543" s="18"/>
      <c r="B543" s="80"/>
      <c r="C543" s="18"/>
      <c r="D543" s="80"/>
      <c r="E543" s="80"/>
      <c r="F543" s="134"/>
      <c r="G543" s="18"/>
      <c r="H543" s="18"/>
      <c r="I543" s="18"/>
      <c r="J543" s="18"/>
      <c r="K543" s="18"/>
      <c r="L543" s="18"/>
      <c r="M543" s="18"/>
      <c r="N543" s="18"/>
      <c r="O543" s="18"/>
      <c r="P543" s="18"/>
      <c r="Q543" s="18"/>
      <c r="R543" s="18"/>
      <c r="S543" s="18"/>
      <c r="T543" s="18"/>
      <c r="U543" s="18"/>
      <c r="V543" s="18"/>
      <c r="W543" s="18"/>
      <c r="X543" s="18"/>
      <c r="Y543" s="18"/>
      <c r="Z543" s="18"/>
    </row>
    <row r="544">
      <c r="A544" s="18"/>
      <c r="B544" s="80"/>
      <c r="C544" s="18"/>
      <c r="D544" s="80"/>
      <c r="E544" s="80"/>
      <c r="F544" s="134"/>
      <c r="G544" s="18"/>
      <c r="H544" s="18"/>
      <c r="I544" s="18"/>
      <c r="J544" s="18"/>
      <c r="K544" s="18"/>
      <c r="L544" s="18"/>
      <c r="M544" s="18"/>
      <c r="N544" s="18"/>
      <c r="O544" s="18"/>
      <c r="P544" s="18"/>
      <c r="Q544" s="18"/>
      <c r="R544" s="18"/>
      <c r="S544" s="18"/>
      <c r="T544" s="18"/>
      <c r="U544" s="18"/>
      <c r="V544" s="18"/>
      <c r="W544" s="18"/>
      <c r="X544" s="18"/>
      <c r="Y544" s="18"/>
      <c r="Z544" s="18"/>
    </row>
    <row r="545">
      <c r="A545" s="18"/>
      <c r="B545" s="80"/>
      <c r="C545" s="18"/>
      <c r="D545" s="80"/>
      <c r="E545" s="80"/>
      <c r="F545" s="134"/>
      <c r="G545" s="18"/>
      <c r="H545" s="18"/>
      <c r="I545" s="18"/>
      <c r="J545" s="18"/>
      <c r="K545" s="18"/>
      <c r="L545" s="18"/>
      <c r="M545" s="18"/>
      <c r="N545" s="18"/>
      <c r="O545" s="18"/>
      <c r="P545" s="18"/>
      <c r="Q545" s="18"/>
      <c r="R545" s="18"/>
      <c r="S545" s="18"/>
      <c r="T545" s="18"/>
      <c r="U545" s="18"/>
      <c r="V545" s="18"/>
      <c r="W545" s="18"/>
      <c r="X545" s="18"/>
      <c r="Y545" s="18"/>
      <c r="Z545" s="18"/>
    </row>
    <row r="546">
      <c r="A546" s="18"/>
      <c r="B546" s="80"/>
      <c r="C546" s="18"/>
      <c r="D546" s="80"/>
      <c r="E546" s="80"/>
      <c r="F546" s="134"/>
      <c r="G546" s="18"/>
      <c r="H546" s="18"/>
      <c r="I546" s="18"/>
      <c r="J546" s="18"/>
      <c r="K546" s="18"/>
      <c r="L546" s="18"/>
      <c r="M546" s="18"/>
      <c r="N546" s="18"/>
      <c r="O546" s="18"/>
      <c r="P546" s="18"/>
      <c r="Q546" s="18"/>
      <c r="R546" s="18"/>
      <c r="S546" s="18"/>
      <c r="T546" s="18"/>
      <c r="U546" s="18"/>
      <c r="V546" s="18"/>
      <c r="W546" s="18"/>
      <c r="X546" s="18"/>
      <c r="Y546" s="18"/>
      <c r="Z546" s="18"/>
    </row>
    <row r="547">
      <c r="A547" s="18"/>
      <c r="B547" s="80"/>
      <c r="C547" s="18"/>
      <c r="D547" s="80"/>
      <c r="E547" s="80"/>
      <c r="F547" s="134"/>
      <c r="G547" s="18"/>
      <c r="H547" s="18"/>
      <c r="I547" s="18"/>
      <c r="J547" s="18"/>
      <c r="K547" s="18"/>
      <c r="L547" s="18"/>
      <c r="M547" s="18"/>
      <c r="N547" s="18"/>
      <c r="O547" s="18"/>
      <c r="P547" s="18"/>
      <c r="Q547" s="18"/>
      <c r="R547" s="18"/>
      <c r="S547" s="18"/>
      <c r="T547" s="18"/>
      <c r="U547" s="18"/>
      <c r="V547" s="18"/>
      <c r="W547" s="18"/>
      <c r="X547" s="18"/>
      <c r="Y547" s="18"/>
      <c r="Z547" s="18"/>
    </row>
    <row r="548">
      <c r="A548" s="18"/>
      <c r="B548" s="80"/>
      <c r="C548" s="18"/>
      <c r="D548" s="80"/>
      <c r="E548" s="80"/>
      <c r="F548" s="134"/>
      <c r="G548" s="18"/>
      <c r="H548" s="18"/>
      <c r="I548" s="18"/>
      <c r="J548" s="18"/>
      <c r="K548" s="18"/>
      <c r="L548" s="18"/>
      <c r="M548" s="18"/>
      <c r="N548" s="18"/>
      <c r="O548" s="18"/>
      <c r="P548" s="18"/>
      <c r="Q548" s="18"/>
      <c r="R548" s="18"/>
      <c r="S548" s="18"/>
      <c r="T548" s="18"/>
      <c r="U548" s="18"/>
      <c r="V548" s="18"/>
      <c r="W548" s="18"/>
      <c r="X548" s="18"/>
      <c r="Y548" s="18"/>
      <c r="Z548" s="18"/>
    </row>
    <row r="549">
      <c r="A549" s="18"/>
      <c r="B549" s="80"/>
      <c r="C549" s="18"/>
      <c r="D549" s="80"/>
      <c r="E549" s="80"/>
      <c r="F549" s="134"/>
      <c r="G549" s="18"/>
      <c r="H549" s="18"/>
      <c r="I549" s="18"/>
      <c r="J549" s="18"/>
      <c r="K549" s="18"/>
      <c r="L549" s="18"/>
      <c r="M549" s="18"/>
      <c r="N549" s="18"/>
      <c r="O549" s="18"/>
      <c r="P549" s="18"/>
      <c r="Q549" s="18"/>
      <c r="R549" s="18"/>
      <c r="S549" s="18"/>
      <c r="T549" s="18"/>
      <c r="U549" s="18"/>
      <c r="V549" s="18"/>
      <c r="W549" s="18"/>
      <c r="X549" s="18"/>
      <c r="Y549" s="18"/>
      <c r="Z549" s="18"/>
    </row>
    <row r="550">
      <c r="A550" s="18"/>
      <c r="B550" s="80"/>
      <c r="C550" s="18"/>
      <c r="D550" s="80"/>
      <c r="E550" s="80"/>
      <c r="F550" s="134"/>
      <c r="G550" s="18"/>
      <c r="H550" s="18"/>
      <c r="I550" s="18"/>
      <c r="J550" s="18"/>
      <c r="K550" s="18"/>
      <c r="L550" s="18"/>
      <c r="M550" s="18"/>
      <c r="N550" s="18"/>
      <c r="O550" s="18"/>
      <c r="P550" s="18"/>
      <c r="Q550" s="18"/>
      <c r="R550" s="18"/>
      <c r="S550" s="18"/>
      <c r="T550" s="18"/>
      <c r="U550" s="18"/>
      <c r="V550" s="18"/>
      <c r="W550" s="18"/>
      <c r="X550" s="18"/>
      <c r="Y550" s="18"/>
      <c r="Z550" s="18"/>
    </row>
    <row r="551">
      <c r="A551" s="18"/>
      <c r="B551" s="80"/>
      <c r="C551" s="18"/>
      <c r="D551" s="80"/>
      <c r="E551" s="80"/>
      <c r="F551" s="134"/>
      <c r="G551" s="18"/>
      <c r="H551" s="18"/>
      <c r="I551" s="18"/>
      <c r="J551" s="18"/>
      <c r="K551" s="18"/>
      <c r="L551" s="18"/>
      <c r="M551" s="18"/>
      <c r="N551" s="18"/>
      <c r="O551" s="18"/>
      <c r="P551" s="18"/>
      <c r="Q551" s="18"/>
      <c r="R551" s="18"/>
      <c r="S551" s="18"/>
      <c r="T551" s="18"/>
      <c r="U551" s="18"/>
      <c r="V551" s="18"/>
      <c r="W551" s="18"/>
      <c r="X551" s="18"/>
      <c r="Y551" s="18"/>
      <c r="Z551" s="18"/>
    </row>
    <row r="552">
      <c r="A552" s="18"/>
      <c r="B552" s="80"/>
      <c r="C552" s="18"/>
      <c r="D552" s="80"/>
      <c r="E552" s="80"/>
      <c r="F552" s="134"/>
      <c r="G552" s="18"/>
      <c r="H552" s="18"/>
      <c r="I552" s="18"/>
      <c r="J552" s="18"/>
      <c r="K552" s="18"/>
      <c r="L552" s="18"/>
      <c r="M552" s="18"/>
      <c r="N552" s="18"/>
      <c r="O552" s="18"/>
      <c r="P552" s="18"/>
      <c r="Q552" s="18"/>
      <c r="R552" s="18"/>
      <c r="S552" s="18"/>
      <c r="T552" s="18"/>
      <c r="U552" s="18"/>
      <c r="V552" s="18"/>
      <c r="W552" s="18"/>
      <c r="X552" s="18"/>
      <c r="Y552" s="18"/>
      <c r="Z552" s="18"/>
    </row>
    <row r="553">
      <c r="A553" s="18"/>
      <c r="B553" s="80"/>
      <c r="C553" s="18"/>
      <c r="D553" s="80"/>
      <c r="E553" s="80"/>
      <c r="F553" s="134"/>
      <c r="G553" s="18"/>
      <c r="H553" s="18"/>
      <c r="I553" s="18"/>
      <c r="J553" s="18"/>
      <c r="K553" s="18"/>
      <c r="L553" s="18"/>
      <c r="M553" s="18"/>
      <c r="N553" s="18"/>
      <c r="O553" s="18"/>
      <c r="P553" s="18"/>
      <c r="Q553" s="18"/>
      <c r="R553" s="18"/>
      <c r="S553" s="18"/>
      <c r="T553" s="18"/>
      <c r="U553" s="18"/>
      <c r="V553" s="18"/>
      <c r="W553" s="18"/>
      <c r="X553" s="18"/>
      <c r="Y553" s="18"/>
      <c r="Z553" s="18"/>
    </row>
    <row r="554">
      <c r="A554" s="18"/>
      <c r="B554" s="80"/>
      <c r="C554" s="18"/>
      <c r="D554" s="80"/>
      <c r="E554" s="80"/>
      <c r="F554" s="134"/>
      <c r="G554" s="18"/>
      <c r="H554" s="18"/>
      <c r="I554" s="18"/>
      <c r="J554" s="18"/>
      <c r="K554" s="18"/>
      <c r="L554" s="18"/>
      <c r="M554" s="18"/>
      <c r="N554" s="18"/>
      <c r="O554" s="18"/>
      <c r="P554" s="18"/>
      <c r="Q554" s="18"/>
      <c r="R554" s="18"/>
      <c r="S554" s="18"/>
      <c r="T554" s="18"/>
      <c r="U554" s="18"/>
      <c r="V554" s="18"/>
      <c r="W554" s="18"/>
      <c r="X554" s="18"/>
      <c r="Y554" s="18"/>
      <c r="Z554" s="18"/>
    </row>
    <row r="555">
      <c r="A555" s="18"/>
      <c r="B555" s="80"/>
      <c r="C555" s="18"/>
      <c r="D555" s="80"/>
      <c r="E555" s="80"/>
      <c r="F555" s="134"/>
      <c r="G555" s="18"/>
      <c r="H555" s="18"/>
      <c r="I555" s="18"/>
      <c r="J555" s="18"/>
      <c r="K555" s="18"/>
      <c r="L555" s="18"/>
      <c r="M555" s="18"/>
      <c r="N555" s="18"/>
      <c r="O555" s="18"/>
      <c r="P555" s="18"/>
      <c r="Q555" s="18"/>
      <c r="R555" s="18"/>
      <c r="S555" s="18"/>
      <c r="T555" s="18"/>
      <c r="U555" s="18"/>
      <c r="V555" s="18"/>
      <c r="W555" s="18"/>
      <c r="X555" s="18"/>
      <c r="Y555" s="18"/>
      <c r="Z555" s="18"/>
    </row>
    <row r="556">
      <c r="A556" s="18"/>
      <c r="B556" s="80"/>
      <c r="C556" s="18"/>
      <c r="D556" s="80"/>
      <c r="E556" s="80"/>
      <c r="F556" s="134"/>
      <c r="G556" s="18"/>
      <c r="H556" s="18"/>
      <c r="I556" s="18"/>
      <c r="J556" s="18"/>
      <c r="K556" s="18"/>
      <c r="L556" s="18"/>
      <c r="M556" s="18"/>
      <c r="N556" s="18"/>
      <c r="O556" s="18"/>
      <c r="P556" s="18"/>
      <c r="Q556" s="18"/>
      <c r="R556" s="18"/>
      <c r="S556" s="18"/>
      <c r="T556" s="18"/>
      <c r="U556" s="18"/>
      <c r="V556" s="18"/>
      <c r="W556" s="18"/>
      <c r="X556" s="18"/>
      <c r="Y556" s="18"/>
      <c r="Z556" s="18"/>
    </row>
    <row r="557">
      <c r="A557" s="18"/>
      <c r="B557" s="80"/>
      <c r="C557" s="18"/>
      <c r="D557" s="80"/>
      <c r="E557" s="80"/>
      <c r="F557" s="134"/>
      <c r="G557" s="18"/>
      <c r="H557" s="18"/>
      <c r="I557" s="18"/>
      <c r="J557" s="18"/>
      <c r="K557" s="18"/>
      <c r="L557" s="18"/>
      <c r="M557" s="18"/>
      <c r="N557" s="18"/>
      <c r="O557" s="18"/>
      <c r="P557" s="18"/>
      <c r="Q557" s="18"/>
      <c r="R557" s="18"/>
      <c r="S557" s="18"/>
      <c r="T557" s="18"/>
      <c r="U557" s="18"/>
      <c r="V557" s="18"/>
      <c r="W557" s="18"/>
      <c r="X557" s="18"/>
      <c r="Y557" s="18"/>
      <c r="Z557" s="18"/>
    </row>
    <row r="558">
      <c r="A558" s="18"/>
      <c r="B558" s="80"/>
      <c r="C558" s="18"/>
      <c r="D558" s="80"/>
      <c r="E558" s="80"/>
      <c r="F558" s="134"/>
      <c r="G558" s="18"/>
      <c r="H558" s="18"/>
      <c r="I558" s="18"/>
      <c r="J558" s="18"/>
      <c r="K558" s="18"/>
      <c r="L558" s="18"/>
      <c r="M558" s="18"/>
      <c r="N558" s="18"/>
      <c r="O558" s="18"/>
      <c r="P558" s="18"/>
      <c r="Q558" s="18"/>
      <c r="R558" s="18"/>
      <c r="S558" s="18"/>
      <c r="T558" s="18"/>
      <c r="U558" s="18"/>
      <c r="V558" s="18"/>
      <c r="W558" s="18"/>
      <c r="X558" s="18"/>
      <c r="Y558" s="18"/>
      <c r="Z558" s="18"/>
    </row>
    <row r="559">
      <c r="A559" s="18"/>
      <c r="B559" s="80"/>
      <c r="C559" s="18"/>
      <c r="D559" s="80"/>
      <c r="E559" s="80"/>
      <c r="F559" s="134"/>
      <c r="G559" s="18"/>
      <c r="H559" s="18"/>
      <c r="I559" s="18"/>
      <c r="J559" s="18"/>
      <c r="K559" s="18"/>
      <c r="L559" s="18"/>
      <c r="M559" s="18"/>
      <c r="N559" s="18"/>
      <c r="O559" s="18"/>
      <c r="P559" s="18"/>
      <c r="Q559" s="18"/>
      <c r="R559" s="18"/>
      <c r="S559" s="18"/>
      <c r="T559" s="18"/>
      <c r="U559" s="18"/>
      <c r="V559" s="18"/>
      <c r="W559" s="18"/>
      <c r="X559" s="18"/>
      <c r="Y559" s="18"/>
      <c r="Z559" s="18"/>
    </row>
    <row r="560">
      <c r="A560" s="18"/>
      <c r="B560" s="80"/>
      <c r="C560" s="18"/>
      <c r="D560" s="80"/>
      <c r="E560" s="80"/>
      <c r="F560" s="134"/>
      <c r="G560" s="18"/>
      <c r="H560" s="18"/>
      <c r="I560" s="18"/>
      <c r="J560" s="18"/>
      <c r="K560" s="18"/>
      <c r="L560" s="18"/>
      <c r="M560" s="18"/>
      <c r="N560" s="18"/>
      <c r="O560" s="18"/>
      <c r="P560" s="18"/>
      <c r="Q560" s="18"/>
      <c r="R560" s="18"/>
      <c r="S560" s="18"/>
      <c r="T560" s="18"/>
      <c r="U560" s="18"/>
      <c r="V560" s="18"/>
      <c r="W560" s="18"/>
      <c r="X560" s="18"/>
      <c r="Y560" s="18"/>
      <c r="Z560" s="18"/>
    </row>
    <row r="561">
      <c r="A561" s="18"/>
      <c r="B561" s="80"/>
      <c r="C561" s="18"/>
      <c r="D561" s="80"/>
      <c r="E561" s="80"/>
      <c r="F561" s="134"/>
      <c r="G561" s="18"/>
      <c r="H561" s="18"/>
      <c r="I561" s="18"/>
      <c r="J561" s="18"/>
      <c r="K561" s="18"/>
      <c r="L561" s="18"/>
      <c r="M561" s="18"/>
      <c r="N561" s="18"/>
      <c r="O561" s="18"/>
      <c r="P561" s="18"/>
      <c r="Q561" s="18"/>
      <c r="R561" s="18"/>
      <c r="S561" s="18"/>
      <c r="T561" s="18"/>
      <c r="U561" s="18"/>
      <c r="V561" s="18"/>
      <c r="W561" s="18"/>
      <c r="X561" s="18"/>
      <c r="Y561" s="18"/>
      <c r="Z561" s="18"/>
    </row>
    <row r="562">
      <c r="A562" s="18"/>
      <c r="B562" s="80"/>
      <c r="C562" s="18"/>
      <c r="D562" s="80"/>
      <c r="E562" s="80"/>
      <c r="F562" s="134"/>
      <c r="G562" s="18"/>
      <c r="H562" s="18"/>
      <c r="I562" s="18"/>
      <c r="J562" s="18"/>
      <c r="K562" s="18"/>
      <c r="L562" s="18"/>
      <c r="M562" s="18"/>
      <c r="N562" s="18"/>
      <c r="O562" s="18"/>
      <c r="P562" s="18"/>
      <c r="Q562" s="18"/>
      <c r="R562" s="18"/>
      <c r="S562" s="18"/>
      <c r="T562" s="18"/>
      <c r="U562" s="18"/>
      <c r="V562" s="18"/>
      <c r="W562" s="18"/>
      <c r="X562" s="18"/>
      <c r="Y562" s="18"/>
      <c r="Z562" s="18"/>
    </row>
    <row r="563">
      <c r="A563" s="18"/>
      <c r="B563" s="80"/>
      <c r="C563" s="18"/>
      <c r="D563" s="80"/>
      <c r="E563" s="80"/>
      <c r="F563" s="134"/>
      <c r="G563" s="18"/>
      <c r="H563" s="18"/>
      <c r="I563" s="18"/>
      <c r="J563" s="18"/>
      <c r="K563" s="18"/>
      <c r="L563" s="18"/>
      <c r="M563" s="18"/>
      <c r="N563" s="18"/>
      <c r="O563" s="18"/>
      <c r="P563" s="18"/>
      <c r="Q563" s="18"/>
      <c r="R563" s="18"/>
      <c r="S563" s="18"/>
      <c r="T563" s="18"/>
      <c r="U563" s="18"/>
      <c r="V563" s="18"/>
      <c r="W563" s="18"/>
      <c r="X563" s="18"/>
      <c r="Y563" s="18"/>
      <c r="Z563" s="18"/>
    </row>
    <row r="564">
      <c r="A564" s="18"/>
      <c r="B564" s="80"/>
      <c r="C564" s="18"/>
      <c r="D564" s="80"/>
      <c r="E564" s="80"/>
      <c r="F564" s="134"/>
      <c r="G564" s="18"/>
      <c r="H564" s="18"/>
      <c r="I564" s="18"/>
      <c r="J564" s="18"/>
      <c r="K564" s="18"/>
      <c r="L564" s="18"/>
      <c r="M564" s="18"/>
      <c r="N564" s="18"/>
      <c r="O564" s="18"/>
      <c r="P564" s="18"/>
      <c r="Q564" s="18"/>
      <c r="R564" s="18"/>
      <c r="S564" s="18"/>
      <c r="T564" s="18"/>
      <c r="U564" s="18"/>
      <c r="V564" s="18"/>
      <c r="W564" s="18"/>
      <c r="X564" s="18"/>
      <c r="Y564" s="18"/>
      <c r="Z564" s="18"/>
    </row>
    <row r="565">
      <c r="A565" s="18"/>
      <c r="B565" s="80"/>
      <c r="C565" s="18"/>
      <c r="D565" s="80"/>
      <c r="E565" s="80"/>
      <c r="F565" s="134"/>
      <c r="G565" s="18"/>
      <c r="H565" s="18"/>
      <c r="I565" s="18"/>
      <c r="J565" s="18"/>
      <c r="K565" s="18"/>
      <c r="L565" s="18"/>
      <c r="M565" s="18"/>
      <c r="N565" s="18"/>
      <c r="O565" s="18"/>
      <c r="P565" s="18"/>
      <c r="Q565" s="18"/>
      <c r="R565" s="18"/>
      <c r="S565" s="18"/>
      <c r="T565" s="18"/>
      <c r="U565" s="18"/>
      <c r="V565" s="18"/>
      <c r="W565" s="18"/>
      <c r="X565" s="18"/>
      <c r="Y565" s="18"/>
      <c r="Z565" s="18"/>
    </row>
    <row r="566">
      <c r="A566" s="18"/>
      <c r="B566" s="80"/>
      <c r="C566" s="18"/>
      <c r="D566" s="80"/>
      <c r="E566" s="80"/>
      <c r="F566" s="134"/>
      <c r="G566" s="18"/>
      <c r="H566" s="18"/>
      <c r="I566" s="18"/>
      <c r="J566" s="18"/>
      <c r="K566" s="18"/>
      <c r="L566" s="18"/>
      <c r="M566" s="18"/>
      <c r="N566" s="18"/>
      <c r="O566" s="18"/>
      <c r="P566" s="18"/>
      <c r="Q566" s="18"/>
      <c r="R566" s="18"/>
      <c r="S566" s="18"/>
      <c r="T566" s="18"/>
      <c r="U566" s="18"/>
      <c r="V566" s="18"/>
      <c r="W566" s="18"/>
      <c r="X566" s="18"/>
      <c r="Y566" s="18"/>
      <c r="Z566" s="18"/>
    </row>
    <row r="567">
      <c r="A567" s="18"/>
      <c r="B567" s="80"/>
      <c r="C567" s="18"/>
      <c r="D567" s="80"/>
      <c r="E567" s="80"/>
      <c r="F567" s="134"/>
      <c r="G567" s="18"/>
      <c r="H567" s="18"/>
      <c r="I567" s="18"/>
      <c r="J567" s="18"/>
      <c r="K567" s="18"/>
      <c r="L567" s="18"/>
      <c r="M567" s="18"/>
      <c r="N567" s="18"/>
      <c r="O567" s="18"/>
      <c r="P567" s="18"/>
      <c r="Q567" s="18"/>
      <c r="R567" s="18"/>
      <c r="S567" s="18"/>
      <c r="T567" s="18"/>
      <c r="U567" s="18"/>
      <c r="V567" s="18"/>
      <c r="W567" s="18"/>
      <c r="X567" s="18"/>
      <c r="Y567" s="18"/>
      <c r="Z567" s="18"/>
    </row>
    <row r="568">
      <c r="A568" s="18"/>
      <c r="B568" s="80"/>
      <c r="C568" s="18"/>
      <c r="D568" s="80"/>
      <c r="E568" s="80"/>
      <c r="F568" s="134"/>
      <c r="G568" s="18"/>
      <c r="H568" s="18"/>
      <c r="I568" s="18"/>
      <c r="J568" s="18"/>
      <c r="K568" s="18"/>
      <c r="L568" s="18"/>
      <c r="M568" s="18"/>
      <c r="N568" s="18"/>
      <c r="O568" s="18"/>
      <c r="P568" s="18"/>
      <c r="Q568" s="18"/>
      <c r="R568" s="18"/>
      <c r="S568" s="18"/>
      <c r="T568" s="18"/>
      <c r="U568" s="18"/>
      <c r="V568" s="18"/>
      <c r="W568" s="18"/>
      <c r="X568" s="18"/>
      <c r="Y568" s="18"/>
      <c r="Z568" s="18"/>
    </row>
    <row r="569">
      <c r="A569" s="18"/>
      <c r="B569" s="80"/>
      <c r="C569" s="18"/>
      <c r="D569" s="80"/>
      <c r="E569" s="80"/>
      <c r="F569" s="134"/>
      <c r="G569" s="18"/>
      <c r="H569" s="18"/>
      <c r="I569" s="18"/>
      <c r="J569" s="18"/>
      <c r="K569" s="18"/>
      <c r="L569" s="18"/>
      <c r="M569" s="18"/>
      <c r="N569" s="18"/>
      <c r="O569" s="18"/>
      <c r="P569" s="18"/>
      <c r="Q569" s="18"/>
      <c r="R569" s="18"/>
      <c r="S569" s="18"/>
      <c r="T569" s="18"/>
      <c r="U569" s="18"/>
      <c r="V569" s="18"/>
      <c r="W569" s="18"/>
      <c r="X569" s="18"/>
      <c r="Y569" s="18"/>
      <c r="Z569" s="18"/>
    </row>
    <row r="570">
      <c r="A570" s="18"/>
      <c r="B570" s="80"/>
      <c r="C570" s="18"/>
      <c r="D570" s="80"/>
      <c r="E570" s="80"/>
      <c r="F570" s="134"/>
      <c r="G570" s="18"/>
      <c r="H570" s="18"/>
      <c r="I570" s="18"/>
      <c r="J570" s="18"/>
      <c r="K570" s="18"/>
      <c r="L570" s="18"/>
      <c r="M570" s="18"/>
      <c r="N570" s="18"/>
      <c r="O570" s="18"/>
      <c r="P570" s="18"/>
      <c r="Q570" s="18"/>
      <c r="R570" s="18"/>
      <c r="S570" s="18"/>
      <c r="T570" s="18"/>
      <c r="U570" s="18"/>
      <c r="V570" s="18"/>
      <c r="W570" s="18"/>
      <c r="X570" s="18"/>
      <c r="Y570" s="18"/>
      <c r="Z570" s="18"/>
    </row>
    <row r="571">
      <c r="A571" s="18"/>
      <c r="B571" s="80"/>
      <c r="C571" s="18"/>
      <c r="D571" s="80"/>
      <c r="E571" s="80"/>
      <c r="F571" s="134"/>
      <c r="G571" s="18"/>
      <c r="H571" s="18"/>
      <c r="I571" s="18"/>
      <c r="J571" s="18"/>
      <c r="K571" s="18"/>
      <c r="L571" s="18"/>
      <c r="M571" s="18"/>
      <c r="N571" s="18"/>
      <c r="O571" s="18"/>
      <c r="P571" s="18"/>
      <c r="Q571" s="18"/>
      <c r="R571" s="18"/>
      <c r="S571" s="18"/>
      <c r="T571" s="18"/>
      <c r="U571" s="18"/>
      <c r="V571" s="18"/>
      <c r="W571" s="18"/>
      <c r="X571" s="18"/>
      <c r="Y571" s="18"/>
      <c r="Z571" s="18"/>
    </row>
    <row r="572">
      <c r="A572" s="18"/>
      <c r="B572" s="80"/>
      <c r="C572" s="18"/>
      <c r="D572" s="80"/>
      <c r="E572" s="80"/>
      <c r="F572" s="134"/>
      <c r="G572" s="18"/>
      <c r="H572" s="18"/>
      <c r="I572" s="18"/>
      <c r="J572" s="18"/>
      <c r="K572" s="18"/>
      <c r="L572" s="18"/>
      <c r="M572" s="18"/>
      <c r="N572" s="18"/>
      <c r="O572" s="18"/>
      <c r="P572" s="18"/>
      <c r="Q572" s="18"/>
      <c r="R572" s="18"/>
      <c r="S572" s="18"/>
      <c r="T572" s="18"/>
      <c r="U572" s="18"/>
      <c r="V572" s="18"/>
      <c r="W572" s="18"/>
      <c r="X572" s="18"/>
      <c r="Y572" s="18"/>
      <c r="Z572" s="18"/>
    </row>
    <row r="573">
      <c r="A573" s="18"/>
      <c r="B573" s="80"/>
      <c r="C573" s="18"/>
      <c r="D573" s="80"/>
      <c r="E573" s="80"/>
      <c r="F573" s="134"/>
      <c r="G573" s="18"/>
      <c r="H573" s="18"/>
      <c r="I573" s="18"/>
      <c r="J573" s="18"/>
      <c r="K573" s="18"/>
      <c r="L573" s="18"/>
      <c r="M573" s="18"/>
      <c r="N573" s="18"/>
      <c r="O573" s="18"/>
      <c r="P573" s="18"/>
      <c r="Q573" s="18"/>
      <c r="R573" s="18"/>
      <c r="S573" s="18"/>
      <c r="T573" s="18"/>
      <c r="U573" s="18"/>
      <c r="V573" s="18"/>
      <c r="W573" s="18"/>
      <c r="X573" s="18"/>
      <c r="Y573" s="18"/>
      <c r="Z573" s="18"/>
    </row>
    <row r="574">
      <c r="A574" s="18"/>
      <c r="B574" s="80"/>
      <c r="C574" s="18"/>
      <c r="D574" s="80"/>
      <c r="E574" s="80"/>
      <c r="F574" s="134"/>
      <c r="G574" s="18"/>
      <c r="H574" s="18"/>
      <c r="I574" s="18"/>
      <c r="J574" s="18"/>
      <c r="K574" s="18"/>
      <c r="L574" s="18"/>
      <c r="M574" s="18"/>
      <c r="N574" s="18"/>
      <c r="O574" s="18"/>
      <c r="P574" s="18"/>
      <c r="Q574" s="18"/>
      <c r="R574" s="18"/>
      <c r="S574" s="18"/>
      <c r="T574" s="18"/>
      <c r="U574" s="18"/>
      <c r="V574" s="18"/>
      <c r="W574" s="18"/>
      <c r="X574" s="18"/>
      <c r="Y574" s="18"/>
      <c r="Z574" s="18"/>
    </row>
    <row r="575">
      <c r="A575" s="18"/>
      <c r="B575" s="80"/>
      <c r="C575" s="18"/>
      <c r="D575" s="80"/>
      <c r="E575" s="80"/>
      <c r="F575" s="134"/>
      <c r="G575" s="18"/>
      <c r="H575" s="18"/>
      <c r="I575" s="18"/>
      <c r="J575" s="18"/>
      <c r="K575" s="18"/>
      <c r="L575" s="18"/>
      <c r="M575" s="18"/>
      <c r="N575" s="18"/>
      <c r="O575" s="18"/>
      <c r="P575" s="18"/>
      <c r="Q575" s="18"/>
      <c r="R575" s="18"/>
      <c r="S575" s="18"/>
      <c r="T575" s="18"/>
      <c r="U575" s="18"/>
      <c r="V575" s="18"/>
      <c r="W575" s="18"/>
      <c r="X575" s="18"/>
      <c r="Y575" s="18"/>
      <c r="Z575" s="18"/>
    </row>
    <row r="576">
      <c r="A576" s="18"/>
      <c r="B576" s="80"/>
      <c r="C576" s="18"/>
      <c r="D576" s="80"/>
      <c r="E576" s="80"/>
      <c r="F576" s="134"/>
      <c r="G576" s="18"/>
      <c r="H576" s="18"/>
      <c r="I576" s="18"/>
      <c r="J576" s="18"/>
      <c r="K576" s="18"/>
      <c r="L576" s="18"/>
      <c r="M576" s="18"/>
      <c r="N576" s="18"/>
      <c r="O576" s="18"/>
      <c r="P576" s="18"/>
      <c r="Q576" s="18"/>
      <c r="R576" s="18"/>
      <c r="S576" s="18"/>
      <c r="T576" s="18"/>
      <c r="U576" s="18"/>
      <c r="V576" s="18"/>
      <c r="W576" s="18"/>
      <c r="X576" s="18"/>
      <c r="Y576" s="18"/>
      <c r="Z576" s="18"/>
    </row>
    <row r="577">
      <c r="A577" s="18"/>
      <c r="B577" s="80"/>
      <c r="C577" s="18"/>
      <c r="D577" s="80"/>
      <c r="E577" s="80"/>
      <c r="F577" s="134"/>
      <c r="G577" s="18"/>
      <c r="H577" s="18"/>
      <c r="I577" s="18"/>
      <c r="J577" s="18"/>
      <c r="K577" s="18"/>
      <c r="L577" s="18"/>
      <c r="M577" s="18"/>
      <c r="N577" s="18"/>
      <c r="O577" s="18"/>
      <c r="P577" s="18"/>
      <c r="Q577" s="18"/>
      <c r="R577" s="18"/>
      <c r="S577" s="18"/>
      <c r="T577" s="18"/>
      <c r="U577" s="18"/>
      <c r="V577" s="18"/>
      <c r="W577" s="18"/>
      <c r="X577" s="18"/>
      <c r="Y577" s="18"/>
      <c r="Z577" s="18"/>
    </row>
    <row r="578">
      <c r="A578" s="18"/>
      <c r="B578" s="80"/>
      <c r="C578" s="18"/>
      <c r="D578" s="80"/>
      <c r="E578" s="80"/>
      <c r="F578" s="134"/>
      <c r="G578" s="18"/>
      <c r="H578" s="18"/>
      <c r="I578" s="18"/>
      <c r="J578" s="18"/>
      <c r="K578" s="18"/>
      <c r="L578" s="18"/>
      <c r="M578" s="18"/>
      <c r="N578" s="18"/>
      <c r="O578" s="18"/>
      <c r="P578" s="18"/>
      <c r="Q578" s="18"/>
      <c r="R578" s="18"/>
      <c r="S578" s="18"/>
      <c r="T578" s="18"/>
      <c r="U578" s="18"/>
      <c r="V578" s="18"/>
      <c r="W578" s="18"/>
      <c r="X578" s="18"/>
      <c r="Y578" s="18"/>
      <c r="Z578" s="18"/>
    </row>
    <row r="579">
      <c r="A579" s="18"/>
      <c r="B579" s="80"/>
      <c r="C579" s="18"/>
      <c r="D579" s="80"/>
      <c r="E579" s="80"/>
      <c r="F579" s="134"/>
      <c r="G579" s="18"/>
      <c r="H579" s="18"/>
      <c r="I579" s="18"/>
      <c r="J579" s="18"/>
      <c r="K579" s="18"/>
      <c r="L579" s="18"/>
      <c r="M579" s="18"/>
      <c r="N579" s="18"/>
      <c r="O579" s="18"/>
      <c r="P579" s="18"/>
      <c r="Q579" s="18"/>
      <c r="R579" s="18"/>
      <c r="S579" s="18"/>
      <c r="T579" s="18"/>
      <c r="U579" s="18"/>
      <c r="V579" s="18"/>
      <c r="W579" s="18"/>
      <c r="X579" s="18"/>
      <c r="Y579" s="18"/>
      <c r="Z579" s="18"/>
    </row>
    <row r="580">
      <c r="A580" s="18"/>
      <c r="B580" s="80"/>
      <c r="C580" s="18"/>
      <c r="D580" s="80"/>
      <c r="E580" s="80"/>
      <c r="F580" s="134"/>
      <c r="G580" s="18"/>
      <c r="H580" s="18"/>
      <c r="I580" s="18"/>
      <c r="J580" s="18"/>
      <c r="K580" s="18"/>
      <c r="L580" s="18"/>
      <c r="M580" s="18"/>
      <c r="N580" s="18"/>
      <c r="O580" s="18"/>
      <c r="P580" s="18"/>
      <c r="Q580" s="18"/>
      <c r="R580" s="18"/>
      <c r="S580" s="18"/>
      <c r="T580" s="18"/>
      <c r="U580" s="18"/>
      <c r="V580" s="18"/>
      <c r="W580" s="18"/>
      <c r="X580" s="18"/>
      <c r="Y580" s="18"/>
      <c r="Z580" s="18"/>
    </row>
    <row r="581">
      <c r="A581" s="18"/>
      <c r="B581" s="80"/>
      <c r="C581" s="18"/>
      <c r="D581" s="80"/>
      <c r="E581" s="80"/>
      <c r="F581" s="134"/>
      <c r="G581" s="18"/>
      <c r="H581" s="18"/>
      <c r="I581" s="18"/>
      <c r="J581" s="18"/>
      <c r="K581" s="18"/>
      <c r="L581" s="18"/>
      <c r="M581" s="18"/>
      <c r="N581" s="18"/>
      <c r="O581" s="18"/>
      <c r="P581" s="18"/>
      <c r="Q581" s="18"/>
      <c r="R581" s="18"/>
      <c r="S581" s="18"/>
      <c r="T581" s="18"/>
      <c r="U581" s="18"/>
      <c r="V581" s="18"/>
      <c r="W581" s="18"/>
      <c r="X581" s="18"/>
      <c r="Y581" s="18"/>
      <c r="Z581" s="18"/>
    </row>
    <row r="582">
      <c r="A582" s="18"/>
      <c r="B582" s="80"/>
      <c r="C582" s="18"/>
      <c r="D582" s="80"/>
      <c r="E582" s="80"/>
      <c r="F582" s="134"/>
      <c r="G582" s="18"/>
      <c r="H582" s="18"/>
      <c r="I582" s="18"/>
      <c r="J582" s="18"/>
      <c r="K582" s="18"/>
      <c r="L582" s="18"/>
      <c r="M582" s="18"/>
      <c r="N582" s="18"/>
      <c r="O582" s="18"/>
      <c r="P582" s="18"/>
      <c r="Q582" s="18"/>
      <c r="R582" s="18"/>
      <c r="S582" s="18"/>
      <c r="T582" s="18"/>
      <c r="U582" s="18"/>
      <c r="V582" s="18"/>
      <c r="W582" s="18"/>
      <c r="X582" s="18"/>
      <c r="Y582" s="18"/>
      <c r="Z582" s="18"/>
    </row>
    <row r="583">
      <c r="A583" s="18"/>
      <c r="B583" s="80"/>
      <c r="C583" s="18"/>
      <c r="D583" s="80"/>
      <c r="E583" s="80"/>
      <c r="F583" s="134"/>
      <c r="G583" s="18"/>
      <c r="H583" s="18"/>
      <c r="I583" s="18"/>
      <c r="J583" s="18"/>
      <c r="K583" s="18"/>
      <c r="L583" s="18"/>
      <c r="M583" s="18"/>
      <c r="N583" s="18"/>
      <c r="O583" s="18"/>
      <c r="P583" s="18"/>
      <c r="Q583" s="18"/>
      <c r="R583" s="18"/>
      <c r="S583" s="18"/>
      <c r="T583" s="18"/>
      <c r="U583" s="18"/>
      <c r="V583" s="18"/>
      <c r="W583" s="18"/>
      <c r="X583" s="18"/>
      <c r="Y583" s="18"/>
      <c r="Z583" s="18"/>
    </row>
    <row r="584">
      <c r="A584" s="18"/>
      <c r="B584" s="80"/>
      <c r="C584" s="18"/>
      <c r="D584" s="80"/>
      <c r="E584" s="80"/>
      <c r="F584" s="134"/>
      <c r="G584" s="18"/>
      <c r="H584" s="18"/>
      <c r="I584" s="18"/>
      <c r="J584" s="18"/>
      <c r="K584" s="18"/>
      <c r="L584" s="18"/>
      <c r="M584" s="18"/>
      <c r="N584" s="18"/>
      <c r="O584" s="18"/>
      <c r="P584" s="18"/>
      <c r="Q584" s="18"/>
      <c r="R584" s="18"/>
      <c r="S584" s="18"/>
      <c r="T584" s="18"/>
      <c r="U584" s="18"/>
      <c r="V584" s="18"/>
      <c r="W584" s="18"/>
      <c r="X584" s="18"/>
      <c r="Y584" s="18"/>
      <c r="Z584" s="18"/>
    </row>
    <row r="585">
      <c r="A585" s="18"/>
      <c r="B585" s="80"/>
      <c r="C585" s="18"/>
      <c r="D585" s="80"/>
      <c r="E585" s="80"/>
      <c r="F585" s="134"/>
      <c r="G585" s="18"/>
      <c r="H585" s="18"/>
      <c r="I585" s="18"/>
      <c r="J585" s="18"/>
      <c r="K585" s="18"/>
      <c r="L585" s="18"/>
      <c r="M585" s="18"/>
      <c r="N585" s="18"/>
      <c r="O585" s="18"/>
      <c r="P585" s="18"/>
      <c r="Q585" s="18"/>
      <c r="R585" s="18"/>
      <c r="S585" s="18"/>
      <c r="T585" s="18"/>
      <c r="U585" s="18"/>
      <c r="V585" s="18"/>
      <c r="W585" s="18"/>
      <c r="X585" s="18"/>
      <c r="Y585" s="18"/>
      <c r="Z585" s="18"/>
    </row>
    <row r="586">
      <c r="A586" s="18"/>
      <c r="B586" s="80"/>
      <c r="C586" s="18"/>
      <c r="D586" s="80"/>
      <c r="E586" s="80"/>
      <c r="F586" s="134"/>
      <c r="G586" s="18"/>
      <c r="H586" s="18"/>
      <c r="I586" s="18"/>
      <c r="J586" s="18"/>
      <c r="K586" s="18"/>
      <c r="L586" s="18"/>
      <c r="M586" s="18"/>
      <c r="N586" s="18"/>
      <c r="O586" s="18"/>
      <c r="P586" s="18"/>
      <c r="Q586" s="18"/>
      <c r="R586" s="18"/>
      <c r="S586" s="18"/>
      <c r="T586" s="18"/>
      <c r="U586" s="18"/>
      <c r="V586" s="18"/>
      <c r="W586" s="18"/>
      <c r="X586" s="18"/>
      <c r="Y586" s="18"/>
      <c r="Z586" s="18"/>
    </row>
    <row r="587">
      <c r="A587" s="18"/>
      <c r="B587" s="80"/>
      <c r="C587" s="18"/>
      <c r="D587" s="80"/>
      <c r="E587" s="80"/>
      <c r="F587" s="134"/>
      <c r="G587" s="18"/>
      <c r="H587" s="18"/>
      <c r="I587" s="18"/>
      <c r="J587" s="18"/>
      <c r="K587" s="18"/>
      <c r="L587" s="18"/>
      <c r="M587" s="18"/>
      <c r="N587" s="18"/>
      <c r="O587" s="18"/>
      <c r="P587" s="18"/>
      <c r="Q587" s="18"/>
      <c r="R587" s="18"/>
      <c r="S587" s="18"/>
      <c r="T587" s="18"/>
      <c r="U587" s="18"/>
      <c r="V587" s="18"/>
      <c r="W587" s="18"/>
      <c r="X587" s="18"/>
      <c r="Y587" s="18"/>
      <c r="Z587" s="18"/>
    </row>
    <row r="588">
      <c r="A588" s="18"/>
      <c r="B588" s="80"/>
      <c r="C588" s="18"/>
      <c r="D588" s="80"/>
      <c r="E588" s="80"/>
      <c r="F588" s="134"/>
      <c r="G588" s="18"/>
      <c r="H588" s="18"/>
      <c r="I588" s="18"/>
      <c r="J588" s="18"/>
      <c r="K588" s="18"/>
      <c r="L588" s="18"/>
      <c r="M588" s="18"/>
      <c r="N588" s="18"/>
      <c r="O588" s="18"/>
      <c r="P588" s="18"/>
      <c r="Q588" s="18"/>
      <c r="R588" s="18"/>
      <c r="S588" s="18"/>
      <c r="T588" s="18"/>
      <c r="U588" s="18"/>
      <c r="V588" s="18"/>
      <c r="W588" s="18"/>
      <c r="X588" s="18"/>
      <c r="Y588" s="18"/>
      <c r="Z588" s="18"/>
    </row>
    <row r="589">
      <c r="A589" s="18"/>
      <c r="B589" s="80"/>
      <c r="C589" s="18"/>
      <c r="D589" s="80"/>
      <c r="E589" s="80"/>
      <c r="F589" s="134"/>
      <c r="G589" s="18"/>
      <c r="H589" s="18"/>
      <c r="I589" s="18"/>
      <c r="J589" s="18"/>
      <c r="K589" s="18"/>
      <c r="L589" s="18"/>
      <c r="M589" s="18"/>
      <c r="N589" s="18"/>
      <c r="O589" s="18"/>
      <c r="P589" s="18"/>
      <c r="Q589" s="18"/>
      <c r="R589" s="18"/>
      <c r="S589" s="18"/>
      <c r="T589" s="18"/>
      <c r="U589" s="18"/>
      <c r="V589" s="18"/>
      <c r="W589" s="18"/>
      <c r="X589" s="18"/>
      <c r="Y589" s="18"/>
      <c r="Z589" s="18"/>
    </row>
    <row r="590">
      <c r="A590" s="18"/>
      <c r="B590" s="80"/>
      <c r="C590" s="18"/>
      <c r="D590" s="80"/>
      <c r="E590" s="80"/>
      <c r="F590" s="134"/>
      <c r="G590" s="18"/>
      <c r="H590" s="18"/>
      <c r="I590" s="18"/>
      <c r="J590" s="18"/>
      <c r="K590" s="18"/>
      <c r="L590" s="18"/>
      <c r="M590" s="18"/>
      <c r="N590" s="18"/>
      <c r="O590" s="18"/>
      <c r="P590" s="18"/>
      <c r="Q590" s="18"/>
      <c r="R590" s="18"/>
      <c r="S590" s="18"/>
      <c r="T590" s="18"/>
      <c r="U590" s="18"/>
      <c r="V590" s="18"/>
      <c r="W590" s="18"/>
      <c r="X590" s="18"/>
      <c r="Y590" s="18"/>
      <c r="Z590" s="18"/>
    </row>
    <row r="591">
      <c r="A591" s="18"/>
      <c r="B591" s="80"/>
      <c r="C591" s="18"/>
      <c r="D591" s="80"/>
      <c r="E591" s="80"/>
      <c r="F591" s="134"/>
      <c r="G591" s="18"/>
      <c r="H591" s="18"/>
      <c r="I591" s="18"/>
      <c r="J591" s="18"/>
      <c r="K591" s="18"/>
      <c r="L591" s="18"/>
      <c r="M591" s="18"/>
      <c r="N591" s="18"/>
      <c r="O591" s="18"/>
      <c r="P591" s="18"/>
      <c r="Q591" s="18"/>
      <c r="R591" s="18"/>
      <c r="S591" s="18"/>
      <c r="T591" s="18"/>
      <c r="U591" s="18"/>
      <c r="V591" s="18"/>
      <c r="W591" s="18"/>
      <c r="X591" s="18"/>
      <c r="Y591" s="18"/>
      <c r="Z591" s="18"/>
    </row>
    <row r="592">
      <c r="A592" s="18"/>
      <c r="B592" s="80"/>
      <c r="C592" s="18"/>
      <c r="D592" s="80"/>
      <c r="E592" s="80"/>
      <c r="F592" s="134"/>
      <c r="G592" s="18"/>
      <c r="H592" s="18"/>
      <c r="I592" s="18"/>
      <c r="J592" s="18"/>
      <c r="K592" s="18"/>
      <c r="L592" s="18"/>
      <c r="M592" s="18"/>
      <c r="N592" s="18"/>
      <c r="O592" s="18"/>
      <c r="P592" s="18"/>
      <c r="Q592" s="18"/>
      <c r="R592" s="18"/>
      <c r="S592" s="18"/>
      <c r="T592" s="18"/>
      <c r="U592" s="18"/>
      <c r="V592" s="18"/>
      <c r="W592" s="18"/>
      <c r="X592" s="18"/>
      <c r="Y592" s="18"/>
      <c r="Z592" s="18"/>
    </row>
    <row r="593">
      <c r="A593" s="18"/>
      <c r="B593" s="80"/>
      <c r="C593" s="18"/>
      <c r="D593" s="80"/>
      <c r="E593" s="80"/>
      <c r="F593" s="134"/>
      <c r="G593" s="18"/>
      <c r="H593" s="18"/>
      <c r="I593" s="18"/>
      <c r="J593" s="18"/>
      <c r="K593" s="18"/>
      <c r="L593" s="18"/>
      <c r="M593" s="18"/>
      <c r="N593" s="18"/>
      <c r="O593" s="18"/>
      <c r="P593" s="18"/>
      <c r="Q593" s="18"/>
      <c r="R593" s="18"/>
      <c r="S593" s="18"/>
      <c r="T593" s="18"/>
      <c r="U593" s="18"/>
      <c r="V593" s="18"/>
      <c r="W593" s="18"/>
      <c r="X593" s="18"/>
      <c r="Y593" s="18"/>
      <c r="Z593" s="18"/>
    </row>
    <row r="594">
      <c r="A594" s="18"/>
      <c r="B594" s="80"/>
      <c r="C594" s="18"/>
      <c r="D594" s="80"/>
      <c r="E594" s="80"/>
      <c r="F594" s="134"/>
      <c r="G594" s="18"/>
      <c r="H594" s="18"/>
      <c r="I594" s="18"/>
      <c r="J594" s="18"/>
      <c r="K594" s="18"/>
      <c r="L594" s="18"/>
      <c r="M594" s="18"/>
      <c r="N594" s="18"/>
      <c r="O594" s="18"/>
      <c r="P594" s="18"/>
      <c r="Q594" s="18"/>
      <c r="R594" s="18"/>
      <c r="S594" s="18"/>
      <c r="T594" s="18"/>
      <c r="U594" s="18"/>
      <c r="V594" s="18"/>
      <c r="W594" s="18"/>
      <c r="X594" s="18"/>
      <c r="Y594" s="18"/>
      <c r="Z594" s="18"/>
    </row>
    <row r="595">
      <c r="A595" s="18"/>
      <c r="B595" s="80"/>
      <c r="C595" s="18"/>
      <c r="D595" s="80"/>
      <c r="E595" s="80"/>
      <c r="F595" s="134"/>
      <c r="G595" s="18"/>
      <c r="H595" s="18"/>
      <c r="I595" s="18"/>
      <c r="J595" s="18"/>
      <c r="K595" s="18"/>
      <c r="L595" s="18"/>
      <c r="M595" s="18"/>
      <c r="N595" s="18"/>
      <c r="O595" s="18"/>
      <c r="P595" s="18"/>
      <c r="Q595" s="18"/>
      <c r="R595" s="18"/>
      <c r="S595" s="18"/>
      <c r="T595" s="18"/>
      <c r="U595" s="18"/>
      <c r="V595" s="18"/>
      <c r="W595" s="18"/>
      <c r="X595" s="18"/>
      <c r="Y595" s="18"/>
      <c r="Z595" s="18"/>
    </row>
    <row r="596">
      <c r="A596" s="18"/>
      <c r="B596" s="80"/>
      <c r="C596" s="18"/>
      <c r="D596" s="80"/>
      <c r="E596" s="80"/>
      <c r="F596" s="134"/>
      <c r="G596" s="18"/>
      <c r="H596" s="18"/>
      <c r="I596" s="18"/>
      <c r="J596" s="18"/>
      <c r="K596" s="18"/>
      <c r="L596" s="18"/>
      <c r="M596" s="18"/>
      <c r="N596" s="18"/>
      <c r="O596" s="18"/>
      <c r="P596" s="18"/>
      <c r="Q596" s="18"/>
      <c r="R596" s="18"/>
      <c r="S596" s="18"/>
      <c r="T596" s="18"/>
      <c r="U596" s="18"/>
      <c r="V596" s="18"/>
      <c r="W596" s="18"/>
      <c r="X596" s="18"/>
      <c r="Y596" s="18"/>
      <c r="Z596" s="18"/>
    </row>
    <row r="597">
      <c r="A597" s="18"/>
      <c r="B597" s="80"/>
      <c r="C597" s="18"/>
      <c r="D597" s="80"/>
      <c r="E597" s="80"/>
      <c r="F597" s="134"/>
      <c r="G597" s="18"/>
      <c r="H597" s="18"/>
      <c r="I597" s="18"/>
      <c r="J597" s="18"/>
      <c r="K597" s="18"/>
      <c r="L597" s="18"/>
      <c r="M597" s="18"/>
      <c r="N597" s="18"/>
      <c r="O597" s="18"/>
      <c r="P597" s="18"/>
      <c r="Q597" s="18"/>
      <c r="R597" s="18"/>
      <c r="S597" s="18"/>
      <c r="T597" s="18"/>
      <c r="U597" s="18"/>
      <c r="V597" s="18"/>
      <c r="W597" s="18"/>
      <c r="X597" s="18"/>
      <c r="Y597" s="18"/>
      <c r="Z597" s="18"/>
    </row>
    <row r="598">
      <c r="A598" s="18"/>
      <c r="B598" s="80"/>
      <c r="C598" s="18"/>
      <c r="D598" s="80"/>
      <c r="E598" s="80"/>
      <c r="F598" s="134"/>
      <c r="G598" s="18"/>
      <c r="H598" s="18"/>
      <c r="I598" s="18"/>
      <c r="J598" s="18"/>
      <c r="K598" s="18"/>
      <c r="L598" s="18"/>
      <c r="M598" s="18"/>
      <c r="N598" s="18"/>
      <c r="O598" s="18"/>
      <c r="P598" s="18"/>
      <c r="Q598" s="18"/>
      <c r="R598" s="18"/>
      <c r="S598" s="18"/>
      <c r="T598" s="18"/>
      <c r="U598" s="18"/>
      <c r="V598" s="18"/>
      <c r="W598" s="18"/>
      <c r="X598" s="18"/>
      <c r="Y598" s="18"/>
      <c r="Z598" s="18"/>
    </row>
    <row r="599">
      <c r="A599" s="18"/>
      <c r="B599" s="80"/>
      <c r="C599" s="18"/>
      <c r="D599" s="80"/>
      <c r="E599" s="80"/>
      <c r="F599" s="134"/>
      <c r="G599" s="18"/>
      <c r="H599" s="18"/>
      <c r="I599" s="18"/>
      <c r="J599" s="18"/>
      <c r="K599" s="18"/>
      <c r="L599" s="18"/>
      <c r="M599" s="18"/>
      <c r="N599" s="18"/>
      <c r="O599" s="18"/>
      <c r="P599" s="18"/>
      <c r="Q599" s="18"/>
      <c r="R599" s="18"/>
      <c r="S599" s="18"/>
      <c r="T599" s="18"/>
      <c r="U599" s="18"/>
      <c r="V599" s="18"/>
      <c r="W599" s="18"/>
      <c r="X599" s="18"/>
      <c r="Y599" s="18"/>
      <c r="Z599" s="18"/>
    </row>
    <row r="600">
      <c r="A600" s="18"/>
      <c r="B600" s="80"/>
      <c r="C600" s="18"/>
      <c r="D600" s="80"/>
      <c r="E600" s="80"/>
      <c r="F600" s="134"/>
      <c r="G600" s="18"/>
      <c r="H600" s="18"/>
      <c r="I600" s="18"/>
      <c r="J600" s="18"/>
      <c r="K600" s="18"/>
      <c r="L600" s="18"/>
      <c r="M600" s="18"/>
      <c r="N600" s="18"/>
      <c r="O600" s="18"/>
      <c r="P600" s="18"/>
      <c r="Q600" s="18"/>
      <c r="R600" s="18"/>
      <c r="S600" s="18"/>
      <c r="T600" s="18"/>
      <c r="U600" s="18"/>
      <c r="V600" s="18"/>
      <c r="W600" s="18"/>
      <c r="X600" s="18"/>
      <c r="Y600" s="18"/>
      <c r="Z600" s="18"/>
    </row>
    <row r="601">
      <c r="A601" s="18"/>
      <c r="B601" s="80"/>
      <c r="C601" s="18"/>
      <c r="D601" s="80"/>
      <c r="E601" s="80"/>
      <c r="F601" s="134"/>
      <c r="G601" s="18"/>
      <c r="H601" s="18"/>
      <c r="I601" s="18"/>
      <c r="J601" s="18"/>
      <c r="K601" s="18"/>
      <c r="L601" s="18"/>
      <c r="M601" s="18"/>
      <c r="N601" s="18"/>
      <c r="O601" s="18"/>
      <c r="P601" s="18"/>
      <c r="Q601" s="18"/>
      <c r="R601" s="18"/>
      <c r="S601" s="18"/>
      <c r="T601" s="18"/>
      <c r="U601" s="18"/>
      <c r="V601" s="18"/>
      <c r="W601" s="18"/>
      <c r="X601" s="18"/>
      <c r="Y601" s="18"/>
      <c r="Z601" s="18"/>
    </row>
    <row r="602">
      <c r="A602" s="18"/>
      <c r="B602" s="80"/>
      <c r="C602" s="18"/>
      <c r="D602" s="80"/>
      <c r="E602" s="80"/>
      <c r="F602" s="134"/>
      <c r="G602" s="18"/>
      <c r="H602" s="18"/>
      <c r="I602" s="18"/>
      <c r="J602" s="18"/>
      <c r="K602" s="18"/>
      <c r="L602" s="18"/>
      <c r="M602" s="18"/>
      <c r="N602" s="18"/>
      <c r="O602" s="18"/>
      <c r="P602" s="18"/>
      <c r="Q602" s="18"/>
      <c r="R602" s="18"/>
      <c r="S602" s="18"/>
      <c r="T602" s="18"/>
      <c r="U602" s="18"/>
      <c r="V602" s="18"/>
      <c r="W602" s="18"/>
      <c r="X602" s="18"/>
      <c r="Y602" s="18"/>
      <c r="Z602" s="18"/>
    </row>
    <row r="603">
      <c r="A603" s="18"/>
      <c r="B603" s="80"/>
      <c r="C603" s="18"/>
      <c r="D603" s="80"/>
      <c r="E603" s="80"/>
      <c r="F603" s="134"/>
      <c r="G603" s="18"/>
      <c r="H603" s="18"/>
      <c r="I603" s="18"/>
      <c r="J603" s="18"/>
      <c r="K603" s="18"/>
      <c r="L603" s="18"/>
      <c r="M603" s="18"/>
      <c r="N603" s="18"/>
      <c r="O603" s="18"/>
      <c r="P603" s="18"/>
      <c r="Q603" s="18"/>
      <c r="R603" s="18"/>
      <c r="S603" s="18"/>
      <c r="T603" s="18"/>
      <c r="U603" s="18"/>
      <c r="V603" s="18"/>
      <c r="W603" s="18"/>
      <c r="X603" s="18"/>
      <c r="Y603" s="18"/>
      <c r="Z603" s="18"/>
    </row>
    <row r="604">
      <c r="A604" s="18"/>
      <c r="B604" s="80"/>
      <c r="C604" s="18"/>
      <c r="D604" s="80"/>
      <c r="E604" s="80"/>
      <c r="F604" s="134"/>
      <c r="G604" s="18"/>
      <c r="H604" s="18"/>
      <c r="I604" s="18"/>
      <c r="J604" s="18"/>
      <c r="K604" s="18"/>
      <c r="L604" s="18"/>
      <c r="M604" s="18"/>
      <c r="N604" s="18"/>
      <c r="O604" s="18"/>
      <c r="P604" s="18"/>
      <c r="Q604" s="18"/>
      <c r="R604" s="18"/>
      <c r="S604" s="18"/>
      <c r="T604" s="18"/>
      <c r="U604" s="18"/>
      <c r="V604" s="18"/>
      <c r="W604" s="18"/>
      <c r="X604" s="18"/>
      <c r="Y604" s="18"/>
      <c r="Z604" s="18"/>
    </row>
    <row r="605">
      <c r="A605" s="18"/>
      <c r="B605" s="80"/>
      <c r="C605" s="18"/>
      <c r="D605" s="80"/>
      <c r="E605" s="80"/>
      <c r="F605" s="134"/>
      <c r="G605" s="18"/>
      <c r="H605" s="18"/>
      <c r="I605" s="18"/>
      <c r="J605" s="18"/>
      <c r="K605" s="18"/>
      <c r="L605" s="18"/>
      <c r="M605" s="18"/>
      <c r="N605" s="18"/>
      <c r="O605" s="18"/>
      <c r="P605" s="18"/>
      <c r="Q605" s="18"/>
      <c r="R605" s="18"/>
      <c r="S605" s="18"/>
      <c r="T605" s="18"/>
      <c r="U605" s="18"/>
      <c r="V605" s="18"/>
      <c r="W605" s="18"/>
      <c r="X605" s="18"/>
      <c r="Y605" s="18"/>
      <c r="Z605" s="18"/>
    </row>
    <row r="606">
      <c r="A606" s="18"/>
      <c r="B606" s="80"/>
      <c r="C606" s="18"/>
      <c r="D606" s="80"/>
      <c r="E606" s="80"/>
      <c r="F606" s="134"/>
      <c r="G606" s="18"/>
      <c r="H606" s="18"/>
      <c r="I606" s="18"/>
      <c r="J606" s="18"/>
      <c r="K606" s="18"/>
      <c r="L606" s="18"/>
      <c r="M606" s="18"/>
      <c r="N606" s="18"/>
      <c r="O606" s="18"/>
      <c r="P606" s="18"/>
      <c r="Q606" s="18"/>
      <c r="R606" s="18"/>
      <c r="S606" s="18"/>
      <c r="T606" s="18"/>
      <c r="U606" s="18"/>
      <c r="V606" s="18"/>
      <c r="W606" s="18"/>
      <c r="X606" s="18"/>
      <c r="Y606" s="18"/>
      <c r="Z606" s="18"/>
    </row>
    <row r="607">
      <c r="A607" s="18"/>
      <c r="B607" s="80"/>
      <c r="C607" s="18"/>
      <c r="D607" s="80"/>
      <c r="E607" s="80"/>
      <c r="F607" s="134"/>
      <c r="G607" s="18"/>
      <c r="H607" s="18"/>
      <c r="I607" s="18"/>
      <c r="J607" s="18"/>
      <c r="K607" s="18"/>
      <c r="L607" s="18"/>
      <c r="M607" s="18"/>
      <c r="N607" s="18"/>
      <c r="O607" s="18"/>
      <c r="P607" s="18"/>
      <c r="Q607" s="18"/>
      <c r="R607" s="18"/>
      <c r="S607" s="18"/>
      <c r="T607" s="18"/>
      <c r="U607" s="18"/>
      <c r="V607" s="18"/>
      <c r="W607" s="18"/>
      <c r="X607" s="18"/>
      <c r="Y607" s="18"/>
      <c r="Z607" s="18"/>
    </row>
    <row r="608">
      <c r="A608" s="18"/>
      <c r="B608" s="80"/>
      <c r="C608" s="18"/>
      <c r="D608" s="80"/>
      <c r="E608" s="80"/>
      <c r="F608" s="134"/>
      <c r="G608" s="18"/>
      <c r="H608" s="18"/>
      <c r="I608" s="18"/>
      <c r="J608" s="18"/>
      <c r="K608" s="18"/>
      <c r="L608" s="18"/>
      <c r="M608" s="18"/>
      <c r="N608" s="18"/>
      <c r="O608" s="18"/>
      <c r="P608" s="18"/>
      <c r="Q608" s="18"/>
      <c r="R608" s="18"/>
      <c r="S608" s="18"/>
      <c r="T608" s="18"/>
      <c r="U608" s="18"/>
      <c r="V608" s="18"/>
      <c r="W608" s="18"/>
      <c r="X608" s="18"/>
      <c r="Y608" s="18"/>
      <c r="Z608" s="18"/>
    </row>
    <row r="609">
      <c r="A609" s="18"/>
      <c r="B609" s="80"/>
      <c r="C609" s="18"/>
      <c r="D609" s="80"/>
      <c r="E609" s="80"/>
      <c r="F609" s="134"/>
      <c r="G609" s="18"/>
      <c r="H609" s="18"/>
      <c r="I609" s="18"/>
      <c r="J609" s="18"/>
      <c r="K609" s="18"/>
      <c r="L609" s="18"/>
      <c r="M609" s="18"/>
      <c r="N609" s="18"/>
      <c r="O609" s="18"/>
      <c r="P609" s="18"/>
      <c r="Q609" s="18"/>
      <c r="R609" s="18"/>
      <c r="S609" s="18"/>
      <c r="T609" s="18"/>
      <c r="U609" s="18"/>
      <c r="V609" s="18"/>
      <c r="W609" s="18"/>
      <c r="X609" s="18"/>
      <c r="Y609" s="18"/>
      <c r="Z609" s="18"/>
    </row>
    <row r="610">
      <c r="A610" s="18"/>
      <c r="B610" s="80"/>
      <c r="C610" s="18"/>
      <c r="D610" s="80"/>
      <c r="E610" s="80"/>
      <c r="F610" s="134"/>
      <c r="G610" s="18"/>
      <c r="H610" s="18"/>
      <c r="I610" s="18"/>
      <c r="J610" s="18"/>
      <c r="K610" s="18"/>
      <c r="L610" s="18"/>
      <c r="M610" s="18"/>
      <c r="N610" s="18"/>
      <c r="O610" s="18"/>
      <c r="P610" s="18"/>
      <c r="Q610" s="18"/>
      <c r="R610" s="18"/>
      <c r="S610" s="18"/>
      <c r="T610" s="18"/>
      <c r="U610" s="18"/>
      <c r="V610" s="18"/>
      <c r="W610" s="18"/>
      <c r="X610" s="18"/>
      <c r="Y610" s="18"/>
      <c r="Z610" s="18"/>
    </row>
    <row r="611">
      <c r="A611" s="18"/>
      <c r="B611" s="80"/>
      <c r="C611" s="18"/>
      <c r="D611" s="80"/>
      <c r="E611" s="80"/>
      <c r="F611" s="134"/>
      <c r="G611" s="18"/>
      <c r="H611" s="18"/>
      <c r="I611" s="18"/>
      <c r="J611" s="18"/>
      <c r="K611" s="18"/>
      <c r="L611" s="18"/>
      <c r="M611" s="18"/>
      <c r="N611" s="18"/>
      <c r="O611" s="18"/>
      <c r="P611" s="18"/>
      <c r="Q611" s="18"/>
      <c r="R611" s="18"/>
      <c r="S611" s="18"/>
      <c r="T611" s="18"/>
      <c r="U611" s="18"/>
      <c r="V611" s="18"/>
      <c r="W611" s="18"/>
      <c r="X611" s="18"/>
      <c r="Y611" s="18"/>
      <c r="Z611" s="18"/>
    </row>
    <row r="612">
      <c r="A612" s="18"/>
      <c r="B612" s="80"/>
      <c r="C612" s="18"/>
      <c r="D612" s="80"/>
      <c r="E612" s="80"/>
      <c r="F612" s="134"/>
      <c r="G612" s="18"/>
      <c r="H612" s="18"/>
      <c r="I612" s="18"/>
      <c r="J612" s="18"/>
      <c r="K612" s="18"/>
      <c r="L612" s="18"/>
      <c r="M612" s="18"/>
      <c r="N612" s="18"/>
      <c r="O612" s="18"/>
      <c r="P612" s="18"/>
      <c r="Q612" s="18"/>
      <c r="R612" s="18"/>
      <c r="S612" s="18"/>
      <c r="T612" s="18"/>
      <c r="U612" s="18"/>
      <c r="V612" s="18"/>
      <c r="W612" s="18"/>
      <c r="X612" s="18"/>
      <c r="Y612" s="18"/>
      <c r="Z612" s="18"/>
    </row>
    <row r="613">
      <c r="A613" s="18"/>
      <c r="B613" s="80"/>
      <c r="C613" s="18"/>
      <c r="D613" s="80"/>
      <c r="E613" s="80"/>
      <c r="F613" s="134"/>
      <c r="G613" s="18"/>
      <c r="H613" s="18"/>
      <c r="I613" s="18"/>
      <c r="J613" s="18"/>
      <c r="K613" s="18"/>
      <c r="L613" s="18"/>
      <c r="M613" s="18"/>
      <c r="N613" s="18"/>
      <c r="O613" s="18"/>
      <c r="P613" s="18"/>
      <c r="Q613" s="18"/>
      <c r="R613" s="18"/>
      <c r="S613" s="18"/>
      <c r="T613" s="18"/>
      <c r="U613" s="18"/>
      <c r="V613" s="18"/>
      <c r="W613" s="18"/>
      <c r="X613" s="18"/>
      <c r="Y613" s="18"/>
      <c r="Z613" s="18"/>
    </row>
    <row r="614">
      <c r="A614" s="18"/>
      <c r="B614" s="80"/>
      <c r="C614" s="18"/>
      <c r="D614" s="80"/>
      <c r="E614" s="80"/>
      <c r="F614" s="134"/>
      <c r="G614" s="18"/>
      <c r="H614" s="18"/>
      <c r="I614" s="18"/>
      <c r="J614" s="18"/>
      <c r="K614" s="18"/>
      <c r="L614" s="18"/>
      <c r="M614" s="18"/>
      <c r="N614" s="18"/>
      <c r="O614" s="18"/>
      <c r="P614" s="18"/>
      <c r="Q614" s="18"/>
      <c r="R614" s="18"/>
      <c r="S614" s="18"/>
      <c r="T614" s="18"/>
      <c r="U614" s="18"/>
      <c r="V614" s="18"/>
      <c r="W614" s="18"/>
      <c r="X614" s="18"/>
      <c r="Y614" s="18"/>
      <c r="Z614" s="18"/>
    </row>
    <row r="615">
      <c r="A615" s="18"/>
      <c r="B615" s="80"/>
      <c r="C615" s="18"/>
      <c r="D615" s="80"/>
      <c r="E615" s="80"/>
      <c r="F615" s="134"/>
      <c r="G615" s="18"/>
      <c r="H615" s="18"/>
      <c r="I615" s="18"/>
      <c r="J615" s="18"/>
      <c r="K615" s="18"/>
      <c r="L615" s="18"/>
      <c r="M615" s="18"/>
      <c r="N615" s="18"/>
      <c r="O615" s="18"/>
      <c r="P615" s="18"/>
      <c r="Q615" s="18"/>
      <c r="R615" s="18"/>
      <c r="S615" s="18"/>
      <c r="T615" s="18"/>
      <c r="U615" s="18"/>
      <c r="V615" s="18"/>
      <c r="W615" s="18"/>
      <c r="X615" s="18"/>
      <c r="Y615" s="18"/>
      <c r="Z615" s="18"/>
    </row>
    <row r="616">
      <c r="A616" s="18"/>
      <c r="B616" s="80"/>
      <c r="C616" s="18"/>
      <c r="D616" s="80"/>
      <c r="E616" s="80"/>
      <c r="F616" s="134"/>
      <c r="G616" s="18"/>
      <c r="H616" s="18"/>
      <c r="I616" s="18"/>
      <c r="J616" s="18"/>
      <c r="K616" s="18"/>
      <c r="L616" s="18"/>
      <c r="M616" s="18"/>
      <c r="N616" s="18"/>
      <c r="O616" s="18"/>
      <c r="P616" s="18"/>
      <c r="Q616" s="18"/>
      <c r="R616" s="18"/>
      <c r="S616" s="18"/>
      <c r="T616" s="18"/>
      <c r="U616" s="18"/>
      <c r="V616" s="18"/>
      <c r="W616" s="18"/>
      <c r="X616" s="18"/>
      <c r="Y616" s="18"/>
      <c r="Z616" s="18"/>
    </row>
    <row r="617">
      <c r="A617" s="18"/>
      <c r="B617" s="80"/>
      <c r="C617" s="18"/>
      <c r="D617" s="80"/>
      <c r="E617" s="80"/>
      <c r="F617" s="134"/>
      <c r="G617" s="18"/>
      <c r="H617" s="18"/>
      <c r="I617" s="18"/>
      <c r="J617" s="18"/>
      <c r="K617" s="18"/>
      <c r="L617" s="18"/>
      <c r="M617" s="18"/>
      <c r="N617" s="18"/>
      <c r="O617" s="18"/>
      <c r="P617" s="18"/>
      <c r="Q617" s="18"/>
      <c r="R617" s="18"/>
      <c r="S617" s="18"/>
      <c r="T617" s="18"/>
      <c r="U617" s="18"/>
      <c r="V617" s="18"/>
      <c r="W617" s="18"/>
      <c r="X617" s="18"/>
      <c r="Y617" s="18"/>
      <c r="Z617" s="18"/>
    </row>
    <row r="618">
      <c r="A618" s="18"/>
      <c r="B618" s="80"/>
      <c r="C618" s="18"/>
      <c r="D618" s="80"/>
      <c r="E618" s="80"/>
      <c r="F618" s="134"/>
      <c r="G618" s="18"/>
      <c r="H618" s="18"/>
      <c r="I618" s="18"/>
      <c r="J618" s="18"/>
      <c r="K618" s="18"/>
      <c r="L618" s="18"/>
      <c r="M618" s="18"/>
      <c r="N618" s="18"/>
      <c r="O618" s="18"/>
      <c r="P618" s="18"/>
      <c r="Q618" s="18"/>
      <c r="R618" s="18"/>
      <c r="S618" s="18"/>
      <c r="T618" s="18"/>
      <c r="U618" s="18"/>
      <c r="V618" s="18"/>
      <c r="W618" s="18"/>
      <c r="X618" s="18"/>
      <c r="Y618" s="18"/>
      <c r="Z618" s="18"/>
    </row>
    <row r="619">
      <c r="A619" s="18"/>
      <c r="B619" s="80"/>
      <c r="C619" s="18"/>
      <c r="D619" s="80"/>
      <c r="E619" s="80"/>
      <c r="F619" s="134"/>
      <c r="G619" s="18"/>
      <c r="H619" s="18"/>
      <c r="I619" s="18"/>
      <c r="J619" s="18"/>
      <c r="K619" s="18"/>
      <c r="L619" s="18"/>
      <c r="M619" s="18"/>
      <c r="N619" s="18"/>
      <c r="O619" s="18"/>
      <c r="P619" s="18"/>
      <c r="Q619" s="18"/>
      <c r="R619" s="18"/>
      <c r="S619" s="18"/>
      <c r="T619" s="18"/>
      <c r="U619" s="18"/>
      <c r="V619" s="18"/>
      <c r="W619" s="18"/>
      <c r="X619" s="18"/>
      <c r="Y619" s="18"/>
      <c r="Z619" s="18"/>
    </row>
    <row r="620">
      <c r="A620" s="18"/>
      <c r="B620" s="80"/>
      <c r="C620" s="18"/>
      <c r="D620" s="80"/>
      <c r="E620" s="80"/>
      <c r="F620" s="134"/>
      <c r="G620" s="18"/>
      <c r="H620" s="18"/>
      <c r="I620" s="18"/>
      <c r="J620" s="18"/>
      <c r="K620" s="18"/>
      <c r="L620" s="18"/>
      <c r="M620" s="18"/>
      <c r="N620" s="18"/>
      <c r="O620" s="18"/>
      <c r="P620" s="18"/>
      <c r="Q620" s="18"/>
      <c r="R620" s="18"/>
      <c r="S620" s="18"/>
      <c r="T620" s="18"/>
      <c r="U620" s="18"/>
      <c r="V620" s="18"/>
      <c r="W620" s="18"/>
      <c r="X620" s="18"/>
      <c r="Y620" s="18"/>
      <c r="Z620" s="18"/>
    </row>
    <row r="621">
      <c r="A621" s="18"/>
      <c r="B621" s="80"/>
      <c r="C621" s="18"/>
      <c r="D621" s="80"/>
      <c r="E621" s="80"/>
      <c r="F621" s="134"/>
      <c r="G621" s="18"/>
      <c r="H621" s="18"/>
      <c r="I621" s="18"/>
      <c r="J621" s="18"/>
      <c r="K621" s="18"/>
      <c r="L621" s="18"/>
      <c r="M621" s="18"/>
      <c r="N621" s="18"/>
      <c r="O621" s="18"/>
      <c r="P621" s="18"/>
      <c r="Q621" s="18"/>
      <c r="R621" s="18"/>
      <c r="S621" s="18"/>
      <c r="T621" s="18"/>
      <c r="U621" s="18"/>
      <c r="V621" s="18"/>
      <c r="W621" s="18"/>
      <c r="X621" s="18"/>
      <c r="Y621" s="18"/>
      <c r="Z621" s="18"/>
    </row>
    <row r="622">
      <c r="A622" s="18"/>
      <c r="B622" s="80"/>
      <c r="C622" s="18"/>
      <c r="D622" s="80"/>
      <c r="E622" s="80"/>
      <c r="F622" s="134"/>
      <c r="G622" s="18"/>
      <c r="H622" s="18"/>
      <c r="I622" s="18"/>
      <c r="J622" s="18"/>
      <c r="K622" s="18"/>
      <c r="L622" s="18"/>
      <c r="M622" s="18"/>
      <c r="N622" s="18"/>
      <c r="O622" s="18"/>
      <c r="P622" s="18"/>
      <c r="Q622" s="18"/>
      <c r="R622" s="18"/>
      <c r="S622" s="18"/>
      <c r="T622" s="18"/>
      <c r="U622" s="18"/>
      <c r="V622" s="18"/>
      <c r="W622" s="18"/>
      <c r="X622" s="18"/>
      <c r="Y622" s="18"/>
      <c r="Z622" s="18"/>
    </row>
    <row r="623">
      <c r="A623" s="18"/>
      <c r="B623" s="80"/>
      <c r="C623" s="18"/>
      <c r="D623" s="80"/>
      <c r="E623" s="80"/>
      <c r="F623" s="134"/>
      <c r="G623" s="18"/>
      <c r="H623" s="18"/>
      <c r="I623" s="18"/>
      <c r="J623" s="18"/>
      <c r="K623" s="18"/>
      <c r="L623" s="18"/>
      <c r="M623" s="18"/>
      <c r="N623" s="18"/>
      <c r="O623" s="18"/>
      <c r="P623" s="18"/>
      <c r="Q623" s="18"/>
      <c r="R623" s="18"/>
      <c r="S623" s="18"/>
      <c r="T623" s="18"/>
      <c r="U623" s="18"/>
      <c r="V623" s="18"/>
      <c r="W623" s="18"/>
      <c r="X623" s="18"/>
      <c r="Y623" s="18"/>
      <c r="Z623" s="18"/>
    </row>
    <row r="624">
      <c r="A624" s="18"/>
      <c r="B624" s="80"/>
      <c r="C624" s="18"/>
      <c r="D624" s="80"/>
      <c r="E624" s="80"/>
      <c r="F624" s="134"/>
      <c r="G624" s="18"/>
      <c r="H624" s="18"/>
      <c r="I624" s="18"/>
      <c r="J624" s="18"/>
      <c r="K624" s="18"/>
      <c r="L624" s="18"/>
      <c r="M624" s="18"/>
      <c r="N624" s="18"/>
      <c r="O624" s="18"/>
      <c r="P624" s="18"/>
      <c r="Q624" s="18"/>
      <c r="R624" s="18"/>
      <c r="S624" s="18"/>
      <c r="T624" s="18"/>
      <c r="U624" s="18"/>
      <c r="V624" s="18"/>
      <c r="W624" s="18"/>
      <c r="X624" s="18"/>
      <c r="Y624" s="18"/>
      <c r="Z624" s="18"/>
    </row>
    <row r="625">
      <c r="A625" s="18"/>
      <c r="B625" s="80"/>
      <c r="C625" s="18"/>
      <c r="D625" s="80"/>
      <c r="E625" s="80"/>
      <c r="F625" s="134"/>
      <c r="G625" s="18"/>
      <c r="H625" s="18"/>
      <c r="I625" s="18"/>
      <c r="J625" s="18"/>
      <c r="K625" s="18"/>
      <c r="L625" s="18"/>
      <c r="M625" s="18"/>
      <c r="N625" s="18"/>
      <c r="O625" s="18"/>
      <c r="P625" s="18"/>
      <c r="Q625" s="18"/>
      <c r="R625" s="18"/>
      <c r="S625" s="18"/>
      <c r="T625" s="18"/>
      <c r="U625" s="18"/>
      <c r="V625" s="18"/>
      <c r="W625" s="18"/>
      <c r="X625" s="18"/>
      <c r="Y625" s="18"/>
      <c r="Z625" s="18"/>
    </row>
    <row r="626">
      <c r="A626" s="18"/>
      <c r="B626" s="80"/>
      <c r="C626" s="18"/>
      <c r="D626" s="80"/>
      <c r="E626" s="80"/>
      <c r="F626" s="134"/>
      <c r="G626" s="18"/>
      <c r="H626" s="18"/>
      <c r="I626" s="18"/>
      <c r="J626" s="18"/>
      <c r="K626" s="18"/>
      <c r="L626" s="18"/>
      <c r="M626" s="18"/>
      <c r="N626" s="18"/>
      <c r="O626" s="18"/>
      <c r="P626" s="18"/>
      <c r="Q626" s="18"/>
      <c r="R626" s="18"/>
      <c r="S626" s="18"/>
      <c r="T626" s="18"/>
      <c r="U626" s="18"/>
      <c r="V626" s="18"/>
      <c r="W626" s="18"/>
      <c r="X626" s="18"/>
      <c r="Y626" s="18"/>
      <c r="Z626" s="18"/>
    </row>
    <row r="627">
      <c r="A627" s="18"/>
      <c r="B627" s="80"/>
      <c r="C627" s="18"/>
      <c r="D627" s="80"/>
      <c r="E627" s="80"/>
      <c r="F627" s="134"/>
      <c r="G627" s="18"/>
      <c r="H627" s="18"/>
      <c r="I627" s="18"/>
      <c r="J627" s="18"/>
      <c r="K627" s="18"/>
      <c r="L627" s="18"/>
      <c r="M627" s="18"/>
      <c r="N627" s="18"/>
      <c r="O627" s="18"/>
      <c r="P627" s="18"/>
      <c r="Q627" s="18"/>
      <c r="R627" s="18"/>
      <c r="S627" s="18"/>
      <c r="T627" s="18"/>
      <c r="U627" s="18"/>
      <c r="V627" s="18"/>
      <c r="W627" s="18"/>
      <c r="X627" s="18"/>
      <c r="Y627" s="18"/>
      <c r="Z627" s="18"/>
    </row>
    <row r="628">
      <c r="A628" s="18"/>
      <c r="B628" s="80"/>
      <c r="C628" s="18"/>
      <c r="D628" s="80"/>
      <c r="E628" s="80"/>
      <c r="F628" s="134"/>
      <c r="G628" s="18"/>
      <c r="H628" s="18"/>
      <c r="I628" s="18"/>
      <c r="J628" s="18"/>
      <c r="K628" s="18"/>
      <c r="L628" s="18"/>
      <c r="M628" s="18"/>
      <c r="N628" s="18"/>
      <c r="O628" s="18"/>
      <c r="P628" s="18"/>
      <c r="Q628" s="18"/>
      <c r="R628" s="18"/>
      <c r="S628" s="18"/>
      <c r="T628" s="18"/>
      <c r="U628" s="18"/>
      <c r="V628" s="18"/>
      <c r="W628" s="18"/>
      <c r="X628" s="18"/>
      <c r="Y628" s="18"/>
      <c r="Z628" s="18"/>
    </row>
    <row r="629">
      <c r="A629" s="18"/>
      <c r="B629" s="80"/>
      <c r="C629" s="18"/>
      <c r="D629" s="80"/>
      <c r="E629" s="80"/>
      <c r="F629" s="134"/>
      <c r="G629" s="18"/>
      <c r="H629" s="18"/>
      <c r="I629" s="18"/>
      <c r="J629" s="18"/>
      <c r="K629" s="18"/>
      <c r="L629" s="18"/>
      <c r="M629" s="18"/>
      <c r="N629" s="18"/>
      <c r="O629" s="18"/>
      <c r="P629" s="18"/>
      <c r="Q629" s="18"/>
      <c r="R629" s="18"/>
      <c r="S629" s="18"/>
      <c r="T629" s="18"/>
      <c r="U629" s="18"/>
      <c r="V629" s="18"/>
      <c r="W629" s="18"/>
      <c r="X629" s="18"/>
      <c r="Y629" s="18"/>
      <c r="Z629" s="18"/>
    </row>
    <row r="630">
      <c r="A630" s="18"/>
      <c r="B630" s="80"/>
      <c r="C630" s="18"/>
      <c r="D630" s="80"/>
      <c r="E630" s="80"/>
      <c r="F630" s="134"/>
      <c r="G630" s="18"/>
      <c r="H630" s="18"/>
      <c r="I630" s="18"/>
      <c r="J630" s="18"/>
      <c r="K630" s="18"/>
      <c r="L630" s="18"/>
      <c r="M630" s="18"/>
      <c r="N630" s="18"/>
      <c r="O630" s="18"/>
      <c r="P630" s="18"/>
      <c r="Q630" s="18"/>
      <c r="R630" s="18"/>
      <c r="S630" s="18"/>
      <c r="T630" s="18"/>
      <c r="U630" s="18"/>
      <c r="V630" s="18"/>
      <c r="W630" s="18"/>
      <c r="X630" s="18"/>
      <c r="Y630" s="18"/>
      <c r="Z630" s="18"/>
    </row>
    <row r="631">
      <c r="A631" s="18"/>
      <c r="B631" s="80"/>
      <c r="C631" s="18"/>
      <c r="D631" s="80"/>
      <c r="E631" s="80"/>
      <c r="F631" s="134"/>
      <c r="G631" s="18"/>
      <c r="H631" s="18"/>
      <c r="I631" s="18"/>
      <c r="J631" s="18"/>
      <c r="K631" s="18"/>
      <c r="L631" s="18"/>
      <c r="M631" s="18"/>
      <c r="N631" s="18"/>
      <c r="O631" s="18"/>
      <c r="P631" s="18"/>
      <c r="Q631" s="18"/>
      <c r="R631" s="18"/>
      <c r="S631" s="18"/>
      <c r="T631" s="18"/>
      <c r="U631" s="18"/>
      <c r="V631" s="18"/>
      <c r="W631" s="18"/>
      <c r="X631" s="18"/>
      <c r="Y631" s="18"/>
      <c r="Z631" s="18"/>
    </row>
    <row r="632">
      <c r="A632" s="18"/>
      <c r="B632" s="80"/>
      <c r="C632" s="18"/>
      <c r="D632" s="80"/>
      <c r="E632" s="80"/>
      <c r="F632" s="134"/>
      <c r="G632" s="18"/>
      <c r="H632" s="18"/>
      <c r="I632" s="18"/>
      <c r="J632" s="18"/>
      <c r="K632" s="18"/>
      <c r="L632" s="18"/>
      <c r="M632" s="18"/>
      <c r="N632" s="18"/>
      <c r="O632" s="18"/>
      <c r="P632" s="18"/>
      <c r="Q632" s="18"/>
      <c r="R632" s="18"/>
      <c r="S632" s="18"/>
      <c r="T632" s="18"/>
      <c r="U632" s="18"/>
      <c r="V632" s="18"/>
      <c r="W632" s="18"/>
      <c r="X632" s="18"/>
      <c r="Y632" s="18"/>
      <c r="Z632" s="18"/>
    </row>
    <row r="633">
      <c r="A633" s="18"/>
      <c r="B633" s="80"/>
      <c r="C633" s="18"/>
      <c r="D633" s="80"/>
      <c r="E633" s="80"/>
      <c r="F633" s="134"/>
      <c r="G633" s="18"/>
      <c r="H633" s="18"/>
      <c r="I633" s="18"/>
      <c r="J633" s="18"/>
      <c r="K633" s="18"/>
      <c r="L633" s="18"/>
      <c r="M633" s="18"/>
      <c r="N633" s="18"/>
      <c r="O633" s="18"/>
      <c r="P633" s="18"/>
      <c r="Q633" s="18"/>
      <c r="R633" s="18"/>
      <c r="S633" s="18"/>
      <c r="T633" s="18"/>
      <c r="U633" s="18"/>
      <c r="V633" s="18"/>
      <c r="W633" s="18"/>
      <c r="X633" s="18"/>
      <c r="Y633" s="18"/>
      <c r="Z633" s="18"/>
    </row>
    <row r="634">
      <c r="A634" s="18"/>
      <c r="B634" s="80"/>
      <c r="C634" s="18"/>
      <c r="D634" s="80"/>
      <c r="E634" s="80"/>
      <c r="F634" s="134"/>
      <c r="G634" s="18"/>
      <c r="H634" s="18"/>
      <c r="I634" s="18"/>
      <c r="J634" s="18"/>
      <c r="K634" s="18"/>
      <c r="L634" s="18"/>
      <c r="M634" s="18"/>
      <c r="N634" s="18"/>
      <c r="O634" s="18"/>
      <c r="P634" s="18"/>
      <c r="Q634" s="18"/>
      <c r="R634" s="18"/>
      <c r="S634" s="18"/>
      <c r="T634" s="18"/>
      <c r="U634" s="18"/>
      <c r="V634" s="18"/>
      <c r="W634" s="18"/>
      <c r="X634" s="18"/>
      <c r="Y634" s="18"/>
      <c r="Z634" s="18"/>
    </row>
    <row r="635">
      <c r="A635" s="18"/>
      <c r="B635" s="80"/>
      <c r="C635" s="18"/>
      <c r="D635" s="80"/>
      <c r="E635" s="80"/>
      <c r="F635" s="134"/>
      <c r="G635" s="18"/>
      <c r="H635" s="18"/>
      <c r="I635" s="18"/>
      <c r="J635" s="18"/>
      <c r="K635" s="18"/>
      <c r="L635" s="18"/>
      <c r="M635" s="18"/>
      <c r="N635" s="18"/>
      <c r="O635" s="18"/>
      <c r="P635" s="18"/>
      <c r="Q635" s="18"/>
      <c r="R635" s="18"/>
      <c r="S635" s="18"/>
      <c r="T635" s="18"/>
      <c r="U635" s="18"/>
      <c r="V635" s="18"/>
      <c r="W635" s="18"/>
      <c r="X635" s="18"/>
      <c r="Y635" s="18"/>
      <c r="Z635" s="18"/>
    </row>
    <row r="636">
      <c r="A636" s="18"/>
      <c r="B636" s="80"/>
      <c r="C636" s="18"/>
      <c r="D636" s="80"/>
      <c r="E636" s="80"/>
      <c r="F636" s="134"/>
      <c r="G636" s="18"/>
      <c r="H636" s="18"/>
      <c r="I636" s="18"/>
      <c r="J636" s="18"/>
      <c r="K636" s="18"/>
      <c r="L636" s="18"/>
      <c r="M636" s="18"/>
      <c r="N636" s="18"/>
      <c r="O636" s="18"/>
      <c r="P636" s="18"/>
      <c r="Q636" s="18"/>
      <c r="R636" s="18"/>
      <c r="S636" s="18"/>
      <c r="T636" s="18"/>
      <c r="U636" s="18"/>
      <c r="V636" s="18"/>
      <c r="W636" s="18"/>
      <c r="X636" s="18"/>
      <c r="Y636" s="18"/>
      <c r="Z636" s="18"/>
    </row>
    <row r="637">
      <c r="A637" s="18"/>
      <c r="B637" s="80"/>
      <c r="C637" s="18"/>
      <c r="D637" s="80"/>
      <c r="E637" s="80"/>
      <c r="F637" s="134"/>
      <c r="G637" s="18"/>
      <c r="H637" s="18"/>
      <c r="I637" s="18"/>
      <c r="J637" s="18"/>
      <c r="K637" s="18"/>
      <c r="L637" s="18"/>
      <c r="M637" s="18"/>
      <c r="N637" s="18"/>
      <c r="O637" s="18"/>
      <c r="P637" s="18"/>
      <c r="Q637" s="18"/>
      <c r="R637" s="18"/>
      <c r="S637" s="18"/>
      <c r="T637" s="18"/>
      <c r="U637" s="18"/>
      <c r="V637" s="18"/>
      <c r="W637" s="18"/>
      <c r="X637" s="18"/>
      <c r="Y637" s="18"/>
      <c r="Z637" s="18"/>
    </row>
    <row r="638">
      <c r="A638" s="18"/>
      <c r="B638" s="80"/>
      <c r="C638" s="18"/>
      <c r="D638" s="80"/>
      <c r="E638" s="80"/>
      <c r="F638" s="134"/>
      <c r="G638" s="18"/>
      <c r="H638" s="18"/>
      <c r="I638" s="18"/>
      <c r="J638" s="18"/>
      <c r="K638" s="18"/>
      <c r="L638" s="18"/>
      <c r="M638" s="18"/>
      <c r="N638" s="18"/>
      <c r="O638" s="18"/>
      <c r="P638" s="18"/>
      <c r="Q638" s="18"/>
      <c r="R638" s="18"/>
      <c r="S638" s="18"/>
      <c r="T638" s="18"/>
      <c r="U638" s="18"/>
      <c r="V638" s="18"/>
      <c r="W638" s="18"/>
      <c r="X638" s="18"/>
      <c r="Y638" s="18"/>
      <c r="Z638" s="18"/>
    </row>
    <row r="639">
      <c r="A639" s="18"/>
      <c r="B639" s="80"/>
      <c r="C639" s="18"/>
      <c r="D639" s="80"/>
      <c r="E639" s="80"/>
      <c r="F639" s="134"/>
      <c r="G639" s="18"/>
      <c r="H639" s="18"/>
      <c r="I639" s="18"/>
      <c r="J639" s="18"/>
      <c r="K639" s="18"/>
      <c r="L639" s="18"/>
      <c r="M639" s="18"/>
      <c r="N639" s="18"/>
      <c r="O639" s="18"/>
      <c r="P639" s="18"/>
      <c r="Q639" s="18"/>
      <c r="R639" s="18"/>
      <c r="S639" s="18"/>
      <c r="T639" s="18"/>
      <c r="U639" s="18"/>
      <c r="V639" s="18"/>
      <c r="W639" s="18"/>
      <c r="X639" s="18"/>
      <c r="Y639" s="18"/>
      <c r="Z639" s="18"/>
    </row>
    <row r="640">
      <c r="A640" s="18"/>
      <c r="B640" s="80"/>
      <c r="C640" s="18"/>
      <c r="D640" s="80"/>
      <c r="E640" s="80"/>
      <c r="F640" s="134"/>
      <c r="G640" s="18"/>
      <c r="H640" s="18"/>
      <c r="I640" s="18"/>
      <c r="J640" s="18"/>
      <c r="K640" s="18"/>
      <c r="L640" s="18"/>
      <c r="M640" s="18"/>
      <c r="N640" s="18"/>
      <c r="O640" s="18"/>
      <c r="P640" s="18"/>
      <c r="Q640" s="18"/>
      <c r="R640" s="18"/>
      <c r="S640" s="18"/>
      <c r="T640" s="18"/>
      <c r="U640" s="18"/>
      <c r="V640" s="18"/>
      <c r="W640" s="18"/>
      <c r="X640" s="18"/>
      <c r="Y640" s="18"/>
      <c r="Z640" s="18"/>
    </row>
    <row r="641">
      <c r="A641" s="18"/>
      <c r="B641" s="80"/>
      <c r="C641" s="18"/>
      <c r="D641" s="80"/>
      <c r="E641" s="80"/>
      <c r="F641" s="134"/>
      <c r="G641" s="18"/>
      <c r="H641" s="18"/>
      <c r="I641" s="18"/>
      <c r="J641" s="18"/>
      <c r="K641" s="18"/>
      <c r="L641" s="18"/>
      <c r="M641" s="18"/>
      <c r="N641" s="18"/>
      <c r="O641" s="18"/>
      <c r="P641" s="18"/>
      <c r="Q641" s="18"/>
      <c r="R641" s="18"/>
      <c r="S641" s="18"/>
      <c r="T641" s="18"/>
      <c r="U641" s="18"/>
      <c r="V641" s="18"/>
      <c r="W641" s="18"/>
      <c r="X641" s="18"/>
      <c r="Y641" s="18"/>
      <c r="Z641" s="18"/>
    </row>
    <row r="642">
      <c r="A642" s="18"/>
      <c r="B642" s="80"/>
      <c r="C642" s="18"/>
      <c r="D642" s="80"/>
      <c r="E642" s="80"/>
      <c r="F642" s="134"/>
      <c r="G642" s="18"/>
      <c r="H642" s="18"/>
      <c r="I642" s="18"/>
      <c r="J642" s="18"/>
      <c r="K642" s="18"/>
      <c r="L642" s="18"/>
      <c r="M642" s="18"/>
      <c r="N642" s="18"/>
      <c r="O642" s="18"/>
      <c r="P642" s="18"/>
      <c r="Q642" s="18"/>
      <c r="R642" s="18"/>
      <c r="S642" s="18"/>
      <c r="T642" s="18"/>
      <c r="U642" s="18"/>
      <c r="V642" s="18"/>
      <c r="W642" s="18"/>
      <c r="X642" s="18"/>
      <c r="Y642" s="18"/>
      <c r="Z642" s="18"/>
    </row>
    <row r="643">
      <c r="A643" s="18"/>
      <c r="B643" s="80"/>
      <c r="C643" s="18"/>
      <c r="D643" s="80"/>
      <c r="E643" s="80"/>
      <c r="F643" s="134"/>
      <c r="G643" s="18"/>
      <c r="H643" s="18"/>
      <c r="I643" s="18"/>
      <c r="J643" s="18"/>
      <c r="K643" s="18"/>
      <c r="L643" s="18"/>
      <c r="M643" s="18"/>
      <c r="N643" s="18"/>
      <c r="O643" s="18"/>
      <c r="P643" s="18"/>
      <c r="Q643" s="18"/>
      <c r="R643" s="18"/>
      <c r="S643" s="18"/>
      <c r="T643" s="18"/>
      <c r="U643" s="18"/>
      <c r="V643" s="18"/>
      <c r="W643" s="18"/>
      <c r="X643" s="18"/>
      <c r="Y643" s="18"/>
      <c r="Z643" s="18"/>
    </row>
    <row r="644">
      <c r="A644" s="18"/>
      <c r="B644" s="80"/>
      <c r="C644" s="18"/>
      <c r="D644" s="80"/>
      <c r="E644" s="80"/>
      <c r="F644" s="134"/>
      <c r="G644" s="18"/>
      <c r="H644" s="18"/>
      <c r="I644" s="18"/>
      <c r="J644" s="18"/>
      <c r="K644" s="18"/>
      <c r="L644" s="18"/>
      <c r="M644" s="18"/>
      <c r="N644" s="18"/>
      <c r="O644" s="18"/>
      <c r="P644" s="18"/>
      <c r="Q644" s="18"/>
      <c r="R644" s="18"/>
      <c r="S644" s="18"/>
      <c r="T644" s="18"/>
      <c r="U644" s="18"/>
      <c r="V644" s="18"/>
      <c r="W644" s="18"/>
      <c r="X644" s="18"/>
      <c r="Y644" s="18"/>
      <c r="Z644" s="18"/>
    </row>
    <row r="645">
      <c r="A645" s="18"/>
      <c r="B645" s="80"/>
      <c r="C645" s="18"/>
      <c r="D645" s="80"/>
      <c r="E645" s="80"/>
      <c r="F645" s="134"/>
      <c r="G645" s="18"/>
      <c r="H645" s="18"/>
      <c r="I645" s="18"/>
      <c r="J645" s="18"/>
      <c r="K645" s="18"/>
      <c r="L645" s="18"/>
      <c r="M645" s="18"/>
      <c r="N645" s="18"/>
      <c r="O645" s="18"/>
      <c r="P645" s="18"/>
      <c r="Q645" s="18"/>
      <c r="R645" s="18"/>
      <c r="S645" s="18"/>
      <c r="T645" s="18"/>
      <c r="U645" s="18"/>
      <c r="V645" s="18"/>
      <c r="W645" s="18"/>
      <c r="X645" s="18"/>
      <c r="Y645" s="18"/>
      <c r="Z645" s="18"/>
    </row>
    <row r="646">
      <c r="A646" s="18"/>
      <c r="B646" s="80"/>
      <c r="C646" s="18"/>
      <c r="D646" s="80"/>
      <c r="E646" s="80"/>
      <c r="F646" s="134"/>
      <c r="G646" s="18"/>
      <c r="H646" s="18"/>
      <c r="I646" s="18"/>
      <c r="J646" s="18"/>
      <c r="K646" s="18"/>
      <c r="L646" s="18"/>
      <c r="M646" s="18"/>
      <c r="N646" s="18"/>
      <c r="O646" s="18"/>
      <c r="P646" s="18"/>
      <c r="Q646" s="18"/>
      <c r="R646" s="18"/>
      <c r="S646" s="18"/>
      <c r="T646" s="18"/>
      <c r="U646" s="18"/>
      <c r="V646" s="18"/>
      <c r="W646" s="18"/>
      <c r="X646" s="18"/>
      <c r="Y646" s="18"/>
      <c r="Z646" s="18"/>
    </row>
    <row r="647">
      <c r="A647" s="18"/>
      <c r="B647" s="80"/>
      <c r="C647" s="18"/>
      <c r="D647" s="80"/>
      <c r="E647" s="80"/>
      <c r="F647" s="134"/>
      <c r="G647" s="18"/>
      <c r="H647" s="18"/>
      <c r="I647" s="18"/>
      <c r="J647" s="18"/>
      <c r="K647" s="18"/>
      <c r="L647" s="18"/>
      <c r="M647" s="18"/>
      <c r="N647" s="18"/>
      <c r="O647" s="18"/>
      <c r="P647" s="18"/>
      <c r="Q647" s="18"/>
      <c r="R647" s="18"/>
      <c r="S647" s="18"/>
      <c r="T647" s="18"/>
      <c r="U647" s="18"/>
      <c r="V647" s="18"/>
      <c r="W647" s="18"/>
      <c r="X647" s="18"/>
      <c r="Y647" s="18"/>
      <c r="Z647" s="18"/>
    </row>
    <row r="648">
      <c r="A648" s="18"/>
      <c r="B648" s="80"/>
      <c r="C648" s="18"/>
      <c r="D648" s="80"/>
      <c r="E648" s="80"/>
      <c r="F648" s="134"/>
      <c r="G648" s="18"/>
      <c r="H648" s="18"/>
      <c r="I648" s="18"/>
      <c r="J648" s="18"/>
      <c r="K648" s="18"/>
      <c r="L648" s="18"/>
      <c r="M648" s="18"/>
      <c r="N648" s="18"/>
      <c r="O648" s="18"/>
      <c r="P648" s="18"/>
      <c r="Q648" s="18"/>
      <c r="R648" s="18"/>
      <c r="S648" s="18"/>
      <c r="T648" s="18"/>
      <c r="U648" s="18"/>
      <c r="V648" s="18"/>
      <c r="W648" s="18"/>
      <c r="X648" s="18"/>
      <c r="Y648" s="18"/>
      <c r="Z648" s="18"/>
    </row>
    <row r="649">
      <c r="A649" s="18"/>
      <c r="B649" s="80"/>
      <c r="C649" s="18"/>
      <c r="D649" s="80"/>
      <c r="E649" s="80"/>
      <c r="F649" s="134"/>
      <c r="G649" s="18"/>
      <c r="H649" s="18"/>
      <c r="I649" s="18"/>
      <c r="J649" s="18"/>
      <c r="K649" s="18"/>
      <c r="L649" s="18"/>
      <c r="M649" s="18"/>
      <c r="N649" s="18"/>
      <c r="O649" s="18"/>
      <c r="P649" s="18"/>
      <c r="Q649" s="18"/>
      <c r="R649" s="18"/>
      <c r="S649" s="18"/>
      <c r="T649" s="18"/>
      <c r="U649" s="18"/>
      <c r="V649" s="18"/>
      <c r="W649" s="18"/>
      <c r="X649" s="18"/>
      <c r="Y649" s="18"/>
      <c r="Z649" s="18"/>
    </row>
    <row r="650">
      <c r="A650" s="18"/>
      <c r="B650" s="80"/>
      <c r="C650" s="18"/>
      <c r="D650" s="80"/>
      <c r="E650" s="80"/>
      <c r="F650" s="134"/>
      <c r="G650" s="18"/>
      <c r="H650" s="18"/>
      <c r="I650" s="18"/>
      <c r="J650" s="18"/>
      <c r="K650" s="18"/>
      <c r="L650" s="18"/>
      <c r="M650" s="18"/>
      <c r="N650" s="18"/>
      <c r="O650" s="18"/>
      <c r="P650" s="18"/>
      <c r="Q650" s="18"/>
      <c r="R650" s="18"/>
      <c r="S650" s="18"/>
      <c r="T650" s="18"/>
      <c r="U650" s="18"/>
      <c r="V650" s="18"/>
      <c r="W650" s="18"/>
      <c r="X650" s="18"/>
      <c r="Y650" s="18"/>
      <c r="Z650" s="18"/>
    </row>
    <row r="651">
      <c r="A651" s="18"/>
      <c r="B651" s="80"/>
      <c r="C651" s="18"/>
      <c r="D651" s="80"/>
      <c r="E651" s="80"/>
      <c r="F651" s="134"/>
      <c r="G651" s="18"/>
      <c r="H651" s="18"/>
      <c r="I651" s="18"/>
      <c r="J651" s="18"/>
      <c r="K651" s="18"/>
      <c r="L651" s="18"/>
      <c r="M651" s="18"/>
      <c r="N651" s="18"/>
      <c r="O651" s="18"/>
      <c r="P651" s="18"/>
      <c r="Q651" s="18"/>
      <c r="R651" s="18"/>
      <c r="S651" s="18"/>
      <c r="T651" s="18"/>
      <c r="U651" s="18"/>
      <c r="V651" s="18"/>
      <c r="W651" s="18"/>
      <c r="X651" s="18"/>
      <c r="Y651" s="18"/>
      <c r="Z651" s="18"/>
    </row>
    <row r="652">
      <c r="A652" s="18"/>
      <c r="B652" s="80"/>
      <c r="C652" s="18"/>
      <c r="D652" s="80"/>
      <c r="E652" s="80"/>
      <c r="F652" s="134"/>
      <c r="G652" s="18"/>
      <c r="H652" s="18"/>
      <c r="I652" s="18"/>
      <c r="J652" s="18"/>
      <c r="K652" s="18"/>
      <c r="L652" s="18"/>
      <c r="M652" s="18"/>
      <c r="N652" s="18"/>
      <c r="O652" s="18"/>
      <c r="P652" s="18"/>
      <c r="Q652" s="18"/>
      <c r="R652" s="18"/>
      <c r="S652" s="18"/>
      <c r="T652" s="18"/>
      <c r="U652" s="18"/>
      <c r="V652" s="18"/>
      <c r="W652" s="18"/>
      <c r="X652" s="18"/>
      <c r="Y652" s="18"/>
      <c r="Z652" s="18"/>
    </row>
    <row r="653">
      <c r="A653" s="18"/>
      <c r="B653" s="80"/>
      <c r="C653" s="18"/>
      <c r="D653" s="80"/>
      <c r="E653" s="80"/>
      <c r="F653" s="134"/>
      <c r="G653" s="18"/>
      <c r="H653" s="18"/>
      <c r="I653" s="18"/>
      <c r="J653" s="18"/>
      <c r="K653" s="18"/>
      <c r="L653" s="18"/>
      <c r="M653" s="18"/>
      <c r="N653" s="18"/>
      <c r="O653" s="18"/>
      <c r="P653" s="18"/>
      <c r="Q653" s="18"/>
      <c r="R653" s="18"/>
      <c r="S653" s="18"/>
      <c r="T653" s="18"/>
      <c r="U653" s="18"/>
      <c r="V653" s="18"/>
      <c r="W653" s="18"/>
      <c r="X653" s="18"/>
      <c r="Y653" s="18"/>
      <c r="Z653" s="18"/>
    </row>
    <row r="654">
      <c r="A654" s="18"/>
      <c r="B654" s="80"/>
      <c r="C654" s="18"/>
      <c r="D654" s="80"/>
      <c r="E654" s="80"/>
      <c r="F654" s="134"/>
      <c r="G654" s="18"/>
      <c r="H654" s="18"/>
      <c r="I654" s="18"/>
      <c r="J654" s="18"/>
      <c r="K654" s="18"/>
      <c r="L654" s="18"/>
      <c r="M654" s="18"/>
      <c r="N654" s="18"/>
      <c r="O654" s="18"/>
      <c r="P654" s="18"/>
      <c r="Q654" s="18"/>
      <c r="R654" s="18"/>
      <c r="S654" s="18"/>
      <c r="T654" s="18"/>
      <c r="U654" s="18"/>
      <c r="V654" s="18"/>
      <c r="W654" s="18"/>
      <c r="X654" s="18"/>
      <c r="Y654" s="18"/>
      <c r="Z654" s="18"/>
    </row>
    <row r="655">
      <c r="A655" s="18"/>
      <c r="B655" s="80"/>
      <c r="C655" s="18"/>
      <c r="D655" s="80"/>
      <c r="E655" s="80"/>
      <c r="F655" s="134"/>
      <c r="G655" s="18"/>
      <c r="H655" s="18"/>
      <c r="I655" s="18"/>
      <c r="J655" s="18"/>
      <c r="K655" s="18"/>
      <c r="L655" s="18"/>
      <c r="M655" s="18"/>
      <c r="N655" s="18"/>
      <c r="O655" s="18"/>
      <c r="P655" s="18"/>
      <c r="Q655" s="18"/>
      <c r="R655" s="18"/>
      <c r="S655" s="18"/>
      <c r="T655" s="18"/>
      <c r="U655" s="18"/>
      <c r="V655" s="18"/>
      <c r="W655" s="18"/>
      <c r="X655" s="18"/>
      <c r="Y655" s="18"/>
      <c r="Z655" s="18"/>
    </row>
    <row r="656">
      <c r="A656" s="18"/>
      <c r="B656" s="80"/>
      <c r="C656" s="18"/>
      <c r="D656" s="80"/>
      <c r="E656" s="80"/>
      <c r="F656" s="134"/>
      <c r="G656" s="18"/>
      <c r="H656" s="18"/>
      <c r="I656" s="18"/>
      <c r="J656" s="18"/>
      <c r="K656" s="18"/>
      <c r="L656" s="18"/>
      <c r="M656" s="18"/>
      <c r="N656" s="18"/>
      <c r="O656" s="18"/>
      <c r="P656" s="18"/>
      <c r="Q656" s="18"/>
      <c r="R656" s="18"/>
      <c r="S656" s="18"/>
      <c r="T656" s="18"/>
      <c r="U656" s="18"/>
      <c r="V656" s="18"/>
      <c r="W656" s="18"/>
      <c r="X656" s="18"/>
      <c r="Y656" s="18"/>
      <c r="Z656" s="18"/>
    </row>
    <row r="657">
      <c r="A657" s="18"/>
      <c r="B657" s="80"/>
      <c r="C657" s="18"/>
      <c r="D657" s="80"/>
      <c r="E657" s="80"/>
      <c r="F657" s="134"/>
      <c r="G657" s="18"/>
      <c r="H657" s="18"/>
      <c r="I657" s="18"/>
      <c r="J657" s="18"/>
      <c r="K657" s="18"/>
      <c r="L657" s="18"/>
      <c r="M657" s="18"/>
      <c r="N657" s="18"/>
      <c r="O657" s="18"/>
      <c r="P657" s="18"/>
      <c r="Q657" s="18"/>
      <c r="R657" s="18"/>
      <c r="S657" s="18"/>
      <c r="T657" s="18"/>
      <c r="U657" s="18"/>
      <c r="V657" s="18"/>
      <c r="W657" s="18"/>
      <c r="X657" s="18"/>
      <c r="Y657" s="18"/>
      <c r="Z657" s="18"/>
    </row>
    <row r="658">
      <c r="A658" s="18"/>
      <c r="B658" s="80"/>
      <c r="C658" s="18"/>
      <c r="D658" s="80"/>
      <c r="E658" s="80"/>
      <c r="F658" s="134"/>
      <c r="G658" s="18"/>
      <c r="H658" s="18"/>
      <c r="I658" s="18"/>
      <c r="J658" s="18"/>
      <c r="K658" s="18"/>
      <c r="L658" s="18"/>
      <c r="M658" s="18"/>
      <c r="N658" s="18"/>
      <c r="O658" s="18"/>
      <c r="P658" s="18"/>
      <c r="Q658" s="18"/>
      <c r="R658" s="18"/>
      <c r="S658" s="18"/>
      <c r="T658" s="18"/>
      <c r="U658" s="18"/>
      <c r="V658" s="18"/>
      <c r="W658" s="18"/>
      <c r="X658" s="18"/>
      <c r="Y658" s="18"/>
      <c r="Z658" s="18"/>
    </row>
    <row r="659">
      <c r="A659" s="18"/>
      <c r="B659" s="80"/>
      <c r="C659" s="18"/>
      <c r="D659" s="80"/>
      <c r="E659" s="80"/>
      <c r="F659" s="134"/>
      <c r="G659" s="18"/>
      <c r="H659" s="18"/>
      <c r="I659" s="18"/>
      <c r="J659" s="18"/>
      <c r="K659" s="18"/>
      <c r="L659" s="18"/>
      <c r="M659" s="18"/>
      <c r="N659" s="18"/>
      <c r="O659" s="18"/>
      <c r="P659" s="18"/>
      <c r="Q659" s="18"/>
      <c r="R659" s="18"/>
      <c r="S659" s="18"/>
      <c r="T659" s="18"/>
      <c r="U659" s="18"/>
      <c r="V659" s="18"/>
      <c r="W659" s="18"/>
      <c r="X659" s="18"/>
      <c r="Y659" s="18"/>
      <c r="Z659" s="18"/>
    </row>
    <row r="660">
      <c r="A660" s="18"/>
      <c r="B660" s="80"/>
      <c r="C660" s="18"/>
      <c r="D660" s="80"/>
      <c r="E660" s="80"/>
      <c r="F660" s="134"/>
      <c r="G660" s="18"/>
      <c r="H660" s="18"/>
      <c r="I660" s="18"/>
      <c r="J660" s="18"/>
      <c r="K660" s="18"/>
      <c r="L660" s="18"/>
      <c r="M660" s="18"/>
      <c r="N660" s="18"/>
      <c r="O660" s="18"/>
      <c r="P660" s="18"/>
      <c r="Q660" s="18"/>
      <c r="R660" s="18"/>
      <c r="S660" s="18"/>
      <c r="T660" s="18"/>
      <c r="U660" s="18"/>
      <c r="V660" s="18"/>
      <c r="W660" s="18"/>
      <c r="X660" s="18"/>
      <c r="Y660" s="18"/>
      <c r="Z660" s="18"/>
    </row>
    <row r="661">
      <c r="A661" s="18"/>
      <c r="B661" s="80"/>
      <c r="C661" s="18"/>
      <c r="D661" s="80"/>
      <c r="E661" s="80"/>
      <c r="F661" s="134"/>
      <c r="G661" s="18"/>
      <c r="H661" s="18"/>
      <c r="I661" s="18"/>
      <c r="J661" s="18"/>
      <c r="K661" s="18"/>
      <c r="L661" s="18"/>
      <c r="M661" s="18"/>
      <c r="N661" s="18"/>
      <c r="O661" s="18"/>
      <c r="P661" s="18"/>
      <c r="Q661" s="18"/>
      <c r="R661" s="18"/>
      <c r="S661" s="18"/>
      <c r="T661" s="18"/>
      <c r="U661" s="18"/>
      <c r="V661" s="18"/>
      <c r="W661" s="18"/>
      <c r="X661" s="18"/>
      <c r="Y661" s="18"/>
      <c r="Z661" s="18"/>
    </row>
    <row r="662">
      <c r="A662" s="18"/>
      <c r="B662" s="80"/>
      <c r="C662" s="18"/>
      <c r="D662" s="80"/>
      <c r="E662" s="80"/>
      <c r="F662" s="134"/>
      <c r="G662" s="18"/>
      <c r="H662" s="18"/>
      <c r="I662" s="18"/>
      <c r="J662" s="18"/>
      <c r="K662" s="18"/>
      <c r="L662" s="18"/>
      <c r="M662" s="18"/>
      <c r="N662" s="18"/>
      <c r="O662" s="18"/>
      <c r="P662" s="18"/>
      <c r="Q662" s="18"/>
      <c r="R662" s="18"/>
      <c r="S662" s="18"/>
      <c r="T662" s="18"/>
      <c r="U662" s="18"/>
      <c r="V662" s="18"/>
      <c r="W662" s="18"/>
      <c r="X662" s="18"/>
      <c r="Y662" s="18"/>
      <c r="Z662" s="18"/>
    </row>
    <row r="663">
      <c r="A663" s="18"/>
      <c r="B663" s="80"/>
      <c r="C663" s="18"/>
      <c r="D663" s="80"/>
      <c r="E663" s="80"/>
      <c r="F663" s="134"/>
      <c r="G663" s="18"/>
      <c r="H663" s="18"/>
      <c r="I663" s="18"/>
      <c r="J663" s="18"/>
      <c r="K663" s="18"/>
      <c r="L663" s="18"/>
      <c r="M663" s="18"/>
      <c r="N663" s="18"/>
      <c r="O663" s="18"/>
      <c r="P663" s="18"/>
      <c r="Q663" s="18"/>
      <c r="R663" s="18"/>
      <c r="S663" s="18"/>
      <c r="T663" s="18"/>
      <c r="U663" s="18"/>
      <c r="V663" s="18"/>
      <c r="W663" s="18"/>
      <c r="X663" s="18"/>
      <c r="Y663" s="18"/>
      <c r="Z663" s="18"/>
    </row>
    <row r="664">
      <c r="A664" s="18"/>
      <c r="B664" s="80"/>
      <c r="C664" s="18"/>
      <c r="D664" s="80"/>
      <c r="E664" s="80"/>
      <c r="F664" s="134"/>
      <c r="G664" s="18"/>
      <c r="H664" s="18"/>
      <c r="I664" s="18"/>
      <c r="J664" s="18"/>
      <c r="K664" s="18"/>
      <c r="L664" s="18"/>
      <c r="M664" s="18"/>
      <c r="N664" s="18"/>
      <c r="O664" s="18"/>
      <c r="P664" s="18"/>
      <c r="Q664" s="18"/>
      <c r="R664" s="18"/>
      <c r="S664" s="18"/>
      <c r="T664" s="18"/>
      <c r="U664" s="18"/>
      <c r="V664" s="18"/>
      <c r="W664" s="18"/>
      <c r="X664" s="18"/>
      <c r="Y664" s="18"/>
      <c r="Z664" s="18"/>
    </row>
    <row r="665">
      <c r="A665" s="18"/>
      <c r="B665" s="80"/>
      <c r="C665" s="18"/>
      <c r="D665" s="80"/>
      <c r="E665" s="80"/>
      <c r="F665" s="134"/>
      <c r="G665" s="18"/>
      <c r="H665" s="18"/>
      <c r="I665" s="18"/>
      <c r="J665" s="18"/>
      <c r="K665" s="18"/>
      <c r="L665" s="18"/>
      <c r="M665" s="18"/>
      <c r="N665" s="18"/>
      <c r="O665" s="18"/>
      <c r="P665" s="18"/>
      <c r="Q665" s="18"/>
      <c r="R665" s="18"/>
      <c r="S665" s="18"/>
      <c r="T665" s="18"/>
      <c r="U665" s="18"/>
      <c r="V665" s="18"/>
      <c r="W665" s="18"/>
      <c r="X665" s="18"/>
      <c r="Y665" s="18"/>
      <c r="Z665" s="18"/>
    </row>
    <row r="666">
      <c r="A666" s="18"/>
      <c r="B666" s="80"/>
      <c r="C666" s="18"/>
      <c r="D666" s="80"/>
      <c r="E666" s="80"/>
      <c r="F666" s="134"/>
      <c r="G666" s="18"/>
      <c r="H666" s="18"/>
      <c r="I666" s="18"/>
      <c r="J666" s="18"/>
      <c r="K666" s="18"/>
      <c r="L666" s="18"/>
      <c r="M666" s="18"/>
      <c r="N666" s="18"/>
      <c r="O666" s="18"/>
      <c r="P666" s="18"/>
      <c r="Q666" s="18"/>
      <c r="R666" s="18"/>
      <c r="S666" s="18"/>
      <c r="T666" s="18"/>
      <c r="U666" s="18"/>
      <c r="V666" s="18"/>
      <c r="W666" s="18"/>
      <c r="X666" s="18"/>
      <c r="Y666" s="18"/>
      <c r="Z666" s="18"/>
    </row>
    <row r="667">
      <c r="A667" s="18"/>
      <c r="B667" s="80"/>
      <c r="C667" s="18"/>
      <c r="D667" s="80"/>
      <c r="E667" s="80"/>
      <c r="F667" s="134"/>
      <c r="G667" s="18"/>
      <c r="H667" s="18"/>
      <c r="I667" s="18"/>
      <c r="J667" s="18"/>
      <c r="K667" s="18"/>
      <c r="L667" s="18"/>
      <c r="M667" s="18"/>
      <c r="N667" s="18"/>
      <c r="O667" s="18"/>
      <c r="P667" s="18"/>
      <c r="Q667" s="18"/>
      <c r="R667" s="18"/>
      <c r="S667" s="18"/>
      <c r="T667" s="18"/>
      <c r="U667" s="18"/>
      <c r="V667" s="18"/>
      <c r="W667" s="18"/>
      <c r="X667" s="18"/>
      <c r="Y667" s="18"/>
      <c r="Z667" s="18"/>
    </row>
    <row r="668">
      <c r="A668" s="18"/>
      <c r="B668" s="80"/>
      <c r="C668" s="18"/>
      <c r="D668" s="80"/>
      <c r="E668" s="80"/>
      <c r="F668" s="134"/>
      <c r="G668" s="18"/>
      <c r="H668" s="18"/>
      <c r="I668" s="18"/>
      <c r="J668" s="18"/>
      <c r="K668" s="18"/>
      <c r="L668" s="18"/>
      <c r="M668" s="18"/>
      <c r="N668" s="18"/>
      <c r="O668" s="18"/>
      <c r="P668" s="18"/>
      <c r="Q668" s="18"/>
      <c r="R668" s="18"/>
      <c r="S668" s="18"/>
      <c r="T668" s="18"/>
      <c r="U668" s="18"/>
      <c r="V668" s="18"/>
      <c r="W668" s="18"/>
      <c r="X668" s="18"/>
      <c r="Y668" s="18"/>
      <c r="Z668" s="18"/>
    </row>
    <row r="669">
      <c r="A669" s="18"/>
      <c r="B669" s="80"/>
      <c r="C669" s="18"/>
      <c r="D669" s="80"/>
      <c r="E669" s="80"/>
      <c r="F669" s="134"/>
      <c r="G669" s="18"/>
      <c r="H669" s="18"/>
      <c r="I669" s="18"/>
      <c r="J669" s="18"/>
      <c r="K669" s="18"/>
      <c r="L669" s="18"/>
      <c r="M669" s="18"/>
      <c r="N669" s="18"/>
      <c r="O669" s="18"/>
      <c r="P669" s="18"/>
      <c r="Q669" s="18"/>
      <c r="R669" s="18"/>
      <c r="S669" s="18"/>
      <c r="T669" s="18"/>
      <c r="U669" s="18"/>
      <c r="V669" s="18"/>
      <c r="W669" s="18"/>
      <c r="X669" s="18"/>
      <c r="Y669" s="18"/>
      <c r="Z669" s="18"/>
    </row>
    <row r="670">
      <c r="A670" s="18"/>
      <c r="B670" s="80"/>
      <c r="C670" s="18"/>
      <c r="D670" s="80"/>
      <c r="E670" s="80"/>
      <c r="F670" s="134"/>
      <c r="G670" s="18"/>
      <c r="H670" s="18"/>
      <c r="I670" s="18"/>
      <c r="J670" s="18"/>
      <c r="K670" s="18"/>
      <c r="L670" s="18"/>
      <c r="M670" s="18"/>
      <c r="N670" s="18"/>
      <c r="O670" s="18"/>
      <c r="P670" s="18"/>
      <c r="Q670" s="18"/>
      <c r="R670" s="18"/>
      <c r="S670" s="18"/>
      <c r="T670" s="18"/>
      <c r="U670" s="18"/>
      <c r="V670" s="18"/>
      <c r="W670" s="18"/>
      <c r="X670" s="18"/>
      <c r="Y670" s="18"/>
      <c r="Z670" s="18"/>
    </row>
    <row r="671">
      <c r="A671" s="18"/>
      <c r="B671" s="80"/>
      <c r="C671" s="18"/>
      <c r="D671" s="80"/>
      <c r="E671" s="80"/>
      <c r="F671" s="134"/>
      <c r="G671" s="18"/>
      <c r="H671" s="18"/>
      <c r="I671" s="18"/>
      <c r="J671" s="18"/>
      <c r="K671" s="18"/>
      <c r="L671" s="18"/>
      <c r="M671" s="18"/>
      <c r="N671" s="18"/>
      <c r="O671" s="18"/>
      <c r="P671" s="18"/>
      <c r="Q671" s="18"/>
      <c r="R671" s="18"/>
      <c r="S671" s="18"/>
      <c r="T671" s="18"/>
      <c r="U671" s="18"/>
      <c r="V671" s="18"/>
      <c r="W671" s="18"/>
      <c r="X671" s="18"/>
      <c r="Y671" s="18"/>
      <c r="Z671" s="18"/>
    </row>
    <row r="672">
      <c r="A672" s="18"/>
      <c r="B672" s="80"/>
      <c r="C672" s="18"/>
      <c r="D672" s="80"/>
      <c r="E672" s="80"/>
      <c r="F672" s="134"/>
      <c r="G672" s="18"/>
      <c r="H672" s="18"/>
      <c r="I672" s="18"/>
      <c r="J672" s="18"/>
      <c r="K672" s="18"/>
      <c r="L672" s="18"/>
      <c r="M672" s="18"/>
      <c r="N672" s="18"/>
      <c r="O672" s="18"/>
      <c r="P672" s="18"/>
      <c r="Q672" s="18"/>
      <c r="R672" s="18"/>
      <c r="S672" s="18"/>
      <c r="T672" s="18"/>
      <c r="U672" s="18"/>
      <c r="V672" s="18"/>
      <c r="W672" s="18"/>
      <c r="X672" s="18"/>
      <c r="Y672" s="18"/>
      <c r="Z672" s="18"/>
    </row>
    <row r="673">
      <c r="A673" s="18"/>
      <c r="B673" s="80"/>
      <c r="C673" s="18"/>
      <c r="D673" s="80"/>
      <c r="E673" s="80"/>
      <c r="F673" s="134"/>
      <c r="G673" s="18"/>
      <c r="H673" s="18"/>
      <c r="I673" s="18"/>
      <c r="J673" s="18"/>
      <c r="K673" s="18"/>
      <c r="L673" s="18"/>
      <c r="M673" s="18"/>
      <c r="N673" s="18"/>
      <c r="O673" s="18"/>
      <c r="P673" s="18"/>
      <c r="Q673" s="18"/>
      <c r="R673" s="18"/>
      <c r="S673" s="18"/>
      <c r="T673" s="18"/>
      <c r="U673" s="18"/>
      <c r="V673" s="18"/>
      <c r="W673" s="18"/>
      <c r="X673" s="18"/>
      <c r="Y673" s="18"/>
      <c r="Z673" s="18"/>
    </row>
    <row r="674">
      <c r="A674" s="18"/>
      <c r="B674" s="80"/>
      <c r="C674" s="18"/>
      <c r="D674" s="80"/>
      <c r="E674" s="80"/>
      <c r="F674" s="134"/>
      <c r="G674" s="18"/>
      <c r="H674" s="18"/>
      <c r="I674" s="18"/>
      <c r="J674" s="18"/>
      <c r="K674" s="18"/>
      <c r="L674" s="18"/>
      <c r="M674" s="18"/>
      <c r="N674" s="18"/>
      <c r="O674" s="18"/>
      <c r="P674" s="18"/>
      <c r="Q674" s="18"/>
      <c r="R674" s="18"/>
      <c r="S674" s="18"/>
      <c r="T674" s="18"/>
      <c r="U674" s="18"/>
      <c r="V674" s="18"/>
      <c r="W674" s="18"/>
      <c r="X674" s="18"/>
      <c r="Y674" s="18"/>
      <c r="Z674" s="18"/>
    </row>
    <row r="675">
      <c r="A675" s="18"/>
      <c r="B675" s="80"/>
      <c r="C675" s="18"/>
      <c r="D675" s="80"/>
      <c r="E675" s="80"/>
      <c r="F675" s="134"/>
      <c r="G675" s="18"/>
      <c r="H675" s="18"/>
      <c r="I675" s="18"/>
      <c r="J675" s="18"/>
      <c r="K675" s="18"/>
      <c r="L675" s="18"/>
      <c r="M675" s="18"/>
      <c r="N675" s="18"/>
      <c r="O675" s="18"/>
      <c r="P675" s="18"/>
      <c r="Q675" s="18"/>
      <c r="R675" s="18"/>
      <c r="S675" s="18"/>
      <c r="T675" s="18"/>
      <c r="U675" s="18"/>
      <c r="V675" s="18"/>
      <c r="W675" s="18"/>
      <c r="X675" s="18"/>
      <c r="Y675" s="18"/>
      <c r="Z675" s="18"/>
    </row>
    <row r="676">
      <c r="A676" s="18"/>
      <c r="B676" s="80"/>
      <c r="C676" s="18"/>
      <c r="D676" s="80"/>
      <c r="E676" s="80"/>
      <c r="F676" s="134"/>
      <c r="G676" s="18"/>
      <c r="H676" s="18"/>
      <c r="I676" s="18"/>
      <c r="J676" s="18"/>
      <c r="K676" s="18"/>
      <c r="L676" s="18"/>
      <c r="M676" s="18"/>
      <c r="N676" s="18"/>
      <c r="O676" s="18"/>
      <c r="P676" s="18"/>
      <c r="Q676" s="18"/>
      <c r="R676" s="18"/>
      <c r="S676" s="18"/>
      <c r="T676" s="18"/>
      <c r="U676" s="18"/>
      <c r="V676" s="18"/>
      <c r="W676" s="18"/>
      <c r="X676" s="18"/>
      <c r="Y676" s="18"/>
      <c r="Z676" s="18"/>
    </row>
    <row r="677">
      <c r="A677" s="18"/>
      <c r="B677" s="80"/>
      <c r="C677" s="18"/>
      <c r="D677" s="80"/>
      <c r="E677" s="80"/>
      <c r="F677" s="134"/>
      <c r="G677" s="18"/>
      <c r="H677" s="18"/>
      <c r="I677" s="18"/>
      <c r="J677" s="18"/>
      <c r="K677" s="18"/>
      <c r="L677" s="18"/>
      <c r="M677" s="18"/>
      <c r="N677" s="18"/>
      <c r="O677" s="18"/>
      <c r="P677" s="18"/>
      <c r="Q677" s="18"/>
      <c r="R677" s="18"/>
      <c r="S677" s="18"/>
      <c r="T677" s="18"/>
      <c r="U677" s="18"/>
      <c r="V677" s="18"/>
      <c r="W677" s="18"/>
      <c r="X677" s="18"/>
      <c r="Y677" s="18"/>
      <c r="Z677" s="18"/>
    </row>
    <row r="678">
      <c r="A678" s="18"/>
      <c r="B678" s="80"/>
      <c r="C678" s="18"/>
      <c r="D678" s="80"/>
      <c r="E678" s="80"/>
      <c r="F678" s="134"/>
      <c r="G678" s="18"/>
      <c r="H678" s="18"/>
      <c r="I678" s="18"/>
      <c r="J678" s="18"/>
      <c r="K678" s="18"/>
      <c r="L678" s="18"/>
      <c r="M678" s="18"/>
      <c r="N678" s="18"/>
      <c r="O678" s="18"/>
      <c r="P678" s="18"/>
      <c r="Q678" s="18"/>
      <c r="R678" s="18"/>
      <c r="S678" s="18"/>
      <c r="T678" s="18"/>
      <c r="U678" s="18"/>
      <c r="V678" s="18"/>
      <c r="W678" s="18"/>
      <c r="X678" s="18"/>
      <c r="Y678" s="18"/>
      <c r="Z678" s="18"/>
    </row>
    <row r="679">
      <c r="A679" s="18"/>
      <c r="B679" s="80"/>
      <c r="C679" s="18"/>
      <c r="D679" s="80"/>
      <c r="E679" s="80"/>
      <c r="F679" s="134"/>
      <c r="G679" s="18"/>
      <c r="H679" s="18"/>
      <c r="I679" s="18"/>
      <c r="J679" s="18"/>
      <c r="K679" s="18"/>
      <c r="L679" s="18"/>
      <c r="M679" s="18"/>
      <c r="N679" s="18"/>
      <c r="O679" s="18"/>
      <c r="P679" s="18"/>
      <c r="Q679" s="18"/>
      <c r="R679" s="18"/>
      <c r="S679" s="18"/>
      <c r="T679" s="18"/>
      <c r="U679" s="18"/>
      <c r="V679" s="18"/>
      <c r="W679" s="18"/>
      <c r="X679" s="18"/>
      <c r="Y679" s="18"/>
      <c r="Z679" s="18"/>
    </row>
    <row r="680">
      <c r="A680" s="18"/>
      <c r="B680" s="80"/>
      <c r="C680" s="18"/>
      <c r="D680" s="80"/>
      <c r="E680" s="80"/>
      <c r="F680" s="134"/>
      <c r="G680" s="18"/>
      <c r="H680" s="18"/>
      <c r="I680" s="18"/>
      <c r="J680" s="18"/>
      <c r="K680" s="18"/>
      <c r="L680" s="18"/>
      <c r="M680" s="18"/>
      <c r="N680" s="18"/>
      <c r="O680" s="18"/>
      <c r="P680" s="18"/>
      <c r="Q680" s="18"/>
      <c r="R680" s="18"/>
      <c r="S680" s="18"/>
      <c r="T680" s="18"/>
      <c r="U680" s="18"/>
      <c r="V680" s="18"/>
      <c r="W680" s="18"/>
      <c r="X680" s="18"/>
      <c r="Y680" s="18"/>
      <c r="Z680" s="18"/>
    </row>
    <row r="681">
      <c r="A681" s="18"/>
      <c r="B681" s="80"/>
      <c r="C681" s="18"/>
      <c r="D681" s="80"/>
      <c r="E681" s="80"/>
      <c r="F681" s="134"/>
      <c r="G681" s="18"/>
      <c r="H681" s="18"/>
      <c r="I681" s="18"/>
      <c r="J681" s="18"/>
      <c r="K681" s="18"/>
      <c r="L681" s="18"/>
      <c r="M681" s="18"/>
      <c r="N681" s="18"/>
      <c r="O681" s="18"/>
      <c r="P681" s="18"/>
      <c r="Q681" s="18"/>
      <c r="R681" s="18"/>
      <c r="S681" s="18"/>
      <c r="T681" s="18"/>
      <c r="U681" s="18"/>
      <c r="V681" s="18"/>
      <c r="W681" s="18"/>
      <c r="X681" s="18"/>
      <c r="Y681" s="18"/>
      <c r="Z681" s="18"/>
    </row>
    <row r="682">
      <c r="A682" s="18"/>
      <c r="B682" s="80"/>
      <c r="C682" s="18"/>
      <c r="D682" s="80"/>
      <c r="E682" s="80"/>
      <c r="F682" s="134"/>
      <c r="G682" s="18"/>
      <c r="H682" s="18"/>
      <c r="I682" s="18"/>
      <c r="J682" s="18"/>
      <c r="K682" s="18"/>
      <c r="L682" s="18"/>
      <c r="M682" s="18"/>
      <c r="N682" s="18"/>
      <c r="O682" s="18"/>
      <c r="P682" s="18"/>
      <c r="Q682" s="18"/>
      <c r="R682" s="18"/>
      <c r="S682" s="18"/>
      <c r="T682" s="18"/>
      <c r="U682" s="18"/>
      <c r="V682" s="18"/>
      <c r="W682" s="18"/>
      <c r="X682" s="18"/>
      <c r="Y682" s="18"/>
      <c r="Z682" s="18"/>
    </row>
    <row r="683">
      <c r="A683" s="18"/>
      <c r="B683" s="80"/>
      <c r="C683" s="18"/>
      <c r="D683" s="80"/>
      <c r="E683" s="80"/>
      <c r="F683" s="134"/>
      <c r="G683" s="18"/>
      <c r="H683" s="18"/>
      <c r="I683" s="18"/>
      <c r="J683" s="18"/>
      <c r="K683" s="18"/>
      <c r="L683" s="18"/>
      <c r="M683" s="18"/>
      <c r="N683" s="18"/>
      <c r="O683" s="18"/>
      <c r="P683" s="18"/>
      <c r="Q683" s="18"/>
      <c r="R683" s="18"/>
      <c r="S683" s="18"/>
      <c r="T683" s="18"/>
      <c r="U683" s="18"/>
      <c r="V683" s="18"/>
      <c r="W683" s="18"/>
      <c r="X683" s="18"/>
      <c r="Y683" s="18"/>
      <c r="Z683" s="18"/>
    </row>
    <row r="684">
      <c r="A684" s="18"/>
      <c r="B684" s="80"/>
      <c r="C684" s="18"/>
      <c r="D684" s="80"/>
      <c r="E684" s="80"/>
      <c r="F684" s="134"/>
      <c r="G684" s="18"/>
      <c r="H684" s="18"/>
      <c r="I684" s="18"/>
      <c r="J684" s="18"/>
      <c r="K684" s="18"/>
      <c r="L684" s="18"/>
      <c r="M684" s="18"/>
      <c r="N684" s="18"/>
      <c r="O684" s="18"/>
      <c r="P684" s="18"/>
      <c r="Q684" s="18"/>
      <c r="R684" s="18"/>
      <c r="S684" s="18"/>
      <c r="T684" s="18"/>
      <c r="U684" s="18"/>
      <c r="V684" s="18"/>
      <c r="W684" s="18"/>
      <c r="X684" s="18"/>
      <c r="Y684" s="18"/>
      <c r="Z684" s="18"/>
    </row>
    <row r="685">
      <c r="A685" s="18"/>
      <c r="B685" s="80"/>
      <c r="C685" s="18"/>
      <c r="D685" s="80"/>
      <c r="E685" s="80"/>
      <c r="F685" s="134"/>
      <c r="G685" s="18"/>
      <c r="H685" s="18"/>
      <c r="I685" s="18"/>
      <c r="J685" s="18"/>
      <c r="K685" s="18"/>
      <c r="L685" s="18"/>
      <c r="M685" s="18"/>
      <c r="N685" s="18"/>
      <c r="O685" s="18"/>
      <c r="P685" s="18"/>
      <c r="Q685" s="18"/>
      <c r="R685" s="18"/>
      <c r="S685" s="18"/>
      <c r="T685" s="18"/>
      <c r="U685" s="18"/>
      <c r="V685" s="18"/>
      <c r="W685" s="18"/>
      <c r="X685" s="18"/>
      <c r="Y685" s="18"/>
      <c r="Z685" s="18"/>
    </row>
    <row r="686">
      <c r="A686" s="18"/>
      <c r="B686" s="80"/>
      <c r="C686" s="18"/>
      <c r="D686" s="80"/>
      <c r="E686" s="80"/>
      <c r="F686" s="134"/>
      <c r="G686" s="18"/>
      <c r="H686" s="18"/>
      <c r="I686" s="18"/>
      <c r="J686" s="18"/>
      <c r="K686" s="18"/>
      <c r="L686" s="18"/>
      <c r="M686" s="18"/>
      <c r="N686" s="18"/>
      <c r="O686" s="18"/>
      <c r="P686" s="18"/>
      <c r="Q686" s="18"/>
      <c r="R686" s="18"/>
      <c r="S686" s="18"/>
      <c r="T686" s="18"/>
      <c r="U686" s="18"/>
      <c r="V686" s="18"/>
      <c r="W686" s="18"/>
      <c r="X686" s="18"/>
      <c r="Y686" s="18"/>
      <c r="Z686" s="18"/>
    </row>
    <row r="687">
      <c r="A687" s="18"/>
      <c r="B687" s="80"/>
      <c r="C687" s="18"/>
      <c r="D687" s="80"/>
      <c r="E687" s="80"/>
      <c r="F687" s="134"/>
      <c r="G687" s="18"/>
      <c r="H687" s="18"/>
      <c r="I687" s="18"/>
      <c r="J687" s="18"/>
      <c r="K687" s="18"/>
      <c r="L687" s="18"/>
      <c r="M687" s="18"/>
      <c r="N687" s="18"/>
      <c r="O687" s="18"/>
      <c r="P687" s="18"/>
      <c r="Q687" s="18"/>
      <c r="R687" s="18"/>
      <c r="S687" s="18"/>
      <c r="T687" s="18"/>
      <c r="U687" s="18"/>
      <c r="V687" s="18"/>
      <c r="W687" s="18"/>
      <c r="X687" s="18"/>
      <c r="Y687" s="18"/>
      <c r="Z687" s="18"/>
    </row>
    <row r="688">
      <c r="A688" s="18"/>
      <c r="B688" s="80"/>
      <c r="C688" s="18"/>
      <c r="D688" s="80"/>
      <c r="E688" s="80"/>
      <c r="F688" s="134"/>
      <c r="G688" s="18"/>
      <c r="H688" s="18"/>
      <c r="I688" s="18"/>
      <c r="J688" s="18"/>
      <c r="K688" s="18"/>
      <c r="L688" s="18"/>
      <c r="M688" s="18"/>
      <c r="N688" s="18"/>
      <c r="O688" s="18"/>
      <c r="P688" s="18"/>
      <c r="Q688" s="18"/>
      <c r="R688" s="18"/>
      <c r="S688" s="18"/>
      <c r="T688" s="18"/>
      <c r="U688" s="18"/>
      <c r="V688" s="18"/>
      <c r="W688" s="18"/>
      <c r="X688" s="18"/>
      <c r="Y688" s="18"/>
      <c r="Z688" s="18"/>
    </row>
    <row r="689">
      <c r="A689" s="18"/>
      <c r="B689" s="80"/>
      <c r="C689" s="18"/>
      <c r="D689" s="80"/>
      <c r="E689" s="80"/>
      <c r="F689" s="134"/>
      <c r="G689" s="18"/>
      <c r="H689" s="18"/>
      <c r="I689" s="18"/>
      <c r="J689" s="18"/>
      <c r="K689" s="18"/>
      <c r="L689" s="18"/>
      <c r="M689" s="18"/>
      <c r="N689" s="18"/>
      <c r="O689" s="18"/>
      <c r="P689" s="18"/>
      <c r="Q689" s="18"/>
      <c r="R689" s="18"/>
      <c r="S689" s="18"/>
      <c r="T689" s="18"/>
      <c r="U689" s="18"/>
      <c r="V689" s="18"/>
      <c r="W689" s="18"/>
      <c r="X689" s="18"/>
      <c r="Y689" s="18"/>
      <c r="Z689" s="18"/>
    </row>
    <row r="690">
      <c r="A690" s="18"/>
      <c r="B690" s="80"/>
      <c r="C690" s="18"/>
      <c r="D690" s="80"/>
      <c r="E690" s="80"/>
      <c r="F690" s="134"/>
      <c r="G690" s="18"/>
      <c r="H690" s="18"/>
      <c r="I690" s="18"/>
      <c r="J690" s="18"/>
      <c r="K690" s="18"/>
      <c r="L690" s="18"/>
      <c r="M690" s="18"/>
      <c r="N690" s="18"/>
      <c r="O690" s="18"/>
      <c r="P690" s="18"/>
      <c r="Q690" s="18"/>
      <c r="R690" s="18"/>
      <c r="S690" s="18"/>
      <c r="T690" s="18"/>
      <c r="U690" s="18"/>
      <c r="V690" s="18"/>
      <c r="W690" s="18"/>
      <c r="X690" s="18"/>
      <c r="Y690" s="18"/>
      <c r="Z690" s="18"/>
    </row>
    <row r="691">
      <c r="A691" s="18"/>
      <c r="B691" s="80"/>
      <c r="C691" s="18"/>
      <c r="D691" s="80"/>
      <c r="E691" s="80"/>
      <c r="F691" s="134"/>
      <c r="G691" s="18"/>
      <c r="H691" s="18"/>
      <c r="I691" s="18"/>
      <c r="J691" s="18"/>
      <c r="K691" s="18"/>
      <c r="L691" s="18"/>
      <c r="M691" s="18"/>
      <c r="N691" s="18"/>
      <c r="O691" s="18"/>
      <c r="P691" s="18"/>
      <c r="Q691" s="18"/>
      <c r="R691" s="18"/>
      <c r="S691" s="18"/>
      <c r="T691" s="18"/>
      <c r="U691" s="18"/>
      <c r="V691" s="18"/>
      <c r="W691" s="18"/>
      <c r="X691" s="18"/>
      <c r="Y691" s="18"/>
      <c r="Z691" s="18"/>
    </row>
    <row r="692">
      <c r="A692" s="18"/>
      <c r="B692" s="80"/>
      <c r="C692" s="18"/>
      <c r="D692" s="80"/>
      <c r="E692" s="80"/>
      <c r="F692" s="134"/>
      <c r="G692" s="18"/>
      <c r="H692" s="18"/>
      <c r="I692" s="18"/>
      <c r="J692" s="18"/>
      <c r="K692" s="18"/>
      <c r="L692" s="18"/>
      <c r="M692" s="18"/>
      <c r="N692" s="18"/>
      <c r="O692" s="18"/>
      <c r="P692" s="18"/>
      <c r="Q692" s="18"/>
      <c r="R692" s="18"/>
      <c r="S692" s="18"/>
      <c r="T692" s="18"/>
      <c r="U692" s="18"/>
      <c r="V692" s="18"/>
      <c r="W692" s="18"/>
      <c r="X692" s="18"/>
      <c r="Y692" s="18"/>
      <c r="Z692" s="18"/>
    </row>
    <row r="693">
      <c r="A693" s="18"/>
      <c r="B693" s="80"/>
      <c r="C693" s="18"/>
      <c r="D693" s="80"/>
      <c r="E693" s="80"/>
      <c r="F693" s="134"/>
      <c r="G693" s="18"/>
      <c r="H693" s="18"/>
      <c r="I693" s="18"/>
      <c r="J693" s="18"/>
      <c r="K693" s="18"/>
      <c r="L693" s="18"/>
      <c r="M693" s="18"/>
      <c r="N693" s="18"/>
      <c r="O693" s="18"/>
      <c r="P693" s="18"/>
      <c r="Q693" s="18"/>
      <c r="R693" s="18"/>
      <c r="S693" s="18"/>
      <c r="T693" s="18"/>
      <c r="U693" s="18"/>
      <c r="V693" s="18"/>
      <c r="W693" s="18"/>
      <c r="X693" s="18"/>
      <c r="Y693" s="18"/>
      <c r="Z693" s="18"/>
    </row>
    <row r="694">
      <c r="A694" s="18"/>
      <c r="B694" s="80"/>
      <c r="C694" s="18"/>
      <c r="D694" s="80"/>
      <c r="E694" s="80"/>
      <c r="F694" s="134"/>
      <c r="G694" s="18"/>
      <c r="H694" s="18"/>
      <c r="I694" s="18"/>
      <c r="J694" s="18"/>
      <c r="K694" s="18"/>
      <c r="L694" s="18"/>
      <c r="M694" s="18"/>
      <c r="N694" s="18"/>
      <c r="O694" s="18"/>
      <c r="P694" s="18"/>
      <c r="Q694" s="18"/>
      <c r="R694" s="18"/>
      <c r="S694" s="18"/>
      <c r="T694" s="18"/>
      <c r="U694" s="18"/>
      <c r="V694" s="18"/>
      <c r="W694" s="18"/>
      <c r="X694" s="18"/>
      <c r="Y694" s="18"/>
      <c r="Z694" s="18"/>
    </row>
    <row r="695">
      <c r="A695" s="18"/>
      <c r="B695" s="80"/>
      <c r="C695" s="18"/>
      <c r="D695" s="80"/>
      <c r="E695" s="80"/>
      <c r="F695" s="134"/>
      <c r="G695" s="18"/>
      <c r="H695" s="18"/>
      <c r="I695" s="18"/>
      <c r="J695" s="18"/>
      <c r="K695" s="18"/>
      <c r="L695" s="18"/>
      <c r="M695" s="18"/>
      <c r="N695" s="18"/>
      <c r="O695" s="18"/>
      <c r="P695" s="18"/>
      <c r="Q695" s="18"/>
      <c r="R695" s="18"/>
      <c r="S695" s="18"/>
      <c r="T695" s="18"/>
      <c r="U695" s="18"/>
      <c r="V695" s="18"/>
      <c r="W695" s="18"/>
      <c r="X695" s="18"/>
      <c r="Y695" s="18"/>
      <c r="Z695" s="18"/>
    </row>
    <row r="696">
      <c r="A696" s="18"/>
      <c r="B696" s="80"/>
      <c r="C696" s="18"/>
      <c r="D696" s="80"/>
      <c r="E696" s="80"/>
      <c r="F696" s="134"/>
      <c r="G696" s="18"/>
      <c r="H696" s="18"/>
      <c r="I696" s="18"/>
      <c r="J696" s="18"/>
      <c r="K696" s="18"/>
      <c r="L696" s="18"/>
      <c r="M696" s="18"/>
      <c r="N696" s="18"/>
      <c r="O696" s="18"/>
      <c r="P696" s="18"/>
      <c r="Q696" s="18"/>
      <c r="R696" s="18"/>
      <c r="S696" s="18"/>
      <c r="T696" s="18"/>
      <c r="U696" s="18"/>
      <c r="V696" s="18"/>
      <c r="W696" s="18"/>
      <c r="X696" s="18"/>
      <c r="Y696" s="18"/>
      <c r="Z696" s="18"/>
    </row>
    <row r="697">
      <c r="A697" s="18"/>
      <c r="B697" s="80"/>
      <c r="C697" s="18"/>
      <c r="D697" s="80"/>
      <c r="E697" s="80"/>
      <c r="F697" s="134"/>
      <c r="G697" s="18"/>
      <c r="H697" s="18"/>
      <c r="I697" s="18"/>
      <c r="J697" s="18"/>
      <c r="K697" s="18"/>
      <c r="L697" s="18"/>
      <c r="M697" s="18"/>
      <c r="N697" s="18"/>
      <c r="O697" s="18"/>
      <c r="P697" s="18"/>
      <c r="Q697" s="18"/>
      <c r="R697" s="18"/>
      <c r="S697" s="18"/>
      <c r="T697" s="18"/>
      <c r="U697" s="18"/>
      <c r="V697" s="18"/>
      <c r="W697" s="18"/>
      <c r="X697" s="18"/>
      <c r="Y697" s="18"/>
      <c r="Z697" s="18"/>
    </row>
    <row r="698">
      <c r="A698" s="18"/>
      <c r="B698" s="80"/>
      <c r="C698" s="18"/>
      <c r="D698" s="80"/>
      <c r="E698" s="80"/>
      <c r="F698" s="134"/>
      <c r="G698" s="18"/>
      <c r="H698" s="18"/>
      <c r="I698" s="18"/>
      <c r="J698" s="18"/>
      <c r="K698" s="18"/>
      <c r="L698" s="18"/>
      <c r="M698" s="18"/>
      <c r="N698" s="18"/>
      <c r="O698" s="18"/>
      <c r="P698" s="18"/>
      <c r="Q698" s="18"/>
      <c r="R698" s="18"/>
      <c r="S698" s="18"/>
      <c r="T698" s="18"/>
      <c r="U698" s="18"/>
      <c r="V698" s="18"/>
      <c r="W698" s="18"/>
      <c r="X698" s="18"/>
      <c r="Y698" s="18"/>
      <c r="Z698" s="18"/>
    </row>
    <row r="699">
      <c r="A699" s="18"/>
      <c r="B699" s="80"/>
      <c r="C699" s="18"/>
      <c r="D699" s="80"/>
      <c r="E699" s="80"/>
      <c r="F699" s="134"/>
      <c r="G699" s="18"/>
      <c r="H699" s="18"/>
      <c r="I699" s="18"/>
      <c r="J699" s="18"/>
      <c r="K699" s="18"/>
      <c r="L699" s="18"/>
      <c r="M699" s="18"/>
      <c r="N699" s="18"/>
      <c r="O699" s="18"/>
      <c r="P699" s="18"/>
      <c r="Q699" s="18"/>
      <c r="R699" s="18"/>
      <c r="S699" s="18"/>
      <c r="T699" s="18"/>
      <c r="U699" s="18"/>
      <c r="V699" s="18"/>
      <c r="W699" s="18"/>
      <c r="X699" s="18"/>
      <c r="Y699" s="18"/>
      <c r="Z699" s="18"/>
    </row>
    <row r="700">
      <c r="A700" s="18"/>
      <c r="B700" s="80"/>
      <c r="C700" s="18"/>
      <c r="D700" s="80"/>
      <c r="E700" s="80"/>
      <c r="F700" s="134"/>
      <c r="G700" s="18"/>
      <c r="H700" s="18"/>
      <c r="I700" s="18"/>
      <c r="J700" s="18"/>
      <c r="K700" s="18"/>
      <c r="L700" s="18"/>
      <c r="M700" s="18"/>
      <c r="N700" s="18"/>
      <c r="O700" s="18"/>
      <c r="P700" s="18"/>
      <c r="Q700" s="18"/>
      <c r="R700" s="18"/>
      <c r="S700" s="18"/>
      <c r="T700" s="18"/>
      <c r="U700" s="18"/>
      <c r="V700" s="18"/>
      <c r="W700" s="18"/>
      <c r="X700" s="18"/>
      <c r="Y700" s="18"/>
      <c r="Z700" s="18"/>
    </row>
    <row r="701">
      <c r="A701" s="18"/>
      <c r="B701" s="80"/>
      <c r="C701" s="18"/>
      <c r="D701" s="80"/>
      <c r="E701" s="80"/>
      <c r="F701" s="134"/>
      <c r="G701" s="18"/>
      <c r="H701" s="18"/>
      <c r="I701" s="18"/>
      <c r="J701" s="18"/>
      <c r="K701" s="18"/>
      <c r="L701" s="18"/>
      <c r="M701" s="18"/>
      <c r="N701" s="18"/>
      <c r="O701" s="18"/>
      <c r="P701" s="18"/>
      <c r="Q701" s="18"/>
      <c r="R701" s="18"/>
      <c r="S701" s="18"/>
      <c r="T701" s="18"/>
      <c r="U701" s="18"/>
      <c r="V701" s="18"/>
      <c r="W701" s="18"/>
      <c r="X701" s="18"/>
      <c r="Y701" s="18"/>
      <c r="Z701" s="18"/>
    </row>
    <row r="702">
      <c r="A702" s="18"/>
      <c r="B702" s="80"/>
      <c r="C702" s="18"/>
      <c r="D702" s="80"/>
      <c r="E702" s="80"/>
      <c r="F702" s="134"/>
      <c r="G702" s="18"/>
      <c r="H702" s="18"/>
      <c r="I702" s="18"/>
      <c r="J702" s="18"/>
      <c r="K702" s="18"/>
      <c r="L702" s="18"/>
      <c r="M702" s="18"/>
      <c r="N702" s="18"/>
      <c r="O702" s="18"/>
      <c r="P702" s="18"/>
      <c r="Q702" s="18"/>
      <c r="R702" s="18"/>
      <c r="S702" s="18"/>
      <c r="T702" s="18"/>
      <c r="U702" s="18"/>
      <c r="V702" s="18"/>
      <c r="W702" s="18"/>
      <c r="X702" s="18"/>
      <c r="Y702" s="18"/>
      <c r="Z702" s="18"/>
    </row>
    <row r="703">
      <c r="A703" s="18"/>
      <c r="B703" s="80"/>
      <c r="C703" s="18"/>
      <c r="D703" s="80"/>
      <c r="E703" s="80"/>
      <c r="F703" s="134"/>
      <c r="G703" s="18"/>
      <c r="H703" s="18"/>
      <c r="I703" s="18"/>
      <c r="J703" s="18"/>
      <c r="K703" s="18"/>
      <c r="L703" s="18"/>
      <c r="M703" s="18"/>
      <c r="N703" s="18"/>
      <c r="O703" s="18"/>
      <c r="P703" s="18"/>
      <c r="Q703" s="18"/>
      <c r="R703" s="18"/>
      <c r="S703" s="18"/>
      <c r="T703" s="18"/>
      <c r="U703" s="18"/>
      <c r="V703" s="18"/>
      <c r="W703" s="18"/>
      <c r="X703" s="18"/>
      <c r="Y703" s="18"/>
      <c r="Z703" s="18"/>
    </row>
    <row r="704">
      <c r="A704" s="18"/>
      <c r="B704" s="80"/>
      <c r="C704" s="18"/>
      <c r="D704" s="80"/>
      <c r="E704" s="80"/>
      <c r="F704" s="134"/>
      <c r="G704" s="18"/>
      <c r="H704" s="18"/>
      <c r="I704" s="18"/>
      <c r="J704" s="18"/>
      <c r="K704" s="18"/>
      <c r="L704" s="18"/>
      <c r="M704" s="18"/>
      <c r="N704" s="18"/>
      <c r="O704" s="18"/>
      <c r="P704" s="18"/>
      <c r="Q704" s="18"/>
      <c r="R704" s="18"/>
      <c r="S704" s="18"/>
      <c r="T704" s="18"/>
      <c r="U704" s="18"/>
      <c r="V704" s="18"/>
      <c r="W704" s="18"/>
      <c r="X704" s="18"/>
      <c r="Y704" s="18"/>
      <c r="Z704" s="18"/>
    </row>
    <row r="705">
      <c r="A705" s="18"/>
      <c r="B705" s="80"/>
      <c r="C705" s="18"/>
      <c r="D705" s="80"/>
      <c r="E705" s="80"/>
      <c r="F705" s="134"/>
      <c r="G705" s="18"/>
      <c r="H705" s="18"/>
      <c r="I705" s="18"/>
      <c r="J705" s="18"/>
      <c r="K705" s="18"/>
      <c r="L705" s="18"/>
      <c r="M705" s="18"/>
      <c r="N705" s="18"/>
      <c r="O705" s="18"/>
      <c r="P705" s="18"/>
      <c r="Q705" s="18"/>
      <c r="R705" s="18"/>
      <c r="S705" s="18"/>
      <c r="T705" s="18"/>
      <c r="U705" s="18"/>
      <c r="V705" s="18"/>
      <c r="W705" s="18"/>
      <c r="X705" s="18"/>
      <c r="Y705" s="18"/>
      <c r="Z705" s="18"/>
    </row>
    <row r="706">
      <c r="A706" s="18"/>
      <c r="B706" s="80"/>
      <c r="C706" s="18"/>
      <c r="D706" s="80"/>
      <c r="E706" s="80"/>
      <c r="F706" s="134"/>
      <c r="G706" s="18"/>
      <c r="H706" s="18"/>
      <c r="I706" s="18"/>
      <c r="J706" s="18"/>
      <c r="K706" s="18"/>
      <c r="L706" s="18"/>
      <c r="M706" s="18"/>
      <c r="N706" s="18"/>
      <c r="O706" s="18"/>
      <c r="P706" s="18"/>
      <c r="Q706" s="18"/>
      <c r="R706" s="18"/>
      <c r="S706" s="18"/>
      <c r="T706" s="18"/>
      <c r="U706" s="18"/>
      <c r="V706" s="18"/>
      <c r="W706" s="18"/>
      <c r="X706" s="18"/>
      <c r="Y706" s="18"/>
      <c r="Z706" s="18"/>
    </row>
    <row r="707">
      <c r="A707" s="18"/>
      <c r="B707" s="80"/>
      <c r="C707" s="18"/>
      <c r="D707" s="80"/>
      <c r="E707" s="80"/>
      <c r="F707" s="134"/>
      <c r="G707" s="18"/>
      <c r="H707" s="18"/>
      <c r="I707" s="18"/>
      <c r="J707" s="18"/>
      <c r="K707" s="18"/>
      <c r="L707" s="18"/>
      <c r="M707" s="18"/>
      <c r="N707" s="18"/>
      <c r="O707" s="18"/>
      <c r="P707" s="18"/>
      <c r="Q707" s="18"/>
      <c r="R707" s="18"/>
      <c r="S707" s="18"/>
      <c r="T707" s="18"/>
      <c r="U707" s="18"/>
      <c r="V707" s="18"/>
      <c r="W707" s="18"/>
      <c r="X707" s="18"/>
      <c r="Y707" s="18"/>
      <c r="Z707" s="18"/>
    </row>
    <row r="708">
      <c r="A708" s="18"/>
      <c r="B708" s="80"/>
      <c r="C708" s="18"/>
      <c r="D708" s="80"/>
      <c r="E708" s="80"/>
      <c r="F708" s="134"/>
      <c r="G708" s="18"/>
      <c r="H708" s="18"/>
      <c r="I708" s="18"/>
      <c r="J708" s="18"/>
      <c r="K708" s="18"/>
      <c r="L708" s="18"/>
      <c r="M708" s="18"/>
      <c r="N708" s="18"/>
      <c r="O708" s="18"/>
      <c r="P708" s="18"/>
      <c r="Q708" s="18"/>
      <c r="R708" s="18"/>
      <c r="S708" s="18"/>
      <c r="T708" s="18"/>
      <c r="U708" s="18"/>
      <c r="V708" s="18"/>
      <c r="W708" s="18"/>
      <c r="X708" s="18"/>
      <c r="Y708" s="18"/>
      <c r="Z708" s="18"/>
    </row>
    <row r="709">
      <c r="A709" s="18"/>
      <c r="B709" s="80"/>
      <c r="C709" s="18"/>
      <c r="D709" s="80"/>
      <c r="E709" s="80"/>
      <c r="F709" s="134"/>
      <c r="G709" s="18"/>
      <c r="H709" s="18"/>
      <c r="I709" s="18"/>
      <c r="J709" s="18"/>
      <c r="K709" s="18"/>
      <c r="L709" s="18"/>
      <c r="M709" s="18"/>
      <c r="N709" s="18"/>
      <c r="O709" s="18"/>
      <c r="P709" s="18"/>
      <c r="Q709" s="18"/>
      <c r="R709" s="18"/>
      <c r="S709" s="18"/>
      <c r="T709" s="18"/>
      <c r="U709" s="18"/>
      <c r="V709" s="18"/>
      <c r="W709" s="18"/>
      <c r="X709" s="18"/>
      <c r="Y709" s="18"/>
      <c r="Z709" s="18"/>
    </row>
    <row r="710">
      <c r="A710" s="18"/>
      <c r="B710" s="80"/>
      <c r="C710" s="18"/>
      <c r="D710" s="80"/>
      <c r="E710" s="80"/>
      <c r="F710" s="134"/>
      <c r="G710" s="18"/>
      <c r="H710" s="18"/>
      <c r="I710" s="18"/>
      <c r="J710" s="18"/>
      <c r="K710" s="18"/>
      <c r="L710" s="18"/>
      <c r="M710" s="18"/>
      <c r="N710" s="18"/>
      <c r="O710" s="18"/>
      <c r="P710" s="18"/>
      <c r="Q710" s="18"/>
      <c r="R710" s="18"/>
      <c r="S710" s="18"/>
      <c r="T710" s="18"/>
      <c r="U710" s="18"/>
      <c r="V710" s="18"/>
      <c r="W710" s="18"/>
      <c r="X710" s="18"/>
      <c r="Y710" s="18"/>
      <c r="Z710" s="18"/>
    </row>
    <row r="711">
      <c r="A711" s="18"/>
      <c r="B711" s="80"/>
      <c r="C711" s="18"/>
      <c r="D711" s="80"/>
      <c r="E711" s="80"/>
      <c r="F711" s="134"/>
      <c r="G711" s="18"/>
      <c r="H711" s="18"/>
      <c r="I711" s="18"/>
      <c r="J711" s="18"/>
      <c r="K711" s="18"/>
      <c r="L711" s="18"/>
      <c r="M711" s="18"/>
      <c r="N711" s="18"/>
      <c r="O711" s="18"/>
      <c r="P711" s="18"/>
      <c r="Q711" s="18"/>
      <c r="R711" s="18"/>
      <c r="S711" s="18"/>
      <c r="T711" s="18"/>
      <c r="U711" s="18"/>
      <c r="V711" s="18"/>
      <c r="W711" s="18"/>
      <c r="X711" s="18"/>
      <c r="Y711" s="18"/>
      <c r="Z711" s="18"/>
    </row>
    <row r="712">
      <c r="A712" s="18"/>
      <c r="B712" s="80"/>
      <c r="C712" s="18"/>
      <c r="D712" s="80"/>
      <c r="E712" s="80"/>
      <c r="F712" s="134"/>
      <c r="G712" s="18"/>
      <c r="H712" s="18"/>
      <c r="I712" s="18"/>
      <c r="J712" s="18"/>
      <c r="K712" s="18"/>
      <c r="L712" s="18"/>
      <c r="M712" s="18"/>
      <c r="N712" s="18"/>
      <c r="O712" s="18"/>
      <c r="P712" s="18"/>
      <c r="Q712" s="18"/>
      <c r="R712" s="18"/>
      <c r="S712" s="18"/>
      <c r="T712" s="18"/>
      <c r="U712" s="18"/>
      <c r="V712" s="18"/>
      <c r="W712" s="18"/>
      <c r="X712" s="18"/>
      <c r="Y712" s="18"/>
      <c r="Z712" s="18"/>
    </row>
    <row r="713">
      <c r="A713" s="18"/>
      <c r="B713" s="80"/>
      <c r="C713" s="18"/>
      <c r="D713" s="80"/>
      <c r="E713" s="80"/>
      <c r="F713" s="134"/>
      <c r="G713" s="18"/>
      <c r="H713" s="18"/>
      <c r="I713" s="18"/>
      <c r="J713" s="18"/>
      <c r="K713" s="18"/>
      <c r="L713" s="18"/>
      <c r="M713" s="18"/>
      <c r="N713" s="18"/>
      <c r="O713" s="18"/>
      <c r="P713" s="18"/>
      <c r="Q713" s="18"/>
      <c r="R713" s="18"/>
      <c r="S713" s="18"/>
      <c r="T713" s="18"/>
      <c r="U713" s="18"/>
      <c r="V713" s="18"/>
      <c r="W713" s="18"/>
      <c r="X713" s="18"/>
      <c r="Y713" s="18"/>
      <c r="Z713" s="18"/>
    </row>
    <row r="714">
      <c r="A714" s="18"/>
      <c r="B714" s="80"/>
      <c r="C714" s="18"/>
      <c r="D714" s="80"/>
      <c r="E714" s="80"/>
      <c r="F714" s="134"/>
      <c r="G714" s="18"/>
      <c r="H714" s="18"/>
      <c r="I714" s="18"/>
      <c r="J714" s="18"/>
      <c r="K714" s="18"/>
      <c r="L714" s="18"/>
      <c r="M714" s="18"/>
      <c r="N714" s="18"/>
      <c r="O714" s="18"/>
      <c r="P714" s="18"/>
      <c r="Q714" s="18"/>
      <c r="R714" s="18"/>
      <c r="S714" s="18"/>
      <c r="T714" s="18"/>
      <c r="U714" s="18"/>
      <c r="V714" s="18"/>
      <c r="W714" s="18"/>
      <c r="X714" s="18"/>
      <c r="Y714" s="18"/>
      <c r="Z714" s="18"/>
    </row>
    <row r="715">
      <c r="A715" s="18"/>
      <c r="B715" s="80"/>
      <c r="C715" s="18"/>
      <c r="D715" s="80"/>
      <c r="E715" s="80"/>
      <c r="F715" s="134"/>
      <c r="G715" s="18"/>
      <c r="H715" s="18"/>
      <c r="I715" s="18"/>
      <c r="J715" s="18"/>
      <c r="K715" s="18"/>
      <c r="L715" s="18"/>
      <c r="M715" s="18"/>
      <c r="N715" s="18"/>
      <c r="O715" s="18"/>
      <c r="P715" s="18"/>
      <c r="Q715" s="18"/>
      <c r="R715" s="18"/>
      <c r="S715" s="18"/>
      <c r="T715" s="18"/>
      <c r="U715" s="18"/>
      <c r="V715" s="18"/>
      <c r="W715" s="18"/>
      <c r="X715" s="18"/>
      <c r="Y715" s="18"/>
      <c r="Z715" s="18"/>
    </row>
    <row r="716">
      <c r="A716" s="18"/>
      <c r="B716" s="80"/>
      <c r="C716" s="18"/>
      <c r="D716" s="80"/>
      <c r="E716" s="80"/>
      <c r="F716" s="134"/>
      <c r="G716" s="18"/>
      <c r="H716" s="18"/>
      <c r="I716" s="18"/>
      <c r="J716" s="18"/>
      <c r="K716" s="18"/>
      <c r="L716" s="18"/>
      <c r="M716" s="18"/>
      <c r="N716" s="18"/>
      <c r="O716" s="18"/>
      <c r="P716" s="18"/>
      <c r="Q716" s="18"/>
      <c r="R716" s="18"/>
      <c r="S716" s="18"/>
      <c r="T716" s="18"/>
      <c r="U716" s="18"/>
      <c r="V716" s="18"/>
      <c r="W716" s="18"/>
      <c r="X716" s="18"/>
      <c r="Y716" s="18"/>
      <c r="Z716" s="18"/>
    </row>
    <row r="717">
      <c r="A717" s="18"/>
      <c r="B717" s="80"/>
      <c r="C717" s="18"/>
      <c r="D717" s="80"/>
      <c r="E717" s="80"/>
      <c r="F717" s="134"/>
      <c r="G717" s="18"/>
      <c r="H717" s="18"/>
      <c r="I717" s="18"/>
      <c r="J717" s="18"/>
      <c r="K717" s="18"/>
      <c r="L717" s="18"/>
      <c r="M717" s="18"/>
      <c r="N717" s="18"/>
      <c r="O717" s="18"/>
      <c r="P717" s="18"/>
      <c r="Q717" s="18"/>
      <c r="R717" s="18"/>
      <c r="S717" s="18"/>
      <c r="T717" s="18"/>
      <c r="U717" s="18"/>
      <c r="V717" s="18"/>
      <c r="W717" s="18"/>
      <c r="X717" s="18"/>
      <c r="Y717" s="18"/>
      <c r="Z717" s="18"/>
    </row>
    <row r="718">
      <c r="A718" s="18"/>
      <c r="B718" s="80"/>
      <c r="C718" s="18"/>
      <c r="D718" s="80"/>
      <c r="E718" s="80"/>
      <c r="F718" s="134"/>
      <c r="G718" s="18"/>
      <c r="H718" s="18"/>
      <c r="I718" s="18"/>
      <c r="J718" s="18"/>
      <c r="K718" s="18"/>
      <c r="L718" s="18"/>
      <c r="M718" s="18"/>
      <c r="N718" s="18"/>
      <c r="O718" s="18"/>
      <c r="P718" s="18"/>
      <c r="Q718" s="18"/>
      <c r="R718" s="18"/>
      <c r="S718" s="18"/>
      <c r="T718" s="18"/>
      <c r="U718" s="18"/>
      <c r="V718" s="18"/>
      <c r="W718" s="18"/>
      <c r="X718" s="18"/>
      <c r="Y718" s="18"/>
      <c r="Z718" s="18"/>
    </row>
    <row r="719">
      <c r="A719" s="18"/>
      <c r="B719" s="80"/>
      <c r="C719" s="18"/>
      <c r="D719" s="80"/>
      <c r="E719" s="80"/>
      <c r="F719" s="134"/>
      <c r="G719" s="18"/>
      <c r="H719" s="18"/>
      <c r="I719" s="18"/>
      <c r="J719" s="18"/>
      <c r="K719" s="18"/>
      <c r="L719" s="18"/>
      <c r="M719" s="18"/>
      <c r="N719" s="18"/>
      <c r="O719" s="18"/>
      <c r="P719" s="18"/>
      <c r="Q719" s="18"/>
      <c r="R719" s="18"/>
      <c r="S719" s="18"/>
      <c r="T719" s="18"/>
      <c r="U719" s="18"/>
      <c r="V719" s="18"/>
      <c r="W719" s="18"/>
      <c r="X719" s="18"/>
      <c r="Y719" s="18"/>
      <c r="Z719" s="18"/>
    </row>
    <row r="720">
      <c r="A720" s="18"/>
      <c r="B720" s="80"/>
      <c r="C720" s="18"/>
      <c r="D720" s="80"/>
      <c r="E720" s="80"/>
      <c r="F720" s="134"/>
      <c r="G720" s="18"/>
      <c r="H720" s="18"/>
      <c r="I720" s="18"/>
      <c r="J720" s="18"/>
      <c r="K720" s="18"/>
      <c r="L720" s="18"/>
      <c r="M720" s="18"/>
      <c r="N720" s="18"/>
      <c r="O720" s="18"/>
      <c r="P720" s="18"/>
      <c r="Q720" s="18"/>
      <c r="R720" s="18"/>
      <c r="S720" s="18"/>
      <c r="T720" s="18"/>
      <c r="U720" s="18"/>
      <c r="V720" s="18"/>
      <c r="W720" s="18"/>
      <c r="X720" s="18"/>
      <c r="Y720" s="18"/>
      <c r="Z720" s="18"/>
    </row>
    <row r="721">
      <c r="A721" s="18"/>
      <c r="B721" s="80"/>
      <c r="C721" s="18"/>
      <c r="D721" s="80"/>
      <c r="E721" s="80"/>
      <c r="F721" s="134"/>
      <c r="G721" s="18"/>
      <c r="H721" s="18"/>
      <c r="I721" s="18"/>
      <c r="J721" s="18"/>
      <c r="K721" s="18"/>
      <c r="L721" s="18"/>
      <c r="M721" s="18"/>
      <c r="N721" s="18"/>
      <c r="O721" s="18"/>
      <c r="P721" s="18"/>
      <c r="Q721" s="18"/>
      <c r="R721" s="18"/>
      <c r="S721" s="18"/>
      <c r="T721" s="18"/>
      <c r="U721" s="18"/>
      <c r="V721" s="18"/>
      <c r="W721" s="18"/>
      <c r="X721" s="18"/>
      <c r="Y721" s="18"/>
      <c r="Z721" s="18"/>
    </row>
    <row r="722">
      <c r="A722" s="18"/>
      <c r="B722" s="80"/>
      <c r="C722" s="18"/>
      <c r="D722" s="80"/>
      <c r="E722" s="80"/>
      <c r="F722" s="134"/>
      <c r="G722" s="18"/>
      <c r="H722" s="18"/>
      <c r="I722" s="18"/>
      <c r="J722" s="18"/>
      <c r="K722" s="18"/>
      <c r="L722" s="18"/>
      <c r="M722" s="18"/>
      <c r="N722" s="18"/>
      <c r="O722" s="18"/>
      <c r="P722" s="18"/>
      <c r="Q722" s="18"/>
      <c r="R722" s="18"/>
      <c r="S722" s="18"/>
      <c r="T722" s="18"/>
      <c r="U722" s="18"/>
      <c r="V722" s="18"/>
      <c r="W722" s="18"/>
      <c r="X722" s="18"/>
      <c r="Y722" s="18"/>
      <c r="Z722" s="18"/>
    </row>
    <row r="723">
      <c r="A723" s="18"/>
      <c r="B723" s="80"/>
      <c r="C723" s="18"/>
      <c r="D723" s="80"/>
      <c r="E723" s="80"/>
      <c r="F723" s="134"/>
      <c r="G723" s="18"/>
      <c r="H723" s="18"/>
      <c r="I723" s="18"/>
      <c r="J723" s="18"/>
      <c r="K723" s="18"/>
      <c r="L723" s="18"/>
      <c r="M723" s="18"/>
      <c r="N723" s="18"/>
      <c r="O723" s="18"/>
      <c r="P723" s="18"/>
      <c r="Q723" s="18"/>
      <c r="R723" s="18"/>
      <c r="S723" s="18"/>
      <c r="T723" s="18"/>
      <c r="U723" s="18"/>
      <c r="V723" s="18"/>
      <c r="W723" s="18"/>
      <c r="X723" s="18"/>
      <c r="Y723" s="18"/>
      <c r="Z723" s="18"/>
    </row>
    <row r="724">
      <c r="A724" s="18"/>
      <c r="B724" s="80"/>
      <c r="C724" s="18"/>
      <c r="D724" s="80"/>
      <c r="E724" s="80"/>
      <c r="F724" s="134"/>
      <c r="G724" s="18"/>
      <c r="H724" s="18"/>
      <c r="I724" s="18"/>
      <c r="J724" s="18"/>
      <c r="K724" s="18"/>
      <c r="L724" s="18"/>
      <c r="M724" s="18"/>
      <c r="N724" s="18"/>
      <c r="O724" s="18"/>
      <c r="P724" s="18"/>
      <c r="Q724" s="18"/>
      <c r="R724" s="18"/>
      <c r="S724" s="18"/>
      <c r="T724" s="18"/>
      <c r="U724" s="18"/>
      <c r="V724" s="18"/>
      <c r="W724" s="18"/>
      <c r="X724" s="18"/>
      <c r="Y724" s="18"/>
      <c r="Z724" s="18"/>
    </row>
    <row r="725">
      <c r="A725" s="18"/>
      <c r="B725" s="80"/>
      <c r="C725" s="18"/>
      <c r="D725" s="80"/>
      <c r="E725" s="80"/>
      <c r="F725" s="134"/>
      <c r="G725" s="18"/>
      <c r="H725" s="18"/>
      <c r="I725" s="18"/>
      <c r="J725" s="18"/>
      <c r="K725" s="18"/>
      <c r="L725" s="18"/>
      <c r="M725" s="18"/>
      <c r="N725" s="18"/>
      <c r="O725" s="18"/>
      <c r="P725" s="18"/>
      <c r="Q725" s="18"/>
      <c r="R725" s="18"/>
      <c r="S725" s="18"/>
      <c r="T725" s="18"/>
      <c r="U725" s="18"/>
      <c r="V725" s="18"/>
      <c r="W725" s="18"/>
      <c r="X725" s="18"/>
      <c r="Y725" s="18"/>
      <c r="Z725" s="18"/>
    </row>
    <row r="726">
      <c r="A726" s="18"/>
      <c r="B726" s="80"/>
      <c r="C726" s="18"/>
      <c r="D726" s="80"/>
      <c r="E726" s="80"/>
      <c r="F726" s="134"/>
      <c r="G726" s="18"/>
      <c r="H726" s="18"/>
      <c r="I726" s="18"/>
      <c r="J726" s="18"/>
      <c r="K726" s="18"/>
      <c r="L726" s="18"/>
      <c r="M726" s="18"/>
      <c r="N726" s="18"/>
      <c r="O726" s="18"/>
      <c r="P726" s="18"/>
      <c r="Q726" s="18"/>
      <c r="R726" s="18"/>
      <c r="S726" s="18"/>
      <c r="T726" s="18"/>
      <c r="U726" s="18"/>
      <c r="V726" s="18"/>
      <c r="W726" s="18"/>
      <c r="X726" s="18"/>
      <c r="Y726" s="18"/>
      <c r="Z726" s="18"/>
    </row>
    <row r="727">
      <c r="A727" s="18"/>
      <c r="B727" s="80"/>
      <c r="C727" s="18"/>
      <c r="D727" s="80"/>
      <c r="E727" s="80"/>
      <c r="F727" s="134"/>
      <c r="G727" s="18"/>
      <c r="H727" s="18"/>
      <c r="I727" s="18"/>
      <c r="J727" s="18"/>
      <c r="K727" s="18"/>
      <c r="L727" s="18"/>
      <c r="M727" s="18"/>
      <c r="N727" s="18"/>
      <c r="O727" s="18"/>
      <c r="P727" s="18"/>
      <c r="Q727" s="18"/>
      <c r="R727" s="18"/>
      <c r="S727" s="18"/>
      <c r="T727" s="18"/>
      <c r="U727" s="18"/>
      <c r="V727" s="18"/>
      <c r="W727" s="18"/>
      <c r="X727" s="18"/>
      <c r="Y727" s="18"/>
      <c r="Z727" s="18"/>
    </row>
    <row r="728">
      <c r="A728" s="18"/>
      <c r="B728" s="80"/>
      <c r="C728" s="18"/>
      <c r="D728" s="80"/>
      <c r="E728" s="80"/>
      <c r="F728" s="134"/>
      <c r="G728" s="18"/>
      <c r="H728" s="18"/>
      <c r="I728" s="18"/>
      <c r="J728" s="18"/>
      <c r="K728" s="18"/>
      <c r="L728" s="18"/>
      <c r="M728" s="18"/>
      <c r="N728" s="18"/>
      <c r="O728" s="18"/>
      <c r="P728" s="18"/>
      <c r="Q728" s="18"/>
      <c r="R728" s="18"/>
      <c r="S728" s="18"/>
      <c r="T728" s="18"/>
      <c r="U728" s="18"/>
      <c r="V728" s="18"/>
      <c r="W728" s="18"/>
      <c r="X728" s="18"/>
      <c r="Y728" s="18"/>
      <c r="Z728" s="18"/>
    </row>
    <row r="729">
      <c r="A729" s="18"/>
      <c r="B729" s="80"/>
      <c r="C729" s="18"/>
      <c r="D729" s="80"/>
      <c r="E729" s="80"/>
      <c r="F729" s="134"/>
      <c r="G729" s="18"/>
      <c r="H729" s="18"/>
      <c r="I729" s="18"/>
      <c r="J729" s="18"/>
      <c r="K729" s="18"/>
      <c r="L729" s="18"/>
      <c r="M729" s="18"/>
      <c r="N729" s="18"/>
      <c r="O729" s="18"/>
      <c r="P729" s="18"/>
      <c r="Q729" s="18"/>
      <c r="R729" s="18"/>
      <c r="S729" s="18"/>
      <c r="T729" s="18"/>
      <c r="U729" s="18"/>
      <c r="V729" s="18"/>
      <c r="W729" s="18"/>
      <c r="X729" s="18"/>
      <c r="Y729" s="18"/>
      <c r="Z729" s="18"/>
    </row>
    <row r="730">
      <c r="A730" s="18"/>
      <c r="B730" s="80"/>
      <c r="C730" s="18"/>
      <c r="D730" s="80"/>
      <c r="E730" s="80"/>
      <c r="F730" s="134"/>
      <c r="G730" s="18"/>
      <c r="H730" s="18"/>
      <c r="I730" s="18"/>
      <c r="J730" s="18"/>
      <c r="K730" s="18"/>
      <c r="L730" s="18"/>
      <c r="M730" s="18"/>
      <c r="N730" s="18"/>
      <c r="O730" s="18"/>
      <c r="P730" s="18"/>
      <c r="Q730" s="18"/>
      <c r="R730" s="18"/>
      <c r="S730" s="18"/>
      <c r="T730" s="18"/>
      <c r="U730" s="18"/>
      <c r="V730" s="18"/>
      <c r="W730" s="18"/>
      <c r="X730" s="18"/>
      <c r="Y730" s="18"/>
      <c r="Z730" s="18"/>
    </row>
    <row r="731">
      <c r="A731" s="18"/>
      <c r="B731" s="80"/>
      <c r="C731" s="18"/>
      <c r="D731" s="80"/>
      <c r="E731" s="80"/>
      <c r="F731" s="134"/>
      <c r="G731" s="18"/>
      <c r="H731" s="18"/>
      <c r="I731" s="18"/>
      <c r="J731" s="18"/>
      <c r="K731" s="18"/>
      <c r="L731" s="18"/>
      <c r="M731" s="18"/>
      <c r="N731" s="18"/>
      <c r="O731" s="18"/>
      <c r="P731" s="18"/>
      <c r="Q731" s="18"/>
      <c r="R731" s="18"/>
      <c r="S731" s="18"/>
      <c r="T731" s="18"/>
      <c r="U731" s="18"/>
      <c r="V731" s="18"/>
      <c r="W731" s="18"/>
      <c r="X731" s="18"/>
      <c r="Y731" s="18"/>
      <c r="Z731" s="18"/>
    </row>
    <row r="732">
      <c r="A732" s="18"/>
      <c r="B732" s="80"/>
      <c r="C732" s="18"/>
      <c r="D732" s="80"/>
      <c r="E732" s="80"/>
      <c r="F732" s="134"/>
      <c r="G732" s="18"/>
      <c r="H732" s="18"/>
      <c r="I732" s="18"/>
      <c r="J732" s="18"/>
      <c r="K732" s="18"/>
      <c r="L732" s="18"/>
      <c r="M732" s="18"/>
      <c r="N732" s="18"/>
      <c r="O732" s="18"/>
      <c r="P732" s="18"/>
      <c r="Q732" s="18"/>
      <c r="R732" s="18"/>
      <c r="S732" s="18"/>
      <c r="T732" s="18"/>
      <c r="U732" s="18"/>
      <c r="V732" s="18"/>
      <c r="W732" s="18"/>
      <c r="X732" s="18"/>
      <c r="Y732" s="18"/>
      <c r="Z732" s="18"/>
    </row>
    <row r="733">
      <c r="A733" s="18"/>
      <c r="B733" s="80"/>
      <c r="C733" s="18"/>
      <c r="D733" s="80"/>
      <c r="E733" s="80"/>
      <c r="F733" s="134"/>
      <c r="G733" s="18"/>
      <c r="H733" s="18"/>
      <c r="I733" s="18"/>
      <c r="J733" s="18"/>
      <c r="K733" s="18"/>
      <c r="L733" s="18"/>
      <c r="M733" s="18"/>
      <c r="N733" s="18"/>
      <c r="O733" s="18"/>
      <c r="P733" s="18"/>
      <c r="Q733" s="18"/>
      <c r="R733" s="18"/>
      <c r="S733" s="18"/>
      <c r="T733" s="18"/>
      <c r="U733" s="18"/>
      <c r="V733" s="18"/>
      <c r="W733" s="18"/>
      <c r="X733" s="18"/>
      <c r="Y733" s="18"/>
      <c r="Z733" s="18"/>
    </row>
    <row r="734">
      <c r="A734" s="18"/>
      <c r="B734" s="80"/>
      <c r="C734" s="18"/>
      <c r="D734" s="80"/>
      <c r="E734" s="80"/>
      <c r="F734" s="134"/>
      <c r="G734" s="18"/>
      <c r="H734" s="18"/>
      <c r="I734" s="18"/>
      <c r="J734" s="18"/>
      <c r="K734" s="18"/>
      <c r="L734" s="18"/>
      <c r="M734" s="18"/>
      <c r="N734" s="18"/>
      <c r="O734" s="18"/>
      <c r="P734" s="18"/>
      <c r="Q734" s="18"/>
      <c r="R734" s="18"/>
      <c r="S734" s="18"/>
      <c r="T734" s="18"/>
      <c r="U734" s="18"/>
      <c r="V734" s="18"/>
      <c r="W734" s="18"/>
      <c r="X734" s="18"/>
      <c r="Y734" s="18"/>
      <c r="Z734" s="18"/>
    </row>
    <row r="735">
      <c r="A735" s="18"/>
      <c r="B735" s="80"/>
      <c r="C735" s="18"/>
      <c r="D735" s="80"/>
      <c r="E735" s="80"/>
      <c r="F735" s="134"/>
      <c r="G735" s="18"/>
      <c r="H735" s="18"/>
      <c r="I735" s="18"/>
      <c r="J735" s="18"/>
      <c r="K735" s="18"/>
      <c r="L735" s="18"/>
      <c r="M735" s="18"/>
      <c r="N735" s="18"/>
      <c r="O735" s="18"/>
      <c r="P735" s="18"/>
      <c r="Q735" s="18"/>
      <c r="R735" s="18"/>
      <c r="S735" s="18"/>
      <c r="T735" s="18"/>
      <c r="U735" s="18"/>
      <c r="V735" s="18"/>
      <c r="W735" s="18"/>
      <c r="X735" s="18"/>
      <c r="Y735" s="18"/>
      <c r="Z735" s="18"/>
    </row>
    <row r="736">
      <c r="A736" s="18"/>
      <c r="B736" s="80"/>
      <c r="C736" s="18"/>
      <c r="D736" s="80"/>
      <c r="E736" s="80"/>
      <c r="F736" s="134"/>
      <c r="G736" s="18"/>
      <c r="H736" s="18"/>
      <c r="I736" s="18"/>
      <c r="J736" s="18"/>
      <c r="K736" s="18"/>
      <c r="L736" s="18"/>
      <c r="M736" s="18"/>
      <c r="N736" s="18"/>
      <c r="O736" s="18"/>
      <c r="P736" s="18"/>
      <c r="Q736" s="18"/>
      <c r="R736" s="18"/>
      <c r="S736" s="18"/>
      <c r="T736" s="18"/>
      <c r="U736" s="18"/>
      <c r="V736" s="18"/>
      <c r="W736" s="18"/>
      <c r="X736" s="18"/>
      <c r="Y736" s="18"/>
      <c r="Z736" s="18"/>
    </row>
    <row r="737">
      <c r="A737" s="18"/>
      <c r="B737" s="80"/>
      <c r="C737" s="18"/>
      <c r="D737" s="80"/>
      <c r="E737" s="80"/>
      <c r="F737" s="134"/>
      <c r="G737" s="18"/>
      <c r="H737" s="18"/>
      <c r="I737" s="18"/>
      <c r="J737" s="18"/>
      <c r="K737" s="18"/>
      <c r="L737" s="18"/>
      <c r="M737" s="18"/>
      <c r="N737" s="18"/>
      <c r="O737" s="18"/>
      <c r="P737" s="18"/>
      <c r="Q737" s="18"/>
      <c r="R737" s="18"/>
      <c r="S737" s="18"/>
      <c r="T737" s="18"/>
      <c r="U737" s="18"/>
      <c r="V737" s="18"/>
      <c r="W737" s="18"/>
      <c r="X737" s="18"/>
      <c r="Y737" s="18"/>
      <c r="Z737" s="18"/>
    </row>
    <row r="738">
      <c r="A738" s="18"/>
      <c r="B738" s="80"/>
      <c r="C738" s="18"/>
      <c r="D738" s="80"/>
      <c r="E738" s="80"/>
      <c r="F738" s="134"/>
      <c r="G738" s="18"/>
      <c r="H738" s="18"/>
      <c r="I738" s="18"/>
      <c r="J738" s="18"/>
      <c r="K738" s="18"/>
      <c r="L738" s="18"/>
      <c r="M738" s="18"/>
      <c r="N738" s="18"/>
      <c r="O738" s="18"/>
      <c r="P738" s="18"/>
      <c r="Q738" s="18"/>
      <c r="R738" s="18"/>
      <c r="S738" s="18"/>
      <c r="T738" s="18"/>
      <c r="U738" s="18"/>
      <c r="V738" s="18"/>
      <c r="W738" s="18"/>
      <c r="X738" s="18"/>
      <c r="Y738" s="18"/>
      <c r="Z738" s="18"/>
    </row>
    <row r="739">
      <c r="A739" s="18"/>
      <c r="B739" s="80"/>
      <c r="C739" s="18"/>
      <c r="D739" s="80"/>
      <c r="E739" s="80"/>
      <c r="F739" s="134"/>
      <c r="G739" s="18"/>
      <c r="H739" s="18"/>
      <c r="I739" s="18"/>
      <c r="J739" s="18"/>
      <c r="K739" s="18"/>
      <c r="L739" s="18"/>
      <c r="M739" s="18"/>
      <c r="N739" s="18"/>
      <c r="O739" s="18"/>
      <c r="P739" s="18"/>
      <c r="Q739" s="18"/>
      <c r="R739" s="18"/>
      <c r="S739" s="18"/>
      <c r="T739" s="18"/>
      <c r="U739" s="18"/>
      <c r="V739" s="18"/>
      <c r="W739" s="18"/>
      <c r="X739" s="18"/>
      <c r="Y739" s="18"/>
      <c r="Z739" s="18"/>
    </row>
    <row r="740">
      <c r="A740" s="18"/>
      <c r="B740" s="80"/>
      <c r="C740" s="18"/>
      <c r="D740" s="80"/>
      <c r="E740" s="80"/>
      <c r="F740" s="134"/>
      <c r="G740" s="18"/>
      <c r="H740" s="18"/>
      <c r="I740" s="18"/>
      <c r="J740" s="18"/>
      <c r="K740" s="18"/>
      <c r="L740" s="18"/>
      <c r="M740" s="18"/>
      <c r="N740" s="18"/>
      <c r="O740" s="18"/>
      <c r="P740" s="18"/>
      <c r="Q740" s="18"/>
      <c r="R740" s="18"/>
      <c r="S740" s="18"/>
      <c r="T740" s="18"/>
      <c r="U740" s="18"/>
      <c r="V740" s="18"/>
      <c r="W740" s="18"/>
      <c r="X740" s="18"/>
      <c r="Y740" s="18"/>
      <c r="Z740" s="18"/>
    </row>
    <row r="741">
      <c r="A741" s="18"/>
      <c r="B741" s="80"/>
      <c r="C741" s="18"/>
      <c r="D741" s="80"/>
      <c r="E741" s="80"/>
      <c r="F741" s="134"/>
      <c r="G741" s="18"/>
      <c r="H741" s="18"/>
      <c r="I741" s="18"/>
      <c r="J741" s="18"/>
      <c r="K741" s="18"/>
      <c r="L741" s="18"/>
      <c r="M741" s="18"/>
      <c r="N741" s="18"/>
      <c r="O741" s="18"/>
      <c r="P741" s="18"/>
      <c r="Q741" s="18"/>
      <c r="R741" s="18"/>
      <c r="S741" s="18"/>
      <c r="T741" s="18"/>
      <c r="U741" s="18"/>
      <c r="V741" s="18"/>
      <c r="W741" s="18"/>
      <c r="X741" s="18"/>
      <c r="Y741" s="18"/>
      <c r="Z741" s="18"/>
    </row>
    <row r="742">
      <c r="A742" s="18"/>
      <c r="B742" s="80"/>
      <c r="C742" s="18"/>
      <c r="D742" s="80"/>
      <c r="E742" s="80"/>
      <c r="F742" s="134"/>
      <c r="G742" s="18"/>
      <c r="H742" s="18"/>
      <c r="I742" s="18"/>
      <c r="J742" s="18"/>
      <c r="K742" s="18"/>
      <c r="L742" s="18"/>
      <c r="M742" s="18"/>
      <c r="N742" s="18"/>
      <c r="O742" s="18"/>
      <c r="P742" s="18"/>
      <c r="Q742" s="18"/>
      <c r="R742" s="18"/>
      <c r="S742" s="18"/>
      <c r="T742" s="18"/>
      <c r="U742" s="18"/>
      <c r="V742" s="18"/>
      <c r="W742" s="18"/>
      <c r="X742" s="18"/>
      <c r="Y742" s="18"/>
      <c r="Z742" s="18"/>
    </row>
    <row r="743">
      <c r="A743" s="18"/>
      <c r="B743" s="80"/>
      <c r="C743" s="18"/>
      <c r="D743" s="80"/>
      <c r="E743" s="80"/>
      <c r="F743" s="134"/>
      <c r="G743" s="18"/>
      <c r="H743" s="18"/>
      <c r="I743" s="18"/>
      <c r="J743" s="18"/>
      <c r="K743" s="18"/>
      <c r="L743" s="18"/>
      <c r="M743" s="18"/>
      <c r="N743" s="18"/>
      <c r="O743" s="18"/>
      <c r="P743" s="18"/>
      <c r="Q743" s="18"/>
      <c r="R743" s="18"/>
      <c r="S743" s="18"/>
      <c r="T743" s="18"/>
      <c r="U743" s="18"/>
      <c r="V743" s="18"/>
      <c r="W743" s="18"/>
      <c r="X743" s="18"/>
      <c r="Y743" s="18"/>
      <c r="Z743" s="18"/>
    </row>
    <row r="744">
      <c r="A744" s="18"/>
      <c r="B744" s="80"/>
      <c r="C744" s="18"/>
      <c r="D744" s="80"/>
      <c r="E744" s="80"/>
      <c r="F744" s="134"/>
      <c r="G744" s="18"/>
      <c r="H744" s="18"/>
      <c r="I744" s="18"/>
      <c r="J744" s="18"/>
      <c r="K744" s="18"/>
      <c r="L744" s="18"/>
      <c r="M744" s="18"/>
      <c r="N744" s="18"/>
      <c r="O744" s="18"/>
      <c r="P744" s="18"/>
      <c r="Q744" s="18"/>
      <c r="R744" s="18"/>
      <c r="S744" s="18"/>
      <c r="T744" s="18"/>
      <c r="U744" s="18"/>
      <c r="V744" s="18"/>
      <c r="W744" s="18"/>
      <c r="X744" s="18"/>
      <c r="Y744" s="18"/>
      <c r="Z744" s="18"/>
    </row>
    <row r="745">
      <c r="A745" s="18"/>
      <c r="B745" s="80"/>
      <c r="C745" s="18"/>
      <c r="D745" s="80"/>
      <c r="E745" s="80"/>
      <c r="F745" s="134"/>
      <c r="G745" s="18"/>
      <c r="H745" s="18"/>
      <c r="I745" s="18"/>
      <c r="J745" s="18"/>
      <c r="K745" s="18"/>
      <c r="L745" s="18"/>
      <c r="M745" s="18"/>
      <c r="N745" s="18"/>
      <c r="O745" s="18"/>
      <c r="P745" s="18"/>
      <c r="Q745" s="18"/>
      <c r="R745" s="18"/>
      <c r="S745" s="18"/>
      <c r="T745" s="18"/>
      <c r="U745" s="18"/>
      <c r="V745" s="18"/>
      <c r="W745" s="18"/>
      <c r="X745" s="18"/>
      <c r="Y745" s="18"/>
      <c r="Z745" s="18"/>
    </row>
    <row r="746">
      <c r="A746" s="18"/>
      <c r="B746" s="80"/>
      <c r="C746" s="18"/>
      <c r="D746" s="80"/>
      <c r="E746" s="80"/>
      <c r="F746" s="134"/>
      <c r="G746" s="18"/>
      <c r="H746" s="18"/>
      <c r="I746" s="18"/>
      <c r="J746" s="18"/>
      <c r="K746" s="18"/>
      <c r="L746" s="18"/>
      <c r="M746" s="18"/>
      <c r="N746" s="18"/>
      <c r="O746" s="18"/>
      <c r="P746" s="18"/>
      <c r="Q746" s="18"/>
      <c r="R746" s="18"/>
      <c r="S746" s="18"/>
      <c r="T746" s="18"/>
      <c r="U746" s="18"/>
      <c r="V746" s="18"/>
      <c r="W746" s="18"/>
      <c r="X746" s="18"/>
      <c r="Y746" s="18"/>
      <c r="Z746" s="18"/>
    </row>
    <row r="747">
      <c r="A747" s="18"/>
      <c r="B747" s="80"/>
      <c r="C747" s="18"/>
      <c r="D747" s="80"/>
      <c r="E747" s="80"/>
      <c r="F747" s="134"/>
      <c r="G747" s="18"/>
      <c r="H747" s="18"/>
      <c r="I747" s="18"/>
      <c r="J747" s="18"/>
      <c r="K747" s="18"/>
      <c r="L747" s="18"/>
      <c r="M747" s="18"/>
      <c r="N747" s="18"/>
      <c r="O747" s="18"/>
      <c r="P747" s="18"/>
      <c r="Q747" s="18"/>
      <c r="R747" s="18"/>
      <c r="S747" s="18"/>
      <c r="T747" s="18"/>
      <c r="U747" s="18"/>
      <c r="V747" s="18"/>
      <c r="W747" s="18"/>
      <c r="X747" s="18"/>
      <c r="Y747" s="18"/>
      <c r="Z747" s="18"/>
    </row>
    <row r="748">
      <c r="A748" s="18"/>
      <c r="B748" s="80"/>
      <c r="C748" s="18"/>
      <c r="D748" s="80"/>
      <c r="E748" s="80"/>
      <c r="F748" s="134"/>
      <c r="G748" s="18"/>
      <c r="H748" s="18"/>
      <c r="I748" s="18"/>
      <c r="J748" s="18"/>
      <c r="K748" s="18"/>
      <c r="L748" s="18"/>
      <c r="M748" s="18"/>
      <c r="N748" s="18"/>
      <c r="O748" s="18"/>
      <c r="P748" s="18"/>
      <c r="Q748" s="18"/>
      <c r="R748" s="18"/>
      <c r="S748" s="18"/>
      <c r="T748" s="18"/>
      <c r="U748" s="18"/>
      <c r="V748" s="18"/>
      <c r="W748" s="18"/>
      <c r="X748" s="18"/>
      <c r="Y748" s="18"/>
      <c r="Z748" s="18"/>
    </row>
    <row r="749">
      <c r="A749" s="18"/>
      <c r="B749" s="80"/>
      <c r="C749" s="18"/>
      <c r="D749" s="80"/>
      <c r="E749" s="80"/>
      <c r="F749" s="134"/>
      <c r="G749" s="18"/>
      <c r="H749" s="18"/>
      <c r="I749" s="18"/>
      <c r="J749" s="18"/>
      <c r="K749" s="18"/>
      <c r="L749" s="18"/>
      <c r="M749" s="18"/>
      <c r="N749" s="18"/>
      <c r="O749" s="18"/>
      <c r="P749" s="18"/>
      <c r="Q749" s="18"/>
      <c r="R749" s="18"/>
      <c r="S749" s="18"/>
      <c r="T749" s="18"/>
      <c r="U749" s="18"/>
      <c r="V749" s="18"/>
      <c r="W749" s="18"/>
      <c r="X749" s="18"/>
      <c r="Y749" s="18"/>
      <c r="Z749" s="18"/>
    </row>
    <row r="750">
      <c r="A750" s="18"/>
      <c r="B750" s="80"/>
      <c r="C750" s="18"/>
      <c r="D750" s="80"/>
      <c r="E750" s="80"/>
      <c r="F750" s="134"/>
      <c r="G750" s="18"/>
      <c r="H750" s="18"/>
      <c r="I750" s="18"/>
      <c r="J750" s="18"/>
      <c r="K750" s="18"/>
      <c r="L750" s="18"/>
      <c r="M750" s="18"/>
      <c r="N750" s="18"/>
      <c r="O750" s="18"/>
      <c r="P750" s="18"/>
      <c r="Q750" s="18"/>
      <c r="R750" s="18"/>
      <c r="S750" s="18"/>
      <c r="T750" s="18"/>
      <c r="U750" s="18"/>
      <c r="V750" s="18"/>
      <c r="W750" s="18"/>
      <c r="X750" s="18"/>
      <c r="Y750" s="18"/>
      <c r="Z750" s="18"/>
    </row>
    <row r="751">
      <c r="A751" s="18"/>
      <c r="B751" s="80"/>
      <c r="C751" s="18"/>
      <c r="D751" s="80"/>
      <c r="E751" s="80"/>
      <c r="F751" s="134"/>
      <c r="G751" s="18"/>
      <c r="H751" s="18"/>
      <c r="I751" s="18"/>
      <c r="J751" s="18"/>
      <c r="K751" s="18"/>
      <c r="L751" s="18"/>
      <c r="M751" s="18"/>
      <c r="N751" s="18"/>
      <c r="O751" s="18"/>
      <c r="P751" s="18"/>
      <c r="Q751" s="18"/>
      <c r="R751" s="18"/>
      <c r="S751" s="18"/>
      <c r="T751" s="18"/>
      <c r="U751" s="18"/>
      <c r="V751" s="18"/>
      <c r="W751" s="18"/>
      <c r="X751" s="18"/>
      <c r="Y751" s="18"/>
      <c r="Z751" s="18"/>
    </row>
    <row r="752">
      <c r="A752" s="18"/>
      <c r="B752" s="80"/>
      <c r="C752" s="18"/>
      <c r="D752" s="80"/>
      <c r="E752" s="80"/>
      <c r="F752" s="134"/>
      <c r="G752" s="18"/>
      <c r="H752" s="18"/>
      <c r="I752" s="18"/>
      <c r="J752" s="18"/>
      <c r="K752" s="18"/>
      <c r="L752" s="18"/>
      <c r="M752" s="18"/>
      <c r="N752" s="18"/>
      <c r="O752" s="18"/>
      <c r="P752" s="18"/>
      <c r="Q752" s="18"/>
      <c r="R752" s="18"/>
      <c r="S752" s="18"/>
      <c r="T752" s="18"/>
      <c r="U752" s="18"/>
      <c r="V752" s="18"/>
      <c r="W752" s="18"/>
      <c r="X752" s="18"/>
      <c r="Y752" s="18"/>
      <c r="Z752" s="18"/>
    </row>
    <row r="753">
      <c r="A753" s="18"/>
      <c r="B753" s="80"/>
      <c r="C753" s="18"/>
      <c r="D753" s="80"/>
      <c r="E753" s="80"/>
      <c r="F753" s="134"/>
      <c r="G753" s="18"/>
      <c r="H753" s="18"/>
      <c r="I753" s="18"/>
      <c r="J753" s="18"/>
      <c r="K753" s="18"/>
      <c r="L753" s="18"/>
      <c r="M753" s="18"/>
      <c r="N753" s="18"/>
      <c r="O753" s="18"/>
      <c r="P753" s="18"/>
      <c r="Q753" s="18"/>
      <c r="R753" s="18"/>
      <c r="S753" s="18"/>
      <c r="T753" s="18"/>
      <c r="U753" s="18"/>
      <c r="V753" s="18"/>
      <c r="W753" s="18"/>
      <c r="X753" s="18"/>
      <c r="Y753" s="18"/>
      <c r="Z753" s="18"/>
    </row>
    <row r="754">
      <c r="A754" s="18"/>
      <c r="B754" s="80"/>
      <c r="C754" s="18"/>
      <c r="D754" s="80"/>
      <c r="E754" s="80"/>
      <c r="F754" s="134"/>
      <c r="G754" s="18"/>
      <c r="H754" s="18"/>
      <c r="I754" s="18"/>
      <c r="J754" s="18"/>
      <c r="K754" s="18"/>
      <c r="L754" s="18"/>
      <c r="M754" s="18"/>
      <c r="N754" s="18"/>
      <c r="O754" s="18"/>
      <c r="P754" s="18"/>
      <c r="Q754" s="18"/>
      <c r="R754" s="18"/>
      <c r="S754" s="18"/>
      <c r="T754" s="18"/>
      <c r="U754" s="18"/>
      <c r="V754" s="18"/>
      <c r="W754" s="18"/>
      <c r="X754" s="18"/>
      <c r="Y754" s="18"/>
      <c r="Z754" s="18"/>
    </row>
    <row r="755">
      <c r="A755" s="18"/>
      <c r="B755" s="80"/>
      <c r="C755" s="18"/>
      <c r="D755" s="80"/>
      <c r="E755" s="80"/>
      <c r="F755" s="134"/>
      <c r="G755" s="18"/>
      <c r="H755" s="18"/>
      <c r="I755" s="18"/>
      <c r="J755" s="18"/>
      <c r="K755" s="18"/>
      <c r="L755" s="18"/>
      <c r="M755" s="18"/>
      <c r="N755" s="18"/>
      <c r="O755" s="18"/>
      <c r="P755" s="18"/>
      <c r="Q755" s="18"/>
      <c r="R755" s="18"/>
      <c r="S755" s="18"/>
      <c r="T755" s="18"/>
      <c r="U755" s="18"/>
      <c r="V755" s="18"/>
      <c r="W755" s="18"/>
      <c r="X755" s="18"/>
      <c r="Y755" s="18"/>
      <c r="Z755" s="18"/>
    </row>
    <row r="756">
      <c r="A756" s="18"/>
      <c r="B756" s="80"/>
      <c r="C756" s="18"/>
      <c r="D756" s="80"/>
      <c r="E756" s="80"/>
      <c r="F756" s="134"/>
      <c r="G756" s="18"/>
      <c r="H756" s="18"/>
      <c r="I756" s="18"/>
      <c r="J756" s="18"/>
      <c r="K756" s="18"/>
      <c r="L756" s="18"/>
      <c r="M756" s="18"/>
      <c r="N756" s="18"/>
      <c r="O756" s="18"/>
      <c r="P756" s="18"/>
      <c r="Q756" s="18"/>
      <c r="R756" s="18"/>
      <c r="S756" s="18"/>
      <c r="T756" s="18"/>
      <c r="U756" s="18"/>
      <c r="V756" s="18"/>
      <c r="W756" s="18"/>
      <c r="X756" s="18"/>
      <c r="Y756" s="18"/>
      <c r="Z756" s="18"/>
    </row>
    <row r="757">
      <c r="A757" s="18"/>
      <c r="B757" s="80"/>
      <c r="C757" s="18"/>
      <c r="D757" s="80"/>
      <c r="E757" s="80"/>
      <c r="F757" s="134"/>
      <c r="G757" s="18"/>
      <c r="H757" s="18"/>
      <c r="I757" s="18"/>
      <c r="J757" s="18"/>
      <c r="K757" s="18"/>
      <c r="L757" s="18"/>
      <c r="M757" s="18"/>
      <c r="N757" s="18"/>
      <c r="O757" s="18"/>
      <c r="P757" s="18"/>
      <c r="Q757" s="18"/>
      <c r="R757" s="18"/>
      <c r="S757" s="18"/>
      <c r="T757" s="18"/>
      <c r="U757" s="18"/>
      <c r="V757" s="18"/>
      <c r="W757" s="18"/>
      <c r="X757" s="18"/>
      <c r="Y757" s="18"/>
      <c r="Z757" s="18"/>
    </row>
    <row r="758">
      <c r="A758" s="18"/>
      <c r="B758" s="80"/>
      <c r="C758" s="18"/>
      <c r="D758" s="80"/>
      <c r="E758" s="80"/>
      <c r="F758" s="134"/>
      <c r="G758" s="18"/>
      <c r="H758" s="18"/>
      <c r="I758" s="18"/>
      <c r="J758" s="18"/>
      <c r="K758" s="18"/>
      <c r="L758" s="18"/>
      <c r="M758" s="18"/>
      <c r="N758" s="18"/>
      <c r="O758" s="18"/>
      <c r="P758" s="18"/>
      <c r="Q758" s="18"/>
      <c r="R758" s="18"/>
      <c r="S758" s="18"/>
      <c r="T758" s="18"/>
      <c r="U758" s="18"/>
      <c r="V758" s="18"/>
      <c r="W758" s="18"/>
      <c r="X758" s="18"/>
      <c r="Y758" s="18"/>
      <c r="Z758" s="18"/>
    </row>
    <row r="759">
      <c r="A759" s="18"/>
      <c r="B759" s="80"/>
      <c r="C759" s="18"/>
      <c r="D759" s="80"/>
      <c r="E759" s="80"/>
      <c r="F759" s="134"/>
      <c r="G759" s="18"/>
      <c r="H759" s="18"/>
      <c r="I759" s="18"/>
      <c r="J759" s="18"/>
      <c r="K759" s="18"/>
      <c r="L759" s="18"/>
      <c r="M759" s="18"/>
      <c r="N759" s="18"/>
      <c r="O759" s="18"/>
      <c r="P759" s="18"/>
      <c r="Q759" s="18"/>
      <c r="R759" s="18"/>
      <c r="S759" s="18"/>
      <c r="T759" s="18"/>
      <c r="U759" s="18"/>
      <c r="V759" s="18"/>
      <c r="W759" s="18"/>
      <c r="X759" s="18"/>
      <c r="Y759" s="18"/>
      <c r="Z759" s="18"/>
    </row>
    <row r="760">
      <c r="A760" s="18"/>
      <c r="B760" s="80"/>
      <c r="C760" s="18"/>
      <c r="D760" s="80"/>
      <c r="E760" s="80"/>
      <c r="F760" s="134"/>
      <c r="G760" s="18"/>
      <c r="H760" s="18"/>
      <c r="I760" s="18"/>
      <c r="J760" s="18"/>
      <c r="K760" s="18"/>
      <c r="L760" s="18"/>
      <c r="M760" s="18"/>
      <c r="N760" s="18"/>
      <c r="O760" s="18"/>
      <c r="P760" s="18"/>
      <c r="Q760" s="18"/>
      <c r="R760" s="18"/>
      <c r="S760" s="18"/>
      <c r="T760" s="18"/>
      <c r="U760" s="18"/>
      <c r="V760" s="18"/>
      <c r="W760" s="18"/>
      <c r="X760" s="18"/>
      <c r="Y760" s="18"/>
      <c r="Z760" s="18"/>
    </row>
    <row r="761">
      <c r="A761" s="18"/>
      <c r="B761" s="80"/>
      <c r="C761" s="18"/>
      <c r="D761" s="80"/>
      <c r="E761" s="80"/>
      <c r="F761" s="134"/>
      <c r="G761" s="18"/>
      <c r="H761" s="18"/>
      <c r="I761" s="18"/>
      <c r="J761" s="18"/>
      <c r="K761" s="18"/>
      <c r="L761" s="18"/>
      <c r="M761" s="18"/>
      <c r="N761" s="18"/>
      <c r="O761" s="18"/>
      <c r="P761" s="18"/>
      <c r="Q761" s="18"/>
      <c r="R761" s="18"/>
      <c r="S761" s="18"/>
      <c r="T761" s="18"/>
      <c r="U761" s="18"/>
      <c r="V761" s="18"/>
      <c r="W761" s="18"/>
      <c r="X761" s="18"/>
      <c r="Y761" s="18"/>
      <c r="Z761" s="18"/>
    </row>
    <row r="762">
      <c r="A762" s="18"/>
      <c r="B762" s="80"/>
      <c r="C762" s="18"/>
      <c r="D762" s="80"/>
      <c r="E762" s="80"/>
      <c r="F762" s="134"/>
      <c r="G762" s="18"/>
      <c r="H762" s="18"/>
      <c r="I762" s="18"/>
      <c r="J762" s="18"/>
      <c r="K762" s="18"/>
      <c r="L762" s="18"/>
      <c r="M762" s="18"/>
      <c r="N762" s="18"/>
      <c r="O762" s="18"/>
      <c r="P762" s="18"/>
      <c r="Q762" s="18"/>
      <c r="R762" s="18"/>
      <c r="S762" s="18"/>
      <c r="T762" s="18"/>
      <c r="U762" s="18"/>
      <c r="V762" s="18"/>
      <c r="W762" s="18"/>
      <c r="X762" s="18"/>
      <c r="Y762" s="18"/>
      <c r="Z762" s="18"/>
    </row>
    <row r="763">
      <c r="A763" s="18"/>
      <c r="B763" s="80"/>
      <c r="C763" s="18"/>
      <c r="D763" s="80"/>
      <c r="E763" s="80"/>
      <c r="F763" s="134"/>
      <c r="G763" s="18"/>
      <c r="H763" s="18"/>
      <c r="I763" s="18"/>
      <c r="J763" s="18"/>
      <c r="K763" s="18"/>
      <c r="L763" s="18"/>
      <c r="M763" s="18"/>
      <c r="N763" s="18"/>
      <c r="O763" s="18"/>
      <c r="P763" s="18"/>
      <c r="Q763" s="18"/>
      <c r="R763" s="18"/>
      <c r="S763" s="18"/>
      <c r="T763" s="18"/>
      <c r="U763" s="18"/>
      <c r="V763" s="18"/>
      <c r="W763" s="18"/>
      <c r="X763" s="18"/>
      <c r="Y763" s="18"/>
      <c r="Z763" s="18"/>
    </row>
    <row r="764">
      <c r="A764" s="18"/>
      <c r="B764" s="80"/>
      <c r="C764" s="18"/>
      <c r="D764" s="80"/>
      <c r="E764" s="80"/>
      <c r="F764" s="134"/>
      <c r="G764" s="18"/>
      <c r="H764" s="18"/>
      <c r="I764" s="18"/>
      <c r="J764" s="18"/>
      <c r="K764" s="18"/>
      <c r="L764" s="18"/>
      <c r="M764" s="18"/>
      <c r="N764" s="18"/>
      <c r="O764" s="18"/>
      <c r="P764" s="18"/>
      <c r="Q764" s="18"/>
      <c r="R764" s="18"/>
      <c r="S764" s="18"/>
      <c r="T764" s="18"/>
      <c r="U764" s="18"/>
      <c r="V764" s="18"/>
      <c r="W764" s="18"/>
      <c r="X764" s="18"/>
      <c r="Y764" s="18"/>
      <c r="Z764" s="18"/>
    </row>
    <row r="765">
      <c r="A765" s="18"/>
      <c r="B765" s="80"/>
      <c r="C765" s="18"/>
      <c r="D765" s="80"/>
      <c r="E765" s="80"/>
      <c r="F765" s="134"/>
      <c r="G765" s="18"/>
      <c r="H765" s="18"/>
      <c r="I765" s="18"/>
      <c r="J765" s="18"/>
      <c r="K765" s="18"/>
      <c r="L765" s="18"/>
      <c r="M765" s="18"/>
      <c r="N765" s="18"/>
      <c r="O765" s="18"/>
      <c r="P765" s="18"/>
      <c r="Q765" s="18"/>
      <c r="R765" s="18"/>
      <c r="S765" s="18"/>
      <c r="T765" s="18"/>
      <c r="U765" s="18"/>
      <c r="V765" s="18"/>
      <c r="W765" s="18"/>
      <c r="X765" s="18"/>
      <c r="Y765" s="18"/>
      <c r="Z765" s="18"/>
    </row>
    <row r="766">
      <c r="A766" s="18"/>
      <c r="B766" s="80"/>
      <c r="C766" s="18"/>
      <c r="D766" s="80"/>
      <c r="E766" s="80"/>
      <c r="F766" s="134"/>
      <c r="G766" s="18"/>
      <c r="H766" s="18"/>
      <c r="I766" s="18"/>
      <c r="J766" s="18"/>
      <c r="K766" s="18"/>
      <c r="L766" s="18"/>
      <c r="M766" s="18"/>
      <c r="N766" s="18"/>
      <c r="O766" s="18"/>
      <c r="P766" s="18"/>
      <c r="Q766" s="18"/>
      <c r="R766" s="18"/>
      <c r="S766" s="18"/>
      <c r="T766" s="18"/>
      <c r="U766" s="18"/>
      <c r="V766" s="18"/>
      <c r="W766" s="18"/>
      <c r="X766" s="18"/>
      <c r="Y766" s="18"/>
      <c r="Z766" s="18"/>
    </row>
    <row r="767">
      <c r="A767" s="18"/>
      <c r="B767" s="80"/>
      <c r="C767" s="18"/>
      <c r="D767" s="80"/>
      <c r="E767" s="80"/>
      <c r="F767" s="134"/>
      <c r="G767" s="18"/>
      <c r="H767" s="18"/>
      <c r="I767" s="18"/>
      <c r="J767" s="18"/>
      <c r="K767" s="18"/>
      <c r="L767" s="18"/>
      <c r="M767" s="18"/>
      <c r="N767" s="18"/>
      <c r="O767" s="18"/>
      <c r="P767" s="18"/>
      <c r="Q767" s="18"/>
      <c r="R767" s="18"/>
      <c r="S767" s="18"/>
      <c r="T767" s="18"/>
      <c r="U767" s="18"/>
      <c r="V767" s="18"/>
      <c r="W767" s="18"/>
      <c r="X767" s="18"/>
      <c r="Y767" s="18"/>
      <c r="Z767" s="18"/>
    </row>
    <row r="768">
      <c r="A768" s="18"/>
      <c r="B768" s="80"/>
      <c r="C768" s="18"/>
      <c r="D768" s="80"/>
      <c r="E768" s="80"/>
      <c r="F768" s="134"/>
      <c r="G768" s="18"/>
      <c r="H768" s="18"/>
      <c r="I768" s="18"/>
      <c r="J768" s="18"/>
      <c r="K768" s="18"/>
      <c r="L768" s="18"/>
      <c r="M768" s="18"/>
      <c r="N768" s="18"/>
      <c r="O768" s="18"/>
      <c r="P768" s="18"/>
      <c r="Q768" s="18"/>
      <c r="R768" s="18"/>
      <c r="S768" s="18"/>
      <c r="T768" s="18"/>
      <c r="U768" s="18"/>
      <c r="V768" s="18"/>
      <c r="W768" s="18"/>
      <c r="X768" s="18"/>
      <c r="Y768" s="18"/>
      <c r="Z768" s="18"/>
    </row>
    <row r="769">
      <c r="A769" s="18"/>
      <c r="B769" s="80"/>
      <c r="C769" s="18"/>
      <c r="D769" s="80"/>
      <c r="E769" s="80"/>
      <c r="F769" s="134"/>
      <c r="G769" s="18"/>
      <c r="H769" s="18"/>
      <c r="I769" s="18"/>
      <c r="J769" s="18"/>
      <c r="K769" s="18"/>
      <c r="L769" s="18"/>
      <c r="M769" s="18"/>
      <c r="N769" s="18"/>
      <c r="O769" s="18"/>
      <c r="P769" s="18"/>
      <c r="Q769" s="18"/>
      <c r="R769" s="18"/>
      <c r="S769" s="18"/>
      <c r="T769" s="18"/>
      <c r="U769" s="18"/>
      <c r="V769" s="18"/>
      <c r="W769" s="18"/>
      <c r="X769" s="18"/>
      <c r="Y769" s="18"/>
      <c r="Z769" s="18"/>
    </row>
    <row r="770">
      <c r="A770" s="18"/>
      <c r="B770" s="80"/>
      <c r="C770" s="18"/>
      <c r="D770" s="80"/>
      <c r="E770" s="80"/>
      <c r="F770" s="134"/>
      <c r="G770" s="18"/>
      <c r="H770" s="18"/>
      <c r="I770" s="18"/>
      <c r="J770" s="18"/>
      <c r="K770" s="18"/>
      <c r="L770" s="18"/>
      <c r="M770" s="18"/>
      <c r="N770" s="18"/>
      <c r="O770" s="18"/>
      <c r="P770" s="18"/>
      <c r="Q770" s="18"/>
      <c r="R770" s="18"/>
      <c r="S770" s="18"/>
      <c r="T770" s="18"/>
      <c r="U770" s="18"/>
      <c r="V770" s="18"/>
      <c r="W770" s="18"/>
      <c r="X770" s="18"/>
      <c r="Y770" s="18"/>
      <c r="Z770" s="18"/>
    </row>
    <row r="771">
      <c r="A771" s="18"/>
      <c r="B771" s="80"/>
      <c r="C771" s="18"/>
      <c r="D771" s="80"/>
      <c r="E771" s="80"/>
      <c r="F771" s="134"/>
      <c r="G771" s="18"/>
      <c r="H771" s="18"/>
      <c r="I771" s="18"/>
      <c r="J771" s="18"/>
      <c r="K771" s="18"/>
      <c r="L771" s="18"/>
      <c r="M771" s="18"/>
      <c r="N771" s="18"/>
      <c r="O771" s="18"/>
      <c r="P771" s="18"/>
      <c r="Q771" s="18"/>
      <c r="R771" s="18"/>
      <c r="S771" s="18"/>
      <c r="T771" s="18"/>
      <c r="U771" s="18"/>
      <c r="V771" s="18"/>
      <c r="W771" s="18"/>
      <c r="X771" s="18"/>
      <c r="Y771" s="18"/>
      <c r="Z771" s="18"/>
    </row>
    <row r="772">
      <c r="A772" s="18"/>
      <c r="B772" s="80"/>
      <c r="C772" s="18"/>
      <c r="D772" s="80"/>
      <c r="E772" s="80"/>
      <c r="F772" s="134"/>
      <c r="G772" s="18"/>
      <c r="H772" s="18"/>
      <c r="I772" s="18"/>
      <c r="J772" s="18"/>
      <c r="K772" s="18"/>
      <c r="L772" s="18"/>
      <c r="M772" s="18"/>
      <c r="N772" s="18"/>
      <c r="O772" s="18"/>
      <c r="P772" s="18"/>
      <c r="Q772" s="18"/>
      <c r="R772" s="18"/>
      <c r="S772" s="18"/>
      <c r="T772" s="18"/>
      <c r="U772" s="18"/>
      <c r="V772" s="18"/>
      <c r="W772" s="18"/>
      <c r="X772" s="18"/>
      <c r="Y772" s="18"/>
      <c r="Z772" s="18"/>
    </row>
    <row r="773">
      <c r="A773" s="18"/>
      <c r="B773" s="80"/>
      <c r="C773" s="18"/>
      <c r="D773" s="80"/>
      <c r="E773" s="80"/>
      <c r="F773" s="134"/>
      <c r="G773" s="18"/>
      <c r="H773" s="18"/>
      <c r="I773" s="18"/>
      <c r="J773" s="18"/>
      <c r="K773" s="18"/>
      <c r="L773" s="18"/>
      <c r="M773" s="18"/>
      <c r="N773" s="18"/>
      <c r="O773" s="18"/>
      <c r="P773" s="18"/>
      <c r="Q773" s="18"/>
      <c r="R773" s="18"/>
      <c r="S773" s="18"/>
      <c r="T773" s="18"/>
      <c r="U773" s="18"/>
      <c r="V773" s="18"/>
      <c r="W773" s="18"/>
      <c r="X773" s="18"/>
      <c r="Y773" s="18"/>
      <c r="Z773" s="18"/>
    </row>
    <row r="774">
      <c r="A774" s="18"/>
      <c r="B774" s="80"/>
      <c r="C774" s="18"/>
      <c r="D774" s="80"/>
      <c r="E774" s="80"/>
      <c r="F774" s="134"/>
      <c r="G774" s="18"/>
      <c r="H774" s="18"/>
      <c r="I774" s="18"/>
      <c r="J774" s="18"/>
      <c r="K774" s="18"/>
      <c r="L774" s="18"/>
      <c r="M774" s="18"/>
      <c r="N774" s="18"/>
      <c r="O774" s="18"/>
      <c r="P774" s="18"/>
      <c r="Q774" s="18"/>
      <c r="R774" s="18"/>
      <c r="S774" s="18"/>
      <c r="T774" s="18"/>
      <c r="U774" s="18"/>
      <c r="V774" s="18"/>
      <c r="W774" s="18"/>
      <c r="X774" s="18"/>
      <c r="Y774" s="18"/>
      <c r="Z774" s="18"/>
    </row>
    <row r="775">
      <c r="A775" s="18"/>
      <c r="B775" s="80"/>
      <c r="C775" s="18"/>
      <c r="D775" s="80"/>
      <c r="E775" s="80"/>
      <c r="F775" s="134"/>
      <c r="G775" s="18"/>
      <c r="H775" s="18"/>
      <c r="I775" s="18"/>
      <c r="J775" s="18"/>
      <c r="K775" s="18"/>
      <c r="L775" s="18"/>
      <c r="M775" s="18"/>
      <c r="N775" s="18"/>
      <c r="O775" s="18"/>
      <c r="P775" s="18"/>
      <c r="Q775" s="18"/>
      <c r="R775" s="18"/>
      <c r="S775" s="18"/>
      <c r="T775" s="18"/>
      <c r="U775" s="18"/>
      <c r="V775" s="18"/>
      <c r="W775" s="18"/>
      <c r="X775" s="18"/>
      <c r="Y775" s="18"/>
      <c r="Z775" s="18"/>
    </row>
    <row r="776">
      <c r="A776" s="18"/>
      <c r="B776" s="80"/>
      <c r="C776" s="18"/>
      <c r="D776" s="80"/>
      <c r="E776" s="80"/>
      <c r="F776" s="134"/>
      <c r="G776" s="18"/>
      <c r="H776" s="18"/>
      <c r="I776" s="18"/>
      <c r="J776" s="18"/>
      <c r="K776" s="18"/>
      <c r="L776" s="18"/>
      <c r="M776" s="18"/>
      <c r="N776" s="18"/>
      <c r="O776" s="18"/>
      <c r="P776" s="18"/>
      <c r="Q776" s="18"/>
      <c r="R776" s="18"/>
      <c r="S776" s="18"/>
      <c r="T776" s="18"/>
      <c r="U776" s="18"/>
      <c r="V776" s="18"/>
      <c r="W776" s="18"/>
      <c r="X776" s="18"/>
      <c r="Y776" s="18"/>
      <c r="Z776" s="18"/>
    </row>
    <row r="777">
      <c r="A777" s="18"/>
      <c r="B777" s="80"/>
      <c r="C777" s="18"/>
      <c r="D777" s="80"/>
      <c r="E777" s="80"/>
      <c r="F777" s="134"/>
      <c r="G777" s="18"/>
      <c r="H777" s="18"/>
      <c r="I777" s="18"/>
      <c r="J777" s="18"/>
      <c r="K777" s="18"/>
      <c r="L777" s="18"/>
      <c r="M777" s="18"/>
      <c r="N777" s="18"/>
      <c r="O777" s="18"/>
      <c r="P777" s="18"/>
      <c r="Q777" s="18"/>
      <c r="R777" s="18"/>
      <c r="S777" s="18"/>
      <c r="T777" s="18"/>
      <c r="U777" s="18"/>
      <c r="V777" s="18"/>
      <c r="W777" s="18"/>
      <c r="X777" s="18"/>
      <c r="Y777" s="18"/>
      <c r="Z777" s="18"/>
    </row>
    <row r="778">
      <c r="A778" s="18"/>
      <c r="B778" s="80"/>
      <c r="C778" s="18"/>
      <c r="D778" s="80"/>
      <c r="E778" s="80"/>
      <c r="F778" s="134"/>
      <c r="G778" s="18"/>
      <c r="H778" s="18"/>
      <c r="I778" s="18"/>
      <c r="J778" s="18"/>
      <c r="K778" s="18"/>
      <c r="L778" s="18"/>
      <c r="M778" s="18"/>
      <c r="N778" s="18"/>
      <c r="O778" s="18"/>
      <c r="P778" s="18"/>
      <c r="Q778" s="18"/>
      <c r="R778" s="18"/>
      <c r="S778" s="18"/>
      <c r="T778" s="18"/>
      <c r="U778" s="18"/>
      <c r="V778" s="18"/>
      <c r="W778" s="18"/>
      <c r="X778" s="18"/>
      <c r="Y778" s="18"/>
      <c r="Z778" s="18"/>
    </row>
    <row r="779">
      <c r="A779" s="18"/>
      <c r="B779" s="80"/>
      <c r="C779" s="18"/>
      <c r="D779" s="80"/>
      <c r="E779" s="80"/>
      <c r="F779" s="134"/>
      <c r="G779" s="18"/>
      <c r="H779" s="18"/>
      <c r="I779" s="18"/>
      <c r="J779" s="18"/>
      <c r="K779" s="18"/>
      <c r="L779" s="18"/>
      <c r="M779" s="18"/>
      <c r="N779" s="18"/>
      <c r="O779" s="18"/>
      <c r="P779" s="18"/>
      <c r="Q779" s="18"/>
      <c r="R779" s="18"/>
      <c r="S779" s="18"/>
      <c r="T779" s="18"/>
      <c r="U779" s="18"/>
      <c r="V779" s="18"/>
      <c r="W779" s="18"/>
      <c r="X779" s="18"/>
      <c r="Y779" s="18"/>
      <c r="Z779" s="18"/>
    </row>
    <row r="780">
      <c r="A780" s="18"/>
      <c r="B780" s="80"/>
      <c r="C780" s="18"/>
      <c r="D780" s="80"/>
      <c r="E780" s="80"/>
      <c r="F780" s="134"/>
      <c r="G780" s="18"/>
      <c r="H780" s="18"/>
      <c r="I780" s="18"/>
      <c r="J780" s="18"/>
      <c r="K780" s="18"/>
      <c r="L780" s="18"/>
      <c r="M780" s="18"/>
      <c r="N780" s="18"/>
      <c r="O780" s="18"/>
      <c r="P780" s="18"/>
      <c r="Q780" s="18"/>
      <c r="R780" s="18"/>
      <c r="S780" s="18"/>
      <c r="T780" s="18"/>
      <c r="U780" s="18"/>
      <c r="V780" s="18"/>
      <c r="W780" s="18"/>
      <c r="X780" s="18"/>
      <c r="Y780" s="18"/>
      <c r="Z780" s="18"/>
    </row>
    <row r="781">
      <c r="A781" s="18"/>
      <c r="B781" s="80"/>
      <c r="C781" s="18"/>
      <c r="D781" s="80"/>
      <c r="E781" s="80"/>
      <c r="F781" s="134"/>
      <c r="G781" s="18"/>
      <c r="H781" s="18"/>
      <c r="I781" s="18"/>
      <c r="J781" s="18"/>
      <c r="K781" s="18"/>
      <c r="L781" s="18"/>
      <c r="M781" s="18"/>
      <c r="N781" s="18"/>
      <c r="O781" s="18"/>
      <c r="P781" s="18"/>
      <c r="Q781" s="18"/>
      <c r="R781" s="18"/>
      <c r="S781" s="18"/>
      <c r="T781" s="18"/>
      <c r="U781" s="18"/>
      <c r="V781" s="18"/>
      <c r="W781" s="18"/>
      <c r="X781" s="18"/>
      <c r="Y781" s="18"/>
      <c r="Z781" s="18"/>
    </row>
    <row r="782">
      <c r="A782" s="18"/>
      <c r="B782" s="80"/>
      <c r="C782" s="18"/>
      <c r="D782" s="80"/>
      <c r="E782" s="80"/>
      <c r="F782" s="134"/>
      <c r="G782" s="18"/>
      <c r="H782" s="18"/>
      <c r="I782" s="18"/>
      <c r="J782" s="18"/>
      <c r="K782" s="18"/>
      <c r="L782" s="18"/>
      <c r="M782" s="18"/>
      <c r="N782" s="18"/>
      <c r="O782" s="18"/>
      <c r="P782" s="18"/>
      <c r="Q782" s="18"/>
      <c r="R782" s="18"/>
      <c r="S782" s="18"/>
      <c r="T782" s="18"/>
      <c r="U782" s="18"/>
      <c r="V782" s="18"/>
      <c r="W782" s="18"/>
      <c r="X782" s="18"/>
      <c r="Y782" s="18"/>
      <c r="Z782" s="18"/>
    </row>
    <row r="783">
      <c r="A783" s="18"/>
      <c r="B783" s="80"/>
      <c r="C783" s="18"/>
      <c r="D783" s="80"/>
      <c r="E783" s="80"/>
      <c r="F783" s="134"/>
      <c r="G783" s="18"/>
      <c r="H783" s="18"/>
      <c r="I783" s="18"/>
      <c r="J783" s="18"/>
      <c r="K783" s="18"/>
      <c r="L783" s="18"/>
      <c r="M783" s="18"/>
      <c r="N783" s="18"/>
      <c r="O783" s="18"/>
      <c r="P783" s="18"/>
      <c r="Q783" s="18"/>
      <c r="R783" s="18"/>
      <c r="S783" s="18"/>
      <c r="T783" s="18"/>
      <c r="U783" s="18"/>
      <c r="V783" s="18"/>
      <c r="W783" s="18"/>
      <c r="X783" s="18"/>
      <c r="Y783" s="18"/>
      <c r="Z783" s="18"/>
    </row>
    <row r="784">
      <c r="A784" s="18"/>
      <c r="B784" s="80"/>
      <c r="C784" s="18"/>
      <c r="D784" s="80"/>
      <c r="E784" s="80"/>
      <c r="F784" s="134"/>
      <c r="G784" s="18"/>
      <c r="H784" s="18"/>
      <c r="I784" s="18"/>
      <c r="J784" s="18"/>
      <c r="K784" s="18"/>
      <c r="L784" s="18"/>
      <c r="M784" s="18"/>
      <c r="N784" s="18"/>
      <c r="O784" s="18"/>
      <c r="P784" s="18"/>
      <c r="Q784" s="18"/>
      <c r="R784" s="18"/>
      <c r="S784" s="18"/>
      <c r="T784" s="18"/>
      <c r="U784" s="18"/>
      <c r="V784" s="18"/>
      <c r="W784" s="18"/>
      <c r="X784" s="18"/>
      <c r="Y784" s="18"/>
      <c r="Z784" s="18"/>
    </row>
    <row r="785">
      <c r="A785" s="18"/>
      <c r="B785" s="80"/>
      <c r="C785" s="18"/>
      <c r="D785" s="80"/>
      <c r="E785" s="80"/>
      <c r="F785" s="134"/>
      <c r="G785" s="18"/>
      <c r="H785" s="18"/>
      <c r="I785" s="18"/>
      <c r="J785" s="18"/>
      <c r="K785" s="18"/>
      <c r="L785" s="18"/>
      <c r="M785" s="18"/>
      <c r="N785" s="18"/>
      <c r="O785" s="18"/>
      <c r="P785" s="18"/>
      <c r="Q785" s="18"/>
      <c r="R785" s="18"/>
      <c r="S785" s="18"/>
      <c r="T785" s="18"/>
      <c r="U785" s="18"/>
      <c r="V785" s="18"/>
      <c r="W785" s="18"/>
      <c r="X785" s="18"/>
      <c r="Y785" s="18"/>
      <c r="Z785" s="18"/>
    </row>
    <row r="786">
      <c r="A786" s="18"/>
      <c r="B786" s="80"/>
      <c r="C786" s="18"/>
      <c r="D786" s="80"/>
      <c r="E786" s="80"/>
      <c r="F786" s="134"/>
      <c r="G786" s="18"/>
      <c r="H786" s="18"/>
      <c r="I786" s="18"/>
      <c r="J786" s="18"/>
      <c r="K786" s="18"/>
      <c r="L786" s="18"/>
      <c r="M786" s="18"/>
      <c r="N786" s="18"/>
      <c r="O786" s="18"/>
      <c r="P786" s="18"/>
      <c r="Q786" s="18"/>
      <c r="R786" s="18"/>
      <c r="S786" s="18"/>
      <c r="T786" s="18"/>
      <c r="U786" s="18"/>
      <c r="V786" s="18"/>
      <c r="W786" s="18"/>
      <c r="X786" s="18"/>
      <c r="Y786" s="18"/>
      <c r="Z786" s="18"/>
    </row>
    <row r="787">
      <c r="A787" s="18"/>
      <c r="B787" s="80"/>
      <c r="C787" s="18"/>
      <c r="D787" s="80"/>
      <c r="E787" s="80"/>
      <c r="F787" s="134"/>
      <c r="G787" s="18"/>
      <c r="H787" s="18"/>
      <c r="I787" s="18"/>
      <c r="J787" s="18"/>
      <c r="K787" s="18"/>
      <c r="L787" s="18"/>
      <c r="M787" s="18"/>
      <c r="N787" s="18"/>
      <c r="O787" s="18"/>
      <c r="P787" s="18"/>
      <c r="Q787" s="18"/>
      <c r="R787" s="18"/>
      <c r="S787" s="18"/>
      <c r="T787" s="18"/>
      <c r="U787" s="18"/>
      <c r="V787" s="18"/>
      <c r="W787" s="18"/>
      <c r="X787" s="18"/>
      <c r="Y787" s="18"/>
      <c r="Z787" s="18"/>
    </row>
    <row r="788">
      <c r="A788" s="18"/>
      <c r="B788" s="80"/>
      <c r="C788" s="18"/>
      <c r="D788" s="80"/>
      <c r="E788" s="80"/>
      <c r="F788" s="134"/>
      <c r="G788" s="18"/>
      <c r="H788" s="18"/>
      <c r="I788" s="18"/>
      <c r="J788" s="18"/>
      <c r="K788" s="18"/>
      <c r="L788" s="18"/>
      <c r="M788" s="18"/>
      <c r="N788" s="18"/>
      <c r="O788" s="18"/>
      <c r="P788" s="18"/>
      <c r="Q788" s="18"/>
      <c r="R788" s="18"/>
      <c r="S788" s="18"/>
      <c r="T788" s="18"/>
      <c r="U788" s="18"/>
      <c r="V788" s="18"/>
      <c r="W788" s="18"/>
      <c r="X788" s="18"/>
      <c r="Y788" s="18"/>
      <c r="Z788" s="18"/>
    </row>
    <row r="789">
      <c r="A789" s="18"/>
      <c r="B789" s="80"/>
      <c r="C789" s="18"/>
      <c r="D789" s="80"/>
      <c r="E789" s="80"/>
      <c r="F789" s="134"/>
      <c r="G789" s="18"/>
      <c r="H789" s="18"/>
      <c r="I789" s="18"/>
      <c r="J789" s="18"/>
      <c r="K789" s="18"/>
      <c r="L789" s="18"/>
      <c r="M789" s="18"/>
      <c r="N789" s="18"/>
      <c r="O789" s="18"/>
      <c r="P789" s="18"/>
      <c r="Q789" s="18"/>
      <c r="R789" s="18"/>
      <c r="S789" s="18"/>
      <c r="T789" s="18"/>
      <c r="U789" s="18"/>
      <c r="V789" s="18"/>
      <c r="W789" s="18"/>
      <c r="X789" s="18"/>
      <c r="Y789" s="18"/>
      <c r="Z789" s="18"/>
    </row>
    <row r="790">
      <c r="A790" s="18"/>
      <c r="B790" s="80"/>
      <c r="C790" s="18"/>
      <c r="D790" s="80"/>
      <c r="E790" s="80"/>
      <c r="F790" s="134"/>
      <c r="G790" s="18"/>
      <c r="H790" s="18"/>
      <c r="I790" s="18"/>
      <c r="J790" s="18"/>
      <c r="K790" s="18"/>
      <c r="L790" s="18"/>
      <c r="M790" s="18"/>
      <c r="N790" s="18"/>
      <c r="O790" s="18"/>
      <c r="P790" s="18"/>
      <c r="Q790" s="18"/>
      <c r="R790" s="18"/>
      <c r="S790" s="18"/>
      <c r="T790" s="18"/>
      <c r="U790" s="18"/>
      <c r="V790" s="18"/>
      <c r="W790" s="18"/>
      <c r="X790" s="18"/>
      <c r="Y790" s="18"/>
      <c r="Z790" s="18"/>
    </row>
    <row r="791">
      <c r="A791" s="18"/>
      <c r="B791" s="80"/>
      <c r="C791" s="18"/>
      <c r="D791" s="80"/>
      <c r="E791" s="80"/>
      <c r="F791" s="134"/>
      <c r="G791" s="18"/>
      <c r="H791" s="18"/>
      <c r="I791" s="18"/>
      <c r="J791" s="18"/>
      <c r="K791" s="18"/>
      <c r="L791" s="18"/>
      <c r="M791" s="18"/>
      <c r="N791" s="18"/>
      <c r="O791" s="18"/>
      <c r="P791" s="18"/>
      <c r="Q791" s="18"/>
      <c r="R791" s="18"/>
      <c r="S791" s="18"/>
      <c r="T791" s="18"/>
      <c r="U791" s="18"/>
      <c r="V791" s="18"/>
      <c r="W791" s="18"/>
      <c r="X791" s="18"/>
      <c r="Y791" s="18"/>
      <c r="Z791" s="18"/>
    </row>
    <row r="792">
      <c r="A792" s="18"/>
      <c r="B792" s="80"/>
      <c r="C792" s="18"/>
      <c r="D792" s="80"/>
      <c r="E792" s="80"/>
      <c r="F792" s="134"/>
      <c r="G792" s="18"/>
      <c r="H792" s="18"/>
      <c r="I792" s="18"/>
      <c r="J792" s="18"/>
      <c r="K792" s="18"/>
      <c r="L792" s="18"/>
      <c r="M792" s="18"/>
      <c r="N792" s="18"/>
      <c r="O792" s="18"/>
      <c r="P792" s="18"/>
      <c r="Q792" s="18"/>
      <c r="R792" s="18"/>
      <c r="S792" s="18"/>
      <c r="T792" s="18"/>
      <c r="U792" s="18"/>
      <c r="V792" s="18"/>
      <c r="W792" s="18"/>
      <c r="X792" s="18"/>
      <c r="Y792" s="18"/>
      <c r="Z792" s="18"/>
    </row>
    <row r="793">
      <c r="A793" s="18"/>
      <c r="B793" s="80"/>
      <c r="C793" s="18"/>
      <c r="D793" s="80"/>
      <c r="E793" s="80"/>
      <c r="F793" s="134"/>
      <c r="G793" s="18"/>
      <c r="H793" s="18"/>
      <c r="I793" s="18"/>
      <c r="J793" s="18"/>
      <c r="K793" s="18"/>
      <c r="L793" s="18"/>
      <c r="M793" s="18"/>
      <c r="N793" s="18"/>
      <c r="O793" s="18"/>
      <c r="P793" s="18"/>
      <c r="Q793" s="18"/>
      <c r="R793" s="18"/>
      <c r="S793" s="18"/>
      <c r="T793" s="18"/>
      <c r="U793" s="18"/>
      <c r="V793" s="18"/>
      <c r="W793" s="18"/>
      <c r="X793" s="18"/>
      <c r="Y793" s="18"/>
      <c r="Z793" s="18"/>
    </row>
    <row r="794">
      <c r="A794" s="18"/>
      <c r="B794" s="80"/>
      <c r="C794" s="18"/>
      <c r="D794" s="80"/>
      <c r="E794" s="80"/>
      <c r="F794" s="134"/>
      <c r="G794" s="18"/>
      <c r="H794" s="18"/>
      <c r="I794" s="18"/>
      <c r="J794" s="18"/>
      <c r="K794" s="18"/>
      <c r="L794" s="18"/>
      <c r="M794" s="18"/>
      <c r="N794" s="18"/>
      <c r="O794" s="18"/>
      <c r="P794" s="18"/>
      <c r="Q794" s="18"/>
      <c r="R794" s="18"/>
      <c r="S794" s="18"/>
      <c r="T794" s="18"/>
      <c r="U794" s="18"/>
      <c r="V794" s="18"/>
      <c r="W794" s="18"/>
      <c r="X794" s="18"/>
      <c r="Y794" s="18"/>
      <c r="Z794" s="18"/>
    </row>
    <row r="795">
      <c r="A795" s="18"/>
      <c r="B795" s="80"/>
      <c r="C795" s="18"/>
      <c r="D795" s="80"/>
      <c r="E795" s="80"/>
      <c r="F795" s="134"/>
      <c r="G795" s="18"/>
      <c r="H795" s="18"/>
      <c r="I795" s="18"/>
      <c r="J795" s="18"/>
      <c r="K795" s="18"/>
      <c r="L795" s="18"/>
      <c r="M795" s="18"/>
      <c r="N795" s="18"/>
      <c r="O795" s="18"/>
      <c r="P795" s="18"/>
      <c r="Q795" s="18"/>
      <c r="R795" s="18"/>
      <c r="S795" s="18"/>
      <c r="T795" s="18"/>
      <c r="U795" s="18"/>
      <c r="V795" s="18"/>
      <c r="W795" s="18"/>
      <c r="X795" s="18"/>
      <c r="Y795" s="18"/>
      <c r="Z795" s="18"/>
    </row>
    <row r="796">
      <c r="A796" s="18"/>
      <c r="B796" s="80"/>
      <c r="C796" s="18"/>
      <c r="D796" s="80"/>
      <c r="E796" s="80"/>
      <c r="F796" s="134"/>
      <c r="G796" s="18"/>
      <c r="H796" s="18"/>
      <c r="I796" s="18"/>
      <c r="J796" s="18"/>
      <c r="K796" s="18"/>
      <c r="L796" s="18"/>
      <c r="M796" s="18"/>
      <c r="N796" s="18"/>
      <c r="O796" s="18"/>
      <c r="P796" s="18"/>
      <c r="Q796" s="18"/>
      <c r="R796" s="18"/>
      <c r="S796" s="18"/>
      <c r="T796" s="18"/>
      <c r="U796" s="18"/>
      <c r="V796" s="18"/>
      <c r="W796" s="18"/>
      <c r="X796" s="18"/>
      <c r="Y796" s="18"/>
      <c r="Z796" s="18"/>
    </row>
    <row r="797">
      <c r="A797" s="18"/>
      <c r="B797" s="80"/>
      <c r="C797" s="18"/>
      <c r="D797" s="80"/>
      <c r="E797" s="80"/>
      <c r="F797" s="134"/>
      <c r="G797" s="18"/>
      <c r="H797" s="18"/>
      <c r="I797" s="18"/>
      <c r="J797" s="18"/>
      <c r="K797" s="18"/>
      <c r="L797" s="18"/>
      <c r="M797" s="18"/>
      <c r="N797" s="18"/>
      <c r="O797" s="18"/>
      <c r="P797" s="18"/>
      <c r="Q797" s="18"/>
      <c r="R797" s="18"/>
      <c r="S797" s="18"/>
      <c r="T797" s="18"/>
      <c r="U797" s="18"/>
      <c r="V797" s="18"/>
      <c r="W797" s="18"/>
      <c r="X797" s="18"/>
      <c r="Y797" s="18"/>
      <c r="Z797" s="18"/>
    </row>
    <row r="798">
      <c r="A798" s="18"/>
      <c r="B798" s="80"/>
      <c r="C798" s="18"/>
      <c r="D798" s="80"/>
      <c r="E798" s="80"/>
      <c r="F798" s="134"/>
      <c r="G798" s="18"/>
      <c r="H798" s="18"/>
      <c r="I798" s="18"/>
      <c r="J798" s="18"/>
      <c r="K798" s="18"/>
      <c r="L798" s="18"/>
      <c r="M798" s="18"/>
      <c r="N798" s="18"/>
      <c r="O798" s="18"/>
      <c r="P798" s="18"/>
      <c r="Q798" s="18"/>
      <c r="R798" s="18"/>
      <c r="S798" s="18"/>
      <c r="T798" s="18"/>
      <c r="U798" s="18"/>
      <c r="V798" s="18"/>
      <c r="W798" s="18"/>
      <c r="X798" s="18"/>
      <c r="Y798" s="18"/>
      <c r="Z798" s="18"/>
    </row>
    <row r="799">
      <c r="A799" s="18"/>
      <c r="B799" s="80"/>
      <c r="C799" s="18"/>
      <c r="D799" s="80"/>
      <c r="E799" s="80"/>
      <c r="F799" s="134"/>
      <c r="G799" s="18"/>
      <c r="H799" s="18"/>
      <c r="I799" s="18"/>
      <c r="J799" s="18"/>
      <c r="K799" s="18"/>
      <c r="L799" s="18"/>
      <c r="M799" s="18"/>
      <c r="N799" s="18"/>
      <c r="O799" s="18"/>
      <c r="P799" s="18"/>
      <c r="Q799" s="18"/>
      <c r="R799" s="18"/>
      <c r="S799" s="18"/>
      <c r="T799" s="18"/>
      <c r="U799" s="18"/>
      <c r="V799" s="18"/>
      <c r="W799" s="18"/>
      <c r="X799" s="18"/>
      <c r="Y799" s="18"/>
      <c r="Z799" s="18"/>
    </row>
    <row r="800">
      <c r="A800" s="18"/>
      <c r="B800" s="80"/>
      <c r="C800" s="18"/>
      <c r="D800" s="80"/>
      <c r="E800" s="80"/>
      <c r="F800" s="134"/>
      <c r="G800" s="18"/>
      <c r="H800" s="18"/>
      <c r="I800" s="18"/>
      <c r="J800" s="18"/>
      <c r="K800" s="18"/>
      <c r="L800" s="18"/>
      <c r="M800" s="18"/>
      <c r="N800" s="18"/>
      <c r="O800" s="18"/>
      <c r="P800" s="18"/>
      <c r="Q800" s="18"/>
      <c r="R800" s="18"/>
      <c r="S800" s="18"/>
      <c r="T800" s="18"/>
      <c r="U800" s="18"/>
      <c r="V800" s="18"/>
      <c r="W800" s="18"/>
      <c r="X800" s="18"/>
      <c r="Y800" s="18"/>
      <c r="Z800" s="18"/>
    </row>
    <row r="801">
      <c r="A801" s="18"/>
      <c r="B801" s="80"/>
      <c r="C801" s="18"/>
      <c r="D801" s="80"/>
      <c r="E801" s="80"/>
      <c r="F801" s="134"/>
      <c r="G801" s="18"/>
      <c r="H801" s="18"/>
      <c r="I801" s="18"/>
      <c r="J801" s="18"/>
      <c r="K801" s="18"/>
      <c r="L801" s="18"/>
      <c r="M801" s="18"/>
      <c r="N801" s="18"/>
      <c r="O801" s="18"/>
      <c r="P801" s="18"/>
      <c r="Q801" s="18"/>
      <c r="R801" s="18"/>
      <c r="S801" s="18"/>
      <c r="T801" s="18"/>
      <c r="U801" s="18"/>
      <c r="V801" s="18"/>
      <c r="W801" s="18"/>
      <c r="X801" s="18"/>
      <c r="Y801" s="18"/>
      <c r="Z801" s="18"/>
    </row>
    <row r="802">
      <c r="A802" s="18"/>
      <c r="B802" s="80"/>
      <c r="C802" s="18"/>
      <c r="D802" s="80"/>
      <c r="E802" s="80"/>
      <c r="F802" s="134"/>
      <c r="G802" s="18"/>
      <c r="H802" s="18"/>
      <c r="I802" s="18"/>
      <c r="J802" s="18"/>
      <c r="K802" s="18"/>
      <c r="L802" s="18"/>
      <c r="M802" s="18"/>
      <c r="N802" s="18"/>
      <c r="O802" s="18"/>
      <c r="P802" s="18"/>
      <c r="Q802" s="18"/>
      <c r="R802" s="18"/>
      <c r="S802" s="18"/>
      <c r="T802" s="18"/>
      <c r="U802" s="18"/>
      <c r="V802" s="18"/>
      <c r="W802" s="18"/>
      <c r="X802" s="18"/>
      <c r="Y802" s="18"/>
      <c r="Z802" s="18"/>
    </row>
    <row r="803">
      <c r="A803" s="18"/>
      <c r="B803" s="80"/>
      <c r="C803" s="18"/>
      <c r="D803" s="80"/>
      <c r="E803" s="80"/>
      <c r="F803" s="134"/>
      <c r="G803" s="18"/>
      <c r="H803" s="18"/>
      <c r="I803" s="18"/>
      <c r="J803" s="18"/>
      <c r="K803" s="18"/>
      <c r="L803" s="18"/>
      <c r="M803" s="18"/>
      <c r="N803" s="18"/>
      <c r="O803" s="18"/>
      <c r="P803" s="18"/>
      <c r="Q803" s="18"/>
      <c r="R803" s="18"/>
      <c r="S803" s="18"/>
      <c r="T803" s="18"/>
      <c r="U803" s="18"/>
      <c r="V803" s="18"/>
      <c r="W803" s="18"/>
      <c r="X803" s="18"/>
      <c r="Y803" s="18"/>
      <c r="Z803" s="18"/>
    </row>
    <row r="804">
      <c r="A804" s="18"/>
      <c r="B804" s="80"/>
      <c r="C804" s="18"/>
      <c r="D804" s="80"/>
      <c r="E804" s="80"/>
      <c r="F804" s="134"/>
      <c r="G804" s="18"/>
      <c r="H804" s="18"/>
      <c r="I804" s="18"/>
      <c r="J804" s="18"/>
      <c r="K804" s="18"/>
      <c r="L804" s="18"/>
      <c r="M804" s="18"/>
      <c r="N804" s="18"/>
      <c r="O804" s="18"/>
      <c r="P804" s="18"/>
      <c r="Q804" s="18"/>
      <c r="R804" s="18"/>
      <c r="S804" s="18"/>
      <c r="T804" s="18"/>
      <c r="U804" s="18"/>
      <c r="V804" s="18"/>
      <c r="W804" s="18"/>
      <c r="X804" s="18"/>
      <c r="Y804" s="18"/>
      <c r="Z804" s="18"/>
    </row>
    <row r="805">
      <c r="A805" s="18"/>
      <c r="B805" s="80"/>
      <c r="C805" s="18"/>
      <c r="D805" s="80"/>
      <c r="E805" s="80"/>
      <c r="F805" s="134"/>
      <c r="G805" s="18"/>
      <c r="H805" s="18"/>
      <c r="I805" s="18"/>
      <c r="J805" s="18"/>
      <c r="K805" s="18"/>
      <c r="L805" s="18"/>
      <c r="M805" s="18"/>
      <c r="N805" s="18"/>
      <c r="O805" s="18"/>
      <c r="P805" s="18"/>
      <c r="Q805" s="18"/>
      <c r="R805" s="18"/>
      <c r="S805" s="18"/>
      <c r="T805" s="18"/>
      <c r="U805" s="18"/>
      <c r="V805" s="18"/>
      <c r="W805" s="18"/>
      <c r="X805" s="18"/>
      <c r="Y805" s="18"/>
      <c r="Z805" s="18"/>
    </row>
    <row r="806">
      <c r="A806" s="18"/>
      <c r="B806" s="80"/>
      <c r="C806" s="18"/>
      <c r="D806" s="80"/>
      <c r="E806" s="80"/>
      <c r="F806" s="134"/>
      <c r="G806" s="18"/>
      <c r="H806" s="18"/>
      <c r="I806" s="18"/>
      <c r="J806" s="18"/>
      <c r="K806" s="18"/>
      <c r="L806" s="18"/>
      <c r="M806" s="18"/>
      <c r="N806" s="18"/>
      <c r="O806" s="18"/>
      <c r="P806" s="18"/>
      <c r="Q806" s="18"/>
      <c r="R806" s="18"/>
      <c r="S806" s="18"/>
      <c r="T806" s="18"/>
      <c r="U806" s="18"/>
      <c r="V806" s="18"/>
      <c r="W806" s="18"/>
      <c r="X806" s="18"/>
      <c r="Y806" s="18"/>
      <c r="Z806" s="18"/>
    </row>
    <row r="807">
      <c r="A807" s="18"/>
      <c r="B807" s="80"/>
      <c r="C807" s="18"/>
      <c r="D807" s="80"/>
      <c r="E807" s="80"/>
      <c r="F807" s="134"/>
      <c r="G807" s="18"/>
      <c r="H807" s="18"/>
      <c r="I807" s="18"/>
      <c r="J807" s="18"/>
      <c r="K807" s="18"/>
      <c r="L807" s="18"/>
      <c r="M807" s="18"/>
      <c r="N807" s="18"/>
      <c r="O807" s="18"/>
      <c r="P807" s="18"/>
      <c r="Q807" s="18"/>
      <c r="R807" s="18"/>
      <c r="S807" s="18"/>
      <c r="T807" s="18"/>
      <c r="U807" s="18"/>
      <c r="V807" s="18"/>
      <c r="W807" s="18"/>
      <c r="X807" s="18"/>
      <c r="Y807" s="18"/>
      <c r="Z807" s="18"/>
    </row>
    <row r="808">
      <c r="A808" s="18"/>
      <c r="B808" s="80"/>
      <c r="C808" s="18"/>
      <c r="D808" s="80"/>
      <c r="E808" s="80"/>
      <c r="F808" s="134"/>
      <c r="G808" s="18"/>
      <c r="H808" s="18"/>
      <c r="I808" s="18"/>
      <c r="J808" s="18"/>
      <c r="K808" s="18"/>
      <c r="L808" s="18"/>
      <c r="M808" s="18"/>
      <c r="N808" s="18"/>
      <c r="O808" s="18"/>
      <c r="P808" s="18"/>
      <c r="Q808" s="18"/>
      <c r="R808" s="18"/>
      <c r="S808" s="18"/>
      <c r="T808" s="18"/>
      <c r="U808" s="18"/>
      <c r="V808" s="18"/>
      <c r="W808" s="18"/>
      <c r="X808" s="18"/>
      <c r="Y808" s="18"/>
      <c r="Z808" s="18"/>
    </row>
    <row r="809">
      <c r="A809" s="18"/>
      <c r="B809" s="80"/>
      <c r="C809" s="18"/>
      <c r="D809" s="80"/>
      <c r="E809" s="80"/>
      <c r="F809" s="134"/>
      <c r="G809" s="18"/>
      <c r="H809" s="18"/>
      <c r="I809" s="18"/>
      <c r="J809" s="18"/>
      <c r="K809" s="18"/>
      <c r="L809" s="18"/>
      <c r="M809" s="18"/>
      <c r="N809" s="18"/>
      <c r="O809" s="18"/>
      <c r="P809" s="18"/>
      <c r="Q809" s="18"/>
      <c r="R809" s="18"/>
      <c r="S809" s="18"/>
      <c r="T809" s="18"/>
      <c r="U809" s="18"/>
      <c r="V809" s="18"/>
      <c r="W809" s="18"/>
      <c r="X809" s="18"/>
      <c r="Y809" s="18"/>
      <c r="Z809" s="18"/>
    </row>
    <row r="810">
      <c r="A810" s="18"/>
      <c r="B810" s="80"/>
      <c r="C810" s="18"/>
      <c r="D810" s="80"/>
      <c r="E810" s="80"/>
      <c r="F810" s="134"/>
      <c r="G810" s="18"/>
      <c r="H810" s="18"/>
      <c r="I810" s="18"/>
      <c r="J810" s="18"/>
      <c r="K810" s="18"/>
      <c r="L810" s="18"/>
      <c r="M810" s="18"/>
      <c r="N810" s="18"/>
      <c r="O810" s="18"/>
      <c r="P810" s="18"/>
      <c r="Q810" s="18"/>
      <c r="R810" s="18"/>
      <c r="S810" s="18"/>
      <c r="T810" s="18"/>
      <c r="U810" s="18"/>
      <c r="V810" s="18"/>
      <c r="W810" s="18"/>
      <c r="X810" s="18"/>
      <c r="Y810" s="18"/>
      <c r="Z810" s="18"/>
    </row>
    <row r="811">
      <c r="A811" s="18"/>
      <c r="B811" s="80"/>
      <c r="C811" s="18"/>
      <c r="D811" s="80"/>
      <c r="E811" s="80"/>
      <c r="F811" s="134"/>
      <c r="G811" s="18"/>
      <c r="H811" s="18"/>
      <c r="I811" s="18"/>
      <c r="J811" s="18"/>
      <c r="K811" s="18"/>
      <c r="L811" s="18"/>
      <c r="M811" s="18"/>
      <c r="N811" s="18"/>
      <c r="O811" s="18"/>
      <c r="P811" s="18"/>
      <c r="Q811" s="18"/>
      <c r="R811" s="18"/>
      <c r="S811" s="18"/>
      <c r="T811" s="18"/>
      <c r="U811" s="18"/>
      <c r="V811" s="18"/>
      <c r="W811" s="18"/>
      <c r="X811" s="18"/>
      <c r="Y811" s="18"/>
      <c r="Z811" s="18"/>
    </row>
    <row r="812">
      <c r="A812" s="18"/>
      <c r="B812" s="80"/>
      <c r="C812" s="18"/>
      <c r="D812" s="80"/>
      <c r="E812" s="80"/>
      <c r="F812" s="134"/>
      <c r="G812" s="18"/>
      <c r="H812" s="18"/>
      <c r="I812" s="18"/>
      <c r="J812" s="18"/>
      <c r="K812" s="18"/>
      <c r="L812" s="18"/>
      <c r="M812" s="18"/>
      <c r="N812" s="18"/>
      <c r="O812" s="18"/>
      <c r="P812" s="18"/>
      <c r="Q812" s="18"/>
      <c r="R812" s="18"/>
      <c r="S812" s="18"/>
      <c r="T812" s="18"/>
      <c r="U812" s="18"/>
      <c r="V812" s="18"/>
      <c r="W812" s="18"/>
      <c r="X812" s="18"/>
      <c r="Y812" s="18"/>
      <c r="Z812" s="18"/>
    </row>
    <row r="813">
      <c r="A813" s="18"/>
      <c r="B813" s="80"/>
      <c r="C813" s="18"/>
      <c r="D813" s="80"/>
      <c r="E813" s="80"/>
      <c r="F813" s="134"/>
      <c r="G813" s="18"/>
      <c r="H813" s="18"/>
      <c r="I813" s="18"/>
      <c r="J813" s="18"/>
      <c r="K813" s="18"/>
      <c r="L813" s="18"/>
      <c r="M813" s="18"/>
      <c r="N813" s="18"/>
      <c r="O813" s="18"/>
      <c r="P813" s="18"/>
      <c r="Q813" s="18"/>
      <c r="R813" s="18"/>
      <c r="S813" s="18"/>
      <c r="T813" s="18"/>
      <c r="U813" s="18"/>
      <c r="V813" s="18"/>
      <c r="W813" s="18"/>
      <c r="X813" s="18"/>
      <c r="Y813" s="18"/>
      <c r="Z813" s="18"/>
    </row>
    <row r="814">
      <c r="A814" s="18"/>
      <c r="B814" s="80"/>
      <c r="C814" s="18"/>
      <c r="D814" s="80"/>
      <c r="E814" s="80"/>
      <c r="F814" s="134"/>
      <c r="G814" s="18"/>
      <c r="H814" s="18"/>
      <c r="I814" s="18"/>
      <c r="J814" s="18"/>
      <c r="K814" s="18"/>
      <c r="L814" s="18"/>
      <c r="M814" s="18"/>
      <c r="N814" s="18"/>
      <c r="O814" s="18"/>
      <c r="P814" s="18"/>
      <c r="Q814" s="18"/>
      <c r="R814" s="18"/>
      <c r="S814" s="18"/>
      <c r="T814" s="18"/>
      <c r="U814" s="18"/>
      <c r="V814" s="18"/>
      <c r="W814" s="18"/>
      <c r="X814" s="18"/>
      <c r="Y814" s="18"/>
      <c r="Z814" s="18"/>
    </row>
    <row r="815">
      <c r="A815" s="18"/>
      <c r="B815" s="80"/>
      <c r="C815" s="18"/>
      <c r="D815" s="80"/>
      <c r="E815" s="80"/>
      <c r="F815" s="134"/>
      <c r="G815" s="18"/>
      <c r="H815" s="18"/>
      <c r="I815" s="18"/>
      <c r="J815" s="18"/>
      <c r="K815" s="18"/>
      <c r="L815" s="18"/>
      <c r="M815" s="18"/>
      <c r="N815" s="18"/>
      <c r="O815" s="18"/>
      <c r="P815" s="18"/>
      <c r="Q815" s="18"/>
      <c r="R815" s="18"/>
      <c r="S815" s="18"/>
      <c r="T815" s="18"/>
      <c r="U815" s="18"/>
      <c r="V815" s="18"/>
      <c r="W815" s="18"/>
      <c r="X815" s="18"/>
      <c r="Y815" s="18"/>
      <c r="Z815" s="18"/>
    </row>
    <row r="816">
      <c r="A816" s="18"/>
      <c r="B816" s="80"/>
      <c r="C816" s="18"/>
      <c r="D816" s="80"/>
      <c r="E816" s="80"/>
      <c r="F816" s="134"/>
      <c r="G816" s="18"/>
      <c r="H816" s="18"/>
      <c r="I816" s="18"/>
      <c r="J816" s="18"/>
      <c r="K816" s="18"/>
      <c r="L816" s="18"/>
      <c r="M816" s="18"/>
      <c r="N816" s="18"/>
      <c r="O816" s="18"/>
      <c r="P816" s="18"/>
      <c r="Q816" s="18"/>
      <c r="R816" s="18"/>
      <c r="S816" s="18"/>
      <c r="T816" s="18"/>
      <c r="U816" s="18"/>
      <c r="V816" s="18"/>
      <c r="W816" s="18"/>
      <c r="X816" s="18"/>
      <c r="Y816" s="18"/>
      <c r="Z816" s="18"/>
    </row>
    <row r="817">
      <c r="A817" s="18"/>
      <c r="B817" s="80"/>
      <c r="C817" s="18"/>
      <c r="D817" s="80"/>
      <c r="E817" s="80"/>
      <c r="F817" s="134"/>
      <c r="G817" s="18"/>
      <c r="H817" s="18"/>
      <c r="I817" s="18"/>
      <c r="J817" s="18"/>
      <c r="K817" s="18"/>
      <c r="L817" s="18"/>
      <c r="M817" s="18"/>
      <c r="N817" s="18"/>
      <c r="O817" s="18"/>
      <c r="P817" s="18"/>
      <c r="Q817" s="18"/>
      <c r="R817" s="18"/>
      <c r="S817" s="18"/>
      <c r="T817" s="18"/>
      <c r="U817" s="18"/>
      <c r="V817" s="18"/>
      <c r="W817" s="18"/>
      <c r="X817" s="18"/>
      <c r="Y817" s="18"/>
      <c r="Z817" s="18"/>
    </row>
    <row r="818">
      <c r="A818" s="18"/>
      <c r="B818" s="80"/>
      <c r="C818" s="18"/>
      <c r="D818" s="80"/>
      <c r="E818" s="80"/>
      <c r="F818" s="134"/>
      <c r="G818" s="18"/>
      <c r="H818" s="18"/>
      <c r="I818" s="18"/>
      <c r="J818" s="18"/>
      <c r="K818" s="18"/>
      <c r="L818" s="18"/>
      <c r="M818" s="18"/>
      <c r="N818" s="18"/>
      <c r="O818" s="18"/>
      <c r="P818" s="18"/>
      <c r="Q818" s="18"/>
      <c r="R818" s="18"/>
      <c r="S818" s="18"/>
      <c r="T818" s="18"/>
      <c r="U818" s="18"/>
      <c r="V818" s="18"/>
      <c r="W818" s="18"/>
      <c r="X818" s="18"/>
      <c r="Y818" s="18"/>
      <c r="Z818" s="18"/>
    </row>
    <row r="819">
      <c r="A819" s="18"/>
      <c r="B819" s="80"/>
      <c r="C819" s="18"/>
      <c r="D819" s="80"/>
      <c r="E819" s="80"/>
      <c r="F819" s="134"/>
      <c r="G819" s="18"/>
      <c r="H819" s="18"/>
      <c r="I819" s="18"/>
      <c r="J819" s="18"/>
      <c r="K819" s="18"/>
      <c r="L819" s="18"/>
      <c r="M819" s="18"/>
      <c r="N819" s="18"/>
      <c r="O819" s="18"/>
      <c r="P819" s="18"/>
      <c r="Q819" s="18"/>
      <c r="R819" s="18"/>
      <c r="S819" s="18"/>
      <c r="T819" s="18"/>
      <c r="U819" s="18"/>
      <c r="V819" s="18"/>
      <c r="W819" s="18"/>
      <c r="X819" s="18"/>
      <c r="Y819" s="18"/>
      <c r="Z819" s="18"/>
    </row>
    <row r="820">
      <c r="A820" s="18"/>
      <c r="B820" s="80"/>
      <c r="C820" s="18"/>
      <c r="D820" s="80"/>
      <c r="E820" s="80"/>
      <c r="F820" s="134"/>
      <c r="G820" s="18"/>
      <c r="H820" s="18"/>
      <c r="I820" s="18"/>
      <c r="J820" s="18"/>
      <c r="K820" s="18"/>
      <c r="L820" s="18"/>
      <c r="M820" s="18"/>
      <c r="N820" s="18"/>
      <c r="O820" s="18"/>
      <c r="P820" s="18"/>
      <c r="Q820" s="18"/>
      <c r="R820" s="18"/>
      <c r="S820" s="18"/>
      <c r="T820" s="18"/>
      <c r="U820" s="18"/>
      <c r="V820" s="18"/>
      <c r="W820" s="18"/>
      <c r="X820" s="18"/>
      <c r="Y820" s="18"/>
      <c r="Z820" s="18"/>
    </row>
    <row r="821">
      <c r="A821" s="18"/>
      <c r="B821" s="80"/>
      <c r="C821" s="18"/>
      <c r="D821" s="80"/>
      <c r="E821" s="80"/>
      <c r="F821" s="134"/>
      <c r="G821" s="18"/>
      <c r="H821" s="18"/>
      <c r="I821" s="18"/>
      <c r="J821" s="18"/>
      <c r="K821" s="18"/>
      <c r="L821" s="18"/>
      <c r="M821" s="18"/>
      <c r="N821" s="18"/>
      <c r="O821" s="18"/>
      <c r="P821" s="18"/>
      <c r="Q821" s="18"/>
      <c r="R821" s="18"/>
      <c r="S821" s="18"/>
      <c r="T821" s="18"/>
      <c r="U821" s="18"/>
      <c r="V821" s="18"/>
      <c r="W821" s="18"/>
      <c r="X821" s="18"/>
      <c r="Y821" s="18"/>
      <c r="Z821" s="18"/>
    </row>
    <row r="822">
      <c r="A822" s="18"/>
      <c r="B822" s="80"/>
      <c r="C822" s="18"/>
      <c r="D822" s="80"/>
      <c r="E822" s="80"/>
      <c r="F822" s="134"/>
      <c r="G822" s="18"/>
      <c r="H822" s="18"/>
      <c r="I822" s="18"/>
      <c r="J822" s="18"/>
      <c r="K822" s="18"/>
      <c r="L822" s="18"/>
      <c r="M822" s="18"/>
      <c r="N822" s="18"/>
      <c r="O822" s="18"/>
      <c r="P822" s="18"/>
      <c r="Q822" s="18"/>
      <c r="R822" s="18"/>
      <c r="S822" s="18"/>
      <c r="T822" s="18"/>
      <c r="U822" s="18"/>
      <c r="V822" s="18"/>
      <c r="W822" s="18"/>
      <c r="X822" s="18"/>
      <c r="Y822" s="18"/>
      <c r="Z822" s="18"/>
    </row>
    <row r="823">
      <c r="A823" s="18"/>
      <c r="B823" s="80"/>
      <c r="C823" s="18"/>
      <c r="D823" s="80"/>
      <c r="E823" s="80"/>
      <c r="F823" s="134"/>
      <c r="G823" s="18"/>
      <c r="H823" s="18"/>
      <c r="I823" s="18"/>
      <c r="J823" s="18"/>
      <c r="K823" s="18"/>
      <c r="L823" s="18"/>
      <c r="M823" s="18"/>
      <c r="N823" s="18"/>
      <c r="O823" s="18"/>
      <c r="P823" s="18"/>
      <c r="Q823" s="18"/>
      <c r="R823" s="18"/>
      <c r="S823" s="18"/>
      <c r="T823" s="18"/>
      <c r="U823" s="18"/>
      <c r="V823" s="18"/>
      <c r="W823" s="18"/>
      <c r="X823" s="18"/>
      <c r="Y823" s="18"/>
      <c r="Z823" s="18"/>
    </row>
    <row r="824">
      <c r="A824" s="18"/>
      <c r="B824" s="80"/>
      <c r="C824" s="18"/>
      <c r="D824" s="80"/>
      <c r="E824" s="80"/>
      <c r="F824" s="134"/>
      <c r="G824" s="18"/>
      <c r="H824" s="18"/>
      <c r="I824" s="18"/>
      <c r="J824" s="18"/>
      <c r="K824" s="18"/>
      <c r="L824" s="18"/>
      <c r="M824" s="18"/>
      <c r="N824" s="18"/>
      <c r="O824" s="18"/>
      <c r="P824" s="18"/>
      <c r="Q824" s="18"/>
      <c r="R824" s="18"/>
      <c r="S824" s="18"/>
      <c r="T824" s="18"/>
      <c r="U824" s="18"/>
      <c r="V824" s="18"/>
      <c r="W824" s="18"/>
      <c r="X824" s="18"/>
      <c r="Y824" s="18"/>
      <c r="Z824" s="18"/>
    </row>
    <row r="825">
      <c r="A825" s="18"/>
      <c r="B825" s="80"/>
      <c r="C825" s="18"/>
      <c r="D825" s="80"/>
      <c r="E825" s="80"/>
      <c r="F825" s="134"/>
      <c r="G825" s="18"/>
      <c r="H825" s="18"/>
      <c r="I825" s="18"/>
      <c r="J825" s="18"/>
      <c r="K825" s="18"/>
      <c r="L825" s="18"/>
      <c r="M825" s="18"/>
      <c r="N825" s="18"/>
      <c r="O825" s="18"/>
      <c r="P825" s="18"/>
      <c r="Q825" s="18"/>
      <c r="R825" s="18"/>
      <c r="S825" s="18"/>
      <c r="T825" s="18"/>
      <c r="U825" s="18"/>
      <c r="V825" s="18"/>
      <c r="W825" s="18"/>
      <c r="X825" s="18"/>
      <c r="Y825" s="18"/>
      <c r="Z825" s="18"/>
    </row>
    <row r="826">
      <c r="A826" s="18"/>
      <c r="B826" s="80"/>
      <c r="C826" s="18"/>
      <c r="D826" s="80"/>
      <c r="E826" s="80"/>
      <c r="F826" s="134"/>
      <c r="G826" s="18"/>
      <c r="H826" s="18"/>
      <c r="I826" s="18"/>
      <c r="J826" s="18"/>
      <c r="K826" s="18"/>
      <c r="L826" s="18"/>
      <c r="M826" s="18"/>
      <c r="N826" s="18"/>
      <c r="O826" s="18"/>
      <c r="P826" s="18"/>
      <c r="Q826" s="18"/>
      <c r="R826" s="18"/>
      <c r="S826" s="18"/>
      <c r="T826" s="18"/>
      <c r="U826" s="18"/>
      <c r="V826" s="18"/>
      <c r="W826" s="18"/>
      <c r="X826" s="18"/>
      <c r="Y826" s="18"/>
      <c r="Z826" s="18"/>
    </row>
    <row r="827">
      <c r="A827" s="18"/>
      <c r="B827" s="80"/>
      <c r="C827" s="18"/>
      <c r="D827" s="80"/>
      <c r="E827" s="80"/>
      <c r="F827" s="134"/>
      <c r="G827" s="18"/>
      <c r="H827" s="18"/>
      <c r="I827" s="18"/>
      <c r="J827" s="18"/>
      <c r="K827" s="18"/>
      <c r="L827" s="18"/>
      <c r="M827" s="18"/>
      <c r="N827" s="18"/>
      <c r="O827" s="18"/>
      <c r="P827" s="18"/>
      <c r="Q827" s="18"/>
      <c r="R827" s="18"/>
      <c r="S827" s="18"/>
      <c r="T827" s="18"/>
      <c r="U827" s="18"/>
      <c r="V827" s="18"/>
      <c r="W827" s="18"/>
      <c r="X827" s="18"/>
      <c r="Y827" s="18"/>
      <c r="Z827" s="18"/>
    </row>
    <row r="828">
      <c r="A828" s="18"/>
      <c r="B828" s="80"/>
      <c r="C828" s="18"/>
      <c r="D828" s="80"/>
      <c r="E828" s="80"/>
      <c r="F828" s="134"/>
      <c r="G828" s="18"/>
      <c r="H828" s="18"/>
      <c r="I828" s="18"/>
      <c r="J828" s="18"/>
      <c r="K828" s="18"/>
      <c r="L828" s="18"/>
      <c r="M828" s="18"/>
      <c r="N828" s="18"/>
      <c r="O828" s="18"/>
      <c r="P828" s="18"/>
      <c r="Q828" s="18"/>
      <c r="R828" s="18"/>
      <c r="S828" s="18"/>
      <c r="T828" s="18"/>
      <c r="U828" s="18"/>
      <c r="V828" s="18"/>
      <c r="W828" s="18"/>
      <c r="X828" s="18"/>
      <c r="Y828" s="18"/>
      <c r="Z828" s="18"/>
    </row>
    <row r="829">
      <c r="A829" s="18"/>
      <c r="B829" s="80"/>
      <c r="C829" s="18"/>
      <c r="D829" s="80"/>
      <c r="E829" s="80"/>
      <c r="F829" s="134"/>
      <c r="G829" s="18"/>
      <c r="H829" s="18"/>
      <c r="I829" s="18"/>
      <c r="J829" s="18"/>
      <c r="K829" s="18"/>
      <c r="L829" s="18"/>
      <c r="M829" s="18"/>
      <c r="N829" s="18"/>
      <c r="O829" s="18"/>
      <c r="P829" s="18"/>
      <c r="Q829" s="18"/>
      <c r="R829" s="18"/>
      <c r="S829" s="18"/>
      <c r="T829" s="18"/>
      <c r="U829" s="18"/>
      <c r="V829" s="18"/>
      <c r="W829" s="18"/>
      <c r="X829" s="18"/>
      <c r="Y829" s="18"/>
      <c r="Z829" s="18"/>
    </row>
    <row r="830">
      <c r="A830" s="18"/>
      <c r="B830" s="80"/>
      <c r="C830" s="18"/>
      <c r="D830" s="80"/>
      <c r="E830" s="80"/>
      <c r="F830" s="134"/>
      <c r="G830" s="18"/>
      <c r="H830" s="18"/>
      <c r="I830" s="18"/>
      <c r="J830" s="18"/>
      <c r="K830" s="18"/>
      <c r="L830" s="18"/>
      <c r="M830" s="18"/>
      <c r="N830" s="18"/>
      <c r="O830" s="18"/>
      <c r="P830" s="18"/>
      <c r="Q830" s="18"/>
      <c r="R830" s="18"/>
      <c r="S830" s="18"/>
      <c r="T830" s="18"/>
      <c r="U830" s="18"/>
      <c r="V830" s="18"/>
      <c r="W830" s="18"/>
      <c r="X830" s="18"/>
      <c r="Y830" s="18"/>
      <c r="Z830" s="18"/>
    </row>
    <row r="831">
      <c r="A831" s="18"/>
      <c r="B831" s="80"/>
      <c r="C831" s="18"/>
      <c r="D831" s="80"/>
      <c r="E831" s="80"/>
      <c r="F831" s="134"/>
      <c r="G831" s="18"/>
      <c r="H831" s="18"/>
      <c r="I831" s="18"/>
      <c r="J831" s="18"/>
      <c r="K831" s="18"/>
      <c r="L831" s="18"/>
      <c r="M831" s="18"/>
      <c r="N831" s="18"/>
      <c r="O831" s="18"/>
      <c r="P831" s="18"/>
      <c r="Q831" s="18"/>
      <c r="R831" s="18"/>
      <c r="S831" s="18"/>
      <c r="T831" s="18"/>
      <c r="U831" s="18"/>
      <c r="V831" s="18"/>
      <c r="W831" s="18"/>
      <c r="X831" s="18"/>
      <c r="Y831" s="18"/>
      <c r="Z831" s="18"/>
    </row>
    <row r="832">
      <c r="A832" s="18"/>
      <c r="B832" s="80"/>
      <c r="C832" s="18"/>
      <c r="D832" s="80"/>
      <c r="E832" s="80"/>
      <c r="F832" s="134"/>
      <c r="G832" s="18"/>
      <c r="H832" s="18"/>
      <c r="I832" s="18"/>
      <c r="J832" s="18"/>
      <c r="K832" s="18"/>
      <c r="L832" s="18"/>
      <c r="M832" s="18"/>
      <c r="N832" s="18"/>
      <c r="O832" s="18"/>
      <c r="P832" s="18"/>
      <c r="Q832" s="18"/>
      <c r="R832" s="18"/>
      <c r="S832" s="18"/>
      <c r="T832" s="18"/>
      <c r="U832" s="18"/>
      <c r="V832" s="18"/>
      <c r="W832" s="18"/>
      <c r="X832" s="18"/>
      <c r="Y832" s="18"/>
      <c r="Z832" s="18"/>
    </row>
    <row r="833">
      <c r="A833" s="18"/>
      <c r="B833" s="80"/>
      <c r="C833" s="18"/>
      <c r="D833" s="80"/>
      <c r="E833" s="80"/>
      <c r="F833" s="134"/>
      <c r="G833" s="18"/>
      <c r="H833" s="18"/>
      <c r="I833" s="18"/>
      <c r="J833" s="18"/>
      <c r="K833" s="18"/>
      <c r="L833" s="18"/>
      <c r="M833" s="18"/>
      <c r="N833" s="18"/>
      <c r="O833" s="18"/>
      <c r="P833" s="18"/>
      <c r="Q833" s="18"/>
      <c r="R833" s="18"/>
      <c r="S833" s="18"/>
      <c r="T833" s="18"/>
      <c r="U833" s="18"/>
      <c r="V833" s="18"/>
      <c r="W833" s="18"/>
      <c r="X833" s="18"/>
      <c r="Y833" s="18"/>
      <c r="Z833" s="18"/>
    </row>
    <row r="834">
      <c r="A834" s="18"/>
      <c r="B834" s="80"/>
      <c r="C834" s="18"/>
      <c r="D834" s="80"/>
      <c r="E834" s="80"/>
      <c r="F834" s="134"/>
      <c r="G834" s="18"/>
      <c r="H834" s="18"/>
      <c r="I834" s="18"/>
      <c r="J834" s="18"/>
      <c r="K834" s="18"/>
      <c r="L834" s="18"/>
      <c r="M834" s="18"/>
      <c r="N834" s="18"/>
      <c r="O834" s="18"/>
      <c r="P834" s="18"/>
      <c r="Q834" s="18"/>
      <c r="R834" s="18"/>
      <c r="S834" s="18"/>
      <c r="T834" s="18"/>
      <c r="U834" s="18"/>
      <c r="V834" s="18"/>
      <c r="W834" s="18"/>
      <c r="X834" s="18"/>
      <c r="Y834" s="18"/>
      <c r="Z834" s="18"/>
    </row>
    <row r="835">
      <c r="A835" s="18"/>
      <c r="B835" s="80"/>
      <c r="C835" s="18"/>
      <c r="D835" s="80"/>
      <c r="E835" s="80"/>
      <c r="F835" s="134"/>
      <c r="G835" s="18"/>
      <c r="H835" s="18"/>
      <c r="I835" s="18"/>
      <c r="J835" s="18"/>
      <c r="K835" s="18"/>
      <c r="L835" s="18"/>
      <c r="M835" s="18"/>
      <c r="N835" s="18"/>
      <c r="O835" s="18"/>
      <c r="P835" s="18"/>
      <c r="Q835" s="18"/>
      <c r="R835" s="18"/>
      <c r="S835" s="18"/>
      <c r="T835" s="18"/>
      <c r="U835" s="18"/>
      <c r="V835" s="18"/>
      <c r="W835" s="18"/>
      <c r="X835" s="18"/>
      <c r="Y835" s="18"/>
      <c r="Z835" s="18"/>
    </row>
    <row r="836">
      <c r="A836" s="18"/>
      <c r="B836" s="80"/>
      <c r="C836" s="18"/>
      <c r="D836" s="80"/>
      <c r="E836" s="80"/>
      <c r="F836" s="134"/>
      <c r="G836" s="18"/>
      <c r="H836" s="18"/>
      <c r="I836" s="18"/>
      <c r="J836" s="18"/>
      <c r="K836" s="18"/>
      <c r="L836" s="18"/>
      <c r="M836" s="18"/>
      <c r="N836" s="18"/>
      <c r="O836" s="18"/>
      <c r="P836" s="18"/>
      <c r="Q836" s="18"/>
      <c r="R836" s="18"/>
      <c r="S836" s="18"/>
      <c r="T836" s="18"/>
      <c r="U836" s="18"/>
      <c r="V836" s="18"/>
      <c r="W836" s="18"/>
      <c r="X836" s="18"/>
      <c r="Y836" s="18"/>
      <c r="Z836" s="18"/>
    </row>
    <row r="837">
      <c r="A837" s="18"/>
      <c r="B837" s="80"/>
      <c r="C837" s="18"/>
      <c r="D837" s="80"/>
      <c r="E837" s="80"/>
      <c r="F837" s="134"/>
      <c r="G837" s="18"/>
      <c r="H837" s="18"/>
      <c r="I837" s="18"/>
      <c r="J837" s="18"/>
      <c r="K837" s="18"/>
      <c r="L837" s="18"/>
      <c r="M837" s="18"/>
      <c r="N837" s="18"/>
      <c r="O837" s="18"/>
      <c r="P837" s="18"/>
      <c r="Q837" s="18"/>
      <c r="R837" s="18"/>
      <c r="S837" s="18"/>
      <c r="T837" s="18"/>
      <c r="U837" s="18"/>
      <c r="V837" s="18"/>
      <c r="W837" s="18"/>
      <c r="X837" s="18"/>
      <c r="Y837" s="18"/>
      <c r="Z837" s="18"/>
    </row>
    <row r="838">
      <c r="A838" s="18"/>
      <c r="B838" s="80"/>
      <c r="C838" s="18"/>
      <c r="D838" s="80"/>
      <c r="E838" s="80"/>
      <c r="F838" s="134"/>
      <c r="G838" s="18"/>
      <c r="H838" s="18"/>
      <c r="I838" s="18"/>
      <c r="J838" s="18"/>
      <c r="K838" s="18"/>
      <c r="L838" s="18"/>
      <c r="M838" s="18"/>
      <c r="N838" s="18"/>
      <c r="O838" s="18"/>
      <c r="P838" s="18"/>
      <c r="Q838" s="18"/>
      <c r="R838" s="18"/>
      <c r="S838" s="18"/>
      <c r="T838" s="18"/>
      <c r="U838" s="18"/>
      <c r="V838" s="18"/>
      <c r="W838" s="18"/>
      <c r="X838" s="18"/>
      <c r="Y838" s="18"/>
      <c r="Z838" s="18"/>
    </row>
    <row r="839">
      <c r="A839" s="18"/>
      <c r="B839" s="80"/>
      <c r="C839" s="18"/>
      <c r="D839" s="80"/>
      <c r="E839" s="80"/>
      <c r="F839" s="134"/>
      <c r="G839" s="18"/>
      <c r="H839" s="18"/>
      <c r="I839" s="18"/>
      <c r="J839" s="18"/>
      <c r="K839" s="18"/>
      <c r="L839" s="18"/>
      <c r="M839" s="18"/>
      <c r="N839" s="18"/>
      <c r="O839" s="18"/>
      <c r="P839" s="18"/>
      <c r="Q839" s="18"/>
      <c r="R839" s="18"/>
      <c r="S839" s="18"/>
      <c r="T839" s="18"/>
      <c r="U839" s="18"/>
      <c r="V839" s="18"/>
      <c r="W839" s="18"/>
      <c r="X839" s="18"/>
      <c r="Y839" s="18"/>
      <c r="Z839" s="18"/>
    </row>
    <row r="840">
      <c r="A840" s="18"/>
      <c r="B840" s="80"/>
      <c r="C840" s="18"/>
      <c r="D840" s="80"/>
      <c r="E840" s="80"/>
      <c r="F840" s="134"/>
      <c r="G840" s="18"/>
      <c r="H840" s="18"/>
      <c r="I840" s="18"/>
      <c r="J840" s="18"/>
      <c r="K840" s="18"/>
      <c r="L840" s="18"/>
      <c r="M840" s="18"/>
      <c r="N840" s="18"/>
      <c r="O840" s="18"/>
      <c r="P840" s="18"/>
      <c r="Q840" s="18"/>
      <c r="R840" s="18"/>
      <c r="S840" s="18"/>
      <c r="T840" s="18"/>
      <c r="U840" s="18"/>
      <c r="V840" s="18"/>
      <c r="W840" s="18"/>
      <c r="X840" s="18"/>
      <c r="Y840" s="18"/>
      <c r="Z840" s="18"/>
    </row>
    <row r="841">
      <c r="A841" s="18"/>
      <c r="B841" s="80"/>
      <c r="C841" s="18"/>
      <c r="D841" s="80"/>
      <c r="E841" s="80"/>
      <c r="F841" s="134"/>
      <c r="G841" s="18"/>
      <c r="H841" s="18"/>
      <c r="I841" s="18"/>
      <c r="J841" s="18"/>
      <c r="K841" s="18"/>
      <c r="L841" s="18"/>
      <c r="M841" s="18"/>
      <c r="N841" s="18"/>
      <c r="O841" s="18"/>
      <c r="P841" s="18"/>
      <c r="Q841" s="18"/>
      <c r="R841" s="18"/>
      <c r="S841" s="18"/>
      <c r="T841" s="18"/>
      <c r="U841" s="18"/>
      <c r="V841" s="18"/>
      <c r="W841" s="18"/>
      <c r="X841" s="18"/>
      <c r="Y841" s="18"/>
      <c r="Z841" s="18"/>
    </row>
    <row r="842">
      <c r="A842" s="18"/>
      <c r="B842" s="80"/>
      <c r="C842" s="18"/>
      <c r="D842" s="80"/>
      <c r="E842" s="80"/>
      <c r="F842" s="134"/>
      <c r="G842" s="18"/>
      <c r="H842" s="18"/>
      <c r="I842" s="18"/>
      <c r="J842" s="18"/>
      <c r="K842" s="18"/>
      <c r="L842" s="18"/>
      <c r="M842" s="18"/>
      <c r="N842" s="18"/>
      <c r="O842" s="18"/>
      <c r="P842" s="18"/>
      <c r="Q842" s="18"/>
      <c r="R842" s="18"/>
      <c r="S842" s="18"/>
      <c r="T842" s="18"/>
      <c r="U842" s="18"/>
      <c r="V842" s="18"/>
      <c r="W842" s="18"/>
      <c r="X842" s="18"/>
      <c r="Y842" s="18"/>
      <c r="Z842" s="18"/>
    </row>
    <row r="843">
      <c r="A843" s="18"/>
      <c r="B843" s="80"/>
      <c r="C843" s="18"/>
      <c r="D843" s="80"/>
      <c r="E843" s="80"/>
      <c r="F843" s="134"/>
      <c r="G843" s="18"/>
      <c r="H843" s="18"/>
      <c r="I843" s="18"/>
      <c r="J843" s="18"/>
      <c r="K843" s="18"/>
      <c r="L843" s="18"/>
      <c r="M843" s="18"/>
      <c r="N843" s="18"/>
      <c r="O843" s="18"/>
      <c r="P843" s="18"/>
      <c r="Q843" s="18"/>
      <c r="R843" s="18"/>
      <c r="S843" s="18"/>
      <c r="T843" s="18"/>
      <c r="U843" s="18"/>
      <c r="V843" s="18"/>
      <c r="W843" s="18"/>
      <c r="X843" s="18"/>
      <c r="Y843" s="18"/>
      <c r="Z843" s="18"/>
    </row>
    <row r="844">
      <c r="A844" s="18"/>
      <c r="B844" s="80"/>
      <c r="C844" s="18"/>
      <c r="D844" s="80"/>
      <c r="E844" s="80"/>
      <c r="F844" s="134"/>
      <c r="G844" s="18"/>
      <c r="H844" s="18"/>
      <c r="I844" s="18"/>
      <c r="J844" s="18"/>
      <c r="K844" s="18"/>
      <c r="L844" s="18"/>
      <c r="M844" s="18"/>
      <c r="N844" s="18"/>
      <c r="O844" s="18"/>
      <c r="P844" s="18"/>
      <c r="Q844" s="18"/>
      <c r="R844" s="18"/>
      <c r="S844" s="18"/>
      <c r="T844" s="18"/>
      <c r="U844" s="18"/>
      <c r="V844" s="18"/>
      <c r="W844" s="18"/>
      <c r="X844" s="18"/>
      <c r="Y844" s="18"/>
      <c r="Z844" s="18"/>
    </row>
    <row r="845">
      <c r="A845" s="18"/>
      <c r="B845" s="80"/>
      <c r="C845" s="18"/>
      <c r="D845" s="80"/>
      <c r="E845" s="80"/>
      <c r="F845" s="134"/>
      <c r="G845" s="18"/>
      <c r="H845" s="18"/>
      <c r="I845" s="18"/>
      <c r="J845" s="18"/>
      <c r="K845" s="18"/>
      <c r="L845" s="18"/>
      <c r="M845" s="18"/>
      <c r="N845" s="18"/>
      <c r="O845" s="18"/>
      <c r="P845" s="18"/>
      <c r="Q845" s="18"/>
      <c r="R845" s="18"/>
      <c r="S845" s="18"/>
      <c r="T845" s="18"/>
      <c r="U845" s="18"/>
      <c r="V845" s="18"/>
      <c r="W845" s="18"/>
      <c r="X845" s="18"/>
      <c r="Y845" s="18"/>
      <c r="Z845" s="18"/>
    </row>
    <row r="846">
      <c r="A846" s="18"/>
      <c r="B846" s="80"/>
      <c r="C846" s="18"/>
      <c r="D846" s="80"/>
      <c r="E846" s="80"/>
      <c r="F846" s="134"/>
      <c r="G846" s="18"/>
      <c r="H846" s="18"/>
      <c r="I846" s="18"/>
      <c r="J846" s="18"/>
      <c r="K846" s="18"/>
      <c r="L846" s="18"/>
      <c r="M846" s="18"/>
      <c r="N846" s="18"/>
      <c r="O846" s="18"/>
      <c r="P846" s="18"/>
      <c r="Q846" s="18"/>
      <c r="R846" s="18"/>
      <c r="S846" s="18"/>
      <c r="T846" s="18"/>
      <c r="U846" s="18"/>
      <c r="V846" s="18"/>
      <c r="W846" s="18"/>
      <c r="X846" s="18"/>
      <c r="Y846" s="18"/>
      <c r="Z846" s="18"/>
    </row>
    <row r="847">
      <c r="A847" s="18"/>
      <c r="B847" s="80"/>
      <c r="C847" s="18"/>
      <c r="D847" s="80"/>
      <c r="E847" s="80"/>
      <c r="F847" s="134"/>
      <c r="G847" s="18"/>
      <c r="H847" s="18"/>
      <c r="I847" s="18"/>
      <c r="J847" s="18"/>
      <c r="K847" s="18"/>
      <c r="L847" s="18"/>
      <c r="M847" s="18"/>
      <c r="N847" s="18"/>
      <c r="O847" s="18"/>
      <c r="P847" s="18"/>
      <c r="Q847" s="18"/>
      <c r="R847" s="18"/>
      <c r="S847" s="18"/>
      <c r="T847" s="18"/>
      <c r="U847" s="18"/>
      <c r="V847" s="18"/>
      <c r="W847" s="18"/>
      <c r="X847" s="18"/>
      <c r="Y847" s="18"/>
      <c r="Z847" s="18"/>
    </row>
    <row r="848">
      <c r="A848" s="18"/>
      <c r="B848" s="80"/>
      <c r="C848" s="18"/>
      <c r="D848" s="80"/>
      <c r="E848" s="80"/>
      <c r="F848" s="134"/>
      <c r="G848" s="18"/>
      <c r="H848" s="18"/>
      <c r="I848" s="18"/>
      <c r="J848" s="18"/>
      <c r="K848" s="18"/>
      <c r="L848" s="18"/>
      <c r="M848" s="18"/>
      <c r="N848" s="18"/>
      <c r="O848" s="18"/>
      <c r="P848" s="18"/>
      <c r="Q848" s="18"/>
      <c r="R848" s="18"/>
      <c r="S848" s="18"/>
      <c r="T848" s="18"/>
      <c r="U848" s="18"/>
      <c r="V848" s="18"/>
      <c r="W848" s="18"/>
      <c r="X848" s="18"/>
      <c r="Y848" s="18"/>
      <c r="Z848" s="18"/>
    </row>
    <row r="849">
      <c r="A849" s="18"/>
      <c r="B849" s="80"/>
      <c r="C849" s="18"/>
      <c r="D849" s="80"/>
      <c r="E849" s="80"/>
      <c r="F849" s="134"/>
      <c r="G849" s="18"/>
      <c r="H849" s="18"/>
      <c r="I849" s="18"/>
      <c r="J849" s="18"/>
      <c r="K849" s="18"/>
      <c r="L849" s="18"/>
      <c r="M849" s="18"/>
      <c r="N849" s="18"/>
      <c r="O849" s="18"/>
      <c r="P849" s="18"/>
      <c r="Q849" s="18"/>
      <c r="R849" s="18"/>
      <c r="S849" s="18"/>
      <c r="T849" s="18"/>
      <c r="U849" s="18"/>
      <c r="V849" s="18"/>
      <c r="W849" s="18"/>
      <c r="X849" s="18"/>
      <c r="Y849" s="18"/>
      <c r="Z849" s="18"/>
    </row>
    <row r="850">
      <c r="A850" s="18"/>
      <c r="B850" s="80"/>
      <c r="C850" s="18"/>
      <c r="D850" s="80"/>
      <c r="E850" s="80"/>
      <c r="F850" s="134"/>
      <c r="G850" s="18"/>
      <c r="H850" s="18"/>
      <c r="I850" s="18"/>
      <c r="J850" s="18"/>
      <c r="K850" s="18"/>
      <c r="L850" s="18"/>
      <c r="M850" s="18"/>
      <c r="N850" s="18"/>
      <c r="O850" s="18"/>
      <c r="P850" s="18"/>
      <c r="Q850" s="18"/>
      <c r="R850" s="18"/>
      <c r="S850" s="18"/>
      <c r="T850" s="18"/>
      <c r="U850" s="18"/>
      <c r="V850" s="18"/>
      <c r="W850" s="18"/>
      <c r="X850" s="18"/>
      <c r="Y850" s="18"/>
      <c r="Z850" s="18"/>
    </row>
    <row r="851">
      <c r="A851" s="18"/>
      <c r="B851" s="80"/>
      <c r="C851" s="18"/>
      <c r="D851" s="80"/>
      <c r="E851" s="80"/>
      <c r="F851" s="134"/>
      <c r="G851" s="18"/>
      <c r="H851" s="18"/>
      <c r="I851" s="18"/>
      <c r="J851" s="18"/>
      <c r="K851" s="18"/>
      <c r="L851" s="18"/>
      <c r="M851" s="18"/>
      <c r="N851" s="18"/>
      <c r="O851" s="18"/>
      <c r="P851" s="18"/>
      <c r="Q851" s="18"/>
      <c r="R851" s="18"/>
      <c r="S851" s="18"/>
      <c r="T851" s="18"/>
      <c r="U851" s="18"/>
      <c r="V851" s="18"/>
      <c r="W851" s="18"/>
      <c r="X851" s="18"/>
      <c r="Y851" s="18"/>
      <c r="Z851" s="18"/>
    </row>
    <row r="852">
      <c r="A852" s="18"/>
      <c r="B852" s="80"/>
      <c r="C852" s="18"/>
      <c r="D852" s="80"/>
      <c r="E852" s="80"/>
      <c r="F852" s="134"/>
      <c r="G852" s="18"/>
      <c r="H852" s="18"/>
      <c r="I852" s="18"/>
      <c r="J852" s="18"/>
      <c r="K852" s="18"/>
      <c r="L852" s="18"/>
      <c r="M852" s="18"/>
      <c r="N852" s="18"/>
      <c r="O852" s="18"/>
      <c r="P852" s="18"/>
      <c r="Q852" s="18"/>
      <c r="R852" s="18"/>
      <c r="S852" s="18"/>
      <c r="T852" s="18"/>
      <c r="U852" s="18"/>
      <c r="V852" s="18"/>
      <c r="W852" s="18"/>
      <c r="X852" s="18"/>
      <c r="Y852" s="18"/>
      <c r="Z852" s="18"/>
    </row>
    <row r="853">
      <c r="A853" s="18"/>
      <c r="B853" s="80"/>
      <c r="C853" s="18"/>
      <c r="D853" s="80"/>
      <c r="E853" s="80"/>
      <c r="F853" s="134"/>
      <c r="G853" s="18"/>
      <c r="H853" s="18"/>
      <c r="I853" s="18"/>
      <c r="J853" s="18"/>
      <c r="K853" s="18"/>
      <c r="L853" s="18"/>
      <c r="M853" s="18"/>
      <c r="N853" s="18"/>
      <c r="O853" s="18"/>
      <c r="P853" s="18"/>
      <c r="Q853" s="18"/>
      <c r="R853" s="18"/>
      <c r="S853" s="18"/>
      <c r="T853" s="18"/>
      <c r="U853" s="18"/>
      <c r="V853" s="18"/>
      <c r="W853" s="18"/>
      <c r="X853" s="18"/>
      <c r="Y853" s="18"/>
      <c r="Z853" s="18"/>
    </row>
    <row r="854">
      <c r="A854" s="18"/>
      <c r="B854" s="80"/>
      <c r="C854" s="18"/>
      <c r="D854" s="80"/>
      <c r="E854" s="80"/>
      <c r="F854" s="134"/>
      <c r="G854" s="18"/>
      <c r="H854" s="18"/>
      <c r="I854" s="18"/>
      <c r="J854" s="18"/>
      <c r="K854" s="18"/>
      <c r="L854" s="18"/>
      <c r="M854" s="18"/>
      <c r="N854" s="18"/>
      <c r="O854" s="18"/>
      <c r="P854" s="18"/>
      <c r="Q854" s="18"/>
      <c r="R854" s="18"/>
      <c r="S854" s="18"/>
      <c r="T854" s="18"/>
      <c r="U854" s="18"/>
      <c r="V854" s="18"/>
      <c r="W854" s="18"/>
      <c r="X854" s="18"/>
      <c r="Y854" s="18"/>
      <c r="Z854" s="18"/>
    </row>
    <row r="855">
      <c r="A855" s="18"/>
      <c r="B855" s="80"/>
      <c r="C855" s="18"/>
      <c r="D855" s="80"/>
      <c r="E855" s="80"/>
      <c r="F855" s="134"/>
      <c r="G855" s="18"/>
      <c r="H855" s="18"/>
      <c r="I855" s="18"/>
      <c r="J855" s="18"/>
      <c r="K855" s="18"/>
      <c r="L855" s="18"/>
      <c r="M855" s="18"/>
      <c r="N855" s="18"/>
      <c r="O855" s="18"/>
      <c r="P855" s="18"/>
      <c r="Q855" s="18"/>
      <c r="R855" s="18"/>
      <c r="S855" s="18"/>
      <c r="T855" s="18"/>
      <c r="U855" s="18"/>
      <c r="V855" s="18"/>
      <c r="W855" s="18"/>
      <c r="X855" s="18"/>
      <c r="Y855" s="18"/>
      <c r="Z855" s="18"/>
    </row>
    <row r="856">
      <c r="A856" s="18"/>
      <c r="B856" s="80"/>
      <c r="C856" s="18"/>
      <c r="D856" s="80"/>
      <c r="E856" s="80"/>
      <c r="F856" s="134"/>
      <c r="G856" s="18"/>
      <c r="H856" s="18"/>
      <c r="I856" s="18"/>
      <c r="J856" s="18"/>
      <c r="K856" s="18"/>
      <c r="L856" s="18"/>
      <c r="M856" s="18"/>
      <c r="N856" s="18"/>
      <c r="O856" s="18"/>
      <c r="P856" s="18"/>
      <c r="Q856" s="18"/>
      <c r="R856" s="18"/>
      <c r="S856" s="18"/>
      <c r="T856" s="18"/>
      <c r="U856" s="18"/>
      <c r="V856" s="18"/>
      <c r="W856" s="18"/>
      <c r="X856" s="18"/>
      <c r="Y856" s="18"/>
      <c r="Z856" s="18"/>
    </row>
    <row r="857">
      <c r="A857" s="18"/>
      <c r="B857" s="80"/>
      <c r="C857" s="18"/>
      <c r="D857" s="80"/>
      <c r="E857" s="80"/>
      <c r="F857" s="134"/>
      <c r="G857" s="18"/>
      <c r="H857" s="18"/>
      <c r="I857" s="18"/>
      <c r="J857" s="18"/>
      <c r="K857" s="18"/>
      <c r="L857" s="18"/>
      <c r="M857" s="18"/>
      <c r="N857" s="18"/>
      <c r="O857" s="18"/>
      <c r="P857" s="18"/>
      <c r="Q857" s="18"/>
      <c r="R857" s="18"/>
      <c r="S857" s="18"/>
      <c r="T857" s="18"/>
      <c r="U857" s="18"/>
      <c r="V857" s="18"/>
      <c r="W857" s="18"/>
      <c r="X857" s="18"/>
      <c r="Y857" s="18"/>
      <c r="Z857" s="18"/>
    </row>
    <row r="858">
      <c r="A858" s="18"/>
      <c r="B858" s="80"/>
      <c r="C858" s="18"/>
      <c r="D858" s="80"/>
      <c r="E858" s="80"/>
      <c r="F858" s="134"/>
      <c r="G858" s="18"/>
      <c r="H858" s="18"/>
      <c r="I858" s="18"/>
      <c r="J858" s="18"/>
      <c r="K858" s="18"/>
      <c r="L858" s="18"/>
      <c r="M858" s="18"/>
      <c r="N858" s="18"/>
      <c r="O858" s="18"/>
      <c r="P858" s="18"/>
      <c r="Q858" s="18"/>
      <c r="R858" s="18"/>
      <c r="S858" s="18"/>
      <c r="T858" s="18"/>
      <c r="U858" s="18"/>
      <c r="V858" s="18"/>
      <c r="W858" s="18"/>
      <c r="X858" s="18"/>
      <c r="Y858" s="18"/>
      <c r="Z858" s="18"/>
    </row>
    <row r="859">
      <c r="A859" s="18"/>
      <c r="B859" s="80"/>
      <c r="C859" s="18"/>
      <c r="D859" s="80"/>
      <c r="E859" s="80"/>
      <c r="F859" s="134"/>
      <c r="G859" s="18"/>
      <c r="H859" s="18"/>
      <c r="I859" s="18"/>
      <c r="J859" s="18"/>
      <c r="K859" s="18"/>
      <c r="L859" s="18"/>
      <c r="M859" s="18"/>
      <c r="N859" s="18"/>
      <c r="O859" s="18"/>
      <c r="P859" s="18"/>
      <c r="Q859" s="18"/>
      <c r="R859" s="18"/>
      <c r="S859" s="18"/>
      <c r="T859" s="18"/>
      <c r="U859" s="18"/>
      <c r="V859" s="18"/>
      <c r="W859" s="18"/>
      <c r="X859" s="18"/>
      <c r="Y859" s="18"/>
      <c r="Z859" s="18"/>
    </row>
    <row r="860">
      <c r="A860" s="18"/>
      <c r="B860" s="80"/>
      <c r="C860" s="18"/>
      <c r="D860" s="80"/>
      <c r="E860" s="80"/>
      <c r="F860" s="134"/>
      <c r="G860" s="18"/>
      <c r="H860" s="18"/>
      <c r="I860" s="18"/>
      <c r="J860" s="18"/>
      <c r="K860" s="18"/>
      <c r="L860" s="18"/>
      <c r="M860" s="18"/>
      <c r="N860" s="18"/>
      <c r="O860" s="18"/>
      <c r="P860" s="18"/>
      <c r="Q860" s="18"/>
      <c r="R860" s="18"/>
      <c r="S860" s="18"/>
      <c r="T860" s="18"/>
      <c r="U860" s="18"/>
      <c r="V860" s="18"/>
      <c r="W860" s="18"/>
      <c r="X860" s="18"/>
      <c r="Y860" s="18"/>
      <c r="Z860" s="18"/>
    </row>
    <row r="861">
      <c r="A861" s="18"/>
      <c r="B861" s="80"/>
      <c r="C861" s="18"/>
      <c r="D861" s="80"/>
      <c r="E861" s="80"/>
      <c r="F861" s="134"/>
      <c r="G861" s="18"/>
      <c r="H861" s="18"/>
      <c r="I861" s="18"/>
      <c r="J861" s="18"/>
      <c r="K861" s="18"/>
      <c r="L861" s="18"/>
      <c r="M861" s="18"/>
      <c r="N861" s="18"/>
      <c r="O861" s="18"/>
      <c r="P861" s="18"/>
      <c r="Q861" s="18"/>
      <c r="R861" s="18"/>
      <c r="S861" s="18"/>
      <c r="T861" s="18"/>
      <c r="U861" s="18"/>
      <c r="V861" s="18"/>
      <c r="W861" s="18"/>
      <c r="X861" s="18"/>
      <c r="Y861" s="18"/>
      <c r="Z861" s="18"/>
    </row>
    <row r="862">
      <c r="A862" s="18"/>
      <c r="B862" s="80"/>
      <c r="C862" s="18"/>
      <c r="D862" s="80"/>
      <c r="E862" s="80"/>
      <c r="F862" s="134"/>
      <c r="G862" s="18"/>
      <c r="H862" s="18"/>
      <c r="I862" s="18"/>
      <c r="J862" s="18"/>
      <c r="K862" s="18"/>
      <c r="L862" s="18"/>
      <c r="M862" s="18"/>
      <c r="N862" s="18"/>
      <c r="O862" s="18"/>
      <c r="P862" s="18"/>
      <c r="Q862" s="18"/>
      <c r="R862" s="18"/>
      <c r="S862" s="18"/>
      <c r="T862" s="18"/>
      <c r="U862" s="18"/>
      <c r="V862" s="18"/>
      <c r="W862" s="18"/>
      <c r="X862" s="18"/>
      <c r="Y862" s="18"/>
      <c r="Z862" s="18"/>
    </row>
    <row r="863">
      <c r="A863" s="18"/>
      <c r="B863" s="80"/>
      <c r="C863" s="18"/>
      <c r="D863" s="80"/>
      <c r="E863" s="80"/>
      <c r="F863" s="134"/>
      <c r="G863" s="18"/>
      <c r="H863" s="18"/>
      <c r="I863" s="18"/>
      <c r="J863" s="18"/>
      <c r="K863" s="18"/>
      <c r="L863" s="18"/>
      <c r="M863" s="18"/>
      <c r="N863" s="18"/>
      <c r="O863" s="18"/>
      <c r="P863" s="18"/>
      <c r="Q863" s="18"/>
      <c r="R863" s="18"/>
      <c r="S863" s="18"/>
      <c r="T863" s="18"/>
      <c r="U863" s="18"/>
      <c r="V863" s="18"/>
      <c r="W863" s="18"/>
      <c r="X863" s="18"/>
      <c r="Y863" s="18"/>
      <c r="Z863" s="18"/>
    </row>
    <row r="864">
      <c r="A864" s="18"/>
      <c r="B864" s="80"/>
      <c r="C864" s="18"/>
      <c r="D864" s="80"/>
      <c r="E864" s="80"/>
      <c r="F864" s="134"/>
      <c r="G864" s="18"/>
      <c r="H864" s="18"/>
      <c r="I864" s="18"/>
      <c r="J864" s="18"/>
      <c r="K864" s="18"/>
      <c r="L864" s="18"/>
      <c r="M864" s="18"/>
      <c r="N864" s="18"/>
      <c r="O864" s="18"/>
      <c r="P864" s="18"/>
      <c r="Q864" s="18"/>
      <c r="R864" s="18"/>
      <c r="S864" s="18"/>
      <c r="T864" s="18"/>
      <c r="U864" s="18"/>
      <c r="V864" s="18"/>
      <c r="W864" s="18"/>
      <c r="X864" s="18"/>
      <c r="Y864" s="18"/>
      <c r="Z864" s="18"/>
    </row>
    <row r="865">
      <c r="A865" s="18"/>
      <c r="B865" s="80"/>
      <c r="C865" s="18"/>
      <c r="D865" s="80"/>
      <c r="E865" s="80"/>
      <c r="F865" s="134"/>
      <c r="G865" s="18"/>
      <c r="H865" s="18"/>
      <c r="I865" s="18"/>
      <c r="J865" s="18"/>
      <c r="K865" s="18"/>
      <c r="L865" s="18"/>
      <c r="M865" s="18"/>
      <c r="N865" s="18"/>
      <c r="O865" s="18"/>
      <c r="P865" s="18"/>
      <c r="Q865" s="18"/>
      <c r="R865" s="18"/>
      <c r="S865" s="18"/>
      <c r="T865" s="18"/>
      <c r="U865" s="18"/>
      <c r="V865" s="18"/>
      <c r="W865" s="18"/>
      <c r="X865" s="18"/>
      <c r="Y865" s="18"/>
      <c r="Z865" s="18"/>
    </row>
    <row r="866">
      <c r="A866" s="18"/>
      <c r="B866" s="80"/>
      <c r="C866" s="18"/>
      <c r="D866" s="80"/>
      <c r="E866" s="80"/>
      <c r="F866" s="134"/>
      <c r="G866" s="18"/>
      <c r="H866" s="18"/>
      <c r="I866" s="18"/>
      <c r="J866" s="18"/>
      <c r="K866" s="18"/>
      <c r="L866" s="18"/>
      <c r="M866" s="18"/>
      <c r="N866" s="18"/>
      <c r="O866" s="18"/>
      <c r="P866" s="18"/>
      <c r="Q866" s="18"/>
      <c r="R866" s="18"/>
      <c r="S866" s="18"/>
      <c r="T866" s="18"/>
      <c r="U866" s="18"/>
      <c r="V866" s="18"/>
      <c r="W866" s="18"/>
      <c r="X866" s="18"/>
      <c r="Y866" s="18"/>
      <c r="Z866" s="18"/>
    </row>
    <row r="867">
      <c r="A867" s="18"/>
      <c r="B867" s="80"/>
      <c r="C867" s="18"/>
      <c r="D867" s="80"/>
      <c r="E867" s="80"/>
      <c r="F867" s="134"/>
      <c r="G867" s="18"/>
      <c r="H867" s="18"/>
      <c r="I867" s="18"/>
      <c r="J867" s="18"/>
      <c r="K867" s="18"/>
      <c r="L867" s="18"/>
      <c r="M867" s="18"/>
      <c r="N867" s="18"/>
      <c r="O867" s="18"/>
      <c r="P867" s="18"/>
      <c r="Q867" s="18"/>
      <c r="R867" s="18"/>
      <c r="S867" s="18"/>
      <c r="T867" s="18"/>
      <c r="U867" s="18"/>
      <c r="V867" s="18"/>
      <c r="W867" s="18"/>
      <c r="X867" s="18"/>
      <c r="Y867" s="18"/>
      <c r="Z867" s="18"/>
    </row>
    <row r="868">
      <c r="A868" s="18"/>
      <c r="B868" s="80"/>
      <c r="C868" s="18"/>
      <c r="D868" s="80"/>
      <c r="E868" s="80"/>
      <c r="F868" s="134"/>
      <c r="G868" s="18"/>
      <c r="H868" s="18"/>
      <c r="I868" s="18"/>
      <c r="J868" s="18"/>
      <c r="K868" s="18"/>
      <c r="L868" s="18"/>
      <c r="M868" s="18"/>
      <c r="N868" s="18"/>
      <c r="O868" s="18"/>
      <c r="P868" s="18"/>
      <c r="Q868" s="18"/>
      <c r="R868" s="18"/>
      <c r="S868" s="18"/>
      <c r="T868" s="18"/>
      <c r="U868" s="18"/>
      <c r="V868" s="18"/>
      <c r="W868" s="18"/>
      <c r="X868" s="18"/>
      <c r="Y868" s="18"/>
      <c r="Z868" s="18"/>
    </row>
    <row r="869">
      <c r="A869" s="18"/>
      <c r="B869" s="80"/>
      <c r="C869" s="18"/>
      <c r="D869" s="80"/>
      <c r="E869" s="80"/>
      <c r="F869" s="134"/>
      <c r="G869" s="18"/>
      <c r="H869" s="18"/>
      <c r="I869" s="18"/>
      <c r="J869" s="18"/>
      <c r="K869" s="18"/>
      <c r="L869" s="18"/>
      <c r="M869" s="18"/>
      <c r="N869" s="18"/>
      <c r="O869" s="18"/>
      <c r="P869" s="18"/>
      <c r="Q869" s="18"/>
      <c r="R869" s="18"/>
      <c r="S869" s="18"/>
      <c r="T869" s="18"/>
      <c r="U869" s="18"/>
      <c r="V869" s="18"/>
      <c r="W869" s="18"/>
      <c r="X869" s="18"/>
      <c r="Y869" s="18"/>
      <c r="Z869" s="18"/>
    </row>
    <row r="870">
      <c r="A870" s="18"/>
      <c r="B870" s="80"/>
      <c r="C870" s="18"/>
      <c r="D870" s="80"/>
      <c r="E870" s="80"/>
      <c r="F870" s="134"/>
      <c r="G870" s="18"/>
      <c r="H870" s="18"/>
      <c r="I870" s="18"/>
      <c r="J870" s="18"/>
      <c r="K870" s="18"/>
      <c r="L870" s="18"/>
      <c r="M870" s="18"/>
      <c r="N870" s="18"/>
      <c r="O870" s="18"/>
      <c r="P870" s="18"/>
      <c r="Q870" s="18"/>
      <c r="R870" s="18"/>
      <c r="S870" s="18"/>
      <c r="T870" s="18"/>
      <c r="U870" s="18"/>
      <c r="V870" s="18"/>
      <c r="W870" s="18"/>
      <c r="X870" s="18"/>
      <c r="Y870" s="18"/>
      <c r="Z870" s="18"/>
    </row>
    <row r="871">
      <c r="A871" s="18"/>
      <c r="B871" s="80"/>
      <c r="C871" s="18"/>
      <c r="D871" s="80"/>
      <c r="E871" s="80"/>
      <c r="F871" s="134"/>
      <c r="G871" s="18"/>
      <c r="H871" s="18"/>
      <c r="I871" s="18"/>
      <c r="J871" s="18"/>
      <c r="K871" s="18"/>
      <c r="L871" s="18"/>
      <c r="M871" s="18"/>
      <c r="N871" s="18"/>
      <c r="O871" s="18"/>
      <c r="P871" s="18"/>
      <c r="Q871" s="18"/>
      <c r="R871" s="18"/>
      <c r="S871" s="18"/>
      <c r="T871" s="18"/>
      <c r="U871" s="18"/>
      <c r="V871" s="18"/>
      <c r="W871" s="18"/>
      <c r="X871" s="18"/>
      <c r="Y871" s="18"/>
      <c r="Z871" s="18"/>
    </row>
    <row r="872">
      <c r="A872" s="18"/>
      <c r="B872" s="80"/>
      <c r="C872" s="18"/>
      <c r="D872" s="80"/>
      <c r="E872" s="80"/>
      <c r="F872" s="134"/>
      <c r="G872" s="18"/>
      <c r="H872" s="18"/>
      <c r="I872" s="18"/>
      <c r="J872" s="18"/>
      <c r="K872" s="18"/>
      <c r="L872" s="18"/>
      <c r="M872" s="18"/>
      <c r="N872" s="18"/>
      <c r="O872" s="18"/>
      <c r="P872" s="18"/>
      <c r="Q872" s="18"/>
      <c r="R872" s="18"/>
      <c r="S872" s="18"/>
      <c r="T872" s="18"/>
      <c r="U872" s="18"/>
      <c r="V872" s="18"/>
      <c r="W872" s="18"/>
      <c r="X872" s="18"/>
      <c r="Y872" s="18"/>
      <c r="Z872" s="18"/>
    </row>
    <row r="873">
      <c r="A873" s="18"/>
      <c r="B873" s="80"/>
      <c r="C873" s="18"/>
      <c r="D873" s="80"/>
      <c r="E873" s="80"/>
      <c r="F873" s="134"/>
      <c r="G873" s="18"/>
      <c r="H873" s="18"/>
      <c r="I873" s="18"/>
      <c r="J873" s="18"/>
      <c r="K873" s="18"/>
      <c r="L873" s="18"/>
      <c r="M873" s="18"/>
      <c r="N873" s="18"/>
      <c r="O873" s="18"/>
      <c r="P873" s="18"/>
      <c r="Q873" s="18"/>
      <c r="R873" s="18"/>
      <c r="S873" s="18"/>
      <c r="T873" s="18"/>
      <c r="U873" s="18"/>
      <c r="V873" s="18"/>
      <c r="W873" s="18"/>
      <c r="X873" s="18"/>
      <c r="Y873" s="18"/>
      <c r="Z873" s="18"/>
    </row>
    <row r="874">
      <c r="A874" s="18"/>
      <c r="B874" s="80"/>
      <c r="C874" s="18"/>
      <c r="D874" s="80"/>
      <c r="E874" s="80"/>
      <c r="F874" s="134"/>
      <c r="G874" s="18"/>
      <c r="H874" s="18"/>
      <c r="I874" s="18"/>
      <c r="J874" s="18"/>
      <c r="K874" s="18"/>
      <c r="L874" s="18"/>
      <c r="M874" s="18"/>
      <c r="N874" s="18"/>
      <c r="O874" s="18"/>
      <c r="P874" s="18"/>
      <c r="Q874" s="18"/>
      <c r="R874" s="18"/>
      <c r="S874" s="18"/>
      <c r="T874" s="18"/>
      <c r="U874" s="18"/>
      <c r="V874" s="18"/>
      <c r="W874" s="18"/>
      <c r="X874" s="18"/>
      <c r="Y874" s="18"/>
      <c r="Z874" s="18"/>
    </row>
    <row r="875">
      <c r="A875" s="18"/>
      <c r="B875" s="80"/>
      <c r="C875" s="18"/>
      <c r="D875" s="80"/>
      <c r="E875" s="80"/>
      <c r="F875" s="134"/>
      <c r="G875" s="18"/>
      <c r="H875" s="18"/>
      <c r="I875" s="18"/>
      <c r="J875" s="18"/>
      <c r="K875" s="18"/>
      <c r="L875" s="18"/>
      <c r="M875" s="18"/>
      <c r="N875" s="18"/>
      <c r="O875" s="18"/>
      <c r="P875" s="18"/>
      <c r="Q875" s="18"/>
      <c r="R875" s="18"/>
      <c r="S875" s="18"/>
      <c r="T875" s="18"/>
      <c r="U875" s="18"/>
      <c r="V875" s="18"/>
      <c r="W875" s="18"/>
      <c r="X875" s="18"/>
      <c r="Y875" s="18"/>
      <c r="Z875" s="18"/>
    </row>
    <row r="876">
      <c r="A876" s="18"/>
      <c r="B876" s="80"/>
      <c r="C876" s="18"/>
      <c r="D876" s="80"/>
      <c r="E876" s="80"/>
      <c r="F876" s="134"/>
      <c r="G876" s="18"/>
      <c r="H876" s="18"/>
      <c r="I876" s="18"/>
      <c r="J876" s="18"/>
      <c r="K876" s="18"/>
      <c r="L876" s="18"/>
      <c r="M876" s="18"/>
      <c r="N876" s="18"/>
      <c r="O876" s="18"/>
      <c r="P876" s="18"/>
      <c r="Q876" s="18"/>
      <c r="R876" s="18"/>
      <c r="S876" s="18"/>
      <c r="T876" s="18"/>
      <c r="U876" s="18"/>
      <c r="V876" s="18"/>
      <c r="W876" s="18"/>
      <c r="X876" s="18"/>
      <c r="Y876" s="18"/>
      <c r="Z876" s="18"/>
    </row>
    <row r="877">
      <c r="A877" s="18"/>
      <c r="B877" s="80"/>
      <c r="C877" s="18"/>
      <c r="D877" s="80"/>
      <c r="E877" s="80"/>
      <c r="F877" s="134"/>
      <c r="G877" s="18"/>
      <c r="H877" s="18"/>
      <c r="I877" s="18"/>
      <c r="J877" s="18"/>
      <c r="K877" s="18"/>
      <c r="L877" s="18"/>
      <c r="M877" s="18"/>
      <c r="N877" s="18"/>
      <c r="O877" s="18"/>
      <c r="P877" s="18"/>
      <c r="Q877" s="18"/>
      <c r="R877" s="18"/>
      <c r="S877" s="18"/>
      <c r="T877" s="18"/>
      <c r="U877" s="18"/>
      <c r="V877" s="18"/>
      <c r="W877" s="18"/>
      <c r="X877" s="18"/>
      <c r="Y877" s="18"/>
      <c r="Z877" s="18"/>
    </row>
    <row r="878">
      <c r="A878" s="18"/>
      <c r="B878" s="80"/>
      <c r="C878" s="18"/>
      <c r="D878" s="80"/>
      <c r="E878" s="80"/>
      <c r="F878" s="134"/>
      <c r="G878" s="18"/>
      <c r="H878" s="18"/>
      <c r="I878" s="18"/>
      <c r="J878" s="18"/>
      <c r="K878" s="18"/>
      <c r="L878" s="18"/>
      <c r="M878" s="18"/>
      <c r="N878" s="18"/>
      <c r="O878" s="18"/>
      <c r="P878" s="18"/>
      <c r="Q878" s="18"/>
      <c r="R878" s="18"/>
      <c r="S878" s="18"/>
      <c r="T878" s="18"/>
      <c r="U878" s="18"/>
      <c r="V878" s="18"/>
      <c r="W878" s="18"/>
      <c r="X878" s="18"/>
      <c r="Y878" s="18"/>
      <c r="Z878" s="18"/>
    </row>
    <row r="879">
      <c r="A879" s="18"/>
      <c r="B879" s="80"/>
      <c r="C879" s="18"/>
      <c r="D879" s="80"/>
      <c r="E879" s="80"/>
      <c r="F879" s="134"/>
      <c r="G879" s="18"/>
      <c r="H879" s="18"/>
      <c r="I879" s="18"/>
      <c r="J879" s="18"/>
      <c r="K879" s="18"/>
      <c r="L879" s="18"/>
      <c r="M879" s="18"/>
      <c r="N879" s="18"/>
      <c r="O879" s="18"/>
      <c r="P879" s="18"/>
      <c r="Q879" s="18"/>
      <c r="R879" s="18"/>
      <c r="S879" s="18"/>
      <c r="T879" s="18"/>
      <c r="U879" s="18"/>
      <c r="V879" s="18"/>
      <c r="W879" s="18"/>
      <c r="X879" s="18"/>
      <c r="Y879" s="18"/>
      <c r="Z879" s="18"/>
    </row>
    <row r="880">
      <c r="A880" s="18"/>
      <c r="B880" s="80"/>
      <c r="C880" s="18"/>
      <c r="D880" s="80"/>
      <c r="E880" s="80"/>
      <c r="F880" s="134"/>
      <c r="G880" s="18"/>
      <c r="H880" s="18"/>
      <c r="I880" s="18"/>
      <c r="J880" s="18"/>
      <c r="K880" s="18"/>
      <c r="L880" s="18"/>
      <c r="M880" s="18"/>
      <c r="N880" s="18"/>
      <c r="O880" s="18"/>
      <c r="P880" s="18"/>
      <c r="Q880" s="18"/>
      <c r="R880" s="18"/>
      <c r="S880" s="18"/>
      <c r="T880" s="18"/>
      <c r="U880" s="18"/>
      <c r="V880" s="18"/>
      <c r="W880" s="18"/>
      <c r="X880" s="18"/>
      <c r="Y880" s="18"/>
      <c r="Z880" s="18"/>
    </row>
    <row r="881">
      <c r="A881" s="18"/>
      <c r="B881" s="80"/>
      <c r="C881" s="18"/>
      <c r="D881" s="80"/>
      <c r="E881" s="80"/>
      <c r="F881" s="134"/>
      <c r="G881" s="18"/>
      <c r="H881" s="18"/>
      <c r="I881" s="18"/>
      <c r="J881" s="18"/>
      <c r="K881" s="18"/>
      <c r="L881" s="18"/>
      <c r="M881" s="18"/>
      <c r="N881" s="18"/>
      <c r="O881" s="18"/>
      <c r="P881" s="18"/>
      <c r="Q881" s="18"/>
      <c r="R881" s="18"/>
      <c r="S881" s="18"/>
      <c r="T881" s="18"/>
      <c r="U881" s="18"/>
      <c r="V881" s="18"/>
      <c r="W881" s="18"/>
      <c r="X881" s="18"/>
      <c r="Y881" s="18"/>
      <c r="Z881" s="18"/>
    </row>
    <row r="882">
      <c r="A882" s="18"/>
      <c r="B882" s="80"/>
      <c r="C882" s="18"/>
      <c r="D882" s="80"/>
      <c r="E882" s="80"/>
      <c r="F882" s="134"/>
      <c r="G882" s="18"/>
      <c r="H882" s="18"/>
      <c r="I882" s="18"/>
      <c r="J882" s="18"/>
      <c r="K882" s="18"/>
      <c r="L882" s="18"/>
      <c r="M882" s="18"/>
      <c r="N882" s="18"/>
      <c r="O882" s="18"/>
      <c r="P882" s="18"/>
      <c r="Q882" s="18"/>
      <c r="R882" s="18"/>
      <c r="S882" s="18"/>
      <c r="T882" s="18"/>
      <c r="U882" s="18"/>
      <c r="V882" s="18"/>
      <c r="W882" s="18"/>
      <c r="X882" s="18"/>
      <c r="Y882" s="18"/>
      <c r="Z882" s="18"/>
    </row>
    <row r="883">
      <c r="A883" s="18"/>
      <c r="B883" s="80"/>
      <c r="C883" s="18"/>
      <c r="D883" s="80"/>
      <c r="E883" s="80"/>
      <c r="F883" s="134"/>
      <c r="G883" s="18"/>
      <c r="H883" s="18"/>
      <c r="I883" s="18"/>
      <c r="J883" s="18"/>
      <c r="K883" s="18"/>
      <c r="L883" s="18"/>
      <c r="M883" s="18"/>
      <c r="N883" s="18"/>
      <c r="O883" s="18"/>
      <c r="P883" s="18"/>
      <c r="Q883" s="18"/>
      <c r="R883" s="18"/>
      <c r="S883" s="18"/>
      <c r="T883" s="18"/>
      <c r="U883" s="18"/>
      <c r="V883" s="18"/>
      <c r="W883" s="18"/>
      <c r="X883" s="18"/>
      <c r="Y883" s="18"/>
      <c r="Z883" s="18"/>
    </row>
    <row r="884">
      <c r="A884" s="18"/>
      <c r="B884" s="80"/>
      <c r="C884" s="18"/>
      <c r="D884" s="80"/>
      <c r="E884" s="80"/>
      <c r="F884" s="134"/>
      <c r="G884" s="18"/>
      <c r="H884" s="18"/>
      <c r="I884" s="18"/>
      <c r="J884" s="18"/>
      <c r="K884" s="18"/>
      <c r="L884" s="18"/>
      <c r="M884" s="18"/>
      <c r="N884" s="18"/>
      <c r="O884" s="18"/>
      <c r="P884" s="18"/>
      <c r="Q884" s="18"/>
      <c r="R884" s="18"/>
      <c r="S884" s="18"/>
      <c r="T884" s="18"/>
      <c r="U884" s="18"/>
      <c r="V884" s="18"/>
      <c r="W884" s="18"/>
      <c r="X884" s="18"/>
      <c r="Y884" s="18"/>
      <c r="Z884" s="18"/>
    </row>
    <row r="885">
      <c r="A885" s="18"/>
      <c r="B885" s="80"/>
      <c r="C885" s="18"/>
      <c r="D885" s="80"/>
      <c r="E885" s="80"/>
      <c r="F885" s="134"/>
      <c r="G885" s="18"/>
      <c r="H885" s="18"/>
      <c r="I885" s="18"/>
      <c r="J885" s="18"/>
      <c r="K885" s="18"/>
      <c r="L885" s="18"/>
      <c r="M885" s="18"/>
      <c r="N885" s="18"/>
      <c r="O885" s="18"/>
      <c r="P885" s="18"/>
      <c r="Q885" s="18"/>
      <c r="R885" s="18"/>
      <c r="S885" s="18"/>
      <c r="T885" s="18"/>
      <c r="U885" s="18"/>
      <c r="V885" s="18"/>
      <c r="W885" s="18"/>
      <c r="X885" s="18"/>
      <c r="Y885" s="18"/>
      <c r="Z885" s="18"/>
    </row>
    <row r="886">
      <c r="A886" s="18"/>
      <c r="B886" s="80"/>
      <c r="C886" s="18"/>
      <c r="D886" s="80"/>
      <c r="E886" s="80"/>
      <c r="F886" s="134"/>
      <c r="G886" s="18"/>
      <c r="H886" s="18"/>
      <c r="I886" s="18"/>
      <c r="J886" s="18"/>
      <c r="K886" s="18"/>
      <c r="L886" s="18"/>
      <c r="M886" s="18"/>
      <c r="N886" s="18"/>
      <c r="O886" s="18"/>
      <c r="P886" s="18"/>
      <c r="Q886" s="18"/>
      <c r="R886" s="18"/>
      <c r="S886" s="18"/>
      <c r="T886" s="18"/>
      <c r="U886" s="18"/>
      <c r="V886" s="18"/>
      <c r="W886" s="18"/>
      <c r="X886" s="18"/>
      <c r="Y886" s="18"/>
      <c r="Z886" s="18"/>
    </row>
    <row r="887">
      <c r="A887" s="18"/>
      <c r="B887" s="80"/>
      <c r="C887" s="18"/>
      <c r="D887" s="80"/>
      <c r="E887" s="80"/>
      <c r="F887" s="134"/>
      <c r="G887" s="18"/>
      <c r="H887" s="18"/>
      <c r="I887" s="18"/>
      <c r="J887" s="18"/>
      <c r="K887" s="18"/>
      <c r="L887" s="18"/>
      <c r="M887" s="18"/>
      <c r="N887" s="18"/>
      <c r="O887" s="18"/>
      <c r="P887" s="18"/>
      <c r="Q887" s="18"/>
      <c r="R887" s="18"/>
      <c r="S887" s="18"/>
      <c r="T887" s="18"/>
      <c r="U887" s="18"/>
      <c r="V887" s="18"/>
      <c r="W887" s="18"/>
      <c r="X887" s="18"/>
      <c r="Y887" s="18"/>
      <c r="Z887" s="18"/>
    </row>
    <row r="888">
      <c r="A888" s="18"/>
      <c r="B888" s="80"/>
      <c r="C888" s="18"/>
      <c r="D888" s="80"/>
      <c r="E888" s="80"/>
      <c r="F888" s="134"/>
      <c r="G888" s="18"/>
      <c r="H888" s="18"/>
      <c r="I888" s="18"/>
      <c r="J888" s="18"/>
      <c r="K888" s="18"/>
      <c r="L888" s="18"/>
      <c r="M888" s="18"/>
      <c r="N888" s="18"/>
      <c r="O888" s="18"/>
      <c r="P888" s="18"/>
      <c r="Q888" s="18"/>
      <c r="R888" s="18"/>
      <c r="S888" s="18"/>
      <c r="T888" s="18"/>
      <c r="U888" s="18"/>
      <c r="V888" s="18"/>
      <c r="W888" s="18"/>
      <c r="X888" s="18"/>
      <c r="Y888" s="18"/>
      <c r="Z888" s="18"/>
    </row>
    <row r="889">
      <c r="A889" s="18"/>
      <c r="B889" s="80"/>
      <c r="C889" s="18"/>
      <c r="D889" s="80"/>
      <c r="E889" s="80"/>
      <c r="F889" s="134"/>
      <c r="G889" s="18"/>
      <c r="H889" s="18"/>
      <c r="I889" s="18"/>
      <c r="J889" s="18"/>
      <c r="K889" s="18"/>
      <c r="L889" s="18"/>
      <c r="M889" s="18"/>
      <c r="N889" s="18"/>
      <c r="O889" s="18"/>
      <c r="P889" s="18"/>
      <c r="Q889" s="18"/>
      <c r="R889" s="18"/>
      <c r="S889" s="18"/>
      <c r="T889" s="18"/>
      <c r="U889" s="18"/>
      <c r="V889" s="18"/>
      <c r="W889" s="18"/>
      <c r="X889" s="18"/>
      <c r="Y889" s="18"/>
      <c r="Z889" s="18"/>
    </row>
    <row r="890">
      <c r="A890" s="18"/>
      <c r="B890" s="80"/>
      <c r="C890" s="18"/>
      <c r="D890" s="80"/>
      <c r="E890" s="80"/>
      <c r="F890" s="134"/>
      <c r="G890" s="18"/>
      <c r="H890" s="18"/>
      <c r="I890" s="18"/>
      <c r="J890" s="18"/>
      <c r="K890" s="18"/>
      <c r="L890" s="18"/>
      <c r="M890" s="18"/>
      <c r="N890" s="18"/>
      <c r="O890" s="18"/>
      <c r="P890" s="18"/>
      <c r="Q890" s="18"/>
      <c r="R890" s="18"/>
      <c r="S890" s="18"/>
      <c r="T890" s="18"/>
      <c r="U890" s="18"/>
      <c r="V890" s="18"/>
      <c r="W890" s="18"/>
      <c r="X890" s="18"/>
      <c r="Y890" s="18"/>
      <c r="Z890" s="18"/>
    </row>
    <row r="891">
      <c r="A891" s="18"/>
      <c r="B891" s="80"/>
      <c r="C891" s="18"/>
      <c r="D891" s="80"/>
      <c r="E891" s="80"/>
      <c r="F891" s="134"/>
      <c r="G891" s="18"/>
      <c r="H891" s="18"/>
      <c r="I891" s="18"/>
      <c r="J891" s="18"/>
      <c r="K891" s="18"/>
      <c r="L891" s="18"/>
      <c r="M891" s="18"/>
      <c r="N891" s="18"/>
      <c r="O891" s="18"/>
      <c r="P891" s="18"/>
      <c r="Q891" s="18"/>
      <c r="R891" s="18"/>
      <c r="S891" s="18"/>
      <c r="T891" s="18"/>
      <c r="U891" s="18"/>
      <c r="V891" s="18"/>
      <c r="W891" s="18"/>
      <c r="X891" s="18"/>
      <c r="Y891" s="18"/>
      <c r="Z891" s="18"/>
    </row>
    <row r="892">
      <c r="A892" s="18"/>
      <c r="B892" s="80"/>
      <c r="C892" s="18"/>
      <c r="D892" s="80"/>
      <c r="E892" s="80"/>
      <c r="F892" s="134"/>
      <c r="G892" s="18"/>
      <c r="H892" s="18"/>
      <c r="I892" s="18"/>
      <c r="J892" s="18"/>
      <c r="K892" s="18"/>
      <c r="L892" s="18"/>
      <c r="M892" s="18"/>
      <c r="N892" s="18"/>
      <c r="O892" s="18"/>
      <c r="P892" s="18"/>
      <c r="Q892" s="18"/>
      <c r="R892" s="18"/>
      <c r="S892" s="18"/>
      <c r="T892" s="18"/>
      <c r="U892" s="18"/>
      <c r="V892" s="18"/>
      <c r="W892" s="18"/>
      <c r="X892" s="18"/>
      <c r="Y892" s="18"/>
      <c r="Z892" s="18"/>
    </row>
    <row r="893">
      <c r="A893" s="18"/>
      <c r="B893" s="80"/>
      <c r="C893" s="18"/>
      <c r="D893" s="80"/>
      <c r="E893" s="80"/>
      <c r="F893" s="134"/>
      <c r="G893" s="18"/>
      <c r="H893" s="18"/>
      <c r="I893" s="18"/>
      <c r="J893" s="18"/>
      <c r="K893" s="18"/>
      <c r="L893" s="18"/>
      <c r="M893" s="18"/>
      <c r="N893" s="18"/>
      <c r="O893" s="18"/>
      <c r="P893" s="18"/>
      <c r="Q893" s="18"/>
      <c r="R893" s="18"/>
      <c r="S893" s="18"/>
      <c r="T893" s="18"/>
      <c r="U893" s="18"/>
      <c r="V893" s="18"/>
      <c r="W893" s="18"/>
      <c r="X893" s="18"/>
      <c r="Y893" s="18"/>
      <c r="Z893" s="18"/>
    </row>
    <row r="894">
      <c r="A894" s="18"/>
      <c r="B894" s="80"/>
      <c r="C894" s="18"/>
      <c r="D894" s="80"/>
      <c r="E894" s="80"/>
      <c r="F894" s="134"/>
      <c r="G894" s="18"/>
      <c r="H894" s="18"/>
      <c r="I894" s="18"/>
      <c r="J894" s="18"/>
      <c r="K894" s="18"/>
      <c r="L894" s="18"/>
      <c r="M894" s="18"/>
      <c r="N894" s="18"/>
      <c r="O894" s="18"/>
      <c r="P894" s="18"/>
      <c r="Q894" s="18"/>
      <c r="R894" s="18"/>
      <c r="S894" s="18"/>
      <c r="T894" s="18"/>
      <c r="U894" s="18"/>
      <c r="V894" s="18"/>
      <c r="W894" s="18"/>
      <c r="X894" s="18"/>
      <c r="Y894" s="18"/>
      <c r="Z894" s="18"/>
    </row>
    <row r="895">
      <c r="A895" s="18"/>
      <c r="B895" s="80"/>
      <c r="C895" s="18"/>
      <c r="D895" s="80"/>
      <c r="E895" s="80"/>
      <c r="F895" s="134"/>
      <c r="G895" s="18"/>
      <c r="H895" s="18"/>
      <c r="I895" s="18"/>
      <c r="J895" s="18"/>
      <c r="K895" s="18"/>
      <c r="L895" s="18"/>
      <c r="M895" s="18"/>
      <c r="N895" s="18"/>
      <c r="O895" s="18"/>
      <c r="P895" s="18"/>
      <c r="Q895" s="18"/>
      <c r="R895" s="18"/>
      <c r="S895" s="18"/>
      <c r="T895" s="18"/>
      <c r="U895" s="18"/>
      <c r="V895" s="18"/>
      <c r="W895" s="18"/>
      <c r="X895" s="18"/>
      <c r="Y895" s="18"/>
      <c r="Z895" s="18"/>
    </row>
    <row r="896">
      <c r="A896" s="18"/>
      <c r="B896" s="80"/>
      <c r="C896" s="18"/>
      <c r="D896" s="80"/>
      <c r="E896" s="80"/>
      <c r="F896" s="134"/>
      <c r="G896" s="18"/>
      <c r="H896" s="18"/>
      <c r="I896" s="18"/>
      <c r="J896" s="18"/>
      <c r="K896" s="18"/>
      <c r="L896" s="18"/>
      <c r="M896" s="18"/>
      <c r="N896" s="18"/>
      <c r="O896" s="18"/>
      <c r="P896" s="18"/>
      <c r="Q896" s="18"/>
      <c r="R896" s="18"/>
      <c r="S896" s="18"/>
      <c r="T896" s="18"/>
      <c r="U896" s="18"/>
      <c r="V896" s="18"/>
      <c r="W896" s="18"/>
      <c r="X896" s="18"/>
      <c r="Y896" s="18"/>
      <c r="Z896" s="18"/>
    </row>
    <row r="897">
      <c r="A897" s="18"/>
      <c r="B897" s="80"/>
      <c r="C897" s="18"/>
      <c r="D897" s="80"/>
      <c r="E897" s="80"/>
      <c r="F897" s="134"/>
      <c r="G897" s="18"/>
      <c r="H897" s="18"/>
      <c r="I897" s="18"/>
      <c r="J897" s="18"/>
      <c r="K897" s="18"/>
      <c r="L897" s="18"/>
      <c r="M897" s="18"/>
      <c r="N897" s="18"/>
      <c r="O897" s="18"/>
      <c r="P897" s="18"/>
      <c r="Q897" s="18"/>
      <c r="R897" s="18"/>
      <c r="S897" s="18"/>
      <c r="T897" s="18"/>
      <c r="U897" s="18"/>
      <c r="V897" s="18"/>
      <c r="W897" s="18"/>
      <c r="X897" s="18"/>
      <c r="Y897" s="18"/>
      <c r="Z897" s="18"/>
    </row>
    <row r="898">
      <c r="A898" s="18"/>
      <c r="B898" s="80"/>
      <c r="C898" s="18"/>
      <c r="D898" s="80"/>
      <c r="E898" s="80"/>
      <c r="F898" s="134"/>
      <c r="G898" s="18"/>
      <c r="H898" s="18"/>
      <c r="I898" s="18"/>
      <c r="J898" s="18"/>
      <c r="K898" s="18"/>
      <c r="L898" s="18"/>
      <c r="M898" s="18"/>
      <c r="N898" s="18"/>
      <c r="O898" s="18"/>
      <c r="P898" s="18"/>
      <c r="Q898" s="18"/>
      <c r="R898" s="18"/>
      <c r="S898" s="18"/>
      <c r="T898" s="18"/>
      <c r="U898" s="18"/>
      <c r="V898" s="18"/>
      <c r="W898" s="18"/>
      <c r="X898" s="18"/>
      <c r="Y898" s="18"/>
      <c r="Z898" s="18"/>
    </row>
    <row r="899">
      <c r="A899" s="18"/>
      <c r="B899" s="80"/>
      <c r="C899" s="18"/>
      <c r="D899" s="80"/>
      <c r="E899" s="80"/>
      <c r="F899" s="134"/>
      <c r="G899" s="18"/>
      <c r="H899" s="18"/>
      <c r="I899" s="18"/>
      <c r="J899" s="18"/>
      <c r="K899" s="18"/>
      <c r="L899" s="18"/>
      <c r="M899" s="18"/>
      <c r="N899" s="18"/>
      <c r="O899" s="18"/>
      <c r="P899" s="18"/>
      <c r="Q899" s="18"/>
      <c r="R899" s="18"/>
      <c r="S899" s="18"/>
      <c r="T899" s="18"/>
      <c r="U899" s="18"/>
      <c r="V899" s="18"/>
      <c r="W899" s="18"/>
      <c r="X899" s="18"/>
      <c r="Y899" s="18"/>
      <c r="Z899" s="18"/>
    </row>
    <row r="900">
      <c r="A900" s="18"/>
      <c r="B900" s="80"/>
      <c r="C900" s="18"/>
      <c r="D900" s="80"/>
      <c r="E900" s="80"/>
      <c r="F900" s="134"/>
      <c r="G900" s="18"/>
      <c r="H900" s="18"/>
      <c r="I900" s="18"/>
      <c r="J900" s="18"/>
      <c r="K900" s="18"/>
      <c r="L900" s="18"/>
      <c r="M900" s="18"/>
      <c r="N900" s="18"/>
      <c r="O900" s="18"/>
      <c r="P900" s="18"/>
      <c r="Q900" s="18"/>
      <c r="R900" s="18"/>
      <c r="S900" s="18"/>
      <c r="T900" s="18"/>
      <c r="U900" s="18"/>
      <c r="V900" s="18"/>
      <c r="W900" s="18"/>
      <c r="X900" s="18"/>
      <c r="Y900" s="18"/>
      <c r="Z900" s="18"/>
    </row>
    <row r="901">
      <c r="A901" s="18"/>
      <c r="B901" s="80"/>
      <c r="C901" s="18"/>
      <c r="D901" s="80"/>
      <c r="E901" s="80"/>
      <c r="F901" s="134"/>
      <c r="G901" s="18"/>
      <c r="H901" s="18"/>
      <c r="I901" s="18"/>
      <c r="J901" s="18"/>
      <c r="K901" s="18"/>
      <c r="L901" s="18"/>
      <c r="M901" s="18"/>
      <c r="N901" s="18"/>
      <c r="O901" s="18"/>
      <c r="P901" s="18"/>
      <c r="Q901" s="18"/>
      <c r="R901" s="18"/>
      <c r="S901" s="18"/>
      <c r="T901" s="18"/>
      <c r="U901" s="18"/>
      <c r="V901" s="18"/>
      <c r="W901" s="18"/>
      <c r="X901" s="18"/>
      <c r="Y901" s="18"/>
      <c r="Z901" s="18"/>
    </row>
    <row r="902">
      <c r="A902" s="18"/>
      <c r="B902" s="80"/>
      <c r="C902" s="18"/>
      <c r="D902" s="80"/>
      <c r="E902" s="80"/>
      <c r="F902" s="134"/>
      <c r="G902" s="18"/>
      <c r="H902" s="18"/>
      <c r="I902" s="18"/>
      <c r="J902" s="18"/>
      <c r="K902" s="18"/>
      <c r="L902" s="18"/>
      <c r="M902" s="18"/>
      <c r="N902" s="18"/>
      <c r="O902" s="18"/>
      <c r="P902" s="18"/>
      <c r="Q902" s="18"/>
      <c r="R902" s="18"/>
      <c r="S902" s="18"/>
      <c r="T902" s="18"/>
      <c r="U902" s="18"/>
      <c r="V902" s="18"/>
      <c r="W902" s="18"/>
      <c r="X902" s="18"/>
      <c r="Y902" s="18"/>
      <c r="Z902" s="18"/>
    </row>
    <row r="903">
      <c r="A903" s="18"/>
      <c r="B903" s="80"/>
      <c r="C903" s="18"/>
      <c r="D903" s="80"/>
      <c r="E903" s="80"/>
      <c r="F903" s="134"/>
      <c r="G903" s="18"/>
      <c r="H903" s="18"/>
      <c r="I903" s="18"/>
      <c r="J903" s="18"/>
      <c r="K903" s="18"/>
      <c r="L903" s="18"/>
      <c r="M903" s="18"/>
      <c r="N903" s="18"/>
      <c r="O903" s="18"/>
      <c r="P903" s="18"/>
      <c r="Q903" s="18"/>
      <c r="R903" s="18"/>
      <c r="S903" s="18"/>
      <c r="T903" s="18"/>
      <c r="U903" s="18"/>
      <c r="V903" s="18"/>
      <c r="W903" s="18"/>
      <c r="X903" s="18"/>
      <c r="Y903" s="18"/>
      <c r="Z903" s="18"/>
    </row>
    <row r="904">
      <c r="A904" s="18"/>
      <c r="B904" s="80"/>
      <c r="C904" s="18"/>
      <c r="D904" s="80"/>
      <c r="E904" s="80"/>
      <c r="F904" s="134"/>
      <c r="G904" s="18"/>
      <c r="H904" s="18"/>
      <c r="I904" s="18"/>
      <c r="J904" s="18"/>
      <c r="K904" s="18"/>
      <c r="L904" s="18"/>
      <c r="M904" s="18"/>
      <c r="N904" s="18"/>
      <c r="O904" s="18"/>
      <c r="P904" s="18"/>
      <c r="Q904" s="18"/>
      <c r="R904" s="18"/>
      <c r="S904" s="18"/>
      <c r="T904" s="18"/>
      <c r="U904" s="18"/>
      <c r="V904" s="18"/>
      <c r="W904" s="18"/>
      <c r="X904" s="18"/>
      <c r="Y904" s="18"/>
      <c r="Z904" s="18"/>
    </row>
    <row r="905">
      <c r="A905" s="18"/>
      <c r="B905" s="80"/>
      <c r="C905" s="18"/>
      <c r="D905" s="80"/>
      <c r="E905" s="80"/>
      <c r="F905" s="134"/>
      <c r="G905" s="18"/>
      <c r="H905" s="18"/>
      <c r="I905" s="18"/>
      <c r="J905" s="18"/>
      <c r="K905" s="18"/>
      <c r="L905" s="18"/>
      <c r="M905" s="18"/>
      <c r="N905" s="18"/>
      <c r="O905" s="18"/>
      <c r="P905" s="18"/>
      <c r="Q905" s="18"/>
      <c r="R905" s="18"/>
      <c r="S905" s="18"/>
      <c r="T905" s="18"/>
      <c r="U905" s="18"/>
      <c r="V905" s="18"/>
      <c r="W905" s="18"/>
      <c r="X905" s="18"/>
      <c r="Y905" s="18"/>
      <c r="Z905" s="18"/>
    </row>
    <row r="906">
      <c r="A906" s="18"/>
      <c r="B906" s="80"/>
      <c r="C906" s="18"/>
      <c r="D906" s="80"/>
      <c r="E906" s="80"/>
      <c r="F906" s="134"/>
      <c r="G906" s="18"/>
      <c r="H906" s="18"/>
      <c r="I906" s="18"/>
      <c r="J906" s="18"/>
      <c r="K906" s="18"/>
      <c r="L906" s="18"/>
      <c r="M906" s="18"/>
      <c r="N906" s="18"/>
      <c r="O906" s="18"/>
      <c r="P906" s="18"/>
      <c r="Q906" s="18"/>
      <c r="R906" s="18"/>
      <c r="S906" s="18"/>
      <c r="T906" s="18"/>
      <c r="U906" s="18"/>
      <c r="V906" s="18"/>
      <c r="W906" s="18"/>
      <c r="X906" s="18"/>
      <c r="Y906" s="18"/>
      <c r="Z906" s="18"/>
    </row>
    <row r="907">
      <c r="A907" s="18"/>
      <c r="B907" s="80"/>
      <c r="C907" s="18"/>
      <c r="D907" s="80"/>
      <c r="E907" s="80"/>
      <c r="F907" s="134"/>
      <c r="G907" s="18"/>
      <c r="H907" s="18"/>
      <c r="I907" s="18"/>
      <c r="J907" s="18"/>
      <c r="K907" s="18"/>
      <c r="L907" s="18"/>
      <c r="M907" s="18"/>
      <c r="N907" s="18"/>
      <c r="O907" s="18"/>
      <c r="P907" s="18"/>
      <c r="Q907" s="18"/>
      <c r="R907" s="18"/>
      <c r="S907" s="18"/>
      <c r="T907" s="18"/>
      <c r="U907" s="18"/>
      <c r="V907" s="18"/>
      <c r="W907" s="18"/>
      <c r="X907" s="18"/>
      <c r="Y907" s="18"/>
      <c r="Z907" s="18"/>
    </row>
    <row r="908">
      <c r="A908" s="18"/>
      <c r="B908" s="80"/>
      <c r="C908" s="18"/>
      <c r="D908" s="80"/>
      <c r="E908" s="80"/>
      <c r="F908" s="134"/>
      <c r="G908" s="18"/>
      <c r="H908" s="18"/>
      <c r="I908" s="18"/>
      <c r="J908" s="18"/>
      <c r="K908" s="18"/>
      <c r="L908" s="18"/>
      <c r="M908" s="18"/>
      <c r="N908" s="18"/>
      <c r="O908" s="18"/>
      <c r="P908" s="18"/>
      <c r="Q908" s="18"/>
      <c r="R908" s="18"/>
      <c r="S908" s="18"/>
      <c r="T908" s="18"/>
      <c r="U908" s="18"/>
      <c r="V908" s="18"/>
      <c r="W908" s="18"/>
      <c r="X908" s="18"/>
      <c r="Y908" s="18"/>
      <c r="Z908" s="18"/>
    </row>
    <row r="909">
      <c r="A909" s="18"/>
      <c r="B909" s="80"/>
      <c r="C909" s="18"/>
      <c r="D909" s="80"/>
      <c r="E909" s="80"/>
      <c r="F909" s="134"/>
      <c r="G909" s="18"/>
      <c r="H909" s="18"/>
      <c r="I909" s="18"/>
      <c r="J909" s="18"/>
      <c r="K909" s="18"/>
      <c r="L909" s="18"/>
      <c r="M909" s="18"/>
      <c r="N909" s="18"/>
      <c r="O909" s="18"/>
      <c r="P909" s="18"/>
      <c r="Q909" s="18"/>
      <c r="R909" s="18"/>
      <c r="S909" s="18"/>
      <c r="T909" s="18"/>
      <c r="U909" s="18"/>
      <c r="V909" s="18"/>
      <c r="W909" s="18"/>
      <c r="X909" s="18"/>
      <c r="Y909" s="18"/>
      <c r="Z909" s="18"/>
    </row>
    <row r="910">
      <c r="A910" s="18"/>
      <c r="B910" s="80"/>
      <c r="C910" s="18"/>
      <c r="D910" s="80"/>
      <c r="E910" s="80"/>
      <c r="F910" s="134"/>
      <c r="G910" s="18"/>
      <c r="H910" s="18"/>
      <c r="I910" s="18"/>
      <c r="J910" s="18"/>
      <c r="K910" s="18"/>
      <c r="L910" s="18"/>
      <c r="M910" s="18"/>
      <c r="N910" s="18"/>
      <c r="O910" s="18"/>
      <c r="P910" s="18"/>
      <c r="Q910" s="18"/>
      <c r="R910" s="18"/>
      <c r="S910" s="18"/>
      <c r="T910" s="18"/>
      <c r="U910" s="18"/>
      <c r="V910" s="18"/>
      <c r="W910" s="18"/>
      <c r="X910" s="18"/>
      <c r="Y910" s="18"/>
      <c r="Z910" s="18"/>
    </row>
    <row r="911">
      <c r="A911" s="18"/>
      <c r="B911" s="80"/>
      <c r="C911" s="18"/>
      <c r="D911" s="80"/>
      <c r="E911" s="80"/>
      <c r="F911" s="134"/>
      <c r="G911" s="18"/>
      <c r="H911" s="18"/>
      <c r="I911" s="18"/>
      <c r="J911" s="18"/>
      <c r="K911" s="18"/>
      <c r="L911" s="18"/>
      <c r="M911" s="18"/>
      <c r="N911" s="18"/>
      <c r="O911" s="18"/>
      <c r="P911" s="18"/>
      <c r="Q911" s="18"/>
      <c r="R911" s="18"/>
      <c r="S911" s="18"/>
      <c r="T911" s="18"/>
      <c r="U911" s="18"/>
      <c r="V911" s="18"/>
      <c r="W911" s="18"/>
      <c r="X911" s="18"/>
      <c r="Y911" s="18"/>
      <c r="Z911" s="18"/>
    </row>
    <row r="912">
      <c r="A912" s="18"/>
      <c r="B912" s="80"/>
      <c r="C912" s="18"/>
      <c r="D912" s="80"/>
      <c r="E912" s="80"/>
      <c r="F912" s="134"/>
      <c r="G912" s="18"/>
      <c r="H912" s="18"/>
      <c r="I912" s="18"/>
      <c r="J912" s="18"/>
      <c r="K912" s="18"/>
      <c r="L912" s="18"/>
      <c r="M912" s="18"/>
      <c r="N912" s="18"/>
      <c r="O912" s="18"/>
      <c r="P912" s="18"/>
      <c r="Q912" s="18"/>
      <c r="R912" s="18"/>
      <c r="S912" s="18"/>
      <c r="T912" s="18"/>
      <c r="U912" s="18"/>
      <c r="V912" s="18"/>
      <c r="W912" s="18"/>
      <c r="X912" s="18"/>
      <c r="Y912" s="18"/>
      <c r="Z912" s="18"/>
    </row>
    <row r="913">
      <c r="A913" s="18"/>
      <c r="B913" s="80"/>
      <c r="C913" s="18"/>
      <c r="D913" s="80"/>
      <c r="E913" s="80"/>
      <c r="F913" s="134"/>
      <c r="G913" s="18"/>
      <c r="H913" s="18"/>
      <c r="I913" s="18"/>
      <c r="J913" s="18"/>
      <c r="K913" s="18"/>
      <c r="L913" s="18"/>
      <c r="M913" s="18"/>
      <c r="N913" s="18"/>
      <c r="O913" s="18"/>
      <c r="P913" s="18"/>
      <c r="Q913" s="18"/>
      <c r="R913" s="18"/>
      <c r="S913" s="18"/>
      <c r="T913" s="18"/>
      <c r="U913" s="18"/>
      <c r="V913" s="18"/>
      <c r="W913" s="18"/>
      <c r="X913" s="18"/>
      <c r="Y913" s="18"/>
      <c r="Z913" s="18"/>
    </row>
    <row r="914">
      <c r="A914" s="18"/>
      <c r="B914" s="80"/>
      <c r="C914" s="18"/>
      <c r="D914" s="80"/>
      <c r="E914" s="80"/>
      <c r="F914" s="134"/>
      <c r="G914" s="18"/>
      <c r="H914" s="18"/>
      <c r="I914" s="18"/>
      <c r="J914" s="18"/>
      <c r="K914" s="18"/>
      <c r="L914" s="18"/>
      <c r="M914" s="18"/>
      <c r="N914" s="18"/>
      <c r="O914" s="18"/>
      <c r="P914" s="18"/>
      <c r="Q914" s="18"/>
      <c r="R914" s="18"/>
      <c r="S914" s="18"/>
      <c r="T914" s="18"/>
      <c r="U914" s="18"/>
      <c r="V914" s="18"/>
      <c r="W914" s="18"/>
      <c r="X914" s="18"/>
      <c r="Y914" s="18"/>
      <c r="Z914" s="18"/>
    </row>
    <row r="915">
      <c r="A915" s="18"/>
      <c r="B915" s="80"/>
      <c r="C915" s="18"/>
      <c r="D915" s="80"/>
      <c r="E915" s="80"/>
      <c r="F915" s="134"/>
      <c r="G915" s="18"/>
      <c r="H915" s="18"/>
      <c r="I915" s="18"/>
      <c r="J915" s="18"/>
      <c r="K915" s="18"/>
      <c r="L915" s="18"/>
      <c r="M915" s="18"/>
      <c r="N915" s="18"/>
      <c r="O915" s="18"/>
      <c r="P915" s="18"/>
      <c r="Q915" s="18"/>
      <c r="R915" s="18"/>
      <c r="S915" s="18"/>
      <c r="T915" s="18"/>
      <c r="U915" s="18"/>
      <c r="V915" s="18"/>
      <c r="W915" s="18"/>
      <c r="X915" s="18"/>
      <c r="Y915" s="18"/>
      <c r="Z915" s="18"/>
    </row>
    <row r="916">
      <c r="A916" s="18"/>
      <c r="B916" s="80"/>
      <c r="C916" s="18"/>
      <c r="D916" s="80"/>
      <c r="E916" s="80"/>
      <c r="F916" s="134"/>
      <c r="G916" s="18"/>
      <c r="H916" s="18"/>
      <c r="I916" s="18"/>
      <c r="J916" s="18"/>
      <c r="K916" s="18"/>
      <c r="L916" s="18"/>
      <c r="M916" s="18"/>
      <c r="N916" s="18"/>
      <c r="O916" s="18"/>
      <c r="P916" s="18"/>
      <c r="Q916" s="18"/>
      <c r="R916" s="18"/>
      <c r="S916" s="18"/>
      <c r="T916" s="18"/>
      <c r="U916" s="18"/>
      <c r="V916" s="18"/>
      <c r="W916" s="18"/>
      <c r="X916" s="18"/>
      <c r="Y916" s="18"/>
      <c r="Z916" s="18"/>
    </row>
    <row r="917">
      <c r="A917" s="18"/>
      <c r="B917" s="80"/>
      <c r="C917" s="18"/>
      <c r="D917" s="80"/>
      <c r="E917" s="80"/>
      <c r="F917" s="134"/>
      <c r="G917" s="18"/>
      <c r="H917" s="18"/>
      <c r="I917" s="18"/>
      <c r="J917" s="18"/>
      <c r="K917" s="18"/>
      <c r="L917" s="18"/>
      <c r="M917" s="18"/>
      <c r="N917" s="18"/>
      <c r="O917" s="18"/>
      <c r="P917" s="18"/>
      <c r="Q917" s="18"/>
      <c r="R917" s="18"/>
      <c r="S917" s="18"/>
      <c r="T917" s="18"/>
      <c r="U917" s="18"/>
      <c r="V917" s="18"/>
      <c r="W917" s="18"/>
      <c r="X917" s="18"/>
      <c r="Y917" s="18"/>
      <c r="Z917" s="18"/>
    </row>
    <row r="918">
      <c r="A918" s="18"/>
      <c r="B918" s="80"/>
      <c r="C918" s="18"/>
      <c r="D918" s="80"/>
      <c r="E918" s="80"/>
      <c r="F918" s="134"/>
      <c r="G918" s="18"/>
      <c r="H918" s="18"/>
      <c r="I918" s="18"/>
      <c r="J918" s="18"/>
      <c r="K918" s="18"/>
      <c r="L918" s="18"/>
      <c r="M918" s="18"/>
      <c r="N918" s="18"/>
      <c r="O918" s="18"/>
      <c r="P918" s="18"/>
      <c r="Q918" s="18"/>
      <c r="R918" s="18"/>
      <c r="S918" s="18"/>
      <c r="T918" s="18"/>
      <c r="U918" s="18"/>
      <c r="V918" s="18"/>
      <c r="W918" s="18"/>
      <c r="X918" s="18"/>
      <c r="Y918" s="18"/>
      <c r="Z918" s="18"/>
    </row>
    <row r="919">
      <c r="A919" s="18"/>
      <c r="B919" s="80"/>
      <c r="C919" s="18"/>
      <c r="D919" s="80"/>
      <c r="E919" s="80"/>
      <c r="F919" s="134"/>
      <c r="G919" s="18"/>
      <c r="H919" s="18"/>
      <c r="I919" s="18"/>
      <c r="J919" s="18"/>
      <c r="K919" s="18"/>
      <c r="L919" s="18"/>
      <c r="M919" s="18"/>
      <c r="N919" s="18"/>
      <c r="O919" s="18"/>
      <c r="P919" s="18"/>
      <c r="Q919" s="18"/>
      <c r="R919" s="18"/>
      <c r="S919" s="18"/>
      <c r="T919" s="18"/>
      <c r="U919" s="18"/>
      <c r="V919" s="18"/>
      <c r="W919" s="18"/>
      <c r="X919" s="18"/>
      <c r="Y919" s="18"/>
      <c r="Z919" s="18"/>
    </row>
    <row r="920">
      <c r="A920" s="18"/>
      <c r="B920" s="80"/>
      <c r="C920" s="18"/>
      <c r="D920" s="80"/>
      <c r="E920" s="80"/>
      <c r="F920" s="134"/>
      <c r="G920" s="18"/>
      <c r="H920" s="18"/>
      <c r="I920" s="18"/>
      <c r="J920" s="18"/>
      <c r="K920" s="18"/>
      <c r="L920" s="18"/>
      <c r="M920" s="18"/>
      <c r="N920" s="18"/>
      <c r="O920" s="18"/>
      <c r="P920" s="18"/>
      <c r="Q920" s="18"/>
      <c r="R920" s="18"/>
      <c r="S920" s="18"/>
      <c r="T920" s="18"/>
      <c r="U920" s="18"/>
      <c r="V920" s="18"/>
      <c r="W920" s="18"/>
      <c r="X920" s="18"/>
      <c r="Y920" s="18"/>
      <c r="Z920" s="18"/>
    </row>
    <row r="921">
      <c r="A921" s="18"/>
      <c r="B921" s="80"/>
      <c r="C921" s="18"/>
      <c r="D921" s="80"/>
      <c r="E921" s="80"/>
      <c r="F921" s="134"/>
      <c r="G921" s="18"/>
      <c r="H921" s="18"/>
      <c r="I921" s="18"/>
      <c r="J921" s="18"/>
      <c r="K921" s="18"/>
      <c r="L921" s="18"/>
      <c r="M921" s="18"/>
      <c r="N921" s="18"/>
      <c r="O921" s="18"/>
      <c r="P921" s="18"/>
      <c r="Q921" s="18"/>
      <c r="R921" s="18"/>
      <c r="S921" s="18"/>
      <c r="T921" s="18"/>
      <c r="U921" s="18"/>
      <c r="V921" s="18"/>
      <c r="W921" s="18"/>
      <c r="X921" s="18"/>
      <c r="Y921" s="18"/>
      <c r="Z921" s="18"/>
    </row>
    <row r="922">
      <c r="A922" s="18"/>
      <c r="B922" s="80"/>
      <c r="C922" s="18"/>
      <c r="D922" s="80"/>
      <c r="E922" s="80"/>
      <c r="F922" s="134"/>
      <c r="G922" s="18"/>
      <c r="H922" s="18"/>
      <c r="I922" s="18"/>
      <c r="J922" s="18"/>
      <c r="K922" s="18"/>
      <c r="L922" s="18"/>
      <c r="M922" s="18"/>
      <c r="N922" s="18"/>
      <c r="O922" s="18"/>
      <c r="P922" s="18"/>
      <c r="Q922" s="18"/>
      <c r="R922" s="18"/>
      <c r="S922" s="18"/>
      <c r="T922" s="18"/>
      <c r="U922" s="18"/>
      <c r="V922" s="18"/>
      <c r="W922" s="18"/>
      <c r="X922" s="18"/>
      <c r="Y922" s="18"/>
      <c r="Z922" s="18"/>
    </row>
    <row r="923">
      <c r="A923" s="18"/>
      <c r="B923" s="80"/>
      <c r="C923" s="18"/>
      <c r="D923" s="80"/>
      <c r="E923" s="80"/>
      <c r="F923" s="134"/>
      <c r="G923" s="18"/>
      <c r="H923" s="18"/>
      <c r="I923" s="18"/>
      <c r="J923" s="18"/>
      <c r="K923" s="18"/>
      <c r="L923" s="18"/>
      <c r="M923" s="18"/>
      <c r="N923" s="18"/>
      <c r="O923" s="18"/>
      <c r="P923" s="18"/>
      <c r="Q923" s="18"/>
      <c r="R923" s="18"/>
      <c r="S923" s="18"/>
      <c r="T923" s="18"/>
      <c r="U923" s="18"/>
      <c r="V923" s="18"/>
      <c r="W923" s="18"/>
      <c r="X923" s="18"/>
      <c r="Y923" s="18"/>
      <c r="Z923" s="18"/>
    </row>
    <row r="924">
      <c r="A924" s="18"/>
      <c r="B924" s="80"/>
      <c r="C924" s="18"/>
      <c r="D924" s="80"/>
      <c r="E924" s="80"/>
      <c r="F924" s="134"/>
      <c r="G924" s="18"/>
      <c r="H924" s="18"/>
      <c r="I924" s="18"/>
      <c r="J924" s="18"/>
      <c r="K924" s="18"/>
      <c r="L924" s="18"/>
      <c r="M924" s="18"/>
      <c r="N924" s="18"/>
      <c r="O924" s="18"/>
      <c r="P924" s="18"/>
      <c r="Q924" s="18"/>
      <c r="R924" s="18"/>
      <c r="S924" s="18"/>
      <c r="T924" s="18"/>
      <c r="U924" s="18"/>
      <c r="V924" s="18"/>
      <c r="W924" s="18"/>
      <c r="X924" s="18"/>
      <c r="Y924" s="18"/>
      <c r="Z924" s="18"/>
    </row>
    <row r="925">
      <c r="A925" s="18"/>
      <c r="B925" s="80"/>
      <c r="C925" s="18"/>
      <c r="D925" s="80"/>
      <c r="E925" s="80"/>
      <c r="F925" s="134"/>
      <c r="G925" s="18"/>
      <c r="H925" s="18"/>
      <c r="I925" s="18"/>
      <c r="J925" s="18"/>
      <c r="K925" s="18"/>
      <c r="L925" s="18"/>
      <c r="M925" s="18"/>
      <c r="N925" s="18"/>
      <c r="O925" s="18"/>
      <c r="P925" s="18"/>
      <c r="Q925" s="18"/>
      <c r="R925" s="18"/>
      <c r="S925" s="18"/>
      <c r="T925" s="18"/>
      <c r="U925" s="18"/>
      <c r="V925" s="18"/>
      <c r="W925" s="18"/>
      <c r="X925" s="18"/>
      <c r="Y925" s="18"/>
      <c r="Z925" s="18"/>
    </row>
    <row r="926">
      <c r="A926" s="18"/>
      <c r="B926" s="80"/>
      <c r="C926" s="18"/>
      <c r="D926" s="80"/>
      <c r="E926" s="80"/>
      <c r="F926" s="134"/>
      <c r="G926" s="18"/>
      <c r="H926" s="18"/>
      <c r="I926" s="18"/>
      <c r="J926" s="18"/>
      <c r="K926" s="18"/>
      <c r="L926" s="18"/>
      <c r="M926" s="18"/>
      <c r="N926" s="18"/>
      <c r="O926" s="18"/>
      <c r="P926" s="18"/>
      <c r="Q926" s="18"/>
      <c r="R926" s="18"/>
      <c r="S926" s="18"/>
      <c r="T926" s="18"/>
      <c r="U926" s="18"/>
      <c r="V926" s="18"/>
      <c r="W926" s="18"/>
      <c r="X926" s="18"/>
      <c r="Y926" s="18"/>
      <c r="Z926" s="18"/>
    </row>
    <row r="927">
      <c r="A927" s="18"/>
      <c r="B927" s="80"/>
      <c r="C927" s="18"/>
      <c r="D927" s="80"/>
      <c r="E927" s="80"/>
      <c r="F927" s="134"/>
      <c r="G927" s="18"/>
      <c r="H927" s="18"/>
      <c r="I927" s="18"/>
      <c r="J927" s="18"/>
      <c r="K927" s="18"/>
      <c r="L927" s="18"/>
      <c r="M927" s="18"/>
      <c r="N927" s="18"/>
      <c r="O927" s="18"/>
      <c r="P927" s="18"/>
      <c r="Q927" s="18"/>
      <c r="R927" s="18"/>
      <c r="S927" s="18"/>
      <c r="T927" s="18"/>
      <c r="U927" s="18"/>
      <c r="V927" s="18"/>
      <c r="W927" s="18"/>
      <c r="X927" s="18"/>
      <c r="Y927" s="18"/>
      <c r="Z927" s="18"/>
    </row>
    <row r="928">
      <c r="A928" s="18"/>
      <c r="B928" s="80"/>
      <c r="C928" s="18"/>
      <c r="D928" s="80"/>
      <c r="E928" s="80"/>
      <c r="F928" s="134"/>
      <c r="G928" s="18"/>
      <c r="H928" s="18"/>
      <c r="I928" s="18"/>
      <c r="J928" s="18"/>
      <c r="K928" s="18"/>
      <c r="L928" s="18"/>
      <c r="M928" s="18"/>
      <c r="N928" s="18"/>
      <c r="O928" s="18"/>
      <c r="P928" s="18"/>
      <c r="Q928" s="18"/>
      <c r="R928" s="18"/>
      <c r="S928" s="18"/>
      <c r="T928" s="18"/>
      <c r="U928" s="18"/>
      <c r="V928" s="18"/>
      <c r="W928" s="18"/>
      <c r="X928" s="18"/>
      <c r="Y928" s="18"/>
      <c r="Z928" s="18"/>
    </row>
    <row r="929">
      <c r="A929" s="18"/>
      <c r="B929" s="80"/>
      <c r="C929" s="18"/>
      <c r="D929" s="80"/>
      <c r="E929" s="80"/>
      <c r="F929" s="134"/>
      <c r="G929" s="18"/>
      <c r="H929" s="18"/>
      <c r="I929" s="18"/>
      <c r="J929" s="18"/>
      <c r="K929" s="18"/>
      <c r="L929" s="18"/>
      <c r="M929" s="18"/>
      <c r="N929" s="18"/>
      <c r="O929" s="18"/>
      <c r="P929" s="18"/>
      <c r="Q929" s="18"/>
      <c r="R929" s="18"/>
      <c r="S929" s="18"/>
      <c r="T929" s="18"/>
      <c r="U929" s="18"/>
      <c r="V929" s="18"/>
      <c r="W929" s="18"/>
      <c r="X929" s="18"/>
      <c r="Y929" s="18"/>
      <c r="Z929" s="18"/>
    </row>
    <row r="930">
      <c r="A930" s="18"/>
      <c r="B930" s="80"/>
      <c r="C930" s="18"/>
      <c r="D930" s="80"/>
      <c r="E930" s="80"/>
      <c r="F930" s="134"/>
      <c r="G930" s="18"/>
      <c r="H930" s="18"/>
      <c r="I930" s="18"/>
      <c r="J930" s="18"/>
      <c r="K930" s="18"/>
      <c r="L930" s="18"/>
      <c r="M930" s="18"/>
      <c r="N930" s="18"/>
      <c r="O930" s="18"/>
      <c r="P930" s="18"/>
      <c r="Q930" s="18"/>
      <c r="R930" s="18"/>
      <c r="S930" s="18"/>
      <c r="T930" s="18"/>
      <c r="U930" s="18"/>
      <c r="V930" s="18"/>
      <c r="W930" s="18"/>
      <c r="X930" s="18"/>
      <c r="Y930" s="18"/>
      <c r="Z930" s="18"/>
    </row>
    <row r="931">
      <c r="A931" s="18"/>
      <c r="B931" s="80"/>
      <c r="C931" s="18"/>
      <c r="D931" s="80"/>
      <c r="E931" s="80"/>
      <c r="F931" s="134"/>
      <c r="G931" s="18"/>
      <c r="H931" s="18"/>
      <c r="I931" s="18"/>
      <c r="J931" s="18"/>
      <c r="K931" s="18"/>
      <c r="L931" s="18"/>
      <c r="M931" s="18"/>
      <c r="N931" s="18"/>
      <c r="O931" s="18"/>
      <c r="P931" s="18"/>
      <c r="Q931" s="18"/>
      <c r="R931" s="18"/>
      <c r="S931" s="18"/>
      <c r="T931" s="18"/>
      <c r="U931" s="18"/>
      <c r="V931" s="18"/>
      <c r="W931" s="18"/>
      <c r="X931" s="18"/>
      <c r="Y931" s="18"/>
      <c r="Z931" s="18"/>
    </row>
    <row r="932">
      <c r="A932" s="18"/>
      <c r="B932" s="80"/>
      <c r="C932" s="18"/>
      <c r="D932" s="80"/>
      <c r="E932" s="80"/>
      <c r="F932" s="134"/>
      <c r="G932" s="18"/>
      <c r="H932" s="18"/>
      <c r="I932" s="18"/>
      <c r="J932" s="18"/>
      <c r="K932" s="18"/>
      <c r="L932" s="18"/>
      <c r="M932" s="18"/>
      <c r="N932" s="18"/>
      <c r="O932" s="18"/>
      <c r="P932" s="18"/>
      <c r="Q932" s="18"/>
      <c r="R932" s="18"/>
      <c r="S932" s="18"/>
      <c r="T932" s="18"/>
      <c r="U932" s="18"/>
      <c r="V932" s="18"/>
      <c r="W932" s="18"/>
      <c r="X932" s="18"/>
      <c r="Y932" s="18"/>
      <c r="Z932" s="18"/>
    </row>
    <row r="933">
      <c r="A933" s="18"/>
      <c r="B933" s="80"/>
      <c r="C933" s="18"/>
      <c r="D933" s="80"/>
      <c r="E933" s="80"/>
      <c r="F933" s="134"/>
      <c r="G933" s="18"/>
      <c r="H933" s="18"/>
      <c r="I933" s="18"/>
      <c r="J933" s="18"/>
      <c r="K933" s="18"/>
      <c r="L933" s="18"/>
      <c r="M933" s="18"/>
      <c r="N933" s="18"/>
      <c r="O933" s="18"/>
      <c r="P933" s="18"/>
      <c r="Q933" s="18"/>
      <c r="R933" s="18"/>
      <c r="S933" s="18"/>
      <c r="T933" s="18"/>
      <c r="U933" s="18"/>
      <c r="V933" s="18"/>
      <c r="W933" s="18"/>
      <c r="X933" s="18"/>
      <c r="Y933" s="18"/>
      <c r="Z933" s="18"/>
    </row>
    <row r="934">
      <c r="A934" s="18"/>
      <c r="B934" s="80"/>
      <c r="C934" s="18"/>
      <c r="D934" s="80"/>
      <c r="E934" s="80"/>
      <c r="F934" s="134"/>
      <c r="G934" s="18"/>
      <c r="H934" s="18"/>
      <c r="I934" s="18"/>
      <c r="J934" s="18"/>
      <c r="K934" s="18"/>
      <c r="L934" s="18"/>
      <c r="M934" s="18"/>
      <c r="N934" s="18"/>
      <c r="O934" s="18"/>
      <c r="P934" s="18"/>
      <c r="Q934" s="18"/>
      <c r="R934" s="18"/>
      <c r="S934" s="18"/>
      <c r="T934" s="18"/>
      <c r="U934" s="18"/>
      <c r="V934" s="18"/>
      <c r="W934" s="18"/>
      <c r="X934" s="18"/>
      <c r="Y934" s="18"/>
      <c r="Z934" s="18"/>
    </row>
    <row r="935">
      <c r="A935" s="18"/>
      <c r="B935" s="80"/>
      <c r="C935" s="18"/>
      <c r="D935" s="80"/>
      <c r="E935" s="80"/>
      <c r="F935" s="134"/>
      <c r="G935" s="18"/>
      <c r="H935" s="18"/>
      <c r="I935" s="18"/>
      <c r="J935" s="18"/>
      <c r="K935" s="18"/>
      <c r="L935" s="18"/>
      <c r="M935" s="18"/>
      <c r="N935" s="18"/>
      <c r="O935" s="18"/>
      <c r="P935" s="18"/>
      <c r="Q935" s="18"/>
      <c r="R935" s="18"/>
      <c r="S935" s="18"/>
      <c r="T935" s="18"/>
      <c r="U935" s="18"/>
      <c r="V935" s="18"/>
      <c r="W935" s="18"/>
      <c r="X935" s="18"/>
      <c r="Y935" s="18"/>
      <c r="Z935" s="18"/>
    </row>
    <row r="936">
      <c r="A936" s="18"/>
      <c r="B936" s="80"/>
      <c r="C936" s="18"/>
      <c r="D936" s="80"/>
      <c r="E936" s="80"/>
      <c r="F936" s="134"/>
      <c r="G936" s="18"/>
      <c r="H936" s="18"/>
      <c r="I936" s="18"/>
      <c r="J936" s="18"/>
      <c r="K936" s="18"/>
      <c r="L936" s="18"/>
      <c r="M936" s="18"/>
      <c r="N936" s="18"/>
      <c r="O936" s="18"/>
      <c r="P936" s="18"/>
      <c r="Q936" s="18"/>
      <c r="R936" s="18"/>
      <c r="S936" s="18"/>
      <c r="T936" s="18"/>
      <c r="U936" s="18"/>
      <c r="V936" s="18"/>
      <c r="W936" s="18"/>
      <c r="X936" s="18"/>
      <c r="Y936" s="18"/>
      <c r="Z936" s="18"/>
    </row>
    <row r="937">
      <c r="A937" s="18"/>
      <c r="B937" s="80"/>
      <c r="C937" s="18"/>
      <c r="D937" s="80"/>
      <c r="E937" s="80"/>
      <c r="F937" s="134"/>
      <c r="G937" s="18"/>
      <c r="H937" s="18"/>
      <c r="I937" s="18"/>
      <c r="J937" s="18"/>
      <c r="K937" s="18"/>
      <c r="L937" s="18"/>
      <c r="M937" s="18"/>
      <c r="N937" s="18"/>
      <c r="O937" s="18"/>
      <c r="P937" s="18"/>
      <c r="Q937" s="18"/>
      <c r="R937" s="18"/>
      <c r="S937" s="18"/>
      <c r="T937" s="18"/>
      <c r="U937" s="18"/>
      <c r="V937" s="18"/>
      <c r="W937" s="18"/>
      <c r="X937" s="18"/>
      <c r="Y937" s="18"/>
      <c r="Z937" s="18"/>
    </row>
    <row r="938">
      <c r="A938" s="18"/>
      <c r="B938" s="80"/>
      <c r="C938" s="18"/>
      <c r="D938" s="80"/>
      <c r="E938" s="80"/>
      <c r="F938" s="134"/>
      <c r="G938" s="18"/>
      <c r="H938" s="18"/>
      <c r="I938" s="18"/>
      <c r="J938" s="18"/>
      <c r="K938" s="18"/>
      <c r="L938" s="18"/>
      <c r="M938" s="18"/>
      <c r="N938" s="18"/>
      <c r="O938" s="18"/>
      <c r="P938" s="18"/>
      <c r="Q938" s="18"/>
      <c r="R938" s="18"/>
      <c r="S938" s="18"/>
      <c r="T938" s="18"/>
      <c r="U938" s="18"/>
      <c r="V938" s="18"/>
      <c r="W938" s="18"/>
      <c r="X938" s="18"/>
      <c r="Y938" s="18"/>
      <c r="Z938" s="18"/>
    </row>
    <row r="939">
      <c r="A939" s="18"/>
      <c r="B939" s="80"/>
      <c r="C939" s="18"/>
      <c r="D939" s="80"/>
      <c r="E939" s="80"/>
      <c r="F939" s="134"/>
      <c r="G939" s="18"/>
      <c r="H939" s="18"/>
      <c r="I939" s="18"/>
      <c r="J939" s="18"/>
      <c r="K939" s="18"/>
      <c r="L939" s="18"/>
      <c r="M939" s="18"/>
      <c r="N939" s="18"/>
      <c r="O939" s="18"/>
      <c r="P939" s="18"/>
      <c r="Q939" s="18"/>
      <c r="R939" s="18"/>
      <c r="S939" s="18"/>
      <c r="T939" s="18"/>
      <c r="U939" s="18"/>
      <c r="V939" s="18"/>
      <c r="W939" s="18"/>
      <c r="X939" s="18"/>
      <c r="Y939" s="18"/>
      <c r="Z939" s="18"/>
    </row>
    <row r="940">
      <c r="A940" s="18"/>
      <c r="B940" s="80"/>
      <c r="C940" s="18"/>
      <c r="D940" s="80"/>
      <c r="E940" s="80"/>
      <c r="F940" s="134"/>
      <c r="G940" s="18"/>
      <c r="H940" s="18"/>
      <c r="I940" s="18"/>
      <c r="J940" s="18"/>
      <c r="K940" s="18"/>
      <c r="L940" s="18"/>
      <c r="M940" s="18"/>
      <c r="N940" s="18"/>
      <c r="O940" s="18"/>
      <c r="P940" s="18"/>
      <c r="Q940" s="18"/>
      <c r="R940" s="18"/>
      <c r="S940" s="18"/>
      <c r="T940" s="18"/>
      <c r="U940" s="18"/>
      <c r="V940" s="18"/>
      <c r="W940" s="18"/>
      <c r="X940" s="18"/>
      <c r="Y940" s="18"/>
      <c r="Z940" s="18"/>
    </row>
    <row r="941">
      <c r="A941" s="18"/>
      <c r="B941" s="80"/>
      <c r="C941" s="18"/>
      <c r="D941" s="80"/>
      <c r="E941" s="80"/>
      <c r="F941" s="134"/>
      <c r="G941" s="18"/>
      <c r="H941" s="18"/>
      <c r="I941" s="18"/>
      <c r="J941" s="18"/>
      <c r="K941" s="18"/>
      <c r="L941" s="18"/>
      <c r="M941" s="18"/>
      <c r="N941" s="18"/>
      <c r="O941" s="18"/>
      <c r="P941" s="18"/>
      <c r="Q941" s="18"/>
      <c r="R941" s="18"/>
      <c r="S941" s="18"/>
      <c r="T941" s="18"/>
      <c r="U941" s="18"/>
      <c r="V941" s="18"/>
      <c r="W941" s="18"/>
      <c r="X941" s="18"/>
      <c r="Y941" s="18"/>
      <c r="Z941" s="18"/>
    </row>
    <row r="942">
      <c r="A942" s="18"/>
      <c r="B942" s="80"/>
      <c r="C942" s="18"/>
      <c r="D942" s="80"/>
      <c r="E942" s="80"/>
      <c r="F942" s="134"/>
      <c r="G942" s="18"/>
      <c r="H942" s="18"/>
      <c r="I942" s="18"/>
      <c r="J942" s="18"/>
      <c r="K942" s="18"/>
      <c r="L942" s="18"/>
      <c r="M942" s="18"/>
      <c r="N942" s="18"/>
      <c r="O942" s="18"/>
      <c r="P942" s="18"/>
      <c r="Q942" s="18"/>
      <c r="R942" s="18"/>
      <c r="S942" s="18"/>
      <c r="T942" s="18"/>
      <c r="U942" s="18"/>
      <c r="V942" s="18"/>
      <c r="W942" s="18"/>
      <c r="X942" s="18"/>
      <c r="Y942" s="18"/>
      <c r="Z942" s="18"/>
    </row>
    <row r="943">
      <c r="A943" s="18"/>
      <c r="B943" s="80"/>
      <c r="C943" s="18"/>
      <c r="D943" s="80"/>
      <c r="E943" s="80"/>
      <c r="F943" s="134"/>
      <c r="G943" s="18"/>
      <c r="H943" s="18"/>
      <c r="I943" s="18"/>
      <c r="J943" s="18"/>
      <c r="K943" s="18"/>
      <c r="L943" s="18"/>
      <c r="M943" s="18"/>
      <c r="N943" s="18"/>
      <c r="O943" s="18"/>
      <c r="P943" s="18"/>
      <c r="Q943" s="18"/>
      <c r="R943" s="18"/>
      <c r="S943" s="18"/>
      <c r="T943" s="18"/>
      <c r="U943" s="18"/>
      <c r="V943" s="18"/>
      <c r="W943" s="18"/>
      <c r="X943" s="18"/>
      <c r="Y943" s="18"/>
      <c r="Z943" s="18"/>
    </row>
    <row r="944">
      <c r="A944" s="18"/>
      <c r="B944" s="80"/>
      <c r="C944" s="18"/>
      <c r="D944" s="80"/>
      <c r="E944" s="80"/>
      <c r="F944" s="134"/>
      <c r="G944" s="18"/>
      <c r="H944" s="18"/>
      <c r="I944" s="18"/>
      <c r="J944" s="18"/>
      <c r="K944" s="18"/>
      <c r="L944" s="18"/>
      <c r="M944" s="18"/>
      <c r="N944" s="18"/>
      <c r="O944" s="18"/>
      <c r="P944" s="18"/>
      <c r="Q944" s="18"/>
      <c r="R944" s="18"/>
      <c r="S944" s="18"/>
      <c r="T944" s="18"/>
      <c r="U944" s="18"/>
      <c r="V944" s="18"/>
      <c r="W944" s="18"/>
      <c r="X944" s="18"/>
      <c r="Y944" s="18"/>
      <c r="Z944" s="18"/>
    </row>
    <row r="945">
      <c r="A945" s="18"/>
      <c r="B945" s="80"/>
      <c r="C945" s="18"/>
      <c r="D945" s="80"/>
      <c r="E945" s="80"/>
      <c r="F945" s="134"/>
      <c r="G945" s="18"/>
      <c r="H945" s="18"/>
      <c r="I945" s="18"/>
      <c r="J945" s="18"/>
      <c r="K945" s="18"/>
      <c r="L945" s="18"/>
      <c r="M945" s="18"/>
      <c r="N945" s="18"/>
      <c r="O945" s="18"/>
      <c r="P945" s="18"/>
      <c r="Q945" s="18"/>
      <c r="R945" s="18"/>
      <c r="S945" s="18"/>
      <c r="T945" s="18"/>
      <c r="U945" s="18"/>
      <c r="V945" s="18"/>
      <c r="W945" s="18"/>
      <c r="X945" s="18"/>
      <c r="Y945" s="18"/>
      <c r="Z945" s="18"/>
    </row>
    <row r="946">
      <c r="A946" s="18"/>
      <c r="B946" s="80"/>
      <c r="C946" s="18"/>
      <c r="D946" s="80"/>
      <c r="E946" s="80"/>
      <c r="F946" s="134"/>
      <c r="G946" s="18"/>
      <c r="H946" s="18"/>
      <c r="I946" s="18"/>
      <c r="J946" s="18"/>
      <c r="K946" s="18"/>
      <c r="L946" s="18"/>
      <c r="M946" s="18"/>
      <c r="N946" s="18"/>
      <c r="O946" s="18"/>
      <c r="P946" s="18"/>
      <c r="Q946" s="18"/>
      <c r="R946" s="18"/>
      <c r="S946" s="18"/>
      <c r="T946" s="18"/>
      <c r="U946" s="18"/>
      <c r="V946" s="18"/>
      <c r="W946" s="18"/>
      <c r="X946" s="18"/>
      <c r="Y946" s="18"/>
      <c r="Z946" s="18"/>
    </row>
    <row r="947">
      <c r="A947" s="18"/>
      <c r="B947" s="80"/>
      <c r="C947" s="18"/>
      <c r="D947" s="80"/>
      <c r="E947" s="80"/>
      <c r="F947" s="134"/>
      <c r="G947" s="18"/>
      <c r="H947" s="18"/>
      <c r="I947" s="18"/>
      <c r="J947" s="18"/>
      <c r="K947" s="18"/>
      <c r="L947" s="18"/>
      <c r="M947" s="18"/>
      <c r="N947" s="18"/>
      <c r="O947" s="18"/>
      <c r="P947" s="18"/>
      <c r="Q947" s="18"/>
      <c r="R947" s="18"/>
      <c r="S947" s="18"/>
      <c r="T947" s="18"/>
      <c r="U947" s="18"/>
      <c r="V947" s="18"/>
      <c r="W947" s="18"/>
      <c r="X947" s="18"/>
      <c r="Y947" s="18"/>
      <c r="Z947" s="18"/>
    </row>
    <row r="948">
      <c r="A948" s="18"/>
      <c r="B948" s="80"/>
      <c r="C948" s="18"/>
      <c r="D948" s="80"/>
      <c r="E948" s="80"/>
      <c r="F948" s="134"/>
      <c r="G948" s="18"/>
      <c r="H948" s="18"/>
      <c r="I948" s="18"/>
      <c r="J948" s="18"/>
      <c r="K948" s="18"/>
      <c r="L948" s="18"/>
      <c r="M948" s="18"/>
      <c r="N948" s="18"/>
      <c r="O948" s="18"/>
      <c r="P948" s="18"/>
      <c r="Q948" s="18"/>
      <c r="R948" s="18"/>
      <c r="S948" s="18"/>
      <c r="T948" s="18"/>
      <c r="U948" s="18"/>
      <c r="V948" s="18"/>
      <c r="W948" s="18"/>
      <c r="X948" s="18"/>
      <c r="Y948" s="18"/>
      <c r="Z948" s="18"/>
    </row>
    <row r="949">
      <c r="A949" s="18"/>
      <c r="B949" s="80"/>
      <c r="C949" s="18"/>
      <c r="D949" s="80"/>
      <c r="E949" s="80"/>
      <c r="F949" s="134"/>
      <c r="G949" s="18"/>
      <c r="H949" s="18"/>
      <c r="I949" s="18"/>
      <c r="J949" s="18"/>
      <c r="K949" s="18"/>
      <c r="L949" s="18"/>
      <c r="M949" s="18"/>
      <c r="N949" s="18"/>
      <c r="O949" s="18"/>
      <c r="P949" s="18"/>
      <c r="Q949" s="18"/>
      <c r="R949" s="18"/>
      <c r="S949" s="18"/>
      <c r="T949" s="18"/>
      <c r="U949" s="18"/>
      <c r="V949" s="18"/>
      <c r="W949" s="18"/>
      <c r="X949" s="18"/>
      <c r="Y949" s="18"/>
      <c r="Z949" s="18"/>
    </row>
    <row r="950">
      <c r="A950" s="18"/>
      <c r="B950" s="80"/>
      <c r="C950" s="18"/>
      <c r="D950" s="80"/>
      <c r="E950" s="80"/>
      <c r="F950" s="134"/>
      <c r="G950" s="18"/>
      <c r="H950" s="18"/>
      <c r="I950" s="18"/>
      <c r="J950" s="18"/>
      <c r="K950" s="18"/>
      <c r="L950" s="18"/>
      <c r="M950" s="18"/>
      <c r="N950" s="18"/>
      <c r="O950" s="18"/>
      <c r="P950" s="18"/>
      <c r="Q950" s="18"/>
      <c r="R950" s="18"/>
      <c r="S950" s="18"/>
      <c r="T950" s="18"/>
      <c r="U950" s="18"/>
      <c r="V950" s="18"/>
      <c r="W950" s="18"/>
      <c r="X950" s="18"/>
      <c r="Y950" s="18"/>
      <c r="Z950" s="18"/>
    </row>
    <row r="951">
      <c r="A951" s="18"/>
      <c r="B951" s="80"/>
      <c r="C951" s="18"/>
      <c r="D951" s="80"/>
      <c r="E951" s="80"/>
      <c r="F951" s="134"/>
      <c r="G951" s="18"/>
      <c r="H951" s="18"/>
      <c r="I951" s="18"/>
      <c r="J951" s="18"/>
      <c r="K951" s="18"/>
      <c r="L951" s="18"/>
      <c r="M951" s="18"/>
      <c r="N951" s="18"/>
      <c r="O951" s="18"/>
      <c r="P951" s="18"/>
      <c r="Q951" s="18"/>
      <c r="R951" s="18"/>
      <c r="S951" s="18"/>
      <c r="T951" s="18"/>
      <c r="U951" s="18"/>
      <c r="V951" s="18"/>
      <c r="W951" s="18"/>
      <c r="X951" s="18"/>
      <c r="Y951" s="18"/>
      <c r="Z951" s="18"/>
    </row>
    <row r="952">
      <c r="A952" s="18"/>
      <c r="B952" s="80"/>
      <c r="C952" s="18"/>
      <c r="D952" s="80"/>
      <c r="E952" s="80"/>
      <c r="F952" s="134"/>
      <c r="G952" s="18"/>
      <c r="H952" s="18"/>
      <c r="I952" s="18"/>
      <c r="J952" s="18"/>
      <c r="K952" s="18"/>
      <c r="L952" s="18"/>
      <c r="M952" s="18"/>
      <c r="N952" s="18"/>
      <c r="O952" s="18"/>
      <c r="P952" s="18"/>
      <c r="Q952" s="18"/>
      <c r="R952" s="18"/>
      <c r="S952" s="18"/>
      <c r="T952" s="18"/>
      <c r="U952" s="18"/>
      <c r="V952" s="18"/>
      <c r="W952" s="18"/>
      <c r="X952" s="18"/>
      <c r="Y952" s="18"/>
      <c r="Z952" s="18"/>
    </row>
    <row r="953">
      <c r="A953" s="18"/>
      <c r="B953" s="80"/>
      <c r="C953" s="18"/>
      <c r="D953" s="80"/>
      <c r="E953" s="80"/>
      <c r="F953" s="134"/>
      <c r="G953" s="18"/>
      <c r="H953" s="18"/>
      <c r="I953" s="18"/>
      <c r="J953" s="18"/>
      <c r="K953" s="18"/>
      <c r="L953" s="18"/>
      <c r="M953" s="18"/>
      <c r="N953" s="18"/>
      <c r="O953" s="18"/>
      <c r="P953" s="18"/>
      <c r="Q953" s="18"/>
      <c r="R953" s="18"/>
      <c r="S953" s="18"/>
      <c r="T953" s="18"/>
      <c r="U953" s="18"/>
      <c r="V953" s="18"/>
      <c r="W953" s="18"/>
      <c r="X953" s="18"/>
      <c r="Y953" s="18"/>
      <c r="Z953" s="18"/>
    </row>
    <row r="954">
      <c r="A954" s="18"/>
      <c r="B954" s="80"/>
      <c r="C954" s="18"/>
      <c r="D954" s="80"/>
      <c r="E954" s="80"/>
      <c r="F954" s="134"/>
      <c r="G954" s="18"/>
      <c r="H954" s="18"/>
      <c r="I954" s="18"/>
      <c r="J954" s="18"/>
      <c r="K954" s="18"/>
      <c r="L954" s="18"/>
      <c r="M954" s="18"/>
      <c r="N954" s="18"/>
      <c r="O954" s="18"/>
      <c r="P954" s="18"/>
      <c r="Q954" s="18"/>
      <c r="R954" s="18"/>
      <c r="S954" s="18"/>
      <c r="T954" s="18"/>
      <c r="U954" s="18"/>
      <c r="V954" s="18"/>
      <c r="W954" s="18"/>
      <c r="X954" s="18"/>
      <c r="Y954" s="18"/>
      <c r="Z954" s="18"/>
    </row>
    <row r="955">
      <c r="A955" s="18"/>
      <c r="B955" s="80"/>
      <c r="C955" s="18"/>
      <c r="D955" s="80"/>
      <c r="E955" s="80"/>
      <c r="F955" s="134"/>
      <c r="G955" s="18"/>
      <c r="H955" s="18"/>
      <c r="I955" s="18"/>
      <c r="J955" s="18"/>
      <c r="K955" s="18"/>
      <c r="L955" s="18"/>
      <c r="M955" s="18"/>
      <c r="N955" s="18"/>
      <c r="O955" s="18"/>
      <c r="P955" s="18"/>
      <c r="Q955" s="18"/>
      <c r="R955" s="18"/>
      <c r="S955" s="18"/>
      <c r="T955" s="18"/>
      <c r="U955" s="18"/>
      <c r="V955" s="18"/>
      <c r="W955" s="18"/>
      <c r="X955" s="18"/>
      <c r="Y955" s="18"/>
      <c r="Z955" s="18"/>
    </row>
    <row r="956">
      <c r="A956" s="18"/>
      <c r="B956" s="80"/>
      <c r="C956" s="18"/>
      <c r="D956" s="80"/>
      <c r="E956" s="80"/>
      <c r="F956" s="134"/>
      <c r="G956" s="18"/>
      <c r="H956" s="18"/>
      <c r="I956" s="18"/>
      <c r="J956" s="18"/>
      <c r="K956" s="18"/>
      <c r="L956" s="18"/>
      <c r="M956" s="18"/>
      <c r="N956" s="18"/>
      <c r="O956" s="18"/>
      <c r="P956" s="18"/>
      <c r="Q956" s="18"/>
      <c r="R956" s="18"/>
      <c r="S956" s="18"/>
      <c r="T956" s="18"/>
      <c r="U956" s="18"/>
      <c r="V956" s="18"/>
      <c r="W956" s="18"/>
      <c r="X956" s="18"/>
      <c r="Y956" s="18"/>
      <c r="Z956" s="18"/>
    </row>
    <row r="957">
      <c r="A957" s="18"/>
      <c r="B957" s="80"/>
      <c r="C957" s="18"/>
      <c r="D957" s="80"/>
      <c r="E957" s="80"/>
      <c r="F957" s="134"/>
      <c r="G957" s="18"/>
      <c r="H957" s="18"/>
      <c r="I957" s="18"/>
      <c r="J957" s="18"/>
      <c r="K957" s="18"/>
      <c r="L957" s="18"/>
      <c r="M957" s="18"/>
      <c r="N957" s="18"/>
      <c r="O957" s="18"/>
      <c r="P957" s="18"/>
      <c r="Q957" s="18"/>
      <c r="R957" s="18"/>
      <c r="S957" s="18"/>
      <c r="T957" s="18"/>
      <c r="U957" s="18"/>
      <c r="V957" s="18"/>
      <c r="W957" s="18"/>
      <c r="X957" s="18"/>
      <c r="Y957" s="18"/>
      <c r="Z957" s="18"/>
    </row>
    <row r="958">
      <c r="A958" s="18"/>
      <c r="B958" s="80"/>
      <c r="C958" s="18"/>
      <c r="D958" s="80"/>
      <c r="E958" s="80"/>
      <c r="F958" s="134"/>
      <c r="G958" s="18"/>
      <c r="H958" s="18"/>
      <c r="I958" s="18"/>
      <c r="J958" s="18"/>
      <c r="K958" s="18"/>
      <c r="L958" s="18"/>
      <c r="M958" s="18"/>
      <c r="N958" s="18"/>
      <c r="O958" s="18"/>
      <c r="P958" s="18"/>
      <c r="Q958" s="18"/>
      <c r="R958" s="18"/>
      <c r="S958" s="18"/>
      <c r="T958" s="18"/>
      <c r="U958" s="18"/>
      <c r="V958" s="18"/>
      <c r="W958" s="18"/>
      <c r="X958" s="18"/>
      <c r="Y958" s="18"/>
      <c r="Z958" s="18"/>
    </row>
    <row r="959">
      <c r="A959" s="18"/>
      <c r="B959" s="80"/>
      <c r="C959" s="18"/>
      <c r="D959" s="80"/>
      <c r="E959" s="80"/>
      <c r="F959" s="134"/>
      <c r="G959" s="18"/>
      <c r="H959" s="18"/>
      <c r="I959" s="18"/>
      <c r="J959" s="18"/>
      <c r="K959" s="18"/>
      <c r="L959" s="18"/>
      <c r="M959" s="18"/>
      <c r="N959" s="18"/>
      <c r="O959" s="18"/>
      <c r="P959" s="18"/>
      <c r="Q959" s="18"/>
      <c r="R959" s="18"/>
      <c r="S959" s="18"/>
      <c r="T959" s="18"/>
      <c r="U959" s="18"/>
      <c r="V959" s="18"/>
      <c r="W959" s="18"/>
      <c r="X959" s="18"/>
      <c r="Y959" s="18"/>
      <c r="Z959" s="18"/>
    </row>
    <row r="960">
      <c r="A960" s="18"/>
      <c r="B960" s="80"/>
      <c r="C960" s="18"/>
      <c r="D960" s="80"/>
      <c r="E960" s="80"/>
      <c r="F960" s="134"/>
      <c r="G960" s="18"/>
      <c r="H960" s="18"/>
      <c r="I960" s="18"/>
      <c r="J960" s="18"/>
      <c r="K960" s="18"/>
      <c r="L960" s="18"/>
      <c r="M960" s="18"/>
      <c r="N960" s="18"/>
      <c r="O960" s="18"/>
      <c r="P960" s="18"/>
      <c r="Q960" s="18"/>
      <c r="R960" s="18"/>
      <c r="S960" s="18"/>
      <c r="T960" s="18"/>
      <c r="U960" s="18"/>
      <c r="V960" s="18"/>
      <c r="W960" s="18"/>
      <c r="X960" s="18"/>
      <c r="Y960" s="18"/>
      <c r="Z960" s="18"/>
    </row>
    <row r="961">
      <c r="A961" s="18"/>
      <c r="B961" s="80"/>
      <c r="C961" s="18"/>
      <c r="D961" s="80"/>
      <c r="E961" s="80"/>
      <c r="F961" s="134"/>
      <c r="G961" s="18"/>
      <c r="H961" s="18"/>
      <c r="I961" s="18"/>
      <c r="J961" s="18"/>
      <c r="K961" s="18"/>
      <c r="L961" s="18"/>
      <c r="M961" s="18"/>
      <c r="N961" s="18"/>
      <c r="O961" s="18"/>
      <c r="P961" s="18"/>
      <c r="Q961" s="18"/>
      <c r="R961" s="18"/>
      <c r="S961" s="18"/>
      <c r="T961" s="18"/>
      <c r="U961" s="18"/>
      <c r="V961" s="18"/>
      <c r="W961" s="18"/>
      <c r="X961" s="18"/>
      <c r="Y961" s="18"/>
      <c r="Z961" s="18"/>
    </row>
    <row r="962">
      <c r="A962" s="18"/>
      <c r="B962" s="80"/>
      <c r="C962" s="18"/>
      <c r="D962" s="80"/>
      <c r="E962" s="80"/>
      <c r="F962" s="134"/>
      <c r="G962" s="18"/>
      <c r="H962" s="18"/>
      <c r="I962" s="18"/>
      <c r="J962" s="18"/>
      <c r="K962" s="18"/>
      <c r="L962" s="18"/>
      <c r="M962" s="18"/>
      <c r="N962" s="18"/>
      <c r="O962" s="18"/>
      <c r="P962" s="18"/>
      <c r="Q962" s="18"/>
      <c r="R962" s="18"/>
      <c r="S962" s="18"/>
      <c r="T962" s="18"/>
      <c r="U962" s="18"/>
      <c r="V962" s="18"/>
      <c r="W962" s="18"/>
      <c r="X962" s="18"/>
      <c r="Y962" s="18"/>
      <c r="Z962" s="18"/>
    </row>
    <row r="963">
      <c r="A963" s="18"/>
      <c r="B963" s="80"/>
      <c r="C963" s="18"/>
      <c r="D963" s="80"/>
      <c r="E963" s="80"/>
      <c r="F963" s="134"/>
      <c r="G963" s="18"/>
      <c r="H963" s="18"/>
      <c r="I963" s="18"/>
      <c r="J963" s="18"/>
      <c r="K963" s="18"/>
      <c r="L963" s="18"/>
      <c r="M963" s="18"/>
      <c r="N963" s="18"/>
      <c r="O963" s="18"/>
      <c r="P963" s="18"/>
      <c r="Q963" s="18"/>
      <c r="R963" s="18"/>
      <c r="S963" s="18"/>
      <c r="T963" s="18"/>
      <c r="U963" s="18"/>
      <c r="V963" s="18"/>
      <c r="W963" s="18"/>
      <c r="X963" s="18"/>
      <c r="Y963" s="18"/>
      <c r="Z963" s="18"/>
    </row>
    <row r="964">
      <c r="A964" s="18"/>
      <c r="B964" s="80"/>
      <c r="C964" s="18"/>
      <c r="D964" s="80"/>
      <c r="E964" s="80"/>
      <c r="F964" s="134"/>
      <c r="G964" s="18"/>
      <c r="H964" s="18"/>
      <c r="I964" s="18"/>
      <c r="J964" s="18"/>
      <c r="K964" s="18"/>
      <c r="L964" s="18"/>
      <c r="M964" s="18"/>
      <c r="N964" s="18"/>
      <c r="O964" s="18"/>
      <c r="P964" s="18"/>
      <c r="Q964" s="18"/>
      <c r="R964" s="18"/>
      <c r="S964" s="18"/>
      <c r="T964" s="18"/>
      <c r="U964" s="18"/>
      <c r="V964" s="18"/>
      <c r="W964" s="18"/>
      <c r="X964" s="18"/>
      <c r="Y964" s="18"/>
      <c r="Z964" s="18"/>
    </row>
    <row r="965">
      <c r="A965" s="18"/>
      <c r="B965" s="80"/>
      <c r="C965" s="18"/>
      <c r="D965" s="80"/>
      <c r="E965" s="80"/>
      <c r="F965" s="134"/>
      <c r="G965" s="18"/>
      <c r="H965" s="18"/>
      <c r="I965" s="18"/>
      <c r="J965" s="18"/>
      <c r="K965" s="18"/>
      <c r="L965" s="18"/>
      <c r="M965" s="18"/>
      <c r="N965" s="18"/>
      <c r="O965" s="18"/>
      <c r="P965" s="18"/>
      <c r="Q965" s="18"/>
      <c r="R965" s="18"/>
      <c r="S965" s="18"/>
      <c r="T965" s="18"/>
      <c r="U965" s="18"/>
      <c r="V965" s="18"/>
      <c r="W965" s="18"/>
      <c r="X965" s="18"/>
      <c r="Y965" s="18"/>
      <c r="Z965" s="18"/>
    </row>
    <row r="966">
      <c r="A966" s="18"/>
      <c r="B966" s="80"/>
      <c r="C966" s="18"/>
      <c r="D966" s="80"/>
      <c r="E966" s="80"/>
      <c r="F966" s="134"/>
      <c r="G966" s="18"/>
      <c r="H966" s="18"/>
      <c r="I966" s="18"/>
      <c r="J966" s="18"/>
      <c r="K966" s="18"/>
      <c r="L966" s="18"/>
      <c r="M966" s="18"/>
      <c r="N966" s="18"/>
      <c r="O966" s="18"/>
      <c r="P966" s="18"/>
      <c r="Q966" s="18"/>
      <c r="R966" s="18"/>
      <c r="S966" s="18"/>
      <c r="T966" s="18"/>
      <c r="U966" s="18"/>
      <c r="V966" s="18"/>
      <c r="W966" s="18"/>
      <c r="X966" s="18"/>
      <c r="Y966" s="18"/>
      <c r="Z966" s="18"/>
    </row>
    <row r="967">
      <c r="A967" s="18"/>
      <c r="B967" s="80"/>
      <c r="C967" s="18"/>
      <c r="D967" s="80"/>
      <c r="E967" s="80"/>
      <c r="F967" s="134"/>
      <c r="G967" s="18"/>
      <c r="H967" s="18"/>
      <c r="I967" s="18"/>
      <c r="J967" s="18"/>
      <c r="K967" s="18"/>
      <c r="L967" s="18"/>
      <c r="M967" s="18"/>
      <c r="N967" s="18"/>
      <c r="O967" s="18"/>
      <c r="P967" s="18"/>
      <c r="Q967" s="18"/>
      <c r="R967" s="18"/>
      <c r="S967" s="18"/>
      <c r="T967" s="18"/>
      <c r="U967" s="18"/>
      <c r="V967" s="18"/>
      <c r="W967" s="18"/>
      <c r="X967" s="18"/>
      <c r="Y967" s="18"/>
      <c r="Z967" s="18"/>
    </row>
    <row r="968">
      <c r="A968" s="18"/>
      <c r="B968" s="80"/>
      <c r="C968" s="18"/>
      <c r="D968" s="80"/>
      <c r="E968" s="80"/>
      <c r="F968" s="134"/>
      <c r="G968" s="18"/>
      <c r="H968" s="18"/>
      <c r="I968" s="18"/>
      <c r="J968" s="18"/>
      <c r="K968" s="18"/>
      <c r="L968" s="18"/>
      <c r="M968" s="18"/>
      <c r="N968" s="18"/>
      <c r="O968" s="18"/>
      <c r="P968" s="18"/>
      <c r="Q968" s="18"/>
      <c r="R968" s="18"/>
      <c r="S968" s="18"/>
      <c r="T968" s="18"/>
      <c r="U968" s="18"/>
      <c r="V968" s="18"/>
      <c r="W968" s="18"/>
      <c r="X968" s="18"/>
      <c r="Y968" s="18"/>
      <c r="Z968" s="18"/>
    </row>
    <row r="969">
      <c r="A969" s="18"/>
      <c r="B969" s="80"/>
      <c r="C969" s="18"/>
      <c r="D969" s="80"/>
      <c r="E969" s="80"/>
      <c r="F969" s="134"/>
      <c r="G969" s="18"/>
      <c r="H969" s="18"/>
      <c r="I969" s="18"/>
      <c r="J969" s="18"/>
      <c r="K969" s="18"/>
      <c r="L969" s="18"/>
      <c r="M969" s="18"/>
      <c r="N969" s="18"/>
      <c r="O969" s="18"/>
      <c r="P969" s="18"/>
      <c r="Q969" s="18"/>
      <c r="R969" s="18"/>
      <c r="S969" s="18"/>
      <c r="T969" s="18"/>
      <c r="U969" s="18"/>
      <c r="V969" s="18"/>
      <c r="W969" s="18"/>
      <c r="X969" s="18"/>
      <c r="Y969" s="18"/>
      <c r="Z969" s="18"/>
    </row>
    <row r="970">
      <c r="A970" s="18"/>
      <c r="B970" s="80"/>
      <c r="C970" s="18"/>
      <c r="D970" s="80"/>
      <c r="E970" s="80"/>
      <c r="F970" s="134"/>
      <c r="G970" s="18"/>
      <c r="H970" s="18"/>
      <c r="I970" s="18"/>
      <c r="J970" s="18"/>
      <c r="K970" s="18"/>
      <c r="L970" s="18"/>
      <c r="M970" s="18"/>
      <c r="N970" s="18"/>
      <c r="O970" s="18"/>
      <c r="P970" s="18"/>
      <c r="Q970" s="18"/>
      <c r="R970" s="18"/>
      <c r="S970" s="18"/>
      <c r="T970" s="18"/>
      <c r="U970" s="18"/>
      <c r="V970" s="18"/>
      <c r="W970" s="18"/>
      <c r="X970" s="18"/>
      <c r="Y970" s="18"/>
      <c r="Z970" s="18"/>
    </row>
    <row r="971">
      <c r="A971" s="18"/>
      <c r="B971" s="80"/>
      <c r="C971" s="18"/>
      <c r="D971" s="80"/>
      <c r="E971" s="80"/>
      <c r="F971" s="134"/>
      <c r="G971" s="18"/>
      <c r="H971" s="18"/>
      <c r="I971" s="18"/>
      <c r="J971" s="18"/>
      <c r="K971" s="18"/>
      <c r="L971" s="18"/>
      <c r="M971" s="18"/>
      <c r="N971" s="18"/>
      <c r="O971" s="18"/>
      <c r="P971" s="18"/>
      <c r="Q971" s="18"/>
      <c r="R971" s="18"/>
      <c r="S971" s="18"/>
      <c r="T971" s="18"/>
      <c r="U971" s="18"/>
      <c r="V971" s="18"/>
      <c r="W971" s="18"/>
      <c r="X971" s="18"/>
      <c r="Y971" s="18"/>
      <c r="Z971" s="18"/>
    </row>
    <row r="972">
      <c r="A972" s="18"/>
      <c r="B972" s="80"/>
      <c r="C972" s="18"/>
      <c r="D972" s="80"/>
      <c r="E972" s="80"/>
      <c r="F972" s="134"/>
      <c r="G972" s="18"/>
      <c r="H972" s="18"/>
      <c r="I972" s="18"/>
      <c r="J972" s="18"/>
      <c r="K972" s="18"/>
      <c r="L972" s="18"/>
      <c r="M972" s="18"/>
      <c r="N972" s="18"/>
      <c r="O972" s="18"/>
      <c r="P972" s="18"/>
      <c r="Q972" s="18"/>
      <c r="R972" s="18"/>
      <c r="S972" s="18"/>
      <c r="T972" s="18"/>
      <c r="U972" s="18"/>
      <c r="V972" s="18"/>
      <c r="W972" s="18"/>
      <c r="X972" s="18"/>
      <c r="Y972" s="18"/>
      <c r="Z972" s="18"/>
    </row>
    <row r="973">
      <c r="A973" s="18"/>
      <c r="B973" s="80"/>
      <c r="C973" s="18"/>
      <c r="D973" s="80"/>
      <c r="E973" s="80"/>
      <c r="F973" s="134"/>
      <c r="G973" s="18"/>
      <c r="H973" s="18"/>
      <c r="I973" s="18"/>
      <c r="J973" s="18"/>
      <c r="K973" s="18"/>
      <c r="L973" s="18"/>
      <c r="M973" s="18"/>
      <c r="N973" s="18"/>
      <c r="O973" s="18"/>
      <c r="P973" s="18"/>
      <c r="Q973" s="18"/>
      <c r="R973" s="18"/>
      <c r="S973" s="18"/>
      <c r="T973" s="18"/>
      <c r="U973" s="18"/>
      <c r="V973" s="18"/>
      <c r="W973" s="18"/>
      <c r="X973" s="18"/>
      <c r="Y973" s="18"/>
      <c r="Z973" s="18"/>
    </row>
    <row r="974">
      <c r="A974" s="18"/>
      <c r="B974" s="80"/>
      <c r="C974" s="18"/>
      <c r="D974" s="80"/>
      <c r="E974" s="80"/>
      <c r="F974" s="134"/>
      <c r="G974" s="18"/>
      <c r="H974" s="18"/>
      <c r="I974" s="18"/>
      <c r="J974" s="18"/>
      <c r="K974" s="18"/>
      <c r="L974" s="18"/>
      <c r="M974" s="18"/>
      <c r="N974" s="18"/>
      <c r="O974" s="18"/>
      <c r="P974" s="18"/>
      <c r="Q974" s="18"/>
      <c r="R974" s="18"/>
      <c r="S974" s="18"/>
      <c r="T974" s="18"/>
      <c r="U974" s="18"/>
      <c r="V974" s="18"/>
      <c r="W974" s="18"/>
      <c r="X974" s="18"/>
      <c r="Y974" s="18"/>
      <c r="Z974" s="18"/>
    </row>
    <row r="975">
      <c r="A975" s="18"/>
      <c r="B975" s="80"/>
      <c r="C975" s="18"/>
      <c r="D975" s="80"/>
      <c r="E975" s="80"/>
      <c r="F975" s="134"/>
      <c r="G975" s="18"/>
      <c r="H975" s="18"/>
      <c r="I975" s="18"/>
      <c r="J975" s="18"/>
      <c r="K975" s="18"/>
      <c r="L975" s="18"/>
      <c r="M975" s="18"/>
      <c r="N975" s="18"/>
      <c r="O975" s="18"/>
      <c r="P975" s="18"/>
      <c r="Q975" s="18"/>
      <c r="R975" s="18"/>
      <c r="S975" s="18"/>
      <c r="T975" s="18"/>
      <c r="U975" s="18"/>
      <c r="V975" s="18"/>
      <c r="W975" s="18"/>
      <c r="X975" s="18"/>
      <c r="Y975" s="18"/>
      <c r="Z975" s="18"/>
    </row>
    <row r="976">
      <c r="A976" s="18"/>
      <c r="B976" s="80"/>
      <c r="C976" s="18"/>
      <c r="D976" s="80"/>
      <c r="E976" s="80"/>
      <c r="F976" s="134"/>
      <c r="G976" s="18"/>
      <c r="H976" s="18"/>
      <c r="I976" s="18"/>
      <c r="J976" s="18"/>
      <c r="K976" s="18"/>
      <c r="L976" s="18"/>
      <c r="M976" s="18"/>
      <c r="N976" s="18"/>
      <c r="O976" s="18"/>
      <c r="P976" s="18"/>
      <c r="Q976" s="18"/>
      <c r="R976" s="18"/>
      <c r="S976" s="18"/>
      <c r="T976" s="18"/>
      <c r="U976" s="18"/>
      <c r="V976" s="18"/>
      <c r="W976" s="18"/>
      <c r="X976" s="18"/>
      <c r="Y976" s="18"/>
      <c r="Z976" s="18"/>
    </row>
    <row r="977">
      <c r="A977" s="18"/>
      <c r="B977" s="80"/>
      <c r="C977" s="18"/>
      <c r="D977" s="80"/>
      <c r="E977" s="80"/>
      <c r="F977" s="134"/>
      <c r="G977" s="18"/>
      <c r="H977" s="18"/>
      <c r="I977" s="18"/>
      <c r="J977" s="18"/>
      <c r="K977" s="18"/>
      <c r="L977" s="18"/>
      <c r="M977" s="18"/>
      <c r="N977" s="18"/>
      <c r="O977" s="18"/>
      <c r="P977" s="18"/>
      <c r="Q977" s="18"/>
      <c r="R977" s="18"/>
      <c r="S977" s="18"/>
      <c r="T977" s="18"/>
      <c r="U977" s="18"/>
      <c r="V977" s="18"/>
      <c r="W977" s="18"/>
      <c r="X977" s="18"/>
      <c r="Y977" s="18"/>
      <c r="Z977" s="18"/>
    </row>
    <row r="978">
      <c r="A978" s="18"/>
      <c r="B978" s="80"/>
      <c r="C978" s="18"/>
      <c r="D978" s="80"/>
      <c r="E978" s="80"/>
      <c r="F978" s="134"/>
      <c r="G978" s="18"/>
      <c r="H978" s="18"/>
      <c r="I978" s="18"/>
      <c r="J978" s="18"/>
      <c r="K978" s="18"/>
      <c r="L978" s="18"/>
      <c r="M978" s="18"/>
      <c r="N978" s="18"/>
      <c r="O978" s="18"/>
      <c r="P978" s="18"/>
      <c r="Q978" s="18"/>
      <c r="R978" s="18"/>
      <c r="S978" s="18"/>
      <c r="T978" s="18"/>
      <c r="U978" s="18"/>
      <c r="V978" s="18"/>
      <c r="W978" s="18"/>
      <c r="X978" s="18"/>
      <c r="Y978" s="18"/>
      <c r="Z978" s="18"/>
    </row>
    <row r="979">
      <c r="A979" s="18"/>
      <c r="B979" s="80"/>
      <c r="C979" s="18"/>
      <c r="D979" s="80"/>
      <c r="E979" s="80"/>
      <c r="F979" s="134"/>
      <c r="G979" s="18"/>
      <c r="H979" s="18"/>
      <c r="I979" s="18"/>
      <c r="J979" s="18"/>
      <c r="K979" s="18"/>
      <c r="L979" s="18"/>
      <c r="M979" s="18"/>
      <c r="N979" s="18"/>
      <c r="O979" s="18"/>
      <c r="P979" s="18"/>
      <c r="Q979" s="18"/>
      <c r="R979" s="18"/>
      <c r="S979" s="18"/>
      <c r="T979" s="18"/>
      <c r="U979" s="18"/>
      <c r="V979" s="18"/>
      <c r="W979" s="18"/>
      <c r="X979" s="18"/>
      <c r="Y979" s="18"/>
      <c r="Z979" s="18"/>
    </row>
    <row r="980">
      <c r="A980" s="18"/>
      <c r="B980" s="80"/>
      <c r="C980" s="18"/>
      <c r="D980" s="80"/>
      <c r="E980" s="80"/>
      <c r="F980" s="134"/>
      <c r="G980" s="18"/>
      <c r="H980" s="18"/>
      <c r="I980" s="18"/>
      <c r="J980" s="18"/>
      <c r="K980" s="18"/>
      <c r="L980" s="18"/>
      <c r="M980" s="18"/>
      <c r="N980" s="18"/>
      <c r="O980" s="18"/>
      <c r="P980" s="18"/>
      <c r="Q980" s="18"/>
      <c r="R980" s="18"/>
      <c r="S980" s="18"/>
      <c r="T980" s="18"/>
      <c r="U980" s="18"/>
      <c r="V980" s="18"/>
      <c r="W980" s="18"/>
      <c r="X980" s="18"/>
      <c r="Y980" s="18"/>
      <c r="Z980" s="18"/>
    </row>
    <row r="981">
      <c r="A981" s="18"/>
      <c r="B981" s="80"/>
      <c r="C981" s="18"/>
      <c r="D981" s="80"/>
      <c r="E981" s="80"/>
      <c r="F981" s="134"/>
      <c r="G981" s="18"/>
      <c r="H981" s="18"/>
      <c r="I981" s="18"/>
      <c r="J981" s="18"/>
      <c r="K981" s="18"/>
      <c r="L981" s="18"/>
      <c r="M981" s="18"/>
      <c r="N981" s="18"/>
      <c r="O981" s="18"/>
      <c r="P981" s="18"/>
      <c r="Q981" s="18"/>
      <c r="R981" s="18"/>
      <c r="S981" s="18"/>
      <c r="T981" s="18"/>
      <c r="U981" s="18"/>
      <c r="V981" s="18"/>
      <c r="W981" s="18"/>
      <c r="X981" s="18"/>
      <c r="Y981" s="18"/>
      <c r="Z981" s="18"/>
    </row>
    <row r="982">
      <c r="A982" s="18"/>
      <c r="B982" s="80"/>
      <c r="C982" s="18"/>
      <c r="D982" s="80"/>
      <c r="E982" s="80"/>
      <c r="F982" s="134"/>
      <c r="G982" s="18"/>
      <c r="H982" s="18"/>
      <c r="I982" s="18"/>
      <c r="J982" s="18"/>
      <c r="K982" s="18"/>
      <c r="L982" s="18"/>
      <c r="M982" s="18"/>
      <c r="N982" s="18"/>
      <c r="O982" s="18"/>
      <c r="P982" s="18"/>
      <c r="Q982" s="18"/>
      <c r="R982" s="18"/>
      <c r="S982" s="18"/>
      <c r="T982" s="18"/>
      <c r="U982" s="18"/>
      <c r="V982" s="18"/>
      <c r="W982" s="18"/>
      <c r="X982" s="18"/>
      <c r="Y982" s="18"/>
      <c r="Z982" s="18"/>
    </row>
    <row r="983">
      <c r="A983" s="18"/>
      <c r="B983" s="80"/>
      <c r="C983" s="18"/>
      <c r="D983" s="80"/>
      <c r="E983" s="80"/>
      <c r="F983" s="134"/>
      <c r="G983" s="18"/>
      <c r="H983" s="18"/>
      <c r="I983" s="18"/>
      <c r="J983" s="18"/>
      <c r="K983" s="18"/>
      <c r="L983" s="18"/>
      <c r="M983" s="18"/>
      <c r="N983" s="18"/>
      <c r="O983" s="18"/>
      <c r="P983" s="18"/>
      <c r="Q983" s="18"/>
      <c r="R983" s="18"/>
      <c r="S983" s="18"/>
      <c r="T983" s="18"/>
      <c r="U983" s="18"/>
      <c r="V983" s="18"/>
      <c r="W983" s="18"/>
      <c r="X983" s="18"/>
      <c r="Y983" s="18"/>
      <c r="Z983" s="18"/>
    </row>
    <row r="984">
      <c r="A984" s="18"/>
      <c r="B984" s="80"/>
      <c r="C984" s="18"/>
      <c r="D984" s="80"/>
      <c r="E984" s="80"/>
      <c r="F984" s="134"/>
      <c r="G984" s="18"/>
      <c r="H984" s="18"/>
      <c r="I984" s="18"/>
      <c r="J984" s="18"/>
      <c r="K984" s="18"/>
      <c r="L984" s="18"/>
      <c r="M984" s="18"/>
      <c r="N984" s="18"/>
      <c r="O984" s="18"/>
      <c r="P984" s="18"/>
      <c r="Q984" s="18"/>
      <c r="R984" s="18"/>
      <c r="S984" s="18"/>
      <c r="T984" s="18"/>
      <c r="U984" s="18"/>
      <c r="V984" s="18"/>
      <c r="W984" s="18"/>
      <c r="X984" s="18"/>
      <c r="Y984" s="18"/>
      <c r="Z984" s="18"/>
    </row>
    <row r="985">
      <c r="A985" s="18"/>
      <c r="B985" s="80"/>
      <c r="C985" s="18"/>
      <c r="D985" s="80"/>
      <c r="E985" s="80"/>
      <c r="F985" s="134"/>
      <c r="G985" s="18"/>
      <c r="H985" s="18"/>
      <c r="I985" s="18"/>
      <c r="J985" s="18"/>
      <c r="K985" s="18"/>
      <c r="L985" s="18"/>
      <c r="M985" s="18"/>
      <c r="N985" s="18"/>
      <c r="O985" s="18"/>
      <c r="P985" s="18"/>
      <c r="Q985" s="18"/>
      <c r="R985" s="18"/>
      <c r="S985" s="18"/>
      <c r="T985" s="18"/>
      <c r="U985" s="18"/>
      <c r="V985" s="18"/>
      <c r="W985" s="18"/>
      <c r="X985" s="18"/>
      <c r="Y985" s="18"/>
      <c r="Z985" s="18"/>
    </row>
    <row r="986">
      <c r="A986" s="18"/>
      <c r="B986" s="80"/>
      <c r="C986" s="18"/>
      <c r="D986" s="80"/>
      <c r="E986" s="80"/>
      <c r="F986" s="134"/>
      <c r="G986" s="18"/>
      <c r="H986" s="18"/>
      <c r="I986" s="18"/>
      <c r="J986" s="18"/>
      <c r="K986" s="18"/>
      <c r="L986" s="18"/>
      <c r="M986" s="18"/>
      <c r="N986" s="18"/>
      <c r="O986" s="18"/>
      <c r="P986" s="18"/>
      <c r="Q986" s="18"/>
      <c r="R986" s="18"/>
      <c r="S986" s="18"/>
      <c r="T986" s="18"/>
      <c r="U986" s="18"/>
      <c r="V986" s="18"/>
      <c r="W986" s="18"/>
      <c r="X986" s="18"/>
      <c r="Y986" s="18"/>
      <c r="Z986" s="18"/>
    </row>
    <row r="987">
      <c r="A987" s="18"/>
      <c r="B987" s="80"/>
      <c r="C987" s="18"/>
      <c r="D987" s="80"/>
      <c r="E987" s="80"/>
      <c r="F987" s="134"/>
      <c r="G987" s="18"/>
      <c r="H987" s="18"/>
      <c r="I987" s="18"/>
      <c r="J987" s="18"/>
      <c r="K987" s="18"/>
      <c r="L987" s="18"/>
      <c r="M987" s="18"/>
      <c r="N987" s="18"/>
      <c r="O987" s="18"/>
      <c r="P987" s="18"/>
      <c r="Q987" s="18"/>
      <c r="R987" s="18"/>
      <c r="S987" s="18"/>
      <c r="T987" s="18"/>
      <c r="U987" s="18"/>
      <c r="V987" s="18"/>
      <c r="W987" s="18"/>
      <c r="X987" s="18"/>
      <c r="Y987" s="18"/>
      <c r="Z987" s="18"/>
    </row>
    <row r="988">
      <c r="A988" s="18"/>
      <c r="B988" s="80"/>
      <c r="C988" s="18"/>
      <c r="D988" s="80"/>
      <c r="E988" s="80"/>
      <c r="F988" s="134"/>
      <c r="G988" s="18"/>
      <c r="H988" s="18"/>
      <c r="I988" s="18"/>
      <c r="J988" s="18"/>
      <c r="K988" s="18"/>
      <c r="L988" s="18"/>
      <c r="M988" s="18"/>
      <c r="N988" s="18"/>
      <c r="O988" s="18"/>
      <c r="P988" s="18"/>
      <c r="Q988" s="18"/>
      <c r="R988" s="18"/>
      <c r="S988" s="18"/>
      <c r="T988" s="18"/>
      <c r="U988" s="18"/>
      <c r="V988" s="18"/>
      <c r="W988" s="18"/>
      <c r="X988" s="18"/>
      <c r="Y988" s="18"/>
      <c r="Z988" s="18"/>
    </row>
    <row r="989">
      <c r="A989" s="18"/>
      <c r="B989" s="80"/>
      <c r="C989" s="18"/>
      <c r="D989" s="80"/>
      <c r="E989" s="80"/>
      <c r="F989" s="134"/>
      <c r="G989" s="18"/>
      <c r="H989" s="18"/>
      <c r="I989" s="18"/>
      <c r="J989" s="18"/>
      <c r="K989" s="18"/>
      <c r="L989" s="18"/>
      <c r="M989" s="18"/>
      <c r="N989" s="18"/>
      <c r="O989" s="18"/>
      <c r="P989" s="18"/>
      <c r="Q989" s="18"/>
      <c r="R989" s="18"/>
      <c r="S989" s="18"/>
      <c r="T989" s="18"/>
      <c r="U989" s="18"/>
      <c r="V989" s="18"/>
      <c r="W989" s="18"/>
      <c r="X989" s="18"/>
      <c r="Y989" s="18"/>
      <c r="Z989" s="18"/>
    </row>
    <row r="990">
      <c r="A990" s="18"/>
      <c r="B990" s="80"/>
      <c r="C990" s="18"/>
      <c r="D990" s="80"/>
      <c r="E990" s="80"/>
      <c r="F990" s="134"/>
      <c r="G990" s="18"/>
      <c r="H990" s="18"/>
      <c r="I990" s="18"/>
      <c r="J990" s="18"/>
      <c r="K990" s="18"/>
      <c r="L990" s="18"/>
      <c r="M990" s="18"/>
      <c r="N990" s="18"/>
      <c r="O990" s="18"/>
      <c r="P990" s="18"/>
      <c r="Q990" s="18"/>
      <c r="R990" s="18"/>
      <c r="S990" s="18"/>
      <c r="T990" s="18"/>
      <c r="U990" s="18"/>
      <c r="V990" s="18"/>
      <c r="W990" s="18"/>
      <c r="X990" s="18"/>
      <c r="Y990" s="18"/>
      <c r="Z990" s="18"/>
    </row>
    <row r="991">
      <c r="A991" s="18"/>
      <c r="B991" s="80"/>
      <c r="C991" s="18"/>
      <c r="D991" s="80"/>
      <c r="E991" s="80"/>
      <c r="F991" s="134"/>
      <c r="G991" s="18"/>
      <c r="H991" s="18"/>
      <c r="I991" s="18"/>
      <c r="J991" s="18"/>
      <c r="K991" s="18"/>
      <c r="L991" s="18"/>
      <c r="M991" s="18"/>
      <c r="N991" s="18"/>
      <c r="O991" s="18"/>
      <c r="P991" s="18"/>
      <c r="Q991" s="18"/>
      <c r="R991" s="18"/>
      <c r="S991" s="18"/>
      <c r="T991" s="18"/>
      <c r="U991" s="18"/>
      <c r="V991" s="18"/>
      <c r="W991" s="18"/>
      <c r="X991" s="18"/>
      <c r="Y991" s="18"/>
      <c r="Z991" s="18"/>
    </row>
    <row r="992">
      <c r="A992" s="18"/>
      <c r="B992" s="80"/>
      <c r="C992" s="18"/>
      <c r="D992" s="80"/>
      <c r="E992" s="80"/>
      <c r="F992" s="134"/>
      <c r="G992" s="18"/>
      <c r="H992" s="18"/>
      <c r="I992" s="18"/>
      <c r="J992" s="18"/>
      <c r="K992" s="18"/>
      <c r="L992" s="18"/>
      <c r="M992" s="18"/>
      <c r="N992" s="18"/>
      <c r="O992" s="18"/>
      <c r="P992" s="18"/>
      <c r="Q992" s="18"/>
      <c r="R992" s="18"/>
      <c r="S992" s="18"/>
      <c r="T992" s="18"/>
      <c r="U992" s="18"/>
      <c r="V992" s="18"/>
      <c r="W992" s="18"/>
      <c r="X992" s="18"/>
      <c r="Y992" s="18"/>
      <c r="Z992" s="18"/>
    </row>
    <row r="993">
      <c r="A993" s="18"/>
      <c r="B993" s="80"/>
      <c r="C993" s="18"/>
      <c r="D993" s="80"/>
      <c r="E993" s="80"/>
      <c r="F993" s="134"/>
      <c r="G993" s="18"/>
      <c r="H993" s="18"/>
      <c r="I993" s="18"/>
      <c r="J993" s="18"/>
      <c r="K993" s="18"/>
      <c r="L993" s="18"/>
      <c r="M993" s="18"/>
      <c r="N993" s="18"/>
      <c r="O993" s="18"/>
      <c r="P993" s="18"/>
      <c r="Q993" s="18"/>
      <c r="R993" s="18"/>
      <c r="S993" s="18"/>
      <c r="T993" s="18"/>
      <c r="U993" s="18"/>
      <c r="V993" s="18"/>
      <c r="W993" s="18"/>
      <c r="X993" s="18"/>
      <c r="Y993" s="18"/>
      <c r="Z993" s="18"/>
    </row>
    <row r="994">
      <c r="A994" s="18"/>
      <c r="B994" s="80"/>
      <c r="C994" s="18"/>
      <c r="D994" s="80"/>
      <c r="E994" s="80"/>
      <c r="F994" s="134"/>
      <c r="G994" s="18"/>
      <c r="H994" s="18"/>
      <c r="I994" s="18"/>
      <c r="J994" s="18"/>
      <c r="K994" s="18"/>
      <c r="L994" s="18"/>
      <c r="M994" s="18"/>
      <c r="N994" s="18"/>
      <c r="O994" s="18"/>
      <c r="P994" s="18"/>
      <c r="Q994" s="18"/>
      <c r="R994" s="18"/>
      <c r="S994" s="18"/>
      <c r="T994" s="18"/>
      <c r="U994" s="18"/>
      <c r="V994" s="18"/>
      <c r="W994" s="18"/>
      <c r="X994" s="18"/>
      <c r="Y994" s="18"/>
      <c r="Z994" s="18"/>
    </row>
    <row r="995">
      <c r="A995" s="18"/>
      <c r="B995" s="80"/>
      <c r="C995" s="18"/>
      <c r="D995" s="80"/>
      <c r="E995" s="80"/>
      <c r="F995" s="134"/>
      <c r="G995" s="18"/>
      <c r="H995" s="18"/>
      <c r="I995" s="18"/>
      <c r="J995" s="18"/>
      <c r="K995" s="18"/>
      <c r="L995" s="18"/>
      <c r="M995" s="18"/>
      <c r="N995" s="18"/>
      <c r="O995" s="18"/>
      <c r="P995" s="18"/>
      <c r="Q995" s="18"/>
      <c r="R995" s="18"/>
      <c r="S995" s="18"/>
      <c r="T995" s="18"/>
      <c r="U995" s="18"/>
      <c r="V995" s="18"/>
      <c r="W995" s="18"/>
      <c r="X995" s="18"/>
      <c r="Y995" s="18"/>
      <c r="Z995" s="18"/>
    </row>
    <row r="996">
      <c r="A996" s="18"/>
      <c r="B996" s="80"/>
      <c r="C996" s="18"/>
      <c r="D996" s="80"/>
      <c r="E996" s="80"/>
      <c r="F996" s="134"/>
      <c r="G996" s="18"/>
      <c r="H996" s="18"/>
      <c r="I996" s="18"/>
      <c r="J996" s="18"/>
      <c r="K996" s="18"/>
      <c r="L996" s="18"/>
      <c r="M996" s="18"/>
      <c r="N996" s="18"/>
      <c r="O996" s="18"/>
      <c r="P996" s="18"/>
      <c r="Q996" s="18"/>
      <c r="R996" s="18"/>
      <c r="S996" s="18"/>
      <c r="T996" s="18"/>
      <c r="U996" s="18"/>
      <c r="V996" s="18"/>
      <c r="W996" s="18"/>
      <c r="X996" s="18"/>
      <c r="Y996" s="18"/>
      <c r="Z996" s="18"/>
    </row>
    <row r="997">
      <c r="A997" s="18"/>
      <c r="B997" s="80"/>
      <c r="C997" s="18"/>
      <c r="D997" s="80"/>
      <c r="E997" s="80"/>
      <c r="F997" s="134"/>
      <c r="G997" s="18"/>
      <c r="H997" s="18"/>
      <c r="I997" s="18"/>
      <c r="J997" s="18"/>
      <c r="K997" s="18"/>
      <c r="L997" s="18"/>
      <c r="M997" s="18"/>
      <c r="N997" s="18"/>
      <c r="O997" s="18"/>
      <c r="P997" s="18"/>
      <c r="Q997" s="18"/>
      <c r="R997" s="18"/>
      <c r="S997" s="18"/>
      <c r="T997" s="18"/>
      <c r="U997" s="18"/>
      <c r="V997" s="18"/>
      <c r="W997" s="18"/>
      <c r="X997" s="18"/>
      <c r="Y997" s="18"/>
      <c r="Z997" s="18"/>
    </row>
    <row r="998">
      <c r="A998" s="18"/>
      <c r="B998" s="80"/>
      <c r="C998" s="18"/>
      <c r="D998" s="80"/>
      <c r="E998" s="80"/>
      <c r="F998" s="134"/>
      <c r="G998" s="18"/>
      <c r="H998" s="18"/>
      <c r="I998" s="18"/>
      <c r="J998" s="18"/>
      <c r="K998" s="18"/>
      <c r="L998" s="18"/>
      <c r="M998" s="18"/>
      <c r="N998" s="18"/>
      <c r="O998" s="18"/>
      <c r="P998" s="18"/>
      <c r="Q998" s="18"/>
      <c r="R998" s="18"/>
      <c r="S998" s="18"/>
      <c r="T998" s="18"/>
      <c r="U998" s="18"/>
      <c r="V998" s="18"/>
      <c r="W998" s="18"/>
      <c r="X998" s="18"/>
      <c r="Y998" s="18"/>
      <c r="Z998" s="18"/>
    </row>
    <row r="999">
      <c r="A999" s="18"/>
      <c r="B999" s="80"/>
      <c r="C999" s="18"/>
      <c r="D999" s="80"/>
      <c r="E999" s="80"/>
      <c r="F999" s="134"/>
      <c r="G999" s="18"/>
      <c r="H999" s="18"/>
      <c r="I999" s="18"/>
      <c r="J999" s="18"/>
      <c r="K999" s="18"/>
      <c r="L999" s="18"/>
      <c r="M999" s="18"/>
      <c r="N999" s="18"/>
      <c r="O999" s="18"/>
      <c r="P999" s="18"/>
      <c r="Q999" s="18"/>
      <c r="R999" s="18"/>
      <c r="S999" s="18"/>
      <c r="T999" s="18"/>
      <c r="U999" s="18"/>
      <c r="V999" s="18"/>
      <c r="W999" s="18"/>
      <c r="X999" s="18"/>
      <c r="Y999" s="18"/>
      <c r="Z999" s="18"/>
    </row>
    <row r="1000">
      <c r="A1000" s="18"/>
      <c r="B1000" s="80"/>
      <c r="C1000" s="18"/>
      <c r="D1000" s="80"/>
      <c r="E1000" s="80"/>
      <c r="F1000" s="134"/>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80"/>
      <c r="C1001" s="18"/>
      <c r="D1001" s="80"/>
      <c r="E1001" s="80"/>
      <c r="F1001" s="134"/>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8"/>
      <c r="B1002" s="80"/>
      <c r="C1002" s="18"/>
      <c r="D1002" s="80"/>
      <c r="E1002" s="80"/>
      <c r="F1002" s="134"/>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8"/>
      <c r="B1003" s="80"/>
      <c r="C1003" s="18"/>
      <c r="D1003" s="80"/>
      <c r="E1003" s="80"/>
      <c r="F1003" s="134"/>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8"/>
      <c r="B1004" s="80"/>
      <c r="C1004" s="18"/>
      <c r="D1004" s="80"/>
      <c r="E1004" s="80"/>
      <c r="F1004" s="134"/>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18"/>
      <c r="B1005" s="80"/>
      <c r="C1005" s="18"/>
      <c r="D1005" s="80"/>
      <c r="E1005" s="80"/>
      <c r="F1005" s="134"/>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18"/>
      <c r="B1006" s="80"/>
      <c r="C1006" s="18"/>
      <c r="D1006" s="80"/>
      <c r="E1006" s="80"/>
      <c r="F1006" s="134"/>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18"/>
      <c r="B1007" s="80"/>
      <c r="C1007" s="18"/>
      <c r="D1007" s="80"/>
      <c r="E1007" s="80"/>
      <c r="F1007" s="134"/>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18"/>
      <c r="B1008" s="80"/>
      <c r="C1008" s="18"/>
      <c r="D1008" s="80"/>
      <c r="E1008" s="80"/>
      <c r="F1008" s="134"/>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18"/>
      <c r="B1009" s="80"/>
      <c r="C1009" s="18"/>
      <c r="D1009" s="80"/>
      <c r="E1009" s="80"/>
      <c r="F1009" s="134"/>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18"/>
      <c r="B1010" s="80"/>
      <c r="C1010" s="18"/>
      <c r="D1010" s="80"/>
      <c r="E1010" s="80"/>
      <c r="F1010" s="134"/>
      <c r="G1010" s="18"/>
      <c r="H1010" s="18"/>
      <c r="I1010" s="18"/>
      <c r="J1010" s="18"/>
      <c r="K1010" s="18"/>
      <c r="L1010" s="18"/>
      <c r="M1010" s="18"/>
      <c r="N1010" s="18"/>
      <c r="O1010" s="18"/>
      <c r="P1010" s="18"/>
      <c r="Q1010" s="18"/>
      <c r="R1010" s="18"/>
      <c r="S1010" s="18"/>
      <c r="T1010" s="18"/>
      <c r="U1010" s="18"/>
      <c r="V1010" s="18"/>
      <c r="W1010" s="18"/>
      <c r="X1010" s="18"/>
      <c r="Y1010" s="18"/>
      <c r="Z1010" s="18"/>
    </row>
    <row r="1011">
      <c r="A1011" s="18"/>
      <c r="B1011" s="80"/>
      <c r="C1011" s="18"/>
      <c r="D1011" s="80"/>
      <c r="E1011" s="80"/>
      <c r="F1011" s="134"/>
      <c r="G1011" s="18"/>
      <c r="H1011" s="18"/>
      <c r="I1011" s="18"/>
      <c r="J1011" s="18"/>
      <c r="K1011" s="18"/>
      <c r="L1011" s="18"/>
      <c r="M1011" s="18"/>
      <c r="N1011" s="18"/>
      <c r="O1011" s="18"/>
      <c r="P1011" s="18"/>
      <c r="Q1011" s="18"/>
      <c r="R1011" s="18"/>
      <c r="S1011" s="18"/>
      <c r="T1011" s="18"/>
      <c r="U1011" s="18"/>
      <c r="V1011" s="18"/>
      <c r="W1011" s="18"/>
      <c r="X1011" s="18"/>
      <c r="Y1011" s="18"/>
      <c r="Z1011" s="18"/>
    </row>
    <row r="1012">
      <c r="A1012" s="18"/>
      <c r="B1012" s="80"/>
      <c r="C1012" s="18"/>
      <c r="D1012" s="80"/>
      <c r="E1012" s="80"/>
      <c r="F1012" s="134"/>
      <c r="G1012" s="18"/>
      <c r="H1012" s="18"/>
      <c r="I1012" s="18"/>
      <c r="J1012" s="18"/>
      <c r="K1012" s="18"/>
      <c r="L1012" s="18"/>
      <c r="M1012" s="18"/>
      <c r="N1012" s="18"/>
      <c r="O1012" s="18"/>
      <c r="P1012" s="18"/>
      <c r="Q1012" s="18"/>
      <c r="R1012" s="18"/>
      <c r="S1012" s="18"/>
      <c r="T1012" s="18"/>
      <c r="U1012" s="18"/>
      <c r="V1012" s="18"/>
      <c r="W1012" s="18"/>
      <c r="X1012" s="18"/>
      <c r="Y1012" s="18"/>
      <c r="Z1012" s="18"/>
    </row>
    <row r="1013">
      <c r="A1013" s="18"/>
      <c r="B1013" s="80"/>
      <c r="C1013" s="18"/>
      <c r="D1013" s="80"/>
      <c r="E1013" s="80"/>
      <c r="F1013" s="134"/>
      <c r="G1013" s="18"/>
      <c r="H1013" s="18"/>
      <c r="I1013" s="18"/>
      <c r="J1013" s="18"/>
      <c r="K1013" s="18"/>
      <c r="L1013" s="18"/>
      <c r="M1013" s="18"/>
      <c r="N1013" s="18"/>
      <c r="O1013" s="18"/>
      <c r="P1013" s="18"/>
      <c r="Q1013" s="18"/>
      <c r="R1013" s="18"/>
      <c r="S1013" s="18"/>
      <c r="T1013" s="18"/>
      <c r="U1013" s="18"/>
      <c r="V1013" s="18"/>
      <c r="W1013" s="18"/>
      <c r="X1013" s="18"/>
      <c r="Y1013" s="18"/>
      <c r="Z1013" s="18"/>
    </row>
    <row r="1014">
      <c r="A1014" s="18"/>
      <c r="B1014" s="80"/>
      <c r="C1014" s="18"/>
      <c r="D1014" s="80"/>
      <c r="E1014" s="80"/>
      <c r="F1014" s="134"/>
      <c r="G1014" s="18"/>
      <c r="H1014" s="18"/>
      <c r="I1014" s="18"/>
      <c r="J1014" s="18"/>
      <c r="K1014" s="18"/>
      <c r="L1014" s="18"/>
      <c r="M1014" s="18"/>
      <c r="N1014" s="18"/>
      <c r="O1014" s="18"/>
      <c r="P1014" s="18"/>
      <c r="Q1014" s="18"/>
      <c r="R1014" s="18"/>
      <c r="S1014" s="18"/>
      <c r="T1014" s="18"/>
      <c r="U1014" s="18"/>
      <c r="V1014" s="18"/>
      <c r="W1014" s="18"/>
      <c r="X1014" s="18"/>
      <c r="Y1014" s="18"/>
      <c r="Z1014" s="18"/>
    </row>
    <row r="1015">
      <c r="A1015" s="18"/>
      <c r="B1015" s="80"/>
      <c r="C1015" s="18"/>
      <c r="D1015" s="80"/>
      <c r="E1015" s="80"/>
      <c r="F1015" s="134"/>
      <c r="G1015" s="18"/>
      <c r="H1015" s="18"/>
      <c r="I1015" s="18"/>
      <c r="J1015" s="18"/>
      <c r="K1015" s="18"/>
      <c r="L1015" s="18"/>
      <c r="M1015" s="18"/>
      <c r="N1015" s="18"/>
      <c r="O1015" s="18"/>
      <c r="P1015" s="18"/>
      <c r="Q1015" s="18"/>
      <c r="R1015" s="18"/>
      <c r="S1015" s="18"/>
      <c r="T1015" s="18"/>
      <c r="U1015" s="18"/>
      <c r="V1015" s="18"/>
      <c r="W1015" s="18"/>
      <c r="X1015" s="18"/>
      <c r="Y1015" s="18"/>
      <c r="Z1015" s="18"/>
    </row>
    <row r="1016">
      <c r="A1016" s="18"/>
      <c r="B1016" s="80"/>
      <c r="C1016" s="18"/>
      <c r="D1016" s="80"/>
      <c r="E1016" s="80"/>
      <c r="F1016" s="134"/>
      <c r="G1016" s="18"/>
      <c r="H1016" s="18"/>
      <c r="I1016" s="18"/>
      <c r="J1016" s="18"/>
      <c r="K1016" s="18"/>
      <c r="L1016" s="18"/>
      <c r="M1016" s="18"/>
      <c r="N1016" s="18"/>
      <c r="O1016" s="18"/>
      <c r="P1016" s="18"/>
      <c r="Q1016" s="18"/>
      <c r="R1016" s="18"/>
      <c r="S1016" s="18"/>
      <c r="T1016" s="18"/>
      <c r="U1016" s="18"/>
      <c r="V1016" s="18"/>
      <c r="W1016" s="18"/>
      <c r="X1016" s="18"/>
      <c r="Y1016" s="18"/>
      <c r="Z1016" s="18"/>
    </row>
    <row r="1017">
      <c r="A1017" s="18"/>
      <c r="B1017" s="80"/>
      <c r="C1017" s="18"/>
      <c r="D1017" s="80"/>
      <c r="E1017" s="80"/>
      <c r="F1017" s="134"/>
      <c r="G1017" s="18"/>
      <c r="H1017" s="18"/>
      <c r="I1017" s="18"/>
      <c r="J1017" s="18"/>
      <c r="K1017" s="18"/>
      <c r="L1017" s="18"/>
      <c r="M1017" s="18"/>
      <c r="N1017" s="18"/>
      <c r="O1017" s="18"/>
      <c r="P1017" s="18"/>
      <c r="Q1017" s="18"/>
      <c r="R1017" s="18"/>
      <c r="S1017" s="18"/>
      <c r="T1017" s="18"/>
      <c r="U1017" s="18"/>
      <c r="V1017" s="18"/>
      <c r="W1017" s="18"/>
      <c r="X1017" s="18"/>
      <c r="Y1017" s="18"/>
      <c r="Z1017" s="18"/>
    </row>
    <row r="1018">
      <c r="A1018" s="18"/>
      <c r="B1018" s="80"/>
      <c r="C1018" s="18"/>
      <c r="D1018" s="80"/>
      <c r="E1018" s="80"/>
      <c r="F1018" s="134"/>
      <c r="G1018" s="18"/>
      <c r="H1018" s="18"/>
      <c r="I1018" s="18"/>
      <c r="J1018" s="18"/>
      <c r="K1018" s="18"/>
      <c r="L1018" s="18"/>
      <c r="M1018" s="18"/>
      <c r="N1018" s="18"/>
      <c r="O1018" s="18"/>
      <c r="P1018" s="18"/>
      <c r="Q1018" s="18"/>
      <c r="R1018" s="18"/>
      <c r="S1018" s="18"/>
      <c r="T1018" s="18"/>
      <c r="U1018" s="18"/>
      <c r="V1018" s="18"/>
      <c r="W1018" s="18"/>
      <c r="X1018" s="18"/>
      <c r="Y1018" s="18"/>
      <c r="Z1018" s="18"/>
    </row>
    <row r="1019">
      <c r="A1019" s="18"/>
      <c r="B1019" s="80"/>
      <c r="C1019" s="18"/>
      <c r="D1019" s="80"/>
      <c r="E1019" s="80"/>
      <c r="F1019" s="134"/>
      <c r="G1019" s="18"/>
      <c r="H1019" s="18"/>
      <c r="I1019" s="18"/>
      <c r="J1019" s="18"/>
      <c r="K1019" s="18"/>
      <c r="L1019" s="18"/>
      <c r="M1019" s="18"/>
      <c r="N1019" s="18"/>
      <c r="O1019" s="18"/>
      <c r="P1019" s="18"/>
      <c r="Q1019" s="18"/>
      <c r="R1019" s="18"/>
      <c r="S1019" s="18"/>
      <c r="T1019" s="18"/>
      <c r="U1019" s="18"/>
      <c r="V1019" s="18"/>
      <c r="W1019" s="18"/>
      <c r="X1019" s="18"/>
      <c r="Y1019" s="18"/>
      <c r="Z1019" s="18"/>
    </row>
    <row r="1020">
      <c r="A1020" s="18"/>
      <c r="B1020" s="80"/>
      <c r="C1020" s="18"/>
      <c r="D1020" s="80"/>
      <c r="E1020" s="80"/>
      <c r="F1020" s="134"/>
      <c r="G1020" s="18"/>
      <c r="H1020" s="18"/>
      <c r="I1020" s="18"/>
      <c r="J1020" s="18"/>
      <c r="K1020" s="18"/>
      <c r="L1020" s="18"/>
      <c r="M1020" s="18"/>
      <c r="N1020" s="18"/>
      <c r="O1020" s="18"/>
      <c r="P1020" s="18"/>
      <c r="Q1020" s="18"/>
      <c r="R1020" s="18"/>
      <c r="S1020" s="18"/>
      <c r="T1020" s="18"/>
      <c r="U1020" s="18"/>
      <c r="V1020" s="18"/>
      <c r="W1020" s="18"/>
      <c r="X1020" s="18"/>
      <c r="Y1020" s="18"/>
      <c r="Z1020" s="18"/>
    </row>
    <row r="1021">
      <c r="A1021" s="18"/>
      <c r="B1021" s="80"/>
      <c r="C1021" s="18"/>
      <c r="D1021" s="80"/>
      <c r="E1021" s="80"/>
      <c r="F1021" s="134"/>
      <c r="G1021" s="18"/>
      <c r="H1021" s="18"/>
      <c r="I1021" s="18"/>
      <c r="J1021" s="18"/>
      <c r="K1021" s="18"/>
      <c r="L1021" s="18"/>
      <c r="M1021" s="18"/>
      <c r="N1021" s="18"/>
      <c r="O1021" s="18"/>
      <c r="P1021" s="18"/>
      <c r="Q1021" s="18"/>
      <c r="R1021" s="18"/>
      <c r="S1021" s="18"/>
      <c r="T1021" s="18"/>
      <c r="U1021" s="18"/>
      <c r="V1021" s="18"/>
      <c r="W1021" s="18"/>
      <c r="X1021" s="18"/>
      <c r="Y1021" s="18"/>
      <c r="Z1021" s="18"/>
    </row>
    <row r="1022">
      <c r="A1022" s="18"/>
      <c r="B1022" s="80"/>
      <c r="C1022" s="18"/>
      <c r="D1022" s="80"/>
      <c r="E1022" s="80"/>
      <c r="F1022" s="134"/>
      <c r="G1022" s="18"/>
      <c r="H1022" s="18"/>
      <c r="I1022" s="18"/>
      <c r="J1022" s="18"/>
      <c r="K1022" s="18"/>
      <c r="L1022" s="18"/>
      <c r="M1022" s="18"/>
      <c r="N1022" s="18"/>
      <c r="O1022" s="18"/>
      <c r="P1022" s="18"/>
      <c r="Q1022" s="18"/>
      <c r="R1022" s="18"/>
      <c r="S1022" s="18"/>
      <c r="T1022" s="18"/>
      <c r="U1022" s="18"/>
      <c r="V1022" s="18"/>
      <c r="W1022" s="18"/>
      <c r="X1022" s="18"/>
      <c r="Y1022" s="18"/>
      <c r="Z1022" s="18"/>
    </row>
    <row r="1023">
      <c r="A1023" s="18"/>
      <c r="B1023" s="80"/>
      <c r="C1023" s="18"/>
      <c r="D1023" s="80"/>
      <c r="E1023" s="80"/>
      <c r="F1023" s="134"/>
      <c r="G1023" s="18"/>
      <c r="H1023" s="18"/>
      <c r="I1023" s="18"/>
      <c r="J1023" s="18"/>
      <c r="K1023" s="18"/>
      <c r="L1023" s="18"/>
      <c r="M1023" s="18"/>
      <c r="N1023" s="18"/>
      <c r="O1023" s="18"/>
      <c r="P1023" s="18"/>
      <c r="Q1023" s="18"/>
      <c r="R1023" s="18"/>
      <c r="S1023" s="18"/>
      <c r="T1023" s="18"/>
      <c r="U1023" s="18"/>
      <c r="V1023" s="18"/>
      <c r="W1023" s="18"/>
      <c r="X1023" s="18"/>
      <c r="Y1023" s="18"/>
      <c r="Z1023" s="18"/>
    </row>
    <row r="1024">
      <c r="A1024" s="18"/>
      <c r="B1024" s="80"/>
      <c r="C1024" s="18"/>
      <c r="D1024" s="80"/>
      <c r="E1024" s="80"/>
      <c r="F1024" s="134"/>
      <c r="G1024" s="18"/>
      <c r="H1024" s="18"/>
      <c r="I1024" s="18"/>
      <c r="J1024" s="18"/>
      <c r="K1024" s="18"/>
      <c r="L1024" s="18"/>
      <c r="M1024" s="18"/>
      <c r="N1024" s="18"/>
      <c r="O1024" s="18"/>
      <c r="P1024" s="18"/>
      <c r="Q1024" s="18"/>
      <c r="R1024" s="18"/>
      <c r="S1024" s="18"/>
      <c r="T1024" s="18"/>
      <c r="U1024" s="18"/>
      <c r="V1024" s="18"/>
      <c r="W1024" s="18"/>
      <c r="X1024" s="18"/>
      <c r="Y1024" s="18"/>
      <c r="Z1024" s="18"/>
    </row>
    <row r="1025">
      <c r="A1025" s="18"/>
      <c r="B1025" s="80"/>
      <c r="C1025" s="18"/>
      <c r="D1025" s="80"/>
      <c r="E1025" s="80"/>
      <c r="F1025" s="134"/>
      <c r="G1025" s="18"/>
      <c r="H1025" s="18"/>
      <c r="I1025" s="18"/>
      <c r="J1025" s="18"/>
      <c r="K1025" s="18"/>
      <c r="L1025" s="18"/>
      <c r="M1025" s="18"/>
      <c r="N1025" s="18"/>
      <c r="O1025" s="18"/>
      <c r="P1025" s="18"/>
      <c r="Q1025" s="18"/>
      <c r="R1025" s="18"/>
      <c r="S1025" s="18"/>
      <c r="T1025" s="18"/>
      <c r="U1025" s="18"/>
      <c r="V1025" s="18"/>
      <c r="W1025" s="18"/>
      <c r="X1025" s="18"/>
      <c r="Y1025" s="18"/>
      <c r="Z1025" s="18"/>
    </row>
    <row r="1026">
      <c r="A1026" s="18"/>
      <c r="B1026" s="80"/>
      <c r="C1026" s="18"/>
      <c r="D1026" s="80"/>
      <c r="E1026" s="80"/>
      <c r="F1026" s="134"/>
      <c r="G1026" s="18"/>
      <c r="H1026" s="18"/>
      <c r="I1026" s="18"/>
      <c r="J1026" s="18"/>
      <c r="K1026" s="18"/>
      <c r="L1026" s="18"/>
      <c r="M1026" s="18"/>
      <c r="N1026" s="18"/>
      <c r="O1026" s="18"/>
      <c r="P1026" s="18"/>
      <c r="Q1026" s="18"/>
      <c r="R1026" s="18"/>
      <c r="S1026" s="18"/>
      <c r="T1026" s="18"/>
      <c r="U1026" s="18"/>
      <c r="V1026" s="18"/>
      <c r="W1026" s="18"/>
      <c r="X1026" s="18"/>
      <c r="Y1026" s="18"/>
      <c r="Z1026" s="18"/>
    </row>
    <row r="1027">
      <c r="A1027" s="18"/>
      <c r="B1027" s="80"/>
      <c r="C1027" s="18"/>
      <c r="D1027" s="80"/>
      <c r="E1027" s="80"/>
      <c r="F1027" s="134"/>
      <c r="G1027" s="18"/>
      <c r="H1027" s="18"/>
      <c r="I1027" s="18"/>
      <c r="J1027" s="18"/>
      <c r="K1027" s="18"/>
      <c r="L1027" s="18"/>
      <c r="M1027" s="18"/>
      <c r="N1027" s="18"/>
      <c r="O1027" s="18"/>
      <c r="P1027" s="18"/>
      <c r="Q1027" s="18"/>
      <c r="R1027" s="18"/>
      <c r="S1027" s="18"/>
      <c r="T1027" s="18"/>
      <c r="U1027" s="18"/>
      <c r="V1027" s="18"/>
      <c r="W1027" s="18"/>
      <c r="X1027" s="18"/>
      <c r="Y1027" s="18"/>
      <c r="Z1027" s="18"/>
    </row>
    <row r="1028">
      <c r="A1028" s="18"/>
      <c r="B1028" s="80"/>
      <c r="C1028" s="18"/>
      <c r="D1028" s="80"/>
      <c r="E1028" s="80"/>
      <c r="F1028" s="134"/>
      <c r="G1028" s="18"/>
      <c r="H1028" s="18"/>
      <c r="I1028" s="18"/>
      <c r="J1028" s="18"/>
      <c r="K1028" s="18"/>
      <c r="L1028" s="18"/>
      <c r="M1028" s="18"/>
      <c r="N1028" s="18"/>
      <c r="O1028" s="18"/>
      <c r="P1028" s="18"/>
      <c r="Q1028" s="18"/>
      <c r="R1028" s="18"/>
      <c r="S1028" s="18"/>
      <c r="T1028" s="18"/>
      <c r="U1028" s="18"/>
      <c r="V1028" s="18"/>
      <c r="W1028" s="18"/>
      <c r="X1028" s="18"/>
      <c r="Y1028" s="18"/>
      <c r="Z1028" s="18"/>
    </row>
    <row r="1029">
      <c r="A1029" s="18"/>
      <c r="B1029" s="80"/>
      <c r="C1029" s="18"/>
      <c r="D1029" s="80"/>
      <c r="E1029" s="80"/>
      <c r="F1029" s="134"/>
      <c r="G1029" s="18"/>
      <c r="H1029" s="18"/>
      <c r="I1029" s="18"/>
      <c r="J1029" s="18"/>
      <c r="K1029" s="18"/>
      <c r="L1029" s="18"/>
      <c r="M1029" s="18"/>
      <c r="N1029" s="18"/>
      <c r="O1029" s="18"/>
      <c r="P1029" s="18"/>
      <c r="Q1029" s="18"/>
      <c r="R1029" s="18"/>
      <c r="S1029" s="18"/>
      <c r="T1029" s="18"/>
      <c r="U1029" s="18"/>
      <c r="V1029" s="18"/>
      <c r="W1029" s="18"/>
      <c r="X1029" s="18"/>
      <c r="Y1029" s="18"/>
      <c r="Z1029" s="18"/>
    </row>
    <row r="1030">
      <c r="A1030" s="18"/>
      <c r="B1030" s="80"/>
      <c r="C1030" s="18"/>
      <c r="D1030" s="80"/>
      <c r="E1030" s="80"/>
      <c r="F1030" s="134"/>
      <c r="G1030" s="18"/>
      <c r="H1030" s="18"/>
      <c r="I1030" s="18"/>
      <c r="J1030" s="18"/>
      <c r="K1030" s="18"/>
      <c r="L1030" s="18"/>
      <c r="M1030" s="18"/>
      <c r="N1030" s="18"/>
      <c r="O1030" s="18"/>
      <c r="P1030" s="18"/>
      <c r="Q1030" s="18"/>
      <c r="R1030" s="18"/>
      <c r="S1030" s="18"/>
      <c r="T1030" s="18"/>
      <c r="U1030" s="18"/>
      <c r="V1030" s="18"/>
      <c r="W1030" s="18"/>
      <c r="X1030" s="18"/>
      <c r="Y1030" s="18"/>
      <c r="Z1030" s="18"/>
    </row>
    <row r="1031">
      <c r="A1031" s="18"/>
      <c r="B1031" s="80"/>
      <c r="C1031" s="18"/>
      <c r="D1031" s="80"/>
      <c r="E1031" s="80"/>
      <c r="F1031" s="134"/>
      <c r="G1031" s="18"/>
      <c r="H1031" s="18"/>
      <c r="I1031" s="18"/>
      <c r="J1031" s="18"/>
      <c r="K1031" s="18"/>
      <c r="L1031" s="18"/>
      <c r="M1031" s="18"/>
      <c r="N1031" s="18"/>
      <c r="O1031" s="18"/>
      <c r="P1031" s="18"/>
      <c r="Q1031" s="18"/>
      <c r="R1031" s="18"/>
      <c r="S1031" s="18"/>
      <c r="T1031" s="18"/>
      <c r="U1031" s="18"/>
      <c r="V1031" s="18"/>
      <c r="W1031" s="18"/>
      <c r="X1031" s="18"/>
      <c r="Y1031" s="18"/>
      <c r="Z1031" s="18"/>
    </row>
    <row r="1032">
      <c r="A1032" s="18"/>
      <c r="B1032" s="80"/>
      <c r="C1032" s="18"/>
      <c r="D1032" s="80"/>
      <c r="E1032" s="80"/>
      <c r="F1032" s="134"/>
      <c r="G1032" s="18"/>
      <c r="H1032" s="18"/>
      <c r="I1032" s="18"/>
      <c r="J1032" s="18"/>
      <c r="K1032" s="18"/>
      <c r="L1032" s="18"/>
      <c r="M1032" s="18"/>
      <c r="N1032" s="18"/>
      <c r="O1032" s="18"/>
      <c r="P1032" s="18"/>
      <c r="Q1032" s="18"/>
      <c r="R1032" s="18"/>
      <c r="S1032" s="18"/>
      <c r="T1032" s="18"/>
      <c r="U1032" s="18"/>
      <c r="V1032" s="18"/>
      <c r="W1032" s="18"/>
      <c r="X1032" s="18"/>
      <c r="Y1032" s="18"/>
      <c r="Z1032" s="18"/>
    </row>
    <row r="1033">
      <c r="A1033" s="18"/>
      <c r="B1033" s="80"/>
      <c r="C1033" s="18"/>
      <c r="D1033" s="80"/>
      <c r="E1033" s="80"/>
      <c r="F1033" s="134"/>
      <c r="G1033" s="18"/>
      <c r="H1033" s="18"/>
      <c r="I1033" s="18"/>
      <c r="J1033" s="18"/>
      <c r="K1033" s="18"/>
      <c r="L1033" s="18"/>
      <c r="M1033" s="18"/>
      <c r="N1033" s="18"/>
      <c r="O1033" s="18"/>
      <c r="P1033" s="18"/>
      <c r="Q1033" s="18"/>
      <c r="R1033" s="18"/>
      <c r="S1033" s="18"/>
      <c r="T1033" s="18"/>
      <c r="U1033" s="18"/>
      <c r="V1033" s="18"/>
      <c r="W1033" s="18"/>
      <c r="X1033" s="18"/>
      <c r="Y1033" s="18"/>
      <c r="Z1033" s="18"/>
    </row>
    <row r="1034">
      <c r="A1034" s="18"/>
      <c r="B1034" s="80"/>
      <c r="C1034" s="18"/>
      <c r="D1034" s="80"/>
      <c r="E1034" s="80"/>
      <c r="F1034" s="134"/>
      <c r="G1034" s="18"/>
      <c r="H1034" s="18"/>
      <c r="I1034" s="18"/>
      <c r="J1034" s="18"/>
      <c r="K1034" s="18"/>
      <c r="L1034" s="18"/>
      <c r="M1034" s="18"/>
      <c r="N1034" s="18"/>
      <c r="O1034" s="18"/>
      <c r="P1034" s="18"/>
      <c r="Q1034" s="18"/>
      <c r="R1034" s="18"/>
      <c r="S1034" s="18"/>
      <c r="T1034" s="18"/>
      <c r="U1034" s="18"/>
      <c r="V1034" s="18"/>
      <c r="W1034" s="18"/>
      <c r="X1034" s="18"/>
      <c r="Y1034" s="18"/>
      <c r="Z1034" s="18"/>
    </row>
    <row r="1035">
      <c r="A1035" s="18"/>
      <c r="B1035" s="80"/>
      <c r="C1035" s="18"/>
      <c r="D1035" s="80"/>
      <c r="E1035" s="80"/>
      <c r="F1035" s="134"/>
      <c r="G1035" s="18"/>
      <c r="H1035" s="18"/>
      <c r="I1035" s="18"/>
      <c r="J1035" s="18"/>
      <c r="K1035" s="18"/>
      <c r="L1035" s="18"/>
      <c r="M1035" s="18"/>
      <c r="N1035" s="18"/>
      <c r="O1035" s="18"/>
      <c r="P1035" s="18"/>
      <c r="Q1035" s="18"/>
      <c r="R1035" s="18"/>
      <c r="S1035" s="18"/>
      <c r="T1035" s="18"/>
      <c r="U1035" s="18"/>
      <c r="V1035" s="18"/>
      <c r="W1035" s="18"/>
      <c r="X1035" s="18"/>
      <c r="Y1035" s="18"/>
      <c r="Z1035" s="18"/>
    </row>
    <row r="1036">
      <c r="A1036" s="18"/>
      <c r="B1036" s="80"/>
      <c r="C1036" s="18"/>
      <c r="D1036" s="80"/>
      <c r="E1036" s="80"/>
      <c r="F1036" s="134"/>
      <c r="G1036" s="18"/>
      <c r="H1036" s="18"/>
      <c r="I1036" s="18"/>
      <c r="J1036" s="18"/>
      <c r="K1036" s="18"/>
      <c r="L1036" s="18"/>
      <c r="M1036" s="18"/>
      <c r="N1036" s="18"/>
      <c r="O1036" s="18"/>
      <c r="P1036" s="18"/>
      <c r="Q1036" s="18"/>
      <c r="R1036" s="18"/>
      <c r="S1036" s="18"/>
      <c r="T1036" s="18"/>
      <c r="U1036" s="18"/>
      <c r="V1036" s="18"/>
      <c r="W1036" s="18"/>
      <c r="X1036" s="18"/>
      <c r="Y1036" s="18"/>
      <c r="Z1036" s="18"/>
    </row>
    <row r="1037">
      <c r="A1037" s="18"/>
      <c r="B1037" s="80"/>
      <c r="C1037" s="18"/>
      <c r="D1037" s="80"/>
      <c r="E1037" s="80"/>
      <c r="F1037" s="134"/>
      <c r="G1037" s="18"/>
      <c r="H1037" s="18"/>
      <c r="I1037" s="18"/>
      <c r="J1037" s="18"/>
      <c r="K1037" s="18"/>
      <c r="L1037" s="18"/>
      <c r="M1037" s="18"/>
      <c r="N1037" s="18"/>
      <c r="O1037" s="18"/>
      <c r="P1037" s="18"/>
      <c r="Q1037" s="18"/>
      <c r="R1037" s="18"/>
      <c r="S1037" s="18"/>
      <c r="T1037" s="18"/>
      <c r="U1037" s="18"/>
      <c r="V1037" s="18"/>
      <c r="W1037" s="18"/>
      <c r="X1037" s="18"/>
      <c r="Y1037" s="18"/>
      <c r="Z1037" s="18"/>
    </row>
    <row r="1038">
      <c r="A1038" s="18"/>
      <c r="B1038" s="80"/>
      <c r="C1038" s="18"/>
      <c r="D1038" s="80"/>
      <c r="E1038" s="80"/>
      <c r="F1038" s="134"/>
      <c r="G1038" s="18"/>
      <c r="H1038" s="18"/>
      <c r="I1038" s="18"/>
      <c r="J1038" s="18"/>
      <c r="K1038" s="18"/>
      <c r="L1038" s="18"/>
      <c r="M1038" s="18"/>
      <c r="N1038" s="18"/>
      <c r="O1038" s="18"/>
      <c r="P1038" s="18"/>
      <c r="Q1038" s="18"/>
      <c r="R1038" s="18"/>
      <c r="S1038" s="18"/>
      <c r="T1038" s="18"/>
      <c r="U1038" s="18"/>
      <c r="V1038" s="18"/>
      <c r="W1038" s="18"/>
      <c r="X1038" s="18"/>
      <c r="Y1038" s="18"/>
      <c r="Z1038" s="18"/>
    </row>
    <row r="1039">
      <c r="A1039" s="18"/>
      <c r="B1039" s="80"/>
      <c r="C1039" s="18"/>
      <c r="D1039" s="80"/>
      <c r="E1039" s="80"/>
      <c r="F1039" s="134"/>
      <c r="G1039" s="18"/>
      <c r="H1039" s="18"/>
      <c r="I1039" s="18"/>
      <c r="J1039" s="18"/>
      <c r="K1039" s="18"/>
      <c r="L1039" s="18"/>
      <c r="M1039" s="18"/>
      <c r="N1039" s="18"/>
      <c r="O1039" s="18"/>
      <c r="P1039" s="18"/>
      <c r="Q1039" s="18"/>
      <c r="R1039" s="18"/>
      <c r="S1039" s="18"/>
      <c r="T1039" s="18"/>
      <c r="U1039" s="18"/>
      <c r="V1039" s="18"/>
      <c r="W1039" s="18"/>
      <c r="X1039" s="18"/>
      <c r="Y1039" s="18"/>
      <c r="Z1039" s="18"/>
    </row>
    <row r="1040">
      <c r="A1040" s="18"/>
      <c r="B1040" s="80"/>
      <c r="C1040" s="18"/>
      <c r="D1040" s="80"/>
      <c r="E1040" s="80"/>
      <c r="F1040" s="134"/>
      <c r="G1040" s="18"/>
      <c r="H1040" s="18"/>
      <c r="I1040" s="18"/>
      <c r="J1040" s="18"/>
      <c r="K1040" s="18"/>
      <c r="L1040" s="18"/>
      <c r="M1040" s="18"/>
      <c r="N1040" s="18"/>
      <c r="O1040" s="18"/>
      <c r="P1040" s="18"/>
      <c r="Q1040" s="18"/>
      <c r="R1040" s="18"/>
      <c r="S1040" s="18"/>
      <c r="T1040" s="18"/>
      <c r="U1040" s="18"/>
      <c r="V1040" s="18"/>
      <c r="W1040" s="18"/>
      <c r="X1040" s="18"/>
      <c r="Y1040" s="18"/>
      <c r="Z1040" s="18"/>
    </row>
    <row r="1041">
      <c r="A1041" s="18"/>
      <c r="B1041" s="80"/>
      <c r="C1041" s="18"/>
      <c r="D1041" s="80"/>
      <c r="E1041" s="80"/>
      <c r="F1041" s="134"/>
      <c r="G1041" s="18"/>
      <c r="H1041" s="18"/>
      <c r="I1041" s="18"/>
      <c r="J1041" s="18"/>
      <c r="K1041" s="18"/>
      <c r="L1041" s="18"/>
      <c r="M1041" s="18"/>
      <c r="N1041" s="18"/>
      <c r="O1041" s="18"/>
      <c r="P1041" s="18"/>
      <c r="Q1041" s="18"/>
      <c r="R1041" s="18"/>
      <c r="S1041" s="18"/>
      <c r="T1041" s="18"/>
      <c r="U1041" s="18"/>
      <c r="V1041" s="18"/>
      <c r="W1041" s="18"/>
      <c r="X1041" s="18"/>
      <c r="Y1041" s="18"/>
      <c r="Z1041" s="18"/>
    </row>
    <row r="1042">
      <c r="A1042" s="18"/>
      <c r="B1042" s="80"/>
      <c r="C1042" s="18"/>
      <c r="D1042" s="80"/>
      <c r="E1042" s="80"/>
      <c r="F1042" s="134"/>
      <c r="G1042" s="18"/>
      <c r="H1042" s="18"/>
      <c r="I1042" s="18"/>
      <c r="J1042" s="18"/>
      <c r="K1042" s="18"/>
      <c r="L1042" s="18"/>
      <c r="M1042" s="18"/>
      <c r="N1042" s="18"/>
      <c r="O1042" s="18"/>
      <c r="P1042" s="18"/>
      <c r="Q1042" s="18"/>
      <c r="R1042" s="18"/>
      <c r="S1042" s="18"/>
      <c r="T1042" s="18"/>
      <c r="U1042" s="18"/>
      <c r="V1042" s="18"/>
      <c r="W1042" s="18"/>
      <c r="X1042" s="18"/>
      <c r="Y1042" s="18"/>
      <c r="Z1042" s="18"/>
    </row>
    <row r="1043">
      <c r="A1043" s="18"/>
      <c r="B1043" s="80"/>
      <c r="C1043" s="18"/>
      <c r="D1043" s="80"/>
      <c r="E1043" s="80"/>
      <c r="F1043" s="134"/>
      <c r="G1043" s="18"/>
      <c r="H1043" s="18"/>
      <c r="I1043" s="18"/>
      <c r="J1043" s="18"/>
      <c r="K1043" s="18"/>
      <c r="L1043" s="18"/>
      <c r="M1043" s="18"/>
      <c r="N1043" s="18"/>
      <c r="O1043" s="18"/>
      <c r="P1043" s="18"/>
      <c r="Q1043" s="18"/>
      <c r="R1043" s="18"/>
      <c r="S1043" s="18"/>
      <c r="T1043" s="18"/>
      <c r="U1043" s="18"/>
      <c r="V1043" s="18"/>
      <c r="W1043" s="18"/>
      <c r="X1043" s="18"/>
      <c r="Y1043" s="18"/>
      <c r="Z1043" s="18"/>
    </row>
    <row r="1044">
      <c r="A1044" s="18"/>
      <c r="B1044" s="80"/>
      <c r="C1044" s="18"/>
      <c r="D1044" s="80"/>
      <c r="E1044" s="80"/>
      <c r="F1044" s="134"/>
      <c r="G1044" s="18"/>
      <c r="H1044" s="18"/>
      <c r="I1044" s="18"/>
      <c r="J1044" s="18"/>
      <c r="K1044" s="18"/>
      <c r="L1044" s="18"/>
      <c r="M1044" s="18"/>
      <c r="N1044" s="18"/>
      <c r="O1044" s="18"/>
      <c r="P1044" s="18"/>
      <c r="Q1044" s="18"/>
      <c r="R1044" s="18"/>
      <c r="S1044" s="18"/>
      <c r="T1044" s="18"/>
      <c r="U1044" s="18"/>
      <c r="V1044" s="18"/>
      <c r="W1044" s="18"/>
      <c r="X1044" s="18"/>
      <c r="Y1044" s="18"/>
      <c r="Z1044" s="18"/>
    </row>
    <row r="1045">
      <c r="A1045" s="18"/>
      <c r="B1045" s="80"/>
      <c r="C1045" s="18"/>
      <c r="D1045" s="80"/>
      <c r="E1045" s="80"/>
      <c r="F1045" s="134"/>
      <c r="G1045" s="18"/>
      <c r="H1045" s="18"/>
      <c r="I1045" s="18"/>
      <c r="J1045" s="18"/>
      <c r="K1045" s="18"/>
      <c r="L1045" s="18"/>
      <c r="M1045" s="18"/>
      <c r="N1045" s="18"/>
      <c r="O1045" s="18"/>
      <c r="P1045" s="18"/>
      <c r="Q1045" s="18"/>
      <c r="R1045" s="18"/>
      <c r="S1045" s="18"/>
      <c r="T1045" s="18"/>
      <c r="U1045" s="18"/>
      <c r="V1045" s="18"/>
      <c r="W1045" s="18"/>
      <c r="X1045" s="18"/>
      <c r="Y1045" s="18"/>
      <c r="Z1045" s="18"/>
    </row>
    <row r="1046">
      <c r="A1046" s="18"/>
      <c r="B1046" s="80"/>
      <c r="C1046" s="18"/>
      <c r="D1046" s="80"/>
      <c r="E1046" s="80"/>
      <c r="F1046" s="134"/>
      <c r="G1046" s="18"/>
      <c r="H1046" s="18"/>
      <c r="I1046" s="18"/>
      <c r="J1046" s="18"/>
      <c r="K1046" s="18"/>
      <c r="L1046" s="18"/>
      <c r="M1046" s="18"/>
      <c r="N1046" s="18"/>
      <c r="O1046" s="18"/>
      <c r="P1046" s="18"/>
      <c r="Q1046" s="18"/>
      <c r="R1046" s="18"/>
      <c r="S1046" s="18"/>
      <c r="T1046" s="18"/>
      <c r="U1046" s="18"/>
      <c r="V1046" s="18"/>
      <c r="W1046" s="18"/>
      <c r="X1046" s="18"/>
      <c r="Y1046" s="18"/>
      <c r="Z1046" s="18"/>
    </row>
    <row r="1047">
      <c r="A1047" s="18"/>
      <c r="B1047" s="80"/>
      <c r="C1047" s="18"/>
      <c r="D1047" s="80"/>
      <c r="E1047" s="80"/>
      <c r="F1047" s="134"/>
      <c r="G1047" s="18"/>
      <c r="H1047" s="18"/>
      <c r="I1047" s="18"/>
      <c r="J1047" s="18"/>
      <c r="K1047" s="18"/>
      <c r="L1047" s="18"/>
      <c r="M1047" s="18"/>
      <c r="N1047" s="18"/>
      <c r="O1047" s="18"/>
      <c r="P1047" s="18"/>
      <c r="Q1047" s="18"/>
      <c r="R1047" s="18"/>
      <c r="S1047" s="18"/>
      <c r="T1047" s="18"/>
      <c r="U1047" s="18"/>
      <c r="V1047" s="18"/>
      <c r="W1047" s="18"/>
      <c r="X1047" s="18"/>
      <c r="Y1047" s="18"/>
      <c r="Z1047" s="18"/>
    </row>
    <row r="1048">
      <c r="A1048" s="18"/>
      <c r="B1048" s="80"/>
      <c r="C1048" s="18"/>
      <c r="D1048" s="80"/>
      <c r="E1048" s="80"/>
      <c r="F1048" s="134"/>
      <c r="G1048" s="18"/>
      <c r="H1048" s="18"/>
      <c r="I1048" s="18"/>
      <c r="J1048" s="18"/>
      <c r="K1048" s="18"/>
      <c r="L1048" s="18"/>
      <c r="M1048" s="18"/>
      <c r="N1048" s="18"/>
      <c r="O1048" s="18"/>
      <c r="P1048" s="18"/>
      <c r="Q1048" s="18"/>
      <c r="R1048" s="18"/>
      <c r="S1048" s="18"/>
      <c r="T1048" s="18"/>
      <c r="U1048" s="18"/>
      <c r="V1048" s="18"/>
      <c r="W1048" s="18"/>
      <c r="X1048" s="18"/>
      <c r="Y1048" s="18"/>
      <c r="Z1048" s="18"/>
    </row>
    <row r="1049">
      <c r="A1049" s="18"/>
      <c r="B1049" s="80"/>
      <c r="C1049" s="18"/>
      <c r="D1049" s="80"/>
      <c r="E1049" s="80"/>
      <c r="F1049" s="134"/>
      <c r="G1049" s="18"/>
      <c r="H1049" s="18"/>
      <c r="I1049" s="18"/>
      <c r="J1049" s="18"/>
      <c r="K1049" s="18"/>
      <c r="L1049" s="18"/>
      <c r="M1049" s="18"/>
      <c r="N1049" s="18"/>
      <c r="O1049" s="18"/>
      <c r="P1049" s="18"/>
      <c r="Q1049" s="18"/>
      <c r="R1049" s="18"/>
      <c r="S1049" s="18"/>
      <c r="T1049" s="18"/>
      <c r="U1049" s="18"/>
      <c r="V1049" s="18"/>
      <c r="W1049" s="18"/>
      <c r="X1049" s="18"/>
      <c r="Y1049" s="18"/>
      <c r="Z1049" s="18"/>
    </row>
    <row r="1050">
      <c r="A1050" s="18"/>
      <c r="B1050" s="80"/>
      <c r="C1050" s="18"/>
      <c r="D1050" s="80"/>
      <c r="E1050" s="80"/>
      <c r="F1050" s="134"/>
      <c r="G1050" s="18"/>
      <c r="H1050" s="18"/>
      <c r="I1050" s="18"/>
      <c r="J1050" s="18"/>
      <c r="K1050" s="18"/>
      <c r="L1050" s="18"/>
      <c r="M1050" s="18"/>
      <c r="N1050" s="18"/>
      <c r="O1050" s="18"/>
      <c r="P1050" s="18"/>
      <c r="Q1050" s="18"/>
      <c r="R1050" s="18"/>
      <c r="S1050" s="18"/>
      <c r="T1050" s="18"/>
      <c r="U1050" s="18"/>
      <c r="V1050" s="18"/>
      <c r="W1050" s="18"/>
      <c r="X1050" s="18"/>
      <c r="Y1050" s="18"/>
      <c r="Z1050" s="18"/>
    </row>
    <row r="1051">
      <c r="A1051" s="18"/>
      <c r="B1051" s="80"/>
      <c r="C1051" s="18"/>
      <c r="D1051" s="80"/>
      <c r="E1051" s="80"/>
      <c r="F1051" s="134"/>
      <c r="G1051" s="18"/>
      <c r="H1051" s="18"/>
      <c r="I1051" s="18"/>
      <c r="J1051" s="18"/>
      <c r="K1051" s="18"/>
      <c r="L1051" s="18"/>
      <c r="M1051" s="18"/>
      <c r="N1051" s="18"/>
      <c r="O1051" s="18"/>
      <c r="P1051" s="18"/>
      <c r="Q1051" s="18"/>
      <c r="R1051" s="18"/>
      <c r="S1051" s="18"/>
      <c r="T1051" s="18"/>
      <c r="U1051" s="18"/>
      <c r="V1051" s="18"/>
      <c r="W1051" s="18"/>
      <c r="X1051" s="18"/>
      <c r="Y1051" s="18"/>
      <c r="Z1051" s="18"/>
    </row>
    <row r="1052">
      <c r="A1052" s="18"/>
      <c r="B1052" s="80"/>
      <c r="C1052" s="18"/>
      <c r="D1052" s="80"/>
      <c r="E1052" s="80"/>
      <c r="F1052" s="134"/>
      <c r="G1052" s="18"/>
      <c r="H1052" s="18"/>
      <c r="I1052" s="18"/>
      <c r="J1052" s="18"/>
      <c r="K1052" s="18"/>
      <c r="L1052" s="18"/>
      <c r="M1052" s="18"/>
      <c r="N1052" s="18"/>
      <c r="O1052" s="18"/>
      <c r="P1052" s="18"/>
      <c r="Q1052" s="18"/>
      <c r="R1052" s="18"/>
      <c r="S1052" s="18"/>
      <c r="T1052" s="18"/>
      <c r="U1052" s="18"/>
      <c r="V1052" s="18"/>
      <c r="W1052" s="18"/>
      <c r="X1052" s="18"/>
      <c r="Y1052" s="18"/>
      <c r="Z1052" s="18"/>
    </row>
    <row r="1053">
      <c r="A1053" s="18"/>
      <c r="B1053" s="80"/>
      <c r="C1053" s="18"/>
      <c r="D1053" s="80"/>
      <c r="E1053" s="80"/>
      <c r="F1053" s="134"/>
      <c r="G1053" s="18"/>
      <c r="H1053" s="18"/>
      <c r="I1053" s="18"/>
      <c r="J1053" s="18"/>
      <c r="K1053" s="18"/>
      <c r="L1053" s="18"/>
      <c r="M1053" s="18"/>
      <c r="N1053" s="18"/>
      <c r="O1053" s="18"/>
      <c r="P1053" s="18"/>
      <c r="Q1053" s="18"/>
      <c r="R1053" s="18"/>
      <c r="S1053" s="18"/>
      <c r="T1053" s="18"/>
      <c r="U1053" s="18"/>
      <c r="V1053" s="18"/>
      <c r="W1053" s="18"/>
      <c r="X1053" s="18"/>
      <c r="Y1053" s="18"/>
      <c r="Z1053" s="18"/>
    </row>
    <row r="1054">
      <c r="A1054" s="18"/>
      <c r="B1054" s="80"/>
      <c r="C1054" s="18"/>
      <c r="D1054" s="80"/>
      <c r="E1054" s="80"/>
      <c r="F1054" s="134"/>
      <c r="G1054" s="18"/>
      <c r="H1054" s="18"/>
      <c r="I1054" s="18"/>
      <c r="J1054" s="18"/>
      <c r="K1054" s="18"/>
      <c r="L1054" s="18"/>
      <c r="M1054" s="18"/>
      <c r="N1054" s="18"/>
      <c r="O1054" s="18"/>
      <c r="P1054" s="18"/>
      <c r="Q1054" s="18"/>
      <c r="R1054" s="18"/>
      <c r="S1054" s="18"/>
      <c r="T1054" s="18"/>
      <c r="U1054" s="18"/>
      <c r="V1054" s="18"/>
      <c r="W1054" s="18"/>
      <c r="X1054" s="18"/>
      <c r="Y1054" s="18"/>
      <c r="Z1054" s="18"/>
    </row>
    <row r="1055">
      <c r="A1055" s="18"/>
      <c r="B1055" s="80"/>
      <c r="C1055" s="18"/>
      <c r="D1055" s="80"/>
      <c r="E1055" s="80"/>
      <c r="F1055" s="134"/>
      <c r="G1055" s="18"/>
      <c r="H1055" s="18"/>
      <c r="I1055" s="18"/>
      <c r="J1055" s="18"/>
      <c r="K1055" s="18"/>
      <c r="L1055" s="18"/>
      <c r="M1055" s="18"/>
      <c r="N1055" s="18"/>
      <c r="O1055" s="18"/>
      <c r="P1055" s="18"/>
      <c r="Q1055" s="18"/>
      <c r="R1055" s="18"/>
      <c r="S1055" s="18"/>
      <c r="T1055" s="18"/>
      <c r="U1055" s="18"/>
      <c r="V1055" s="18"/>
      <c r="W1055" s="18"/>
      <c r="X1055" s="18"/>
      <c r="Y1055" s="18"/>
      <c r="Z1055" s="18"/>
    </row>
    <row r="1056">
      <c r="A1056" s="18"/>
      <c r="B1056" s="80"/>
      <c r="C1056" s="18"/>
      <c r="D1056" s="80"/>
      <c r="E1056" s="80"/>
      <c r="F1056" s="134"/>
      <c r="G1056" s="18"/>
      <c r="H1056" s="18"/>
      <c r="I1056" s="18"/>
      <c r="J1056" s="18"/>
      <c r="K1056" s="18"/>
      <c r="L1056" s="18"/>
      <c r="M1056" s="18"/>
      <c r="N1056" s="18"/>
      <c r="O1056" s="18"/>
      <c r="P1056" s="18"/>
      <c r="Q1056" s="18"/>
      <c r="R1056" s="18"/>
      <c r="S1056" s="18"/>
      <c r="T1056" s="18"/>
      <c r="U1056" s="18"/>
      <c r="V1056" s="18"/>
      <c r="W1056" s="18"/>
      <c r="X1056" s="18"/>
      <c r="Y1056" s="18"/>
      <c r="Z1056" s="18"/>
    </row>
    <row r="1057">
      <c r="A1057" s="18"/>
      <c r="B1057" s="80"/>
      <c r="C1057" s="18"/>
      <c r="D1057" s="80"/>
      <c r="E1057" s="80"/>
      <c r="F1057" s="134"/>
      <c r="G1057" s="18"/>
      <c r="H1057" s="18"/>
      <c r="I1057" s="18"/>
      <c r="J1057" s="18"/>
      <c r="K1057" s="18"/>
      <c r="L1057" s="18"/>
      <c r="M1057" s="18"/>
      <c r="N1057" s="18"/>
      <c r="O1057" s="18"/>
      <c r="P1057" s="18"/>
      <c r="Q1057" s="18"/>
      <c r="R1057" s="18"/>
      <c r="S1057" s="18"/>
      <c r="T1057" s="18"/>
      <c r="U1057" s="18"/>
      <c r="V1057" s="18"/>
      <c r="W1057" s="18"/>
      <c r="X1057" s="18"/>
      <c r="Y1057" s="18"/>
      <c r="Z1057" s="18"/>
    </row>
    <row r="1058">
      <c r="A1058" s="18"/>
      <c r="B1058" s="80"/>
      <c r="C1058" s="18"/>
      <c r="D1058" s="80"/>
      <c r="E1058" s="80"/>
      <c r="F1058" s="134"/>
      <c r="G1058" s="18"/>
      <c r="H1058" s="18"/>
      <c r="I1058" s="18"/>
      <c r="J1058" s="18"/>
      <c r="K1058" s="18"/>
      <c r="L1058" s="18"/>
      <c r="M1058" s="18"/>
      <c r="N1058" s="18"/>
      <c r="O1058" s="18"/>
      <c r="P1058" s="18"/>
      <c r="Q1058" s="18"/>
      <c r="R1058" s="18"/>
      <c r="S1058" s="18"/>
      <c r="T1058" s="18"/>
      <c r="U1058" s="18"/>
      <c r="V1058" s="18"/>
      <c r="W1058" s="18"/>
      <c r="X1058" s="18"/>
      <c r="Y1058" s="18"/>
      <c r="Z1058" s="18"/>
    </row>
    <row r="1059">
      <c r="A1059" s="18"/>
      <c r="B1059" s="80"/>
      <c r="C1059" s="18"/>
      <c r="D1059" s="80"/>
      <c r="E1059" s="80"/>
      <c r="F1059" s="134"/>
      <c r="G1059" s="18"/>
      <c r="H1059" s="18"/>
      <c r="I1059" s="18"/>
      <c r="J1059" s="18"/>
      <c r="K1059" s="18"/>
      <c r="L1059" s="18"/>
      <c r="M1059" s="18"/>
      <c r="N1059" s="18"/>
      <c r="O1059" s="18"/>
      <c r="P1059" s="18"/>
      <c r="Q1059" s="18"/>
      <c r="R1059" s="18"/>
      <c r="S1059" s="18"/>
      <c r="T1059" s="18"/>
      <c r="U1059" s="18"/>
      <c r="V1059" s="18"/>
      <c r="W1059" s="18"/>
      <c r="X1059" s="18"/>
      <c r="Y1059" s="18"/>
      <c r="Z1059" s="18"/>
    </row>
    <row r="1060">
      <c r="A1060" s="18"/>
      <c r="B1060" s="80"/>
      <c r="C1060" s="18"/>
      <c r="D1060" s="80"/>
      <c r="E1060" s="80"/>
      <c r="F1060" s="134"/>
      <c r="G1060" s="18"/>
      <c r="H1060" s="18"/>
      <c r="I1060" s="18"/>
      <c r="J1060" s="18"/>
      <c r="K1060" s="18"/>
      <c r="L1060" s="18"/>
      <c r="M1060" s="18"/>
      <c r="N1060" s="18"/>
      <c r="O1060" s="18"/>
      <c r="P1060" s="18"/>
      <c r="Q1060" s="18"/>
      <c r="R1060" s="18"/>
      <c r="S1060" s="18"/>
      <c r="T1060" s="18"/>
      <c r="U1060" s="18"/>
      <c r="V1060" s="18"/>
      <c r="W1060" s="18"/>
      <c r="X1060" s="18"/>
      <c r="Y1060" s="18"/>
      <c r="Z1060" s="18"/>
    </row>
    <row r="1061">
      <c r="A1061" s="18"/>
      <c r="B1061" s="80"/>
      <c r="C1061" s="18"/>
      <c r="D1061" s="80"/>
      <c r="E1061" s="80"/>
      <c r="F1061" s="134"/>
      <c r="G1061" s="18"/>
      <c r="H1061" s="18"/>
      <c r="I1061" s="18"/>
      <c r="J1061" s="18"/>
      <c r="K1061" s="18"/>
      <c r="L1061" s="18"/>
      <c r="M1061" s="18"/>
      <c r="N1061" s="18"/>
      <c r="O1061" s="18"/>
      <c r="P1061" s="18"/>
      <c r="Q1061" s="18"/>
      <c r="R1061" s="18"/>
      <c r="S1061" s="18"/>
      <c r="T1061" s="18"/>
      <c r="U1061" s="18"/>
      <c r="V1061" s="18"/>
      <c r="W1061" s="18"/>
      <c r="X1061" s="18"/>
      <c r="Y1061" s="18"/>
      <c r="Z1061" s="18"/>
    </row>
    <row r="1062">
      <c r="A1062" s="18"/>
      <c r="B1062" s="80"/>
      <c r="C1062" s="18"/>
      <c r="D1062" s="80"/>
      <c r="E1062" s="80"/>
      <c r="F1062" s="134"/>
      <c r="G1062" s="18"/>
      <c r="H1062" s="18"/>
      <c r="I1062" s="18"/>
      <c r="J1062" s="18"/>
      <c r="K1062" s="18"/>
      <c r="L1062" s="18"/>
      <c r="M1062" s="18"/>
      <c r="N1062" s="18"/>
      <c r="O1062" s="18"/>
      <c r="P1062" s="18"/>
      <c r="Q1062" s="18"/>
      <c r="R1062" s="18"/>
      <c r="S1062" s="18"/>
      <c r="T1062" s="18"/>
      <c r="U1062" s="18"/>
      <c r="V1062" s="18"/>
      <c r="W1062" s="18"/>
      <c r="X1062" s="18"/>
      <c r="Y1062" s="18"/>
      <c r="Z1062" s="18"/>
    </row>
    <row r="1063">
      <c r="A1063" s="18"/>
      <c r="B1063" s="80"/>
      <c r="C1063" s="18"/>
      <c r="D1063" s="80"/>
      <c r="E1063" s="80"/>
      <c r="F1063" s="134"/>
      <c r="G1063" s="18"/>
      <c r="H1063" s="18"/>
      <c r="I1063" s="18"/>
      <c r="J1063" s="18"/>
      <c r="K1063" s="18"/>
      <c r="L1063" s="18"/>
      <c r="M1063" s="18"/>
      <c r="N1063" s="18"/>
      <c r="O1063" s="18"/>
      <c r="P1063" s="18"/>
      <c r="Q1063" s="18"/>
      <c r="R1063" s="18"/>
      <c r="S1063" s="18"/>
      <c r="T1063" s="18"/>
      <c r="U1063" s="18"/>
      <c r="V1063" s="18"/>
      <c r="W1063" s="18"/>
      <c r="X1063" s="18"/>
      <c r="Y1063" s="18"/>
      <c r="Z1063" s="18"/>
    </row>
    <row r="1064">
      <c r="A1064" s="18"/>
      <c r="B1064" s="80"/>
      <c r="C1064" s="18"/>
      <c r="D1064" s="80"/>
      <c r="E1064" s="80"/>
      <c r="F1064" s="134"/>
      <c r="G1064" s="18"/>
      <c r="H1064" s="18"/>
      <c r="I1064" s="18"/>
      <c r="J1064" s="18"/>
      <c r="K1064" s="18"/>
      <c r="L1064" s="18"/>
      <c r="M1064" s="18"/>
      <c r="N1064" s="18"/>
      <c r="O1064" s="18"/>
      <c r="P1064" s="18"/>
      <c r="Q1064" s="18"/>
      <c r="R1064" s="18"/>
      <c r="S1064" s="18"/>
      <c r="T1064" s="18"/>
      <c r="U1064" s="18"/>
      <c r="V1064" s="18"/>
      <c r="W1064" s="18"/>
      <c r="X1064" s="18"/>
      <c r="Y1064" s="18"/>
      <c r="Z1064" s="18"/>
    </row>
    <row r="1065">
      <c r="A1065" s="18"/>
      <c r="B1065" s="80"/>
      <c r="C1065" s="18"/>
      <c r="D1065" s="80"/>
      <c r="E1065" s="80"/>
      <c r="F1065" s="134"/>
      <c r="G1065" s="18"/>
      <c r="H1065" s="18"/>
      <c r="I1065" s="18"/>
      <c r="J1065" s="18"/>
      <c r="K1065" s="18"/>
      <c r="L1065" s="18"/>
      <c r="M1065" s="18"/>
      <c r="N1065" s="18"/>
      <c r="O1065" s="18"/>
      <c r="P1065" s="18"/>
      <c r="Q1065" s="18"/>
      <c r="R1065" s="18"/>
      <c r="S1065" s="18"/>
      <c r="T1065" s="18"/>
      <c r="U1065" s="18"/>
      <c r="V1065" s="18"/>
      <c r="W1065" s="18"/>
      <c r="X1065" s="18"/>
      <c r="Y1065" s="18"/>
      <c r="Z1065" s="18"/>
    </row>
    <row r="1066">
      <c r="A1066" s="18"/>
      <c r="B1066" s="80"/>
      <c r="C1066" s="18"/>
      <c r="D1066" s="80"/>
      <c r="E1066" s="80"/>
      <c r="F1066" s="134"/>
      <c r="G1066" s="18"/>
      <c r="H1066" s="18"/>
      <c r="I1066" s="18"/>
      <c r="J1066" s="18"/>
      <c r="K1066" s="18"/>
      <c r="L1066" s="18"/>
      <c r="M1066" s="18"/>
      <c r="N1066" s="18"/>
      <c r="O1066" s="18"/>
      <c r="P1066" s="18"/>
      <c r="Q1066" s="18"/>
      <c r="R1066" s="18"/>
      <c r="S1066" s="18"/>
      <c r="T1066" s="18"/>
      <c r="U1066" s="18"/>
      <c r="V1066" s="18"/>
      <c r="W1066" s="18"/>
      <c r="X1066" s="18"/>
      <c r="Y1066" s="18"/>
      <c r="Z1066" s="18"/>
    </row>
    <row r="1067">
      <c r="A1067" s="18"/>
      <c r="B1067" s="80"/>
      <c r="C1067" s="18"/>
      <c r="D1067" s="80"/>
      <c r="E1067" s="80"/>
      <c r="F1067" s="134"/>
      <c r="G1067" s="18"/>
      <c r="H1067" s="18"/>
      <c r="I1067" s="18"/>
      <c r="J1067" s="18"/>
      <c r="K1067" s="18"/>
      <c r="L1067" s="18"/>
      <c r="M1067" s="18"/>
      <c r="N1067" s="18"/>
      <c r="O1067" s="18"/>
      <c r="P1067" s="18"/>
      <c r="Q1067" s="18"/>
      <c r="R1067" s="18"/>
      <c r="S1067" s="18"/>
      <c r="T1067" s="18"/>
      <c r="U1067" s="18"/>
      <c r="V1067" s="18"/>
      <c r="W1067" s="18"/>
      <c r="X1067" s="18"/>
      <c r="Y1067" s="18"/>
      <c r="Z1067" s="18"/>
    </row>
    <row r="1068">
      <c r="A1068" s="18"/>
      <c r="B1068" s="80"/>
      <c r="C1068" s="18"/>
      <c r="D1068" s="80"/>
      <c r="E1068" s="80"/>
      <c r="F1068" s="134"/>
      <c r="G1068" s="18"/>
      <c r="H1068" s="18"/>
      <c r="I1068" s="18"/>
      <c r="J1068" s="18"/>
      <c r="K1068" s="18"/>
      <c r="L1068" s="18"/>
      <c r="M1068" s="18"/>
      <c r="N1068" s="18"/>
      <c r="O1068" s="18"/>
      <c r="P1068" s="18"/>
      <c r="Q1068" s="18"/>
      <c r="R1068" s="18"/>
      <c r="S1068" s="18"/>
      <c r="T1068" s="18"/>
      <c r="U1068" s="18"/>
      <c r="V1068" s="18"/>
      <c r="W1068" s="18"/>
      <c r="X1068" s="18"/>
      <c r="Y1068" s="18"/>
      <c r="Z1068" s="18"/>
    </row>
    <row r="1069">
      <c r="A1069" s="18"/>
      <c r="B1069" s="80"/>
      <c r="C1069" s="18"/>
      <c r="D1069" s="80"/>
      <c r="E1069" s="80"/>
      <c r="F1069" s="134"/>
      <c r="G1069" s="18"/>
      <c r="H1069" s="18"/>
      <c r="I1069" s="18"/>
      <c r="J1069" s="18"/>
      <c r="K1069" s="18"/>
      <c r="L1069" s="18"/>
      <c r="M1069" s="18"/>
      <c r="N1069" s="18"/>
      <c r="O1069" s="18"/>
      <c r="P1069" s="18"/>
      <c r="Q1069" s="18"/>
      <c r="R1069" s="18"/>
      <c r="S1069" s="18"/>
      <c r="T1069" s="18"/>
      <c r="U1069" s="18"/>
      <c r="V1069" s="18"/>
      <c r="W1069" s="18"/>
      <c r="X1069" s="18"/>
      <c r="Y1069" s="18"/>
      <c r="Z1069" s="18"/>
    </row>
    <row r="1070">
      <c r="A1070" s="18"/>
      <c r="B1070" s="80"/>
      <c r="C1070" s="18"/>
      <c r="D1070" s="80"/>
      <c r="E1070" s="80"/>
      <c r="F1070" s="134"/>
      <c r="G1070" s="18"/>
      <c r="H1070" s="18"/>
      <c r="I1070" s="18"/>
      <c r="J1070" s="18"/>
      <c r="K1070" s="18"/>
      <c r="L1070" s="18"/>
      <c r="M1070" s="18"/>
      <c r="N1070" s="18"/>
      <c r="O1070" s="18"/>
      <c r="P1070" s="18"/>
      <c r="Q1070" s="18"/>
      <c r="R1070" s="18"/>
      <c r="S1070" s="18"/>
      <c r="T1070" s="18"/>
      <c r="U1070" s="18"/>
      <c r="V1070" s="18"/>
      <c r="W1070" s="18"/>
      <c r="X1070" s="18"/>
      <c r="Y1070" s="18"/>
      <c r="Z1070" s="18"/>
    </row>
    <row r="1071">
      <c r="A1071" s="18"/>
      <c r="B1071" s="80"/>
      <c r="C1071" s="18"/>
      <c r="D1071" s="80"/>
      <c r="E1071" s="80"/>
      <c r="F1071" s="134"/>
      <c r="G1071" s="18"/>
      <c r="H1071" s="18"/>
      <c r="I1071" s="18"/>
      <c r="J1071" s="18"/>
      <c r="K1071" s="18"/>
      <c r="L1071" s="18"/>
      <c r="M1071" s="18"/>
      <c r="N1071" s="18"/>
      <c r="O1071" s="18"/>
      <c r="P1071" s="18"/>
      <c r="Q1071" s="18"/>
      <c r="R1071" s="18"/>
      <c r="S1071" s="18"/>
      <c r="T1071" s="18"/>
      <c r="U1071" s="18"/>
      <c r="V1071" s="18"/>
      <c r="W1071" s="18"/>
      <c r="X1071" s="18"/>
      <c r="Y1071" s="18"/>
      <c r="Z1071" s="18"/>
    </row>
    <row r="1072">
      <c r="A1072" s="18"/>
      <c r="B1072" s="80"/>
      <c r="C1072" s="18"/>
      <c r="D1072" s="80"/>
      <c r="E1072" s="80"/>
      <c r="F1072" s="134"/>
      <c r="G1072" s="18"/>
      <c r="H1072" s="18"/>
      <c r="I1072" s="18"/>
      <c r="J1072" s="18"/>
      <c r="K1072" s="18"/>
      <c r="L1072" s="18"/>
      <c r="M1072" s="18"/>
      <c r="N1072" s="18"/>
      <c r="O1072" s="18"/>
      <c r="P1072" s="18"/>
      <c r="Q1072" s="18"/>
      <c r="R1072" s="18"/>
      <c r="S1072" s="18"/>
      <c r="T1072" s="18"/>
      <c r="U1072" s="18"/>
      <c r="V1072" s="18"/>
      <c r="W1072" s="18"/>
      <c r="X1072" s="18"/>
      <c r="Y1072" s="18"/>
      <c r="Z1072" s="18"/>
    </row>
    <row r="1073">
      <c r="A1073" s="18"/>
      <c r="B1073" s="80"/>
      <c r="C1073" s="18"/>
      <c r="D1073" s="80"/>
      <c r="E1073" s="80"/>
      <c r="F1073" s="134"/>
      <c r="G1073" s="18"/>
      <c r="H1073" s="18"/>
      <c r="I1073" s="18"/>
      <c r="J1073" s="18"/>
      <c r="K1073" s="18"/>
      <c r="L1073" s="18"/>
      <c r="M1073" s="18"/>
      <c r="N1073" s="18"/>
      <c r="O1073" s="18"/>
      <c r="P1073" s="18"/>
      <c r="Q1073" s="18"/>
      <c r="R1073" s="18"/>
      <c r="S1073" s="18"/>
      <c r="T1073" s="18"/>
      <c r="U1073" s="18"/>
      <c r="V1073" s="18"/>
      <c r="W1073" s="18"/>
      <c r="X1073" s="18"/>
      <c r="Y1073" s="18"/>
      <c r="Z1073" s="18"/>
    </row>
    <row r="1074">
      <c r="A1074" s="18"/>
      <c r="B1074" s="80"/>
      <c r="C1074" s="18"/>
      <c r="D1074" s="80"/>
      <c r="E1074" s="80"/>
      <c r="F1074" s="134"/>
      <c r="G1074" s="18"/>
      <c r="H1074" s="18"/>
      <c r="I1074" s="18"/>
      <c r="J1074" s="18"/>
      <c r="K1074" s="18"/>
      <c r="L1074" s="18"/>
      <c r="M1074" s="18"/>
      <c r="N1074" s="18"/>
      <c r="O1074" s="18"/>
      <c r="P1074" s="18"/>
      <c r="Q1074" s="18"/>
      <c r="R1074" s="18"/>
      <c r="S1074" s="18"/>
      <c r="T1074" s="18"/>
      <c r="U1074" s="18"/>
      <c r="V1074" s="18"/>
      <c r="W1074" s="18"/>
      <c r="X1074" s="18"/>
      <c r="Y1074" s="18"/>
      <c r="Z1074" s="18"/>
    </row>
    <row r="1075">
      <c r="A1075" s="18"/>
      <c r="B1075" s="80"/>
      <c r="C1075" s="18"/>
      <c r="D1075" s="80"/>
      <c r="E1075" s="80"/>
      <c r="F1075" s="134"/>
      <c r="G1075" s="18"/>
      <c r="H1075" s="18"/>
      <c r="I1075" s="18"/>
      <c r="J1075" s="18"/>
      <c r="K1075" s="18"/>
      <c r="L1075" s="18"/>
      <c r="M1075" s="18"/>
      <c r="N1075" s="18"/>
      <c r="O1075" s="18"/>
      <c r="P1075" s="18"/>
      <c r="Q1075" s="18"/>
      <c r="R1075" s="18"/>
      <c r="S1075" s="18"/>
      <c r="T1075" s="18"/>
      <c r="U1075" s="18"/>
      <c r="V1075" s="18"/>
      <c r="W1075" s="18"/>
      <c r="X1075" s="18"/>
      <c r="Y1075" s="18"/>
      <c r="Z1075" s="18"/>
    </row>
    <row r="1076">
      <c r="A1076" s="18"/>
      <c r="B1076" s="80"/>
      <c r="C1076" s="18"/>
      <c r="D1076" s="80"/>
      <c r="E1076" s="80"/>
      <c r="F1076" s="134"/>
      <c r="G1076" s="18"/>
      <c r="H1076" s="18"/>
      <c r="I1076" s="18"/>
      <c r="J1076" s="18"/>
      <c r="K1076" s="18"/>
      <c r="L1076" s="18"/>
      <c r="M1076" s="18"/>
      <c r="N1076" s="18"/>
      <c r="O1076" s="18"/>
      <c r="P1076" s="18"/>
      <c r="Q1076" s="18"/>
      <c r="R1076" s="18"/>
      <c r="S1076" s="18"/>
      <c r="T1076" s="18"/>
      <c r="U1076" s="18"/>
      <c r="V1076" s="18"/>
      <c r="W1076" s="18"/>
      <c r="X1076" s="18"/>
      <c r="Y1076" s="18"/>
      <c r="Z1076" s="18"/>
    </row>
    <row r="1077">
      <c r="A1077" s="18"/>
      <c r="B1077" s="80"/>
      <c r="C1077" s="18"/>
      <c r="D1077" s="80"/>
      <c r="E1077" s="80"/>
      <c r="F1077" s="134"/>
      <c r="G1077" s="18"/>
      <c r="H1077" s="18"/>
      <c r="I1077" s="18"/>
      <c r="J1077" s="18"/>
      <c r="K1077" s="18"/>
      <c r="L1077" s="18"/>
      <c r="M1077" s="18"/>
      <c r="N1077" s="18"/>
      <c r="O1077" s="18"/>
      <c r="P1077" s="18"/>
      <c r="Q1077" s="18"/>
      <c r="R1077" s="18"/>
      <c r="S1077" s="18"/>
      <c r="T1077" s="18"/>
      <c r="U1077" s="18"/>
      <c r="V1077" s="18"/>
      <c r="W1077" s="18"/>
      <c r="X1077" s="18"/>
      <c r="Y1077" s="18"/>
      <c r="Z1077" s="18"/>
    </row>
    <row r="1078">
      <c r="A1078" s="18"/>
      <c r="B1078" s="80"/>
      <c r="C1078" s="18"/>
      <c r="D1078" s="80"/>
      <c r="E1078" s="80"/>
      <c r="F1078" s="134"/>
      <c r="G1078" s="18"/>
      <c r="H1078" s="18"/>
      <c r="I1078" s="18"/>
      <c r="J1078" s="18"/>
      <c r="K1078" s="18"/>
      <c r="L1078" s="18"/>
      <c r="M1078" s="18"/>
      <c r="N1078" s="18"/>
      <c r="O1078" s="18"/>
      <c r="P1078" s="18"/>
      <c r="Q1078" s="18"/>
      <c r="R1078" s="18"/>
      <c r="S1078" s="18"/>
      <c r="T1078" s="18"/>
      <c r="U1078" s="18"/>
      <c r="V1078" s="18"/>
      <c r="W1078" s="18"/>
      <c r="X1078" s="18"/>
      <c r="Y1078" s="18"/>
      <c r="Z1078" s="18"/>
    </row>
    <row r="1079">
      <c r="A1079" s="18"/>
      <c r="B1079" s="80"/>
      <c r="C1079" s="18"/>
      <c r="D1079" s="80"/>
      <c r="E1079" s="80"/>
      <c r="F1079" s="134"/>
      <c r="G1079" s="18"/>
      <c r="H1079" s="18"/>
      <c r="I1079" s="18"/>
      <c r="J1079" s="18"/>
      <c r="K1079" s="18"/>
      <c r="L1079" s="18"/>
      <c r="M1079" s="18"/>
      <c r="N1079" s="18"/>
      <c r="O1079" s="18"/>
      <c r="P1079" s="18"/>
      <c r="Q1079" s="18"/>
      <c r="R1079" s="18"/>
      <c r="S1079" s="18"/>
      <c r="T1079" s="18"/>
      <c r="U1079" s="18"/>
      <c r="V1079" s="18"/>
      <c r="W1079" s="18"/>
      <c r="X1079" s="18"/>
      <c r="Y1079" s="18"/>
      <c r="Z1079" s="18"/>
    </row>
    <row r="1080">
      <c r="A1080" s="18"/>
      <c r="B1080" s="80"/>
      <c r="C1080" s="18"/>
      <c r="D1080" s="80"/>
      <c r="E1080" s="80"/>
      <c r="F1080" s="134"/>
      <c r="G1080" s="18"/>
      <c r="H1080" s="18"/>
      <c r="I1080" s="18"/>
      <c r="J1080" s="18"/>
      <c r="K1080" s="18"/>
      <c r="L1080" s="18"/>
      <c r="M1080" s="18"/>
      <c r="N1080" s="18"/>
      <c r="O1080" s="18"/>
      <c r="P1080" s="18"/>
      <c r="Q1080" s="18"/>
      <c r="R1080" s="18"/>
      <c r="S1080" s="18"/>
      <c r="T1080" s="18"/>
      <c r="U1080" s="18"/>
      <c r="V1080" s="18"/>
      <c r="W1080" s="18"/>
      <c r="X1080" s="18"/>
      <c r="Y1080" s="18"/>
      <c r="Z1080" s="18"/>
    </row>
    <row r="1081">
      <c r="A1081" s="18"/>
      <c r="B1081" s="80"/>
      <c r="C1081" s="18"/>
      <c r="D1081" s="80"/>
      <c r="E1081" s="80"/>
      <c r="F1081" s="134"/>
      <c r="G1081" s="18"/>
      <c r="H1081" s="18"/>
      <c r="I1081" s="18"/>
      <c r="J1081" s="18"/>
      <c r="K1081" s="18"/>
      <c r="L1081" s="18"/>
      <c r="M1081" s="18"/>
      <c r="N1081" s="18"/>
      <c r="O1081" s="18"/>
      <c r="P1081" s="18"/>
      <c r="Q1081" s="18"/>
      <c r="R1081" s="18"/>
      <c r="S1081" s="18"/>
      <c r="T1081" s="18"/>
      <c r="U1081" s="18"/>
      <c r="V1081" s="18"/>
      <c r="W1081" s="18"/>
      <c r="X1081" s="18"/>
      <c r="Y1081" s="18"/>
      <c r="Z1081" s="18"/>
    </row>
    <row r="1082">
      <c r="A1082" s="18"/>
      <c r="B1082" s="80"/>
      <c r="C1082" s="18"/>
      <c r="D1082" s="80"/>
      <c r="E1082" s="80"/>
      <c r="F1082" s="134"/>
      <c r="G1082" s="18"/>
      <c r="H1082" s="18"/>
      <c r="I1082" s="18"/>
      <c r="J1082" s="18"/>
      <c r="K1082" s="18"/>
      <c r="L1082" s="18"/>
      <c r="M1082" s="18"/>
      <c r="N1082" s="18"/>
      <c r="O1082" s="18"/>
      <c r="P1082" s="18"/>
      <c r="Q1082" s="18"/>
      <c r="R1082" s="18"/>
      <c r="S1082" s="18"/>
      <c r="T1082" s="18"/>
      <c r="U1082" s="18"/>
      <c r="V1082" s="18"/>
      <c r="W1082" s="18"/>
      <c r="X1082" s="18"/>
      <c r="Y1082" s="18"/>
      <c r="Z1082" s="18"/>
    </row>
    <row r="1083">
      <c r="A1083" s="18"/>
      <c r="B1083" s="80"/>
      <c r="C1083" s="18"/>
      <c r="D1083" s="80"/>
      <c r="E1083" s="80"/>
      <c r="F1083" s="134"/>
      <c r="G1083" s="18"/>
      <c r="H1083" s="18"/>
      <c r="I1083" s="18"/>
      <c r="J1083" s="18"/>
      <c r="K1083" s="18"/>
      <c r="L1083" s="18"/>
      <c r="M1083" s="18"/>
      <c r="N1083" s="18"/>
      <c r="O1083" s="18"/>
      <c r="P1083" s="18"/>
      <c r="Q1083" s="18"/>
      <c r="R1083" s="18"/>
      <c r="S1083" s="18"/>
      <c r="T1083" s="18"/>
      <c r="U1083" s="18"/>
      <c r="V1083" s="18"/>
      <c r="W1083" s="18"/>
      <c r="X1083" s="18"/>
      <c r="Y1083" s="18"/>
      <c r="Z1083" s="18"/>
    </row>
    <row r="1084">
      <c r="A1084" s="18"/>
      <c r="B1084" s="80"/>
      <c r="C1084" s="18"/>
      <c r="D1084" s="80"/>
      <c r="E1084" s="80"/>
      <c r="F1084" s="134"/>
      <c r="G1084" s="18"/>
      <c r="H1084" s="18"/>
      <c r="I1084" s="18"/>
      <c r="J1084" s="18"/>
      <c r="K1084" s="18"/>
      <c r="L1084" s="18"/>
      <c r="M1084" s="18"/>
      <c r="N1084" s="18"/>
      <c r="O1084" s="18"/>
      <c r="P1084" s="18"/>
      <c r="Q1084" s="18"/>
      <c r="R1084" s="18"/>
      <c r="S1084" s="18"/>
      <c r="T1084" s="18"/>
      <c r="U1084" s="18"/>
      <c r="V1084" s="18"/>
      <c r="W1084" s="18"/>
      <c r="X1084" s="18"/>
      <c r="Y1084" s="18"/>
      <c r="Z1084" s="18"/>
    </row>
    <row r="1085">
      <c r="A1085" s="18"/>
      <c r="B1085" s="80"/>
      <c r="C1085" s="18"/>
      <c r="D1085" s="80"/>
      <c r="E1085" s="80"/>
      <c r="F1085" s="134"/>
      <c r="G1085" s="18"/>
      <c r="H1085" s="18"/>
      <c r="I1085" s="18"/>
      <c r="J1085" s="18"/>
      <c r="K1085" s="18"/>
      <c r="L1085" s="18"/>
      <c r="M1085" s="18"/>
      <c r="N1085" s="18"/>
      <c r="O1085" s="18"/>
      <c r="P1085" s="18"/>
      <c r="Q1085" s="18"/>
      <c r="R1085" s="18"/>
      <c r="S1085" s="18"/>
      <c r="T1085" s="18"/>
      <c r="U1085" s="18"/>
      <c r="V1085" s="18"/>
      <c r="W1085" s="18"/>
      <c r="X1085" s="18"/>
      <c r="Y1085" s="18"/>
      <c r="Z1085" s="18"/>
    </row>
    <row r="1086">
      <c r="A1086" s="18"/>
      <c r="B1086" s="80"/>
      <c r="C1086" s="18"/>
      <c r="D1086" s="80"/>
      <c r="E1086" s="80"/>
      <c r="F1086" s="134"/>
      <c r="G1086" s="18"/>
      <c r="H1086" s="18"/>
      <c r="I1086" s="18"/>
      <c r="J1086" s="18"/>
      <c r="K1086" s="18"/>
      <c r="L1086" s="18"/>
      <c r="M1086" s="18"/>
      <c r="N1086" s="18"/>
      <c r="O1086" s="18"/>
      <c r="P1086" s="18"/>
      <c r="Q1086" s="18"/>
      <c r="R1086" s="18"/>
      <c r="S1086" s="18"/>
      <c r="T1086" s="18"/>
      <c r="U1086" s="18"/>
      <c r="V1086" s="18"/>
      <c r="W1086" s="18"/>
      <c r="X1086" s="18"/>
      <c r="Y1086" s="18"/>
      <c r="Z1086" s="18"/>
    </row>
    <row r="1087">
      <c r="A1087" s="18"/>
      <c r="B1087" s="80"/>
      <c r="C1087" s="18"/>
      <c r="D1087" s="80"/>
      <c r="E1087" s="80"/>
      <c r="F1087" s="134"/>
      <c r="G1087" s="18"/>
      <c r="H1087" s="18"/>
      <c r="I1087" s="18"/>
      <c r="J1087" s="18"/>
      <c r="K1087" s="18"/>
      <c r="L1087" s="18"/>
      <c r="M1087" s="18"/>
      <c r="N1087" s="18"/>
      <c r="O1087" s="18"/>
      <c r="P1087" s="18"/>
      <c r="Q1087" s="18"/>
      <c r="R1087" s="18"/>
      <c r="S1087" s="18"/>
      <c r="T1087" s="18"/>
      <c r="U1087" s="18"/>
      <c r="V1087" s="18"/>
      <c r="W1087" s="18"/>
      <c r="X1087" s="18"/>
      <c r="Y1087" s="18"/>
      <c r="Z1087" s="18"/>
    </row>
    <row r="1088">
      <c r="A1088" s="18"/>
      <c r="B1088" s="80"/>
      <c r="C1088" s="18"/>
      <c r="D1088" s="80"/>
      <c r="E1088" s="80"/>
      <c r="F1088" s="134"/>
      <c r="G1088" s="18"/>
      <c r="H1088" s="18"/>
      <c r="I1088" s="18"/>
      <c r="J1088" s="18"/>
      <c r="K1088" s="18"/>
      <c r="L1088" s="18"/>
      <c r="M1088" s="18"/>
      <c r="N1088" s="18"/>
      <c r="O1088" s="18"/>
      <c r="P1088" s="18"/>
      <c r="Q1088" s="18"/>
      <c r="R1088" s="18"/>
      <c r="S1088" s="18"/>
      <c r="T1088" s="18"/>
      <c r="U1088" s="18"/>
      <c r="V1088" s="18"/>
      <c r="W1088" s="18"/>
      <c r="X1088" s="18"/>
      <c r="Y1088" s="18"/>
      <c r="Z1088" s="18"/>
    </row>
    <row r="1089">
      <c r="A1089" s="18"/>
      <c r="B1089" s="80"/>
      <c r="C1089" s="18"/>
      <c r="D1089" s="80"/>
      <c r="E1089" s="80"/>
      <c r="F1089" s="134"/>
      <c r="G1089" s="18"/>
      <c r="H1089" s="18"/>
      <c r="I1089" s="18"/>
      <c r="J1089" s="18"/>
      <c r="K1089" s="18"/>
      <c r="L1089" s="18"/>
      <c r="M1089" s="18"/>
      <c r="N1089" s="18"/>
      <c r="O1089" s="18"/>
      <c r="P1089" s="18"/>
      <c r="Q1089" s="18"/>
      <c r="R1089" s="18"/>
      <c r="S1089" s="18"/>
      <c r="T1089" s="18"/>
      <c r="U1089" s="18"/>
      <c r="V1089" s="18"/>
      <c r="W1089" s="18"/>
      <c r="X1089" s="18"/>
      <c r="Y1089" s="18"/>
      <c r="Z1089" s="18"/>
    </row>
    <row r="1090">
      <c r="A1090" s="18"/>
      <c r="B1090" s="80"/>
      <c r="C1090" s="18"/>
      <c r="D1090" s="80"/>
      <c r="E1090" s="80"/>
      <c r="F1090" s="134"/>
      <c r="G1090" s="18"/>
      <c r="H1090" s="18"/>
      <c r="I1090" s="18"/>
      <c r="J1090" s="18"/>
      <c r="K1090" s="18"/>
      <c r="L1090" s="18"/>
      <c r="M1090" s="18"/>
      <c r="N1090" s="18"/>
      <c r="O1090" s="18"/>
      <c r="P1090" s="18"/>
      <c r="Q1090" s="18"/>
      <c r="R1090" s="18"/>
      <c r="S1090" s="18"/>
      <c r="T1090" s="18"/>
      <c r="U1090" s="18"/>
      <c r="V1090" s="18"/>
      <c r="W1090" s="18"/>
      <c r="X1090" s="18"/>
      <c r="Y1090" s="18"/>
      <c r="Z1090" s="18"/>
    </row>
    <row r="1091">
      <c r="A1091" s="18"/>
      <c r="B1091" s="80"/>
      <c r="C1091" s="18"/>
      <c r="D1091" s="80"/>
      <c r="E1091" s="80"/>
      <c r="F1091" s="134"/>
      <c r="G1091" s="18"/>
      <c r="H1091" s="18"/>
      <c r="I1091" s="18"/>
      <c r="J1091" s="18"/>
      <c r="K1091" s="18"/>
      <c r="L1091" s="18"/>
      <c r="M1091" s="18"/>
      <c r="N1091" s="18"/>
      <c r="O1091" s="18"/>
      <c r="P1091" s="18"/>
      <c r="Q1091" s="18"/>
      <c r="R1091" s="18"/>
      <c r="S1091" s="18"/>
      <c r="T1091" s="18"/>
      <c r="U1091" s="18"/>
      <c r="V1091" s="18"/>
      <c r="W1091" s="18"/>
      <c r="X1091" s="18"/>
      <c r="Y1091" s="18"/>
      <c r="Z1091" s="18"/>
    </row>
    <row r="1092">
      <c r="A1092" s="18"/>
      <c r="B1092" s="80"/>
      <c r="C1092" s="18"/>
      <c r="D1092" s="80"/>
      <c r="E1092" s="80"/>
      <c r="F1092" s="134"/>
      <c r="G1092" s="18"/>
      <c r="H1092" s="18"/>
      <c r="I1092" s="18"/>
      <c r="J1092" s="18"/>
      <c r="K1092" s="18"/>
      <c r="L1092" s="18"/>
      <c r="M1092" s="18"/>
      <c r="N1092" s="18"/>
      <c r="O1092" s="18"/>
      <c r="P1092" s="18"/>
      <c r="Q1092" s="18"/>
      <c r="R1092" s="18"/>
      <c r="S1092" s="18"/>
      <c r="T1092" s="18"/>
      <c r="U1092" s="18"/>
      <c r="V1092" s="18"/>
      <c r="W1092" s="18"/>
      <c r="X1092" s="18"/>
      <c r="Y1092" s="18"/>
      <c r="Z1092" s="18"/>
    </row>
    <row r="1093">
      <c r="A1093" s="18"/>
      <c r="B1093" s="80"/>
      <c r="C1093" s="18"/>
      <c r="D1093" s="80"/>
      <c r="E1093" s="80"/>
      <c r="F1093" s="134"/>
      <c r="G1093" s="18"/>
      <c r="H1093" s="18"/>
      <c r="I1093" s="18"/>
      <c r="J1093" s="18"/>
      <c r="K1093" s="18"/>
      <c r="L1093" s="18"/>
      <c r="M1093" s="18"/>
      <c r="N1093" s="18"/>
      <c r="O1093" s="18"/>
      <c r="P1093" s="18"/>
      <c r="Q1093" s="18"/>
      <c r="R1093" s="18"/>
      <c r="S1093" s="18"/>
      <c r="T1093" s="18"/>
      <c r="U1093" s="18"/>
      <c r="V1093" s="18"/>
      <c r="W1093" s="18"/>
      <c r="X1093" s="18"/>
      <c r="Y1093" s="18"/>
      <c r="Z1093" s="18"/>
    </row>
    <row r="1094">
      <c r="A1094" s="18"/>
      <c r="B1094" s="80"/>
      <c r="C1094" s="18"/>
      <c r="D1094" s="80"/>
      <c r="E1094" s="80"/>
      <c r="F1094" s="134"/>
      <c r="G1094" s="18"/>
      <c r="H1094" s="18"/>
      <c r="I1094" s="18"/>
      <c r="J1094" s="18"/>
      <c r="K1094" s="18"/>
      <c r="L1094" s="18"/>
      <c r="M1094" s="18"/>
      <c r="N1094" s="18"/>
      <c r="O1094" s="18"/>
      <c r="P1094" s="18"/>
      <c r="Q1094" s="18"/>
      <c r="R1094" s="18"/>
      <c r="S1094" s="18"/>
      <c r="T1094" s="18"/>
      <c r="U1094" s="18"/>
      <c r="V1094" s="18"/>
      <c r="W1094" s="18"/>
      <c r="X1094" s="18"/>
      <c r="Y1094" s="18"/>
      <c r="Z1094" s="18"/>
    </row>
    <row r="1095">
      <c r="A1095" s="18"/>
      <c r="B1095" s="80"/>
      <c r="C1095" s="18"/>
      <c r="D1095" s="80"/>
      <c r="E1095" s="80"/>
      <c r="F1095" s="134"/>
      <c r="G1095" s="18"/>
      <c r="H1095" s="18"/>
      <c r="I1095" s="18"/>
      <c r="J1095" s="18"/>
      <c r="K1095" s="18"/>
      <c r="L1095" s="18"/>
      <c r="M1095" s="18"/>
      <c r="N1095" s="18"/>
      <c r="O1095" s="18"/>
      <c r="P1095" s="18"/>
      <c r="Q1095" s="18"/>
      <c r="R1095" s="18"/>
      <c r="S1095" s="18"/>
      <c r="T1095" s="18"/>
      <c r="U1095" s="18"/>
      <c r="V1095" s="18"/>
      <c r="W1095" s="18"/>
      <c r="X1095" s="18"/>
      <c r="Y1095" s="18"/>
      <c r="Z1095" s="18"/>
    </row>
    <row r="1096">
      <c r="A1096" s="18"/>
      <c r="B1096" s="80"/>
      <c r="C1096" s="18"/>
      <c r="D1096" s="80"/>
      <c r="E1096" s="80"/>
      <c r="F1096" s="134"/>
      <c r="G1096" s="18"/>
      <c r="H1096" s="18"/>
      <c r="I1096" s="18"/>
      <c r="J1096" s="18"/>
      <c r="K1096" s="18"/>
      <c r="L1096" s="18"/>
      <c r="M1096" s="18"/>
      <c r="N1096" s="18"/>
      <c r="O1096" s="18"/>
      <c r="P1096" s="18"/>
      <c r="Q1096" s="18"/>
      <c r="R1096" s="18"/>
      <c r="S1096" s="18"/>
      <c r="T1096" s="18"/>
      <c r="U1096" s="18"/>
      <c r="V1096" s="18"/>
      <c r="W1096" s="18"/>
      <c r="X1096" s="18"/>
      <c r="Y1096" s="18"/>
      <c r="Z1096" s="18"/>
    </row>
    <row r="1097">
      <c r="A1097" s="18"/>
      <c r="B1097" s="80"/>
      <c r="C1097" s="18"/>
      <c r="D1097" s="80"/>
      <c r="E1097" s="80"/>
      <c r="F1097" s="134"/>
      <c r="G1097" s="18"/>
      <c r="H1097" s="18"/>
      <c r="I1097" s="18"/>
      <c r="J1097" s="18"/>
      <c r="K1097" s="18"/>
      <c r="L1097" s="18"/>
      <c r="M1097" s="18"/>
      <c r="N1097" s="18"/>
      <c r="O1097" s="18"/>
      <c r="P1097" s="18"/>
      <c r="Q1097" s="18"/>
      <c r="R1097" s="18"/>
      <c r="S1097" s="18"/>
      <c r="T1097" s="18"/>
      <c r="U1097" s="18"/>
      <c r="V1097" s="18"/>
      <c r="W1097" s="18"/>
      <c r="X1097" s="18"/>
      <c r="Y1097" s="18"/>
      <c r="Z1097" s="18"/>
    </row>
    <row r="1098">
      <c r="A1098" s="18"/>
      <c r="B1098" s="80"/>
      <c r="C1098" s="18"/>
      <c r="D1098" s="80"/>
      <c r="E1098" s="80"/>
      <c r="F1098" s="134"/>
      <c r="G1098" s="18"/>
      <c r="H1098" s="18"/>
      <c r="I1098" s="18"/>
      <c r="J1098" s="18"/>
      <c r="K1098" s="18"/>
      <c r="L1098" s="18"/>
      <c r="M1098" s="18"/>
      <c r="N1098" s="18"/>
      <c r="O1098" s="18"/>
      <c r="P1098" s="18"/>
      <c r="Q1098" s="18"/>
      <c r="R1098" s="18"/>
      <c r="S1098" s="18"/>
      <c r="T1098" s="18"/>
      <c r="U1098" s="18"/>
      <c r="V1098" s="18"/>
      <c r="W1098" s="18"/>
      <c r="X1098" s="18"/>
      <c r="Y1098" s="18"/>
      <c r="Z1098" s="18"/>
    </row>
    <row r="1099">
      <c r="A1099" s="18"/>
      <c r="B1099" s="80"/>
      <c r="C1099" s="18"/>
      <c r="D1099" s="80"/>
      <c r="E1099" s="80"/>
      <c r="F1099" s="134"/>
      <c r="G1099" s="18"/>
      <c r="H1099" s="18"/>
      <c r="I1099" s="18"/>
      <c r="J1099" s="18"/>
      <c r="K1099" s="18"/>
      <c r="L1099" s="18"/>
      <c r="M1099" s="18"/>
      <c r="N1099" s="18"/>
      <c r="O1099" s="18"/>
      <c r="P1099" s="18"/>
      <c r="Q1099" s="18"/>
      <c r="R1099" s="18"/>
      <c r="S1099" s="18"/>
      <c r="T1099" s="18"/>
      <c r="U1099" s="18"/>
      <c r="V1099" s="18"/>
      <c r="W1099" s="18"/>
      <c r="X1099" s="18"/>
      <c r="Y1099" s="18"/>
      <c r="Z1099" s="18"/>
    </row>
    <row r="1100">
      <c r="A1100" s="18"/>
      <c r="B1100" s="80"/>
      <c r="C1100" s="18"/>
      <c r="D1100" s="80"/>
      <c r="E1100" s="80"/>
      <c r="F1100" s="134"/>
      <c r="G1100" s="18"/>
      <c r="H1100" s="18"/>
      <c r="I1100" s="18"/>
      <c r="J1100" s="18"/>
      <c r="K1100" s="18"/>
      <c r="L1100" s="18"/>
      <c r="M1100" s="18"/>
      <c r="N1100" s="18"/>
      <c r="O1100" s="18"/>
      <c r="P1100" s="18"/>
      <c r="Q1100" s="18"/>
      <c r="R1100" s="18"/>
      <c r="S1100" s="18"/>
      <c r="T1100" s="18"/>
      <c r="U1100" s="18"/>
      <c r="V1100" s="18"/>
      <c r="W1100" s="18"/>
      <c r="X1100" s="18"/>
      <c r="Y1100" s="18"/>
      <c r="Z1100" s="18"/>
    </row>
    <row r="1101">
      <c r="A1101" s="18"/>
      <c r="B1101" s="80"/>
      <c r="C1101" s="18"/>
      <c r="D1101" s="80"/>
      <c r="E1101" s="80"/>
      <c r="F1101" s="134"/>
      <c r="G1101" s="18"/>
      <c r="H1101" s="18"/>
      <c r="I1101" s="18"/>
      <c r="J1101" s="18"/>
      <c r="K1101" s="18"/>
      <c r="L1101" s="18"/>
      <c r="M1101" s="18"/>
      <c r="N1101" s="18"/>
      <c r="O1101" s="18"/>
      <c r="P1101" s="18"/>
      <c r="Q1101" s="18"/>
      <c r="R1101" s="18"/>
      <c r="S1101" s="18"/>
      <c r="T1101" s="18"/>
      <c r="U1101" s="18"/>
      <c r="V1101" s="18"/>
      <c r="W1101" s="18"/>
      <c r="X1101" s="18"/>
      <c r="Y1101" s="18"/>
      <c r="Z1101" s="18"/>
    </row>
    <row r="1102">
      <c r="A1102" s="18"/>
      <c r="B1102" s="80"/>
      <c r="C1102" s="18"/>
      <c r="D1102" s="80"/>
      <c r="E1102" s="80"/>
      <c r="F1102" s="134"/>
      <c r="G1102" s="18"/>
      <c r="H1102" s="18"/>
      <c r="I1102" s="18"/>
      <c r="J1102" s="18"/>
      <c r="K1102" s="18"/>
      <c r="L1102" s="18"/>
      <c r="M1102" s="18"/>
      <c r="N1102" s="18"/>
      <c r="O1102" s="18"/>
      <c r="P1102" s="18"/>
      <c r="Q1102" s="18"/>
      <c r="R1102" s="18"/>
      <c r="S1102" s="18"/>
      <c r="T1102" s="18"/>
      <c r="U1102" s="18"/>
      <c r="V1102" s="18"/>
      <c r="W1102" s="18"/>
      <c r="X1102" s="18"/>
      <c r="Y1102" s="18"/>
      <c r="Z1102" s="18"/>
    </row>
    <row r="1103">
      <c r="A1103" s="18"/>
      <c r="B1103" s="80"/>
      <c r="C1103" s="18"/>
      <c r="D1103" s="80"/>
      <c r="E1103" s="80"/>
      <c r="F1103" s="134"/>
      <c r="G1103" s="18"/>
      <c r="H1103" s="18"/>
      <c r="I1103" s="18"/>
      <c r="J1103" s="18"/>
      <c r="K1103" s="18"/>
      <c r="L1103" s="18"/>
      <c r="M1103" s="18"/>
      <c r="N1103" s="18"/>
      <c r="O1103" s="18"/>
      <c r="P1103" s="18"/>
      <c r="Q1103" s="18"/>
      <c r="R1103" s="18"/>
      <c r="S1103" s="18"/>
      <c r="T1103" s="18"/>
      <c r="U1103" s="18"/>
      <c r="V1103" s="18"/>
      <c r="W1103" s="18"/>
      <c r="X1103" s="18"/>
      <c r="Y1103" s="18"/>
      <c r="Z1103" s="18"/>
    </row>
    <row r="1104">
      <c r="A1104" s="18"/>
      <c r="B1104" s="80"/>
      <c r="C1104" s="18"/>
      <c r="D1104" s="80"/>
      <c r="E1104" s="80"/>
      <c r="F1104" s="134"/>
      <c r="G1104" s="18"/>
      <c r="H1104" s="18"/>
      <c r="I1104" s="18"/>
      <c r="J1104" s="18"/>
      <c r="K1104" s="18"/>
      <c r="L1104" s="18"/>
      <c r="M1104" s="18"/>
      <c r="N1104" s="18"/>
      <c r="O1104" s="18"/>
      <c r="P1104" s="18"/>
      <c r="Q1104" s="18"/>
      <c r="R1104" s="18"/>
      <c r="S1104" s="18"/>
      <c r="T1104" s="18"/>
      <c r="U1104" s="18"/>
      <c r="V1104" s="18"/>
      <c r="W1104" s="18"/>
      <c r="X1104" s="18"/>
      <c r="Y1104" s="18"/>
      <c r="Z1104" s="18"/>
    </row>
    <row r="1105">
      <c r="A1105" s="18"/>
      <c r="B1105" s="80"/>
      <c r="C1105" s="18"/>
      <c r="D1105" s="80"/>
      <c r="E1105" s="80"/>
      <c r="F1105" s="134"/>
      <c r="G1105" s="18"/>
      <c r="H1105" s="18"/>
      <c r="I1105" s="18"/>
      <c r="J1105" s="18"/>
      <c r="K1105" s="18"/>
      <c r="L1105" s="18"/>
      <c r="M1105" s="18"/>
      <c r="N1105" s="18"/>
      <c r="O1105" s="18"/>
      <c r="P1105" s="18"/>
      <c r="Q1105" s="18"/>
      <c r="R1105" s="18"/>
      <c r="S1105" s="18"/>
      <c r="T1105" s="18"/>
      <c r="U1105" s="18"/>
      <c r="V1105" s="18"/>
      <c r="W1105" s="18"/>
      <c r="X1105" s="18"/>
      <c r="Y1105" s="18"/>
      <c r="Z1105" s="18"/>
    </row>
    <row r="1106">
      <c r="A1106" s="18"/>
      <c r="B1106" s="80"/>
      <c r="C1106" s="18"/>
      <c r="D1106" s="80"/>
      <c r="E1106" s="80"/>
      <c r="F1106" s="134"/>
      <c r="G1106" s="18"/>
      <c r="H1106" s="18"/>
      <c r="I1106" s="18"/>
      <c r="J1106" s="18"/>
      <c r="K1106" s="18"/>
      <c r="L1106" s="18"/>
      <c r="M1106" s="18"/>
      <c r="N1106" s="18"/>
      <c r="O1106" s="18"/>
      <c r="P1106" s="18"/>
      <c r="Q1106" s="18"/>
      <c r="R1106" s="18"/>
      <c r="S1106" s="18"/>
      <c r="T1106" s="18"/>
      <c r="U1106" s="18"/>
      <c r="V1106" s="18"/>
      <c r="W1106" s="18"/>
      <c r="X1106" s="18"/>
      <c r="Y1106" s="18"/>
      <c r="Z1106" s="18"/>
    </row>
    <row r="1107">
      <c r="A1107" s="18"/>
      <c r="B1107" s="80"/>
      <c r="C1107" s="18"/>
      <c r="D1107" s="80"/>
      <c r="E1107" s="80"/>
      <c r="F1107" s="134"/>
      <c r="G1107" s="18"/>
      <c r="H1107" s="18"/>
      <c r="I1107" s="18"/>
      <c r="J1107" s="18"/>
      <c r="K1107" s="18"/>
      <c r="L1107" s="18"/>
      <c r="M1107" s="18"/>
      <c r="N1107" s="18"/>
      <c r="O1107" s="18"/>
      <c r="P1107" s="18"/>
      <c r="Q1107" s="18"/>
      <c r="R1107" s="18"/>
      <c r="S1107" s="18"/>
      <c r="T1107" s="18"/>
      <c r="U1107" s="18"/>
      <c r="V1107" s="18"/>
      <c r="W1107" s="18"/>
      <c r="X1107" s="18"/>
      <c r="Y1107" s="18"/>
      <c r="Z1107" s="18"/>
    </row>
    <row r="1108">
      <c r="A1108" s="18"/>
      <c r="B1108" s="80"/>
      <c r="C1108" s="18"/>
      <c r="D1108" s="80"/>
      <c r="E1108" s="80"/>
      <c r="F1108" s="134"/>
      <c r="G1108" s="18"/>
      <c r="H1108" s="18"/>
      <c r="I1108" s="18"/>
      <c r="J1108" s="18"/>
      <c r="K1108" s="18"/>
      <c r="L1108" s="18"/>
      <c r="M1108" s="18"/>
      <c r="N1108" s="18"/>
      <c r="O1108" s="18"/>
      <c r="P1108" s="18"/>
      <c r="Q1108" s="18"/>
      <c r="R1108" s="18"/>
      <c r="S1108" s="18"/>
      <c r="T1108" s="18"/>
      <c r="U1108" s="18"/>
      <c r="V1108" s="18"/>
      <c r="W1108" s="18"/>
      <c r="X1108" s="18"/>
      <c r="Y1108" s="18"/>
      <c r="Z1108" s="18"/>
    </row>
    <row r="1109">
      <c r="A1109" s="18"/>
      <c r="B1109" s="80"/>
      <c r="C1109" s="18"/>
      <c r="D1109" s="80"/>
      <c r="E1109" s="80"/>
      <c r="F1109" s="134"/>
      <c r="G1109" s="18"/>
      <c r="H1109" s="18"/>
      <c r="I1109" s="18"/>
      <c r="J1109" s="18"/>
      <c r="K1109" s="18"/>
      <c r="L1109" s="18"/>
      <c r="M1109" s="18"/>
      <c r="N1109" s="18"/>
      <c r="O1109" s="18"/>
      <c r="P1109" s="18"/>
      <c r="Q1109" s="18"/>
      <c r="R1109" s="18"/>
      <c r="S1109" s="18"/>
      <c r="T1109" s="18"/>
      <c r="U1109" s="18"/>
      <c r="V1109" s="18"/>
      <c r="W1109" s="18"/>
      <c r="X1109" s="18"/>
      <c r="Y1109" s="18"/>
      <c r="Z1109" s="18"/>
    </row>
    <row r="1110">
      <c r="A1110" s="18"/>
      <c r="B1110" s="80"/>
      <c r="C1110" s="18"/>
      <c r="D1110" s="80"/>
      <c r="E1110" s="80"/>
      <c r="F1110" s="134"/>
      <c r="G1110" s="18"/>
      <c r="H1110" s="18"/>
      <c r="I1110" s="18"/>
      <c r="J1110" s="18"/>
      <c r="K1110" s="18"/>
      <c r="L1110" s="18"/>
      <c r="M1110" s="18"/>
      <c r="N1110" s="18"/>
      <c r="O1110" s="18"/>
      <c r="P1110" s="18"/>
      <c r="Q1110" s="18"/>
      <c r="R1110" s="18"/>
      <c r="S1110" s="18"/>
      <c r="T1110" s="18"/>
      <c r="U1110" s="18"/>
      <c r="V1110" s="18"/>
      <c r="W1110" s="18"/>
      <c r="X1110" s="18"/>
      <c r="Y1110" s="18"/>
      <c r="Z1110" s="18"/>
    </row>
    <row r="1111">
      <c r="A1111" s="18"/>
      <c r="B1111" s="80"/>
      <c r="C1111" s="18"/>
      <c r="D1111" s="80"/>
      <c r="E1111" s="80"/>
      <c r="F1111" s="134"/>
      <c r="G1111" s="18"/>
      <c r="H1111" s="18"/>
      <c r="I1111" s="18"/>
      <c r="J1111" s="18"/>
      <c r="K1111" s="18"/>
      <c r="L1111" s="18"/>
      <c r="M1111" s="18"/>
      <c r="N1111" s="18"/>
      <c r="O1111" s="18"/>
      <c r="P1111" s="18"/>
      <c r="Q1111" s="18"/>
      <c r="R1111" s="18"/>
      <c r="S1111" s="18"/>
      <c r="T1111" s="18"/>
      <c r="U1111" s="18"/>
      <c r="V1111" s="18"/>
      <c r="W1111" s="18"/>
      <c r="X1111" s="18"/>
      <c r="Y1111" s="18"/>
      <c r="Z1111" s="18"/>
    </row>
    <row r="1112">
      <c r="A1112" s="18"/>
      <c r="B1112" s="80"/>
      <c r="C1112" s="18"/>
      <c r="D1112" s="80"/>
      <c r="E1112" s="80"/>
      <c r="F1112" s="134"/>
      <c r="G1112" s="18"/>
      <c r="H1112" s="18"/>
      <c r="I1112" s="18"/>
      <c r="J1112" s="18"/>
      <c r="K1112" s="18"/>
      <c r="L1112" s="18"/>
      <c r="M1112" s="18"/>
      <c r="N1112" s="18"/>
      <c r="O1112" s="18"/>
      <c r="P1112" s="18"/>
      <c r="Q1112" s="18"/>
      <c r="R1112" s="18"/>
      <c r="S1112" s="18"/>
      <c r="T1112" s="18"/>
      <c r="U1112" s="18"/>
      <c r="V1112" s="18"/>
      <c r="W1112" s="18"/>
      <c r="X1112" s="18"/>
      <c r="Y1112" s="18"/>
      <c r="Z1112" s="18"/>
    </row>
    <row r="1113">
      <c r="A1113" s="18"/>
      <c r="B1113" s="80"/>
      <c r="C1113" s="18"/>
      <c r="D1113" s="80"/>
      <c r="E1113" s="80"/>
      <c r="F1113" s="134"/>
      <c r="G1113" s="18"/>
      <c r="H1113" s="18"/>
      <c r="I1113" s="18"/>
      <c r="J1113" s="18"/>
      <c r="K1113" s="18"/>
      <c r="L1113" s="18"/>
      <c r="M1113" s="18"/>
      <c r="N1113" s="18"/>
      <c r="O1113" s="18"/>
      <c r="P1113" s="18"/>
      <c r="Q1113" s="18"/>
      <c r="R1113" s="18"/>
      <c r="S1113" s="18"/>
      <c r="T1113" s="18"/>
      <c r="U1113" s="18"/>
      <c r="V1113" s="18"/>
      <c r="W1113" s="18"/>
      <c r="X1113" s="18"/>
      <c r="Y1113" s="18"/>
      <c r="Z1113" s="18"/>
    </row>
    <row r="1114">
      <c r="A1114" s="18"/>
      <c r="B1114" s="80"/>
      <c r="C1114" s="18"/>
      <c r="D1114" s="80"/>
      <c r="E1114" s="80"/>
      <c r="F1114" s="134"/>
      <c r="G1114" s="18"/>
      <c r="H1114" s="18"/>
      <c r="I1114" s="18"/>
      <c r="J1114" s="18"/>
      <c r="K1114" s="18"/>
      <c r="L1114" s="18"/>
      <c r="M1114" s="18"/>
      <c r="N1114" s="18"/>
      <c r="O1114" s="18"/>
      <c r="P1114" s="18"/>
      <c r="Q1114" s="18"/>
      <c r="R1114" s="18"/>
      <c r="S1114" s="18"/>
      <c r="T1114" s="18"/>
      <c r="U1114" s="18"/>
      <c r="V1114" s="18"/>
      <c r="W1114" s="18"/>
      <c r="X1114" s="18"/>
      <c r="Y1114" s="18"/>
      <c r="Z1114" s="18"/>
    </row>
    <row r="1115">
      <c r="A1115" s="18"/>
      <c r="B1115" s="80"/>
      <c r="C1115" s="18"/>
      <c r="D1115" s="80"/>
      <c r="E1115" s="80"/>
      <c r="F1115" s="134"/>
      <c r="G1115" s="18"/>
      <c r="H1115" s="18"/>
      <c r="I1115" s="18"/>
      <c r="J1115" s="18"/>
      <c r="K1115" s="18"/>
      <c r="L1115" s="18"/>
      <c r="M1115" s="18"/>
      <c r="N1115" s="18"/>
      <c r="O1115" s="18"/>
      <c r="P1115" s="18"/>
      <c r="Q1115" s="18"/>
      <c r="R1115" s="18"/>
      <c r="S1115" s="18"/>
      <c r="T1115" s="18"/>
      <c r="U1115" s="18"/>
      <c r="V1115" s="18"/>
      <c r="W1115" s="18"/>
      <c r="X1115" s="18"/>
      <c r="Y1115" s="18"/>
      <c r="Z1115" s="18"/>
    </row>
    <row r="1116">
      <c r="A1116" s="18"/>
      <c r="B1116" s="80"/>
      <c r="C1116" s="18"/>
      <c r="D1116" s="80"/>
      <c r="E1116" s="80"/>
      <c r="F1116" s="134"/>
      <c r="G1116" s="18"/>
      <c r="H1116" s="18"/>
      <c r="I1116" s="18"/>
      <c r="J1116" s="18"/>
      <c r="K1116" s="18"/>
      <c r="L1116" s="18"/>
      <c r="M1116" s="18"/>
      <c r="N1116" s="18"/>
      <c r="O1116" s="18"/>
      <c r="P1116" s="18"/>
      <c r="Q1116" s="18"/>
      <c r="R1116" s="18"/>
      <c r="S1116" s="18"/>
      <c r="T1116" s="18"/>
      <c r="U1116" s="18"/>
      <c r="V1116" s="18"/>
      <c r="W1116" s="18"/>
      <c r="X1116" s="18"/>
      <c r="Y1116" s="18"/>
      <c r="Z1116" s="18"/>
    </row>
    <row r="1117">
      <c r="A1117" s="18"/>
      <c r="B1117" s="80"/>
      <c r="C1117" s="18"/>
      <c r="D1117" s="80"/>
      <c r="E1117" s="80"/>
      <c r="F1117" s="134"/>
      <c r="G1117" s="18"/>
      <c r="H1117" s="18"/>
      <c r="I1117" s="18"/>
      <c r="J1117" s="18"/>
      <c r="K1117" s="18"/>
      <c r="L1117" s="18"/>
      <c r="M1117" s="18"/>
      <c r="N1117" s="18"/>
      <c r="O1117" s="18"/>
      <c r="P1117" s="18"/>
      <c r="Q1117" s="18"/>
      <c r="R1117" s="18"/>
      <c r="S1117" s="18"/>
      <c r="T1117" s="18"/>
      <c r="U1117" s="18"/>
      <c r="V1117" s="18"/>
      <c r="W1117" s="18"/>
      <c r="X1117" s="18"/>
      <c r="Y1117" s="18"/>
      <c r="Z1117" s="18"/>
    </row>
    <row r="1118">
      <c r="A1118" s="18"/>
      <c r="B1118" s="80"/>
      <c r="C1118" s="18"/>
      <c r="D1118" s="80"/>
      <c r="E1118" s="80"/>
      <c r="F1118" s="134"/>
      <c r="G1118" s="18"/>
      <c r="H1118" s="18"/>
      <c r="I1118" s="18"/>
      <c r="J1118" s="18"/>
      <c r="K1118" s="18"/>
      <c r="L1118" s="18"/>
      <c r="M1118" s="18"/>
      <c r="N1118" s="18"/>
      <c r="O1118" s="18"/>
      <c r="P1118" s="18"/>
      <c r="Q1118" s="18"/>
      <c r="R1118" s="18"/>
      <c r="S1118" s="18"/>
      <c r="T1118" s="18"/>
      <c r="U1118" s="18"/>
      <c r="V1118" s="18"/>
      <c r="W1118" s="18"/>
      <c r="X1118" s="18"/>
      <c r="Y1118" s="18"/>
      <c r="Z1118" s="18"/>
    </row>
    <row r="1119">
      <c r="A1119" s="18"/>
      <c r="B1119" s="80"/>
      <c r="C1119" s="18"/>
      <c r="D1119" s="80"/>
      <c r="E1119" s="80"/>
      <c r="F1119" s="134"/>
      <c r="G1119" s="18"/>
      <c r="H1119" s="18"/>
      <c r="I1119" s="18"/>
      <c r="J1119" s="18"/>
      <c r="K1119" s="18"/>
      <c r="L1119" s="18"/>
      <c r="M1119" s="18"/>
      <c r="N1119" s="18"/>
      <c r="O1119" s="18"/>
      <c r="P1119" s="18"/>
      <c r="Q1119" s="18"/>
      <c r="R1119" s="18"/>
      <c r="S1119" s="18"/>
      <c r="T1119" s="18"/>
      <c r="U1119" s="18"/>
      <c r="V1119" s="18"/>
      <c r="W1119" s="18"/>
      <c r="X1119" s="18"/>
      <c r="Y1119" s="18"/>
      <c r="Z1119" s="18"/>
    </row>
    <row r="1120">
      <c r="A1120" s="18"/>
      <c r="B1120" s="80"/>
      <c r="C1120" s="18"/>
      <c r="D1120" s="80"/>
      <c r="E1120" s="80"/>
      <c r="F1120" s="134"/>
      <c r="G1120" s="18"/>
      <c r="H1120" s="18"/>
      <c r="I1120" s="18"/>
      <c r="J1120" s="18"/>
      <c r="K1120" s="18"/>
      <c r="L1120" s="18"/>
      <c r="M1120" s="18"/>
      <c r="N1120" s="18"/>
      <c r="O1120" s="18"/>
      <c r="P1120" s="18"/>
      <c r="Q1120" s="18"/>
      <c r="R1120" s="18"/>
      <c r="S1120" s="18"/>
      <c r="T1120" s="18"/>
      <c r="U1120" s="18"/>
      <c r="V1120" s="18"/>
      <c r="W1120" s="18"/>
      <c r="X1120" s="18"/>
      <c r="Y1120" s="18"/>
      <c r="Z1120" s="18"/>
    </row>
    <row r="1121">
      <c r="A1121" s="18"/>
      <c r="B1121" s="80"/>
      <c r="C1121" s="18"/>
      <c r="D1121" s="80"/>
      <c r="E1121" s="80"/>
      <c r="F1121" s="134"/>
      <c r="G1121" s="18"/>
      <c r="H1121" s="18"/>
      <c r="I1121" s="18"/>
      <c r="J1121" s="18"/>
      <c r="K1121" s="18"/>
      <c r="L1121" s="18"/>
      <c r="M1121" s="18"/>
      <c r="N1121" s="18"/>
      <c r="O1121" s="18"/>
      <c r="P1121" s="18"/>
      <c r="Q1121" s="18"/>
      <c r="R1121" s="18"/>
      <c r="S1121" s="18"/>
      <c r="T1121" s="18"/>
      <c r="U1121" s="18"/>
      <c r="V1121" s="18"/>
      <c r="W1121" s="18"/>
      <c r="X1121" s="18"/>
      <c r="Y1121" s="18"/>
      <c r="Z1121" s="18"/>
    </row>
    <row r="1122">
      <c r="A1122" s="18"/>
      <c r="B1122" s="80"/>
      <c r="C1122" s="18"/>
      <c r="D1122" s="80"/>
      <c r="E1122" s="80"/>
      <c r="F1122" s="134"/>
      <c r="G1122" s="18"/>
      <c r="H1122" s="18"/>
      <c r="I1122" s="18"/>
      <c r="J1122" s="18"/>
      <c r="K1122" s="18"/>
      <c r="L1122" s="18"/>
      <c r="M1122" s="18"/>
      <c r="N1122" s="18"/>
      <c r="O1122" s="18"/>
      <c r="P1122" s="18"/>
      <c r="Q1122" s="18"/>
      <c r="R1122" s="18"/>
      <c r="S1122" s="18"/>
      <c r="T1122" s="18"/>
      <c r="U1122" s="18"/>
      <c r="V1122" s="18"/>
      <c r="W1122" s="18"/>
      <c r="X1122" s="18"/>
      <c r="Y1122" s="18"/>
      <c r="Z1122" s="18"/>
    </row>
    <row r="1123">
      <c r="A1123" s="18"/>
      <c r="B1123" s="80"/>
      <c r="C1123" s="18"/>
      <c r="D1123" s="80"/>
      <c r="E1123" s="80"/>
      <c r="F1123" s="134"/>
      <c r="G1123" s="18"/>
      <c r="H1123" s="18"/>
      <c r="I1123" s="18"/>
      <c r="J1123" s="18"/>
      <c r="K1123" s="18"/>
      <c r="L1123" s="18"/>
      <c r="M1123" s="18"/>
      <c r="N1123" s="18"/>
      <c r="O1123" s="18"/>
      <c r="P1123" s="18"/>
      <c r="Q1123" s="18"/>
      <c r="R1123" s="18"/>
      <c r="S1123" s="18"/>
      <c r="T1123" s="18"/>
      <c r="U1123" s="18"/>
      <c r="V1123" s="18"/>
      <c r="W1123" s="18"/>
      <c r="X1123" s="18"/>
      <c r="Y1123" s="18"/>
      <c r="Z1123" s="18"/>
    </row>
    <row r="1124">
      <c r="A1124" s="18"/>
      <c r="B1124" s="80"/>
      <c r="C1124" s="18"/>
      <c r="D1124" s="80"/>
      <c r="E1124" s="80"/>
      <c r="F1124" s="134"/>
      <c r="G1124" s="18"/>
      <c r="H1124" s="18"/>
      <c r="I1124" s="18"/>
      <c r="J1124" s="18"/>
      <c r="K1124" s="18"/>
      <c r="L1124" s="18"/>
      <c r="M1124" s="18"/>
      <c r="N1124" s="18"/>
      <c r="O1124" s="18"/>
      <c r="P1124" s="18"/>
      <c r="Q1124" s="18"/>
      <c r="R1124" s="18"/>
      <c r="S1124" s="18"/>
      <c r="T1124" s="18"/>
      <c r="U1124" s="18"/>
      <c r="V1124" s="18"/>
      <c r="W1124" s="18"/>
      <c r="X1124" s="18"/>
      <c r="Y1124" s="18"/>
      <c r="Z1124" s="18"/>
    </row>
    <row r="1125">
      <c r="A1125" s="18"/>
      <c r="B1125" s="80"/>
      <c r="C1125" s="18"/>
      <c r="D1125" s="80"/>
      <c r="E1125" s="80"/>
      <c r="F1125" s="134"/>
      <c r="G1125" s="18"/>
      <c r="H1125" s="18"/>
      <c r="I1125" s="18"/>
      <c r="J1125" s="18"/>
      <c r="K1125" s="18"/>
      <c r="L1125" s="18"/>
      <c r="M1125" s="18"/>
      <c r="N1125" s="18"/>
      <c r="O1125" s="18"/>
      <c r="P1125" s="18"/>
      <c r="Q1125" s="18"/>
      <c r="R1125" s="18"/>
      <c r="S1125" s="18"/>
      <c r="T1125" s="18"/>
      <c r="U1125" s="18"/>
      <c r="V1125" s="18"/>
      <c r="W1125" s="18"/>
      <c r="X1125" s="18"/>
      <c r="Y1125" s="18"/>
      <c r="Z1125" s="18"/>
    </row>
    <row r="1126">
      <c r="A1126" s="18"/>
      <c r="B1126" s="80"/>
      <c r="C1126" s="18"/>
      <c r="D1126" s="80"/>
      <c r="E1126" s="80"/>
      <c r="F1126" s="134"/>
      <c r="G1126" s="18"/>
      <c r="H1126" s="18"/>
      <c r="I1126" s="18"/>
      <c r="J1126" s="18"/>
      <c r="K1126" s="18"/>
      <c r="L1126" s="18"/>
      <c r="M1126" s="18"/>
      <c r="N1126" s="18"/>
      <c r="O1126" s="18"/>
      <c r="P1126" s="18"/>
      <c r="Q1126" s="18"/>
      <c r="R1126" s="18"/>
      <c r="S1126" s="18"/>
      <c r="T1126" s="18"/>
      <c r="U1126" s="18"/>
      <c r="V1126" s="18"/>
      <c r="W1126" s="18"/>
      <c r="X1126" s="18"/>
      <c r="Y1126" s="18"/>
      <c r="Z1126" s="18"/>
    </row>
    <row r="1127">
      <c r="A1127" s="18"/>
      <c r="B1127" s="80"/>
      <c r="C1127" s="18"/>
      <c r="D1127" s="80"/>
      <c r="E1127" s="80"/>
      <c r="F1127" s="134"/>
      <c r="G1127" s="18"/>
      <c r="H1127" s="18"/>
      <c r="I1127" s="18"/>
      <c r="J1127" s="18"/>
      <c r="K1127" s="18"/>
      <c r="L1127" s="18"/>
      <c r="M1127" s="18"/>
      <c r="N1127" s="18"/>
      <c r="O1127" s="18"/>
      <c r="P1127" s="18"/>
      <c r="Q1127" s="18"/>
      <c r="R1127" s="18"/>
      <c r="S1127" s="18"/>
      <c r="T1127" s="18"/>
      <c r="U1127" s="18"/>
      <c r="V1127" s="18"/>
      <c r="W1127" s="18"/>
      <c r="X1127" s="18"/>
      <c r="Y1127" s="18"/>
      <c r="Z1127" s="18"/>
    </row>
    <row r="1128">
      <c r="A1128" s="18"/>
      <c r="B1128" s="80"/>
      <c r="C1128" s="18"/>
      <c r="D1128" s="80"/>
      <c r="E1128" s="80"/>
      <c r="F1128" s="134"/>
      <c r="G1128" s="18"/>
      <c r="H1128" s="18"/>
      <c r="I1128" s="18"/>
      <c r="J1128" s="18"/>
      <c r="K1128" s="18"/>
      <c r="L1128" s="18"/>
      <c r="M1128" s="18"/>
      <c r="N1128" s="18"/>
      <c r="O1128" s="18"/>
      <c r="P1128" s="18"/>
      <c r="Q1128" s="18"/>
      <c r="R1128" s="18"/>
      <c r="S1128" s="18"/>
      <c r="T1128" s="18"/>
      <c r="U1128" s="18"/>
      <c r="V1128" s="18"/>
      <c r="W1128" s="18"/>
      <c r="X1128" s="18"/>
      <c r="Y1128" s="18"/>
      <c r="Z1128" s="18"/>
    </row>
    <row r="1129">
      <c r="A1129" s="18"/>
      <c r="B1129" s="80"/>
      <c r="C1129" s="18"/>
      <c r="D1129" s="80"/>
      <c r="E1129" s="80"/>
      <c r="F1129" s="134"/>
      <c r="G1129" s="18"/>
      <c r="H1129" s="18"/>
      <c r="I1129" s="18"/>
      <c r="J1129" s="18"/>
      <c r="K1129" s="18"/>
      <c r="L1129" s="18"/>
      <c r="M1129" s="18"/>
      <c r="N1129" s="18"/>
      <c r="O1129" s="18"/>
      <c r="P1129" s="18"/>
      <c r="Q1129" s="18"/>
      <c r="R1129" s="18"/>
      <c r="S1129" s="18"/>
      <c r="T1129" s="18"/>
      <c r="U1129" s="18"/>
      <c r="V1129" s="18"/>
      <c r="W1129" s="18"/>
      <c r="X1129" s="18"/>
      <c r="Y1129" s="18"/>
      <c r="Z1129" s="18"/>
    </row>
    <row r="1130">
      <c r="A1130" s="18"/>
      <c r="B1130" s="80"/>
      <c r="C1130" s="18"/>
      <c r="D1130" s="80"/>
      <c r="E1130" s="80"/>
      <c r="F1130" s="134"/>
      <c r="G1130" s="18"/>
      <c r="H1130" s="18"/>
      <c r="I1130" s="18"/>
      <c r="J1130" s="18"/>
      <c r="K1130" s="18"/>
      <c r="L1130" s="18"/>
      <c r="M1130" s="18"/>
      <c r="N1130" s="18"/>
      <c r="O1130" s="18"/>
      <c r="P1130" s="18"/>
      <c r="Q1130" s="18"/>
      <c r="R1130" s="18"/>
      <c r="S1130" s="18"/>
      <c r="T1130" s="18"/>
      <c r="U1130" s="18"/>
      <c r="V1130" s="18"/>
      <c r="W1130" s="18"/>
      <c r="X1130" s="18"/>
      <c r="Y1130" s="18"/>
      <c r="Z1130" s="18"/>
    </row>
    <row r="1131">
      <c r="A1131" s="18"/>
      <c r="B1131" s="80"/>
      <c r="C1131" s="18"/>
      <c r="D1131" s="80"/>
      <c r="E1131" s="80"/>
      <c r="F1131" s="134"/>
      <c r="G1131" s="18"/>
      <c r="H1131" s="18"/>
      <c r="I1131" s="18"/>
      <c r="J1131" s="18"/>
      <c r="K1131" s="18"/>
      <c r="L1131" s="18"/>
      <c r="M1131" s="18"/>
      <c r="N1131" s="18"/>
      <c r="O1131" s="18"/>
      <c r="P1131" s="18"/>
      <c r="Q1131" s="18"/>
      <c r="R1131" s="18"/>
      <c r="S1131" s="18"/>
      <c r="T1131" s="18"/>
      <c r="U1131" s="18"/>
      <c r="V1131" s="18"/>
      <c r="W1131" s="18"/>
      <c r="X1131" s="18"/>
      <c r="Y1131" s="18"/>
      <c r="Z1131" s="18"/>
    </row>
    <row r="1132">
      <c r="A1132" s="18"/>
      <c r="B1132" s="80"/>
      <c r="C1132" s="18"/>
      <c r="D1132" s="80"/>
      <c r="E1132" s="80"/>
      <c r="F1132" s="134"/>
      <c r="G1132" s="18"/>
      <c r="H1132" s="18"/>
      <c r="I1132" s="18"/>
      <c r="J1132" s="18"/>
      <c r="K1132" s="18"/>
      <c r="L1132" s="18"/>
      <c r="M1132" s="18"/>
      <c r="N1132" s="18"/>
      <c r="O1132" s="18"/>
      <c r="P1132" s="18"/>
      <c r="Q1132" s="18"/>
      <c r="R1132" s="18"/>
      <c r="S1132" s="18"/>
      <c r="T1132" s="18"/>
      <c r="U1132" s="18"/>
      <c r="V1132" s="18"/>
      <c r="W1132" s="18"/>
      <c r="X1132" s="18"/>
      <c r="Y1132" s="18"/>
      <c r="Z1132" s="18"/>
    </row>
    <row r="1133">
      <c r="A1133" s="18"/>
      <c r="B1133" s="80"/>
      <c r="C1133" s="18"/>
      <c r="D1133" s="80"/>
      <c r="E1133" s="80"/>
      <c r="F1133" s="134"/>
      <c r="G1133" s="18"/>
      <c r="H1133" s="18"/>
      <c r="I1133" s="18"/>
      <c r="J1133" s="18"/>
      <c r="K1133" s="18"/>
      <c r="L1133" s="18"/>
      <c r="M1133" s="18"/>
      <c r="N1133" s="18"/>
      <c r="O1133" s="18"/>
      <c r="P1133" s="18"/>
      <c r="Q1133" s="18"/>
      <c r="R1133" s="18"/>
      <c r="S1133" s="18"/>
      <c r="T1133" s="18"/>
      <c r="U1133" s="18"/>
      <c r="V1133" s="18"/>
      <c r="W1133" s="18"/>
      <c r="X1133" s="18"/>
      <c r="Y1133" s="18"/>
      <c r="Z1133" s="18"/>
    </row>
    <row r="1134">
      <c r="A1134" s="18"/>
      <c r="B1134" s="80"/>
      <c r="C1134" s="18"/>
      <c r="D1134" s="80"/>
      <c r="E1134" s="80"/>
      <c r="F1134" s="134"/>
      <c r="G1134" s="18"/>
      <c r="H1134" s="18"/>
      <c r="I1134" s="18"/>
      <c r="J1134" s="18"/>
      <c r="K1134" s="18"/>
      <c r="L1134" s="18"/>
      <c r="M1134" s="18"/>
      <c r="N1134" s="18"/>
      <c r="O1134" s="18"/>
      <c r="P1134" s="18"/>
      <c r="Q1134" s="18"/>
      <c r="R1134" s="18"/>
      <c r="S1134" s="18"/>
      <c r="T1134" s="18"/>
      <c r="U1134" s="18"/>
      <c r="V1134" s="18"/>
      <c r="W1134" s="18"/>
      <c r="X1134" s="18"/>
      <c r="Y1134" s="18"/>
      <c r="Z1134" s="18"/>
    </row>
    <row r="1135">
      <c r="A1135" s="18"/>
      <c r="B1135" s="80"/>
      <c r="C1135" s="18"/>
      <c r="D1135" s="80"/>
      <c r="E1135" s="80"/>
      <c r="F1135" s="134"/>
      <c r="G1135" s="18"/>
      <c r="H1135" s="18"/>
      <c r="I1135" s="18"/>
      <c r="J1135" s="18"/>
      <c r="K1135" s="18"/>
      <c r="L1135" s="18"/>
      <c r="M1135" s="18"/>
      <c r="N1135" s="18"/>
      <c r="O1135" s="18"/>
      <c r="P1135" s="18"/>
      <c r="Q1135" s="18"/>
      <c r="R1135" s="18"/>
      <c r="S1135" s="18"/>
      <c r="T1135" s="18"/>
      <c r="U1135" s="18"/>
      <c r="V1135" s="18"/>
      <c r="W1135" s="18"/>
      <c r="X1135" s="18"/>
      <c r="Y1135" s="18"/>
      <c r="Z1135" s="18"/>
    </row>
    <row r="1136">
      <c r="A1136" s="18"/>
      <c r="B1136" s="80"/>
      <c r="C1136" s="18"/>
      <c r="D1136" s="80"/>
      <c r="E1136" s="80"/>
      <c r="F1136" s="134"/>
      <c r="G1136" s="18"/>
      <c r="H1136" s="18"/>
      <c r="I1136" s="18"/>
      <c r="J1136" s="18"/>
      <c r="K1136" s="18"/>
      <c r="L1136" s="18"/>
      <c r="M1136" s="18"/>
      <c r="N1136" s="18"/>
      <c r="O1136" s="18"/>
      <c r="P1136" s="18"/>
      <c r="Q1136" s="18"/>
      <c r="R1136" s="18"/>
      <c r="S1136" s="18"/>
      <c r="T1136" s="18"/>
      <c r="U1136" s="18"/>
      <c r="V1136" s="18"/>
      <c r="W1136" s="18"/>
      <c r="X1136" s="18"/>
      <c r="Y1136" s="18"/>
      <c r="Z1136" s="18"/>
    </row>
    <row r="1137">
      <c r="A1137" s="18"/>
      <c r="B1137" s="80"/>
      <c r="C1137" s="18"/>
      <c r="D1137" s="80"/>
      <c r="E1137" s="80"/>
      <c r="F1137" s="134"/>
      <c r="G1137" s="18"/>
      <c r="H1137" s="18"/>
      <c r="I1137" s="18"/>
      <c r="J1137" s="18"/>
      <c r="K1137" s="18"/>
      <c r="L1137" s="18"/>
      <c r="M1137" s="18"/>
      <c r="N1137" s="18"/>
      <c r="O1137" s="18"/>
      <c r="P1137" s="18"/>
      <c r="Q1137" s="18"/>
      <c r="R1137" s="18"/>
      <c r="S1137" s="18"/>
      <c r="T1137" s="18"/>
      <c r="U1137" s="18"/>
      <c r="V1137" s="18"/>
      <c r="W1137" s="18"/>
      <c r="X1137" s="18"/>
      <c r="Y1137" s="18"/>
      <c r="Z1137" s="18"/>
    </row>
    <row r="1138">
      <c r="A1138" s="18"/>
      <c r="B1138" s="80"/>
      <c r="C1138" s="18"/>
      <c r="D1138" s="80"/>
      <c r="E1138" s="80"/>
      <c r="F1138" s="134"/>
      <c r="G1138" s="18"/>
      <c r="H1138" s="18"/>
      <c r="I1138" s="18"/>
      <c r="J1138" s="18"/>
      <c r="K1138" s="18"/>
      <c r="L1138" s="18"/>
      <c r="M1138" s="18"/>
      <c r="N1138" s="18"/>
      <c r="O1138" s="18"/>
      <c r="P1138" s="18"/>
      <c r="Q1138" s="18"/>
      <c r="R1138" s="18"/>
      <c r="S1138" s="18"/>
      <c r="T1138" s="18"/>
      <c r="U1138" s="18"/>
      <c r="V1138" s="18"/>
      <c r="W1138" s="18"/>
      <c r="X1138" s="18"/>
      <c r="Y1138" s="18"/>
      <c r="Z1138" s="18"/>
    </row>
    <row r="1139">
      <c r="A1139" s="18"/>
      <c r="B1139" s="80"/>
      <c r="C1139" s="18"/>
      <c r="D1139" s="80"/>
      <c r="E1139" s="80"/>
      <c r="F1139" s="134"/>
      <c r="G1139" s="18"/>
      <c r="H1139" s="18"/>
      <c r="I1139" s="18"/>
      <c r="J1139" s="18"/>
      <c r="K1139" s="18"/>
      <c r="L1139" s="18"/>
      <c r="M1139" s="18"/>
      <c r="N1139" s="18"/>
      <c r="O1139" s="18"/>
      <c r="P1139" s="18"/>
      <c r="Q1139" s="18"/>
      <c r="R1139" s="18"/>
      <c r="S1139" s="18"/>
      <c r="T1139" s="18"/>
      <c r="U1139" s="18"/>
      <c r="V1139" s="18"/>
      <c r="W1139" s="18"/>
      <c r="X1139" s="18"/>
      <c r="Y1139" s="18"/>
      <c r="Z1139" s="18"/>
    </row>
    <row r="1140">
      <c r="A1140" s="18"/>
      <c r="B1140" s="80"/>
      <c r="C1140" s="18"/>
      <c r="D1140" s="80"/>
      <c r="E1140" s="80"/>
      <c r="F1140" s="134"/>
      <c r="G1140" s="18"/>
      <c r="H1140" s="18"/>
      <c r="I1140" s="18"/>
      <c r="J1140" s="18"/>
      <c r="K1140" s="18"/>
      <c r="L1140" s="18"/>
      <c r="M1140" s="18"/>
      <c r="N1140" s="18"/>
      <c r="O1140" s="18"/>
      <c r="P1140" s="18"/>
      <c r="Q1140" s="18"/>
      <c r="R1140" s="18"/>
      <c r="S1140" s="18"/>
      <c r="T1140" s="18"/>
      <c r="U1140" s="18"/>
      <c r="V1140" s="18"/>
      <c r="W1140" s="18"/>
      <c r="X1140" s="18"/>
      <c r="Y1140" s="18"/>
      <c r="Z1140" s="18"/>
    </row>
    <row r="1141">
      <c r="A1141" s="18"/>
      <c r="B1141" s="80"/>
      <c r="C1141" s="18"/>
      <c r="D1141" s="80"/>
      <c r="E1141" s="80"/>
      <c r="F1141" s="134"/>
      <c r="G1141" s="18"/>
      <c r="H1141" s="18"/>
      <c r="I1141" s="18"/>
      <c r="J1141" s="18"/>
      <c r="K1141" s="18"/>
      <c r="L1141" s="18"/>
      <c r="M1141" s="18"/>
      <c r="N1141" s="18"/>
      <c r="O1141" s="18"/>
      <c r="P1141" s="18"/>
      <c r="Q1141" s="18"/>
      <c r="R1141" s="18"/>
      <c r="S1141" s="18"/>
      <c r="T1141" s="18"/>
      <c r="U1141" s="18"/>
      <c r="V1141" s="18"/>
      <c r="W1141" s="18"/>
      <c r="X1141" s="18"/>
      <c r="Y1141" s="18"/>
      <c r="Z1141" s="18"/>
    </row>
    <row r="1142">
      <c r="A1142" s="18"/>
      <c r="B1142" s="80"/>
      <c r="C1142" s="18"/>
      <c r="D1142" s="80"/>
      <c r="E1142" s="80"/>
      <c r="F1142" s="134"/>
      <c r="G1142" s="18"/>
      <c r="H1142" s="18"/>
      <c r="I1142" s="18"/>
      <c r="J1142" s="18"/>
      <c r="K1142" s="18"/>
      <c r="L1142" s="18"/>
      <c r="M1142" s="18"/>
      <c r="N1142" s="18"/>
      <c r="O1142" s="18"/>
      <c r="P1142" s="18"/>
      <c r="Q1142" s="18"/>
      <c r="R1142" s="18"/>
      <c r="S1142" s="18"/>
      <c r="T1142" s="18"/>
      <c r="U1142" s="18"/>
      <c r="V1142" s="18"/>
      <c r="W1142" s="18"/>
      <c r="X1142" s="18"/>
      <c r="Y1142" s="18"/>
      <c r="Z1142" s="18"/>
    </row>
    <row r="1143">
      <c r="A1143" s="18"/>
      <c r="B1143" s="80"/>
      <c r="C1143" s="18"/>
      <c r="D1143" s="80"/>
      <c r="E1143" s="80"/>
      <c r="F1143" s="134"/>
      <c r="G1143" s="18"/>
      <c r="H1143" s="18"/>
      <c r="I1143" s="18"/>
      <c r="J1143" s="18"/>
      <c r="K1143" s="18"/>
      <c r="L1143" s="18"/>
      <c r="M1143" s="18"/>
      <c r="N1143" s="18"/>
      <c r="O1143" s="18"/>
      <c r="P1143" s="18"/>
      <c r="Q1143" s="18"/>
      <c r="R1143" s="18"/>
      <c r="S1143" s="18"/>
      <c r="T1143" s="18"/>
      <c r="U1143" s="18"/>
      <c r="V1143" s="18"/>
      <c r="W1143" s="18"/>
      <c r="X1143" s="18"/>
      <c r="Y1143" s="18"/>
      <c r="Z1143" s="18"/>
    </row>
    <row r="1144">
      <c r="A1144" s="18"/>
      <c r="B1144" s="80"/>
      <c r="C1144" s="18"/>
      <c r="D1144" s="80"/>
      <c r="E1144" s="80"/>
      <c r="F1144" s="134"/>
      <c r="G1144" s="18"/>
      <c r="H1144" s="18"/>
      <c r="I1144" s="18"/>
      <c r="J1144" s="18"/>
      <c r="K1144" s="18"/>
      <c r="L1144" s="18"/>
      <c r="M1144" s="18"/>
      <c r="N1144" s="18"/>
      <c r="O1144" s="18"/>
      <c r="P1144" s="18"/>
      <c r="Q1144" s="18"/>
      <c r="R1144" s="18"/>
      <c r="S1144" s="18"/>
      <c r="T1144" s="18"/>
      <c r="U1144" s="18"/>
      <c r="V1144" s="18"/>
      <c r="W1144" s="18"/>
      <c r="X1144" s="18"/>
      <c r="Y1144" s="18"/>
      <c r="Z1144" s="18"/>
    </row>
    <row r="1145">
      <c r="A1145" s="18"/>
      <c r="B1145" s="80"/>
      <c r="C1145" s="18"/>
      <c r="D1145" s="80"/>
      <c r="E1145" s="80"/>
      <c r="F1145" s="134"/>
      <c r="G1145" s="18"/>
      <c r="H1145" s="18"/>
      <c r="I1145" s="18"/>
      <c r="J1145" s="18"/>
      <c r="K1145" s="18"/>
      <c r="L1145" s="18"/>
      <c r="M1145" s="18"/>
      <c r="N1145" s="18"/>
      <c r="O1145" s="18"/>
      <c r="P1145" s="18"/>
      <c r="Q1145" s="18"/>
      <c r="R1145" s="18"/>
      <c r="S1145" s="18"/>
      <c r="T1145" s="18"/>
      <c r="U1145" s="18"/>
      <c r="V1145" s="18"/>
      <c r="W1145" s="18"/>
      <c r="X1145" s="18"/>
      <c r="Y1145" s="18"/>
      <c r="Z1145" s="18"/>
    </row>
    <row r="1146">
      <c r="A1146" s="18"/>
      <c r="B1146" s="80"/>
      <c r="C1146" s="18"/>
      <c r="D1146" s="80"/>
      <c r="E1146" s="80"/>
      <c r="F1146" s="134"/>
      <c r="G1146" s="18"/>
      <c r="H1146" s="18"/>
      <c r="I1146" s="18"/>
      <c r="J1146" s="18"/>
      <c r="K1146" s="18"/>
      <c r="L1146" s="18"/>
      <c r="M1146" s="18"/>
      <c r="N1146" s="18"/>
      <c r="O1146" s="18"/>
      <c r="P1146" s="18"/>
      <c r="Q1146" s="18"/>
      <c r="R1146" s="18"/>
      <c r="S1146" s="18"/>
      <c r="T1146" s="18"/>
      <c r="U1146" s="18"/>
      <c r="V1146" s="18"/>
      <c r="W1146" s="18"/>
      <c r="X1146" s="18"/>
      <c r="Y1146" s="18"/>
      <c r="Z1146" s="18"/>
    </row>
    <row r="1147">
      <c r="A1147" s="18"/>
      <c r="B1147" s="80"/>
      <c r="C1147" s="18"/>
      <c r="D1147" s="80"/>
      <c r="E1147" s="80"/>
      <c r="F1147" s="134"/>
      <c r="G1147" s="18"/>
      <c r="H1147" s="18"/>
      <c r="I1147" s="18"/>
      <c r="J1147" s="18"/>
      <c r="K1147" s="18"/>
      <c r="L1147" s="18"/>
      <c r="M1147" s="18"/>
      <c r="N1147" s="18"/>
      <c r="O1147" s="18"/>
      <c r="P1147" s="18"/>
      <c r="Q1147" s="18"/>
      <c r="R1147" s="18"/>
      <c r="S1147" s="18"/>
      <c r="T1147" s="18"/>
      <c r="U1147" s="18"/>
      <c r="V1147" s="18"/>
      <c r="W1147" s="18"/>
      <c r="X1147" s="18"/>
      <c r="Y1147" s="18"/>
      <c r="Z1147" s="18"/>
    </row>
    <row r="1148">
      <c r="A1148" s="18"/>
      <c r="B1148" s="80"/>
      <c r="C1148" s="18"/>
      <c r="D1148" s="80"/>
      <c r="E1148" s="80"/>
      <c r="F1148" s="134"/>
      <c r="G1148" s="18"/>
      <c r="H1148" s="18"/>
      <c r="I1148" s="18"/>
      <c r="J1148" s="18"/>
      <c r="K1148" s="18"/>
      <c r="L1148" s="18"/>
      <c r="M1148" s="18"/>
      <c r="N1148" s="18"/>
      <c r="O1148" s="18"/>
      <c r="P1148" s="18"/>
      <c r="Q1148" s="18"/>
      <c r="R1148" s="18"/>
      <c r="S1148" s="18"/>
      <c r="T1148" s="18"/>
      <c r="U1148" s="18"/>
      <c r="V1148" s="18"/>
      <c r="W1148" s="18"/>
      <c r="X1148" s="18"/>
      <c r="Y1148" s="18"/>
      <c r="Z1148" s="18"/>
    </row>
    <row r="1149">
      <c r="A1149" s="18"/>
      <c r="B1149" s="80"/>
      <c r="C1149" s="18"/>
      <c r="D1149" s="80"/>
      <c r="E1149" s="80"/>
      <c r="F1149" s="134"/>
      <c r="G1149" s="18"/>
      <c r="H1149" s="18"/>
      <c r="I1149" s="18"/>
      <c r="J1149" s="18"/>
      <c r="K1149" s="18"/>
      <c r="L1149" s="18"/>
      <c r="M1149" s="18"/>
      <c r="N1149" s="18"/>
      <c r="O1149" s="18"/>
      <c r="P1149" s="18"/>
      <c r="Q1149" s="18"/>
      <c r="R1149" s="18"/>
      <c r="S1149" s="18"/>
      <c r="T1149" s="18"/>
      <c r="U1149" s="18"/>
      <c r="V1149" s="18"/>
      <c r="W1149" s="18"/>
      <c r="X1149" s="18"/>
      <c r="Y1149" s="18"/>
      <c r="Z1149" s="18"/>
    </row>
    <row r="1150">
      <c r="A1150" s="18"/>
      <c r="B1150" s="80"/>
      <c r="C1150" s="18"/>
      <c r="D1150" s="80"/>
      <c r="E1150" s="80"/>
      <c r="F1150" s="134"/>
      <c r="G1150" s="18"/>
      <c r="H1150" s="18"/>
      <c r="I1150" s="18"/>
      <c r="J1150" s="18"/>
      <c r="K1150" s="18"/>
      <c r="L1150" s="18"/>
      <c r="M1150" s="18"/>
      <c r="N1150" s="18"/>
      <c r="O1150" s="18"/>
      <c r="P1150" s="18"/>
      <c r="Q1150" s="18"/>
      <c r="R1150" s="18"/>
      <c r="S1150" s="18"/>
      <c r="T1150" s="18"/>
      <c r="U1150" s="18"/>
      <c r="V1150" s="18"/>
      <c r="W1150" s="18"/>
      <c r="X1150" s="18"/>
      <c r="Y1150" s="18"/>
      <c r="Z1150" s="18"/>
    </row>
    <row r="1151">
      <c r="A1151" s="18"/>
      <c r="B1151" s="80"/>
      <c r="C1151" s="18"/>
      <c r="D1151" s="80"/>
      <c r="E1151" s="80"/>
      <c r="F1151" s="134"/>
      <c r="G1151" s="18"/>
      <c r="H1151" s="18"/>
      <c r="I1151" s="18"/>
      <c r="J1151" s="18"/>
      <c r="K1151" s="18"/>
      <c r="L1151" s="18"/>
      <c r="M1151" s="18"/>
      <c r="N1151" s="18"/>
      <c r="O1151" s="18"/>
      <c r="P1151" s="18"/>
      <c r="Q1151" s="18"/>
      <c r="R1151" s="18"/>
      <c r="S1151" s="18"/>
      <c r="T1151" s="18"/>
      <c r="U1151" s="18"/>
      <c r="V1151" s="18"/>
      <c r="W1151" s="18"/>
      <c r="X1151" s="18"/>
      <c r="Y1151" s="18"/>
      <c r="Z1151" s="18"/>
    </row>
    <row r="1152">
      <c r="A1152" s="18"/>
      <c r="B1152" s="80"/>
      <c r="C1152" s="18"/>
      <c r="D1152" s="80"/>
      <c r="E1152" s="80"/>
      <c r="F1152" s="134"/>
      <c r="G1152" s="18"/>
      <c r="H1152" s="18"/>
      <c r="I1152" s="18"/>
      <c r="J1152" s="18"/>
      <c r="K1152" s="18"/>
      <c r="L1152" s="18"/>
      <c r="M1152" s="18"/>
      <c r="N1152" s="18"/>
      <c r="O1152" s="18"/>
      <c r="P1152" s="18"/>
      <c r="Q1152" s="18"/>
      <c r="R1152" s="18"/>
      <c r="S1152" s="18"/>
      <c r="T1152" s="18"/>
      <c r="U1152" s="18"/>
      <c r="V1152" s="18"/>
      <c r="W1152" s="18"/>
      <c r="X1152" s="18"/>
      <c r="Y1152" s="18"/>
      <c r="Z1152" s="18"/>
    </row>
    <row r="1153">
      <c r="A1153" s="18"/>
      <c r="B1153" s="80"/>
      <c r="C1153" s="18"/>
      <c r="D1153" s="80"/>
      <c r="E1153" s="80"/>
      <c r="F1153" s="134"/>
      <c r="G1153" s="18"/>
      <c r="H1153" s="18"/>
      <c r="I1153" s="18"/>
      <c r="J1153" s="18"/>
      <c r="K1153" s="18"/>
      <c r="L1153" s="18"/>
      <c r="M1153" s="18"/>
      <c r="N1153" s="18"/>
      <c r="O1153" s="18"/>
      <c r="P1153" s="18"/>
      <c r="Q1153" s="18"/>
      <c r="R1153" s="18"/>
      <c r="S1153" s="18"/>
      <c r="T1153" s="18"/>
      <c r="U1153" s="18"/>
      <c r="V1153" s="18"/>
      <c r="W1153" s="18"/>
      <c r="X1153" s="18"/>
      <c r="Y1153" s="18"/>
      <c r="Z1153" s="18"/>
    </row>
    <row r="1154">
      <c r="A1154" s="18"/>
      <c r="B1154" s="80"/>
      <c r="C1154" s="18"/>
      <c r="D1154" s="80"/>
      <c r="E1154" s="80"/>
      <c r="F1154" s="134"/>
      <c r="G1154" s="18"/>
      <c r="H1154" s="18"/>
      <c r="I1154" s="18"/>
      <c r="J1154" s="18"/>
      <c r="K1154" s="18"/>
      <c r="L1154" s="18"/>
      <c r="M1154" s="18"/>
      <c r="N1154" s="18"/>
      <c r="O1154" s="18"/>
      <c r="P1154" s="18"/>
      <c r="Q1154" s="18"/>
      <c r="R1154" s="18"/>
      <c r="S1154" s="18"/>
      <c r="T1154" s="18"/>
      <c r="U1154" s="18"/>
      <c r="V1154" s="18"/>
      <c r="W1154" s="18"/>
      <c r="X1154" s="18"/>
      <c r="Y1154" s="18"/>
      <c r="Z1154" s="18"/>
    </row>
    <row r="1155">
      <c r="A1155" s="18"/>
      <c r="B1155" s="80"/>
      <c r="C1155" s="18"/>
      <c r="D1155" s="80"/>
      <c r="E1155" s="80"/>
      <c r="F1155" s="134"/>
      <c r="G1155" s="18"/>
      <c r="H1155" s="18"/>
      <c r="I1155" s="18"/>
      <c r="J1155" s="18"/>
      <c r="K1155" s="18"/>
      <c r="L1155" s="18"/>
      <c r="M1155" s="18"/>
      <c r="N1155" s="18"/>
      <c r="O1155" s="18"/>
      <c r="P1155" s="18"/>
      <c r="Q1155" s="18"/>
      <c r="R1155" s="18"/>
      <c r="S1155" s="18"/>
      <c r="T1155" s="18"/>
      <c r="U1155" s="18"/>
      <c r="V1155" s="18"/>
      <c r="W1155" s="18"/>
      <c r="X1155" s="18"/>
      <c r="Y1155" s="18"/>
      <c r="Z1155" s="18"/>
    </row>
    <row r="1156">
      <c r="A1156" s="18"/>
      <c r="B1156" s="80"/>
      <c r="C1156" s="18"/>
      <c r="D1156" s="80"/>
      <c r="E1156" s="80"/>
      <c r="F1156" s="134"/>
      <c r="G1156" s="18"/>
      <c r="H1156" s="18"/>
      <c r="I1156" s="18"/>
      <c r="J1156" s="18"/>
      <c r="K1156" s="18"/>
      <c r="L1156" s="18"/>
      <c r="M1156" s="18"/>
      <c r="N1156" s="18"/>
      <c r="O1156" s="18"/>
      <c r="P1156" s="18"/>
      <c r="Q1156" s="18"/>
      <c r="R1156" s="18"/>
      <c r="S1156" s="18"/>
      <c r="T1156" s="18"/>
      <c r="U1156" s="18"/>
      <c r="V1156" s="18"/>
      <c r="W1156" s="18"/>
      <c r="X1156" s="18"/>
      <c r="Y1156" s="18"/>
      <c r="Z1156" s="18"/>
    </row>
    <row r="1157">
      <c r="A1157" s="18"/>
      <c r="B1157" s="80"/>
      <c r="C1157" s="18"/>
      <c r="D1157" s="80"/>
      <c r="E1157" s="80"/>
      <c r="F1157" s="134"/>
      <c r="G1157" s="18"/>
      <c r="H1157" s="18"/>
      <c r="I1157" s="18"/>
      <c r="J1157" s="18"/>
      <c r="K1157" s="18"/>
      <c r="L1157" s="18"/>
      <c r="M1157" s="18"/>
      <c r="N1157" s="18"/>
      <c r="O1157" s="18"/>
      <c r="P1157" s="18"/>
      <c r="Q1157" s="18"/>
      <c r="R1157" s="18"/>
      <c r="S1157" s="18"/>
      <c r="T1157" s="18"/>
      <c r="U1157" s="18"/>
      <c r="V1157" s="18"/>
      <c r="W1157" s="18"/>
      <c r="X1157" s="18"/>
      <c r="Y1157" s="18"/>
      <c r="Z1157" s="18"/>
    </row>
    <row r="1158">
      <c r="A1158" s="18"/>
      <c r="B1158" s="80"/>
      <c r="C1158" s="18"/>
      <c r="D1158" s="80"/>
      <c r="E1158" s="80"/>
      <c r="F1158" s="134"/>
      <c r="G1158" s="18"/>
      <c r="H1158" s="18"/>
      <c r="I1158" s="18"/>
      <c r="J1158" s="18"/>
      <c r="K1158" s="18"/>
      <c r="L1158" s="18"/>
      <c r="M1158" s="18"/>
      <c r="N1158" s="18"/>
      <c r="O1158" s="18"/>
      <c r="P1158" s="18"/>
      <c r="Q1158" s="18"/>
      <c r="R1158" s="18"/>
      <c r="S1158" s="18"/>
      <c r="T1158" s="18"/>
      <c r="U1158" s="18"/>
      <c r="V1158" s="18"/>
      <c r="W1158" s="18"/>
      <c r="X1158" s="18"/>
      <c r="Y1158" s="18"/>
      <c r="Z1158" s="18"/>
    </row>
    <row r="1159">
      <c r="A1159" s="18"/>
      <c r="B1159" s="80"/>
      <c r="C1159" s="18"/>
      <c r="D1159" s="80"/>
      <c r="E1159" s="80"/>
      <c r="F1159" s="134"/>
      <c r="G1159" s="18"/>
      <c r="H1159" s="18"/>
      <c r="I1159" s="18"/>
      <c r="J1159" s="18"/>
      <c r="K1159" s="18"/>
      <c r="L1159" s="18"/>
      <c r="M1159" s="18"/>
      <c r="N1159" s="18"/>
      <c r="O1159" s="18"/>
      <c r="P1159" s="18"/>
      <c r="Q1159" s="18"/>
      <c r="R1159" s="18"/>
      <c r="S1159" s="18"/>
      <c r="T1159" s="18"/>
      <c r="U1159" s="18"/>
      <c r="V1159" s="18"/>
      <c r="W1159" s="18"/>
      <c r="X1159" s="18"/>
      <c r="Y1159" s="18"/>
      <c r="Z1159" s="18"/>
    </row>
    <row r="1160">
      <c r="A1160" s="18"/>
      <c r="B1160" s="80"/>
      <c r="C1160" s="18"/>
      <c r="D1160" s="80"/>
      <c r="E1160" s="80"/>
      <c r="F1160" s="134"/>
      <c r="G1160" s="18"/>
      <c r="H1160" s="18"/>
      <c r="I1160" s="18"/>
      <c r="J1160" s="18"/>
      <c r="K1160" s="18"/>
      <c r="L1160" s="18"/>
      <c r="M1160" s="18"/>
      <c r="N1160" s="18"/>
      <c r="O1160" s="18"/>
      <c r="P1160" s="18"/>
      <c r="Q1160" s="18"/>
      <c r="R1160" s="18"/>
      <c r="S1160" s="18"/>
      <c r="T1160" s="18"/>
      <c r="U1160" s="18"/>
      <c r="V1160" s="18"/>
      <c r="W1160" s="18"/>
      <c r="X1160" s="18"/>
      <c r="Y1160" s="18"/>
      <c r="Z1160" s="18"/>
    </row>
    <row r="1161">
      <c r="A1161" s="18"/>
      <c r="B1161" s="80"/>
      <c r="C1161" s="18"/>
      <c r="D1161" s="80"/>
      <c r="E1161" s="80"/>
      <c r="F1161" s="134"/>
      <c r="G1161" s="18"/>
      <c r="H1161" s="18"/>
      <c r="I1161" s="18"/>
      <c r="J1161" s="18"/>
      <c r="K1161" s="18"/>
      <c r="L1161" s="18"/>
      <c r="M1161" s="18"/>
      <c r="N1161" s="18"/>
      <c r="O1161" s="18"/>
      <c r="P1161" s="18"/>
      <c r="Q1161" s="18"/>
      <c r="R1161" s="18"/>
      <c r="S1161" s="18"/>
      <c r="T1161" s="18"/>
      <c r="U1161" s="18"/>
      <c r="V1161" s="18"/>
      <c r="W1161" s="18"/>
      <c r="X1161" s="18"/>
      <c r="Y1161" s="18"/>
      <c r="Z1161" s="18"/>
    </row>
    <row r="1162">
      <c r="A1162" s="18"/>
      <c r="B1162" s="80"/>
      <c r="C1162" s="18"/>
      <c r="D1162" s="80"/>
      <c r="E1162" s="80"/>
      <c r="F1162" s="134"/>
      <c r="G1162" s="18"/>
      <c r="H1162" s="18"/>
      <c r="I1162" s="18"/>
      <c r="J1162" s="18"/>
      <c r="K1162" s="18"/>
      <c r="L1162" s="18"/>
      <c r="M1162" s="18"/>
      <c r="N1162" s="18"/>
      <c r="O1162" s="18"/>
      <c r="P1162" s="18"/>
      <c r="Q1162" s="18"/>
      <c r="R1162" s="18"/>
      <c r="S1162" s="18"/>
      <c r="T1162" s="18"/>
      <c r="U1162" s="18"/>
      <c r="V1162" s="18"/>
      <c r="W1162" s="18"/>
      <c r="X1162" s="18"/>
      <c r="Y1162" s="18"/>
      <c r="Z1162" s="18"/>
    </row>
    <row r="1163">
      <c r="A1163" s="18"/>
      <c r="B1163" s="80"/>
      <c r="C1163" s="18"/>
      <c r="D1163" s="80"/>
      <c r="E1163" s="80"/>
      <c r="F1163" s="134"/>
      <c r="G1163" s="18"/>
      <c r="H1163" s="18"/>
      <c r="I1163" s="18"/>
      <c r="J1163" s="18"/>
      <c r="K1163" s="18"/>
      <c r="L1163" s="18"/>
      <c r="M1163" s="18"/>
      <c r="N1163" s="18"/>
      <c r="O1163" s="18"/>
      <c r="P1163" s="18"/>
      <c r="Q1163" s="18"/>
      <c r="R1163" s="18"/>
      <c r="S1163" s="18"/>
      <c r="T1163" s="18"/>
      <c r="U1163" s="18"/>
      <c r="V1163" s="18"/>
      <c r="W1163" s="18"/>
      <c r="X1163" s="18"/>
      <c r="Y1163" s="18"/>
      <c r="Z1163" s="18"/>
    </row>
    <row r="1164">
      <c r="A1164" s="18"/>
      <c r="B1164" s="80"/>
      <c r="C1164" s="18"/>
      <c r="D1164" s="80"/>
      <c r="E1164" s="80"/>
      <c r="F1164" s="134"/>
      <c r="G1164" s="18"/>
      <c r="H1164" s="18"/>
      <c r="I1164" s="18"/>
      <c r="J1164" s="18"/>
      <c r="K1164" s="18"/>
      <c r="L1164" s="18"/>
      <c r="M1164" s="18"/>
      <c r="N1164" s="18"/>
      <c r="O1164" s="18"/>
      <c r="P1164" s="18"/>
      <c r="Q1164" s="18"/>
      <c r="R1164" s="18"/>
      <c r="S1164" s="18"/>
      <c r="T1164" s="18"/>
      <c r="U1164" s="18"/>
      <c r="V1164" s="18"/>
      <c r="W1164" s="18"/>
      <c r="X1164" s="18"/>
      <c r="Y1164" s="18"/>
      <c r="Z1164" s="18"/>
    </row>
    <row r="1165">
      <c r="A1165" s="18"/>
      <c r="B1165" s="80"/>
      <c r="C1165" s="18"/>
      <c r="D1165" s="80"/>
      <c r="E1165" s="80"/>
      <c r="F1165" s="134"/>
      <c r="G1165" s="18"/>
      <c r="H1165" s="18"/>
      <c r="I1165" s="18"/>
      <c r="J1165" s="18"/>
      <c r="K1165" s="18"/>
      <c r="L1165" s="18"/>
      <c r="M1165" s="18"/>
      <c r="N1165" s="18"/>
      <c r="O1165" s="18"/>
      <c r="P1165" s="18"/>
      <c r="Q1165" s="18"/>
      <c r="R1165" s="18"/>
      <c r="S1165" s="18"/>
      <c r="T1165" s="18"/>
      <c r="U1165" s="18"/>
      <c r="V1165" s="18"/>
      <c r="W1165" s="18"/>
      <c r="X1165" s="18"/>
      <c r="Y1165" s="18"/>
      <c r="Z1165" s="18"/>
    </row>
    <row r="1166">
      <c r="A1166" s="18"/>
      <c r="B1166" s="80"/>
      <c r="C1166" s="18"/>
      <c r="D1166" s="80"/>
      <c r="E1166" s="80"/>
      <c r="F1166" s="134"/>
      <c r="G1166" s="18"/>
      <c r="H1166" s="18"/>
      <c r="I1166" s="18"/>
      <c r="J1166" s="18"/>
      <c r="K1166" s="18"/>
      <c r="L1166" s="18"/>
      <c r="M1166" s="18"/>
      <c r="N1166" s="18"/>
      <c r="O1166" s="18"/>
      <c r="P1166" s="18"/>
      <c r="Q1166" s="18"/>
      <c r="R1166" s="18"/>
      <c r="S1166" s="18"/>
      <c r="T1166" s="18"/>
      <c r="U1166" s="18"/>
      <c r="V1166" s="18"/>
      <c r="W1166" s="18"/>
      <c r="X1166" s="18"/>
      <c r="Y1166" s="18"/>
      <c r="Z1166" s="18"/>
    </row>
    <row r="1167">
      <c r="A1167" s="18"/>
      <c r="B1167" s="80"/>
      <c r="C1167" s="18"/>
      <c r="D1167" s="80"/>
      <c r="E1167" s="80"/>
      <c r="F1167" s="134"/>
      <c r="G1167" s="18"/>
      <c r="H1167" s="18"/>
      <c r="I1167" s="18"/>
      <c r="J1167" s="18"/>
      <c r="K1167" s="18"/>
      <c r="L1167" s="18"/>
      <c r="M1167" s="18"/>
      <c r="N1167" s="18"/>
      <c r="O1167" s="18"/>
      <c r="P1167" s="18"/>
      <c r="Q1167" s="18"/>
      <c r="R1167" s="18"/>
      <c r="S1167" s="18"/>
      <c r="T1167" s="18"/>
      <c r="U1167" s="18"/>
      <c r="V1167" s="18"/>
      <c r="W1167" s="18"/>
      <c r="X1167" s="18"/>
      <c r="Y1167" s="18"/>
      <c r="Z1167" s="18"/>
    </row>
    <row r="1168">
      <c r="A1168" s="18"/>
      <c r="B1168" s="80"/>
      <c r="C1168" s="18"/>
      <c r="D1168" s="80"/>
      <c r="E1168" s="80"/>
      <c r="F1168" s="134"/>
      <c r="G1168" s="18"/>
      <c r="H1168" s="18"/>
      <c r="I1168" s="18"/>
      <c r="J1168" s="18"/>
      <c r="K1168" s="18"/>
      <c r="L1168" s="18"/>
      <c r="M1168" s="18"/>
      <c r="N1168" s="18"/>
      <c r="O1168" s="18"/>
      <c r="P1168" s="18"/>
      <c r="Q1168" s="18"/>
      <c r="R1168" s="18"/>
      <c r="S1168" s="18"/>
      <c r="T1168" s="18"/>
      <c r="U1168" s="18"/>
      <c r="V1168" s="18"/>
      <c r="W1168" s="18"/>
      <c r="X1168" s="18"/>
      <c r="Y1168" s="18"/>
      <c r="Z1168" s="18"/>
    </row>
    <row r="1169">
      <c r="A1169" s="18"/>
      <c r="B1169" s="80"/>
      <c r="C1169" s="18"/>
      <c r="D1169" s="80"/>
      <c r="E1169" s="80"/>
      <c r="F1169" s="134"/>
      <c r="G1169" s="18"/>
      <c r="H1169" s="18"/>
      <c r="I1169" s="18"/>
      <c r="J1169" s="18"/>
      <c r="K1169" s="18"/>
      <c r="L1169" s="18"/>
      <c r="M1169" s="18"/>
      <c r="N1169" s="18"/>
      <c r="O1169" s="18"/>
      <c r="P1169" s="18"/>
      <c r="Q1169" s="18"/>
      <c r="R1169" s="18"/>
      <c r="S1169" s="18"/>
      <c r="T1169" s="18"/>
      <c r="U1169" s="18"/>
      <c r="V1169" s="18"/>
      <c r="W1169" s="18"/>
      <c r="X1169" s="18"/>
      <c r="Y1169" s="18"/>
      <c r="Z1169" s="18"/>
    </row>
    <row r="1170">
      <c r="A1170" s="18"/>
      <c r="B1170" s="80"/>
      <c r="C1170" s="18"/>
      <c r="D1170" s="80"/>
      <c r="E1170" s="80"/>
      <c r="F1170" s="134"/>
      <c r="G1170" s="18"/>
      <c r="H1170" s="18"/>
      <c r="I1170" s="18"/>
      <c r="J1170" s="18"/>
      <c r="K1170" s="18"/>
      <c r="L1170" s="18"/>
      <c r="M1170" s="18"/>
      <c r="N1170" s="18"/>
      <c r="O1170" s="18"/>
      <c r="P1170" s="18"/>
      <c r="Q1170" s="18"/>
      <c r="R1170" s="18"/>
      <c r="S1170" s="18"/>
      <c r="T1170" s="18"/>
      <c r="U1170" s="18"/>
      <c r="V1170" s="18"/>
      <c r="W1170" s="18"/>
      <c r="X1170" s="18"/>
      <c r="Y1170" s="18"/>
      <c r="Z1170" s="18"/>
    </row>
  </sheetData>
  <hyperlinks>
    <hyperlink r:id="rId1" ref="E34"/>
    <hyperlink r:id="rId2" ref="F175"/>
    <hyperlink r:id="rId3" ref="F179"/>
    <hyperlink r:id="rId4" ref="F210"/>
  </hyperlinks>
  <printOptions gridLines="1" horizontalCentered="1"/>
  <pageMargins bottom="0.75" footer="0.0" header="0.0" left="0.7" right="0.7" top="0.75"/>
  <pageSetup fitToHeight="0" paperSize="9" cellComments="atEnd" orientation="landscape" pageOrder="overThenDown"/>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5" width="14.88"/>
    <col customWidth="1" min="6" max="6" width="13.13"/>
    <col customWidth="1" min="7" max="8" width="12.38"/>
    <col customWidth="1" min="9" max="9" width="18.38"/>
    <col customWidth="1" min="10" max="11" width="36.63"/>
    <col customWidth="1" min="12" max="12" width="21.75"/>
  </cols>
  <sheetData>
    <row r="1">
      <c r="A1" s="265" t="s">
        <v>3114</v>
      </c>
      <c r="B1" s="265"/>
      <c r="C1" s="266"/>
      <c r="D1" s="266"/>
      <c r="E1" s="267"/>
      <c r="F1" s="268"/>
      <c r="G1" s="268"/>
      <c r="H1" s="268"/>
      <c r="I1" s="265"/>
      <c r="J1" s="265"/>
      <c r="K1" s="265"/>
      <c r="L1" s="269"/>
      <c r="M1" s="269"/>
      <c r="N1" s="269"/>
      <c r="O1" s="269"/>
      <c r="P1" s="269"/>
      <c r="Q1" s="269"/>
      <c r="R1" s="269"/>
      <c r="S1" s="269"/>
      <c r="T1" s="269"/>
      <c r="U1" s="269"/>
      <c r="V1" s="269"/>
      <c r="W1" s="269"/>
      <c r="X1" s="269"/>
      <c r="Y1" s="269"/>
      <c r="Z1" s="269"/>
      <c r="AA1" s="269"/>
      <c r="AB1" s="269"/>
      <c r="AC1" s="269"/>
      <c r="AD1" s="269"/>
      <c r="AE1" s="269"/>
      <c r="AF1" s="269"/>
      <c r="AG1" s="269"/>
      <c r="AH1" s="269"/>
      <c r="AI1" s="269"/>
      <c r="AJ1" s="269"/>
      <c r="AK1" s="269"/>
      <c r="AL1" s="269"/>
      <c r="AM1" s="269"/>
      <c r="AN1" s="269"/>
      <c r="AO1" s="269"/>
      <c r="AP1" s="269"/>
      <c r="AQ1" s="269"/>
      <c r="AR1" s="269"/>
      <c r="AS1" s="269"/>
      <c r="AT1" s="269"/>
      <c r="AU1" s="269"/>
      <c r="AV1" s="269"/>
      <c r="AW1" s="269"/>
      <c r="AX1" s="269"/>
      <c r="AY1" s="269"/>
      <c r="AZ1" s="269"/>
      <c r="BA1" s="269"/>
      <c r="BB1" s="269"/>
      <c r="BC1" s="269"/>
      <c r="BD1" s="269"/>
      <c r="BE1" s="269"/>
      <c r="BF1" s="269"/>
      <c r="BG1" s="269"/>
      <c r="BH1" s="269"/>
      <c r="BI1" s="269"/>
      <c r="BJ1" s="269"/>
      <c r="BK1" s="269"/>
      <c r="BL1" s="269"/>
      <c r="BM1" s="269"/>
      <c r="BN1" s="269"/>
      <c r="BO1" s="269"/>
      <c r="BP1" s="269"/>
      <c r="BQ1" s="269"/>
      <c r="BR1" s="269"/>
      <c r="BS1" s="269"/>
      <c r="BT1" s="269"/>
      <c r="BU1" s="269"/>
      <c r="BV1" s="269"/>
      <c r="BW1" s="269"/>
      <c r="BX1" s="269"/>
      <c r="BY1" s="269"/>
      <c r="BZ1" s="269"/>
      <c r="CA1" s="269"/>
      <c r="CB1" s="269"/>
      <c r="CC1" s="269"/>
      <c r="CD1" s="269"/>
      <c r="CE1" s="269"/>
      <c r="CF1" s="269"/>
      <c r="CG1" s="269"/>
      <c r="CH1" s="269"/>
      <c r="CI1" s="269"/>
      <c r="CJ1" s="269"/>
      <c r="CK1" s="269"/>
      <c r="CL1" s="269"/>
      <c r="CM1" s="269"/>
      <c r="CN1" s="269"/>
      <c r="CO1" s="269"/>
      <c r="CP1" s="269"/>
      <c r="CQ1" s="269"/>
      <c r="CR1" s="269"/>
      <c r="CS1" s="269"/>
    </row>
    <row r="2">
      <c r="A2" s="270" t="s">
        <v>3115</v>
      </c>
      <c r="B2" s="270" t="s">
        <v>3116</v>
      </c>
      <c r="C2" s="271" t="s">
        <v>3117</v>
      </c>
      <c r="D2" s="272" t="s">
        <v>3118</v>
      </c>
      <c r="E2" s="273" t="s">
        <v>3119</v>
      </c>
      <c r="F2" s="273" t="s">
        <v>3120</v>
      </c>
      <c r="G2" s="273" t="s">
        <v>3121</v>
      </c>
      <c r="H2" s="273" t="s">
        <v>3122</v>
      </c>
      <c r="I2" s="270" t="s">
        <v>3123</v>
      </c>
      <c r="J2" s="270" t="s">
        <v>3124</v>
      </c>
      <c r="K2" s="270" t="s">
        <v>3125</v>
      </c>
      <c r="L2" s="270" t="s">
        <v>3126</v>
      </c>
      <c r="M2" s="274"/>
      <c r="N2" s="274"/>
      <c r="O2" s="274"/>
      <c r="P2" s="274"/>
      <c r="Q2" s="274"/>
      <c r="R2" s="274"/>
      <c r="S2" s="274"/>
      <c r="T2" s="274"/>
      <c r="U2" s="274"/>
      <c r="V2" s="274"/>
      <c r="W2" s="274"/>
      <c r="X2" s="274"/>
      <c r="Y2" s="274"/>
      <c r="Z2" s="274"/>
      <c r="AA2" s="274"/>
      <c r="AB2" s="274"/>
      <c r="AC2" s="274"/>
      <c r="AD2" s="274"/>
      <c r="AE2" s="274"/>
      <c r="AF2" s="274"/>
      <c r="AG2" s="274"/>
      <c r="AH2" s="274"/>
      <c r="AI2" s="274"/>
      <c r="AJ2" s="274"/>
      <c r="AK2" s="274"/>
      <c r="AL2" s="274"/>
      <c r="AM2" s="274"/>
      <c r="AN2" s="274"/>
      <c r="AO2" s="274"/>
      <c r="AP2" s="274"/>
      <c r="AQ2" s="274"/>
      <c r="AR2" s="274"/>
      <c r="AS2" s="274"/>
      <c r="AT2" s="274"/>
      <c r="AU2" s="274"/>
      <c r="AV2" s="274"/>
      <c r="AW2" s="274"/>
      <c r="AX2" s="274"/>
      <c r="AY2" s="274"/>
      <c r="AZ2" s="274"/>
      <c r="BA2" s="274"/>
      <c r="BB2" s="274"/>
      <c r="BC2" s="274"/>
      <c r="BD2" s="274"/>
      <c r="BE2" s="274"/>
      <c r="BF2" s="274"/>
      <c r="BG2" s="274"/>
      <c r="BH2" s="274"/>
      <c r="BI2" s="274"/>
      <c r="BJ2" s="274"/>
      <c r="BK2" s="274"/>
      <c r="BL2" s="274"/>
      <c r="BM2" s="274"/>
      <c r="BN2" s="274"/>
      <c r="BO2" s="274"/>
      <c r="BP2" s="274"/>
      <c r="BQ2" s="274"/>
      <c r="BR2" s="274"/>
      <c r="BS2" s="274"/>
      <c r="BT2" s="274"/>
      <c r="BU2" s="274"/>
      <c r="BV2" s="274"/>
      <c r="BW2" s="274"/>
      <c r="BX2" s="274"/>
      <c r="BY2" s="274"/>
      <c r="BZ2" s="274"/>
      <c r="CA2" s="274"/>
      <c r="CB2" s="274"/>
      <c r="CC2" s="274"/>
      <c r="CD2" s="274"/>
      <c r="CE2" s="274"/>
      <c r="CF2" s="274"/>
      <c r="CG2" s="274"/>
      <c r="CH2" s="274"/>
      <c r="CI2" s="274"/>
      <c r="CJ2" s="274"/>
      <c r="CK2" s="274"/>
      <c r="CL2" s="274"/>
      <c r="CM2" s="274"/>
      <c r="CN2" s="274"/>
      <c r="CO2" s="274"/>
      <c r="CP2" s="274"/>
      <c r="CQ2" s="274"/>
      <c r="CR2" s="274"/>
      <c r="CS2" s="274"/>
    </row>
    <row r="3">
      <c r="A3" s="275">
        <v>45330.0</v>
      </c>
      <c r="C3" s="276" t="s">
        <v>25</v>
      </c>
      <c r="D3" s="276"/>
      <c r="E3" s="277" t="s">
        <v>3127</v>
      </c>
      <c r="F3" s="278" t="s">
        <v>3127</v>
      </c>
      <c r="G3" s="278" t="s">
        <v>3127</v>
      </c>
      <c r="H3" s="278" t="s">
        <v>3127</v>
      </c>
    </row>
    <row r="4">
      <c r="A4" s="275">
        <v>45572.0</v>
      </c>
      <c r="B4" s="275"/>
      <c r="C4" s="276" t="s">
        <v>1058</v>
      </c>
      <c r="D4" s="276"/>
      <c r="E4" s="277" t="s">
        <v>3128</v>
      </c>
      <c r="F4" s="278" t="s">
        <v>3128</v>
      </c>
      <c r="G4" s="278" t="s">
        <v>3128</v>
      </c>
      <c r="H4" s="278" t="s">
        <v>3127</v>
      </c>
      <c r="I4" s="144" t="s">
        <v>3129</v>
      </c>
      <c r="J4" s="144" t="s">
        <v>3130</v>
      </c>
      <c r="K4" s="144" t="s">
        <v>3131</v>
      </c>
    </row>
    <row r="5">
      <c r="B5" s="279"/>
      <c r="C5" s="276"/>
      <c r="D5" s="280"/>
      <c r="E5" s="281"/>
      <c r="F5" s="282"/>
      <c r="G5" s="282"/>
      <c r="H5" s="282"/>
    </row>
    <row r="6">
      <c r="A6" s="283"/>
      <c r="C6" s="276"/>
      <c r="D6" s="280"/>
      <c r="E6" s="284"/>
      <c r="F6" s="278"/>
      <c r="G6" s="278"/>
      <c r="H6" s="278"/>
    </row>
    <row r="7">
      <c r="A7" s="275"/>
      <c r="B7" s="275"/>
      <c r="C7" s="276"/>
      <c r="D7" s="280"/>
      <c r="E7" s="277"/>
      <c r="F7" s="278"/>
      <c r="G7" s="278"/>
      <c r="H7" s="278"/>
    </row>
    <row r="8">
      <c r="A8" s="279"/>
      <c r="B8" s="279"/>
      <c r="C8" s="276"/>
      <c r="D8" s="280"/>
      <c r="E8" s="277"/>
      <c r="F8" s="278"/>
      <c r="G8" s="278"/>
      <c r="H8" s="278"/>
    </row>
    <row r="9">
      <c r="A9" s="275"/>
      <c r="B9" s="275"/>
      <c r="C9" s="285"/>
      <c r="D9" s="286"/>
      <c r="E9" s="281"/>
      <c r="F9" s="282"/>
      <c r="G9" s="282"/>
      <c r="H9" s="282"/>
    </row>
    <row r="10">
      <c r="A10" s="275"/>
      <c r="B10" s="275"/>
      <c r="C10" s="276"/>
      <c r="D10" s="276"/>
      <c r="E10" s="277"/>
      <c r="F10" s="278"/>
      <c r="G10" s="278"/>
      <c r="H10" s="278"/>
    </row>
    <row r="11">
      <c r="B11" s="275"/>
      <c r="C11" s="276"/>
      <c r="D11" s="276"/>
      <c r="E11" s="277"/>
      <c r="F11" s="282"/>
      <c r="G11" s="282"/>
      <c r="H11" s="282"/>
    </row>
    <row r="12">
      <c r="A12" s="275"/>
      <c r="B12" s="275"/>
      <c r="C12" s="276"/>
      <c r="D12" s="276"/>
      <c r="E12" s="277"/>
      <c r="F12" s="282"/>
      <c r="G12" s="282"/>
      <c r="H12" s="282"/>
    </row>
    <row r="13">
      <c r="A13" s="279"/>
      <c r="B13" s="279"/>
      <c r="C13" s="276"/>
      <c r="D13" s="276"/>
      <c r="E13" s="276"/>
      <c r="F13" s="278"/>
      <c r="G13" s="278"/>
      <c r="H13" s="278"/>
    </row>
    <row r="14">
      <c r="A14" s="275"/>
      <c r="B14" s="275"/>
      <c r="C14" s="276"/>
      <c r="D14" s="276"/>
      <c r="E14" s="277"/>
      <c r="F14" s="278"/>
      <c r="G14" s="278"/>
      <c r="H14" s="278"/>
      <c r="L14" s="287"/>
    </row>
    <row r="15">
      <c r="A15" s="288"/>
      <c r="B15" s="288"/>
      <c r="C15" s="289"/>
      <c r="D15" s="289"/>
      <c r="E15" s="289"/>
      <c r="F15" s="290"/>
      <c r="G15" s="290"/>
      <c r="H15" s="290"/>
      <c r="I15" s="291"/>
      <c r="J15" s="291"/>
      <c r="K15" s="292"/>
      <c r="L15" s="293"/>
    </row>
    <row r="16">
      <c r="A16" s="275"/>
      <c r="B16" s="275"/>
      <c r="C16" s="280"/>
      <c r="D16" s="280"/>
      <c r="E16" s="280"/>
      <c r="F16" s="294"/>
      <c r="G16" s="294"/>
      <c r="H16" s="290"/>
    </row>
    <row r="17">
      <c r="C17" s="295"/>
      <c r="D17" s="295"/>
      <c r="E17" s="281"/>
      <c r="F17" s="282"/>
      <c r="G17" s="282"/>
      <c r="H17" s="282"/>
    </row>
    <row r="18">
      <c r="C18" s="295"/>
      <c r="D18" s="295"/>
      <c r="E18" s="281"/>
      <c r="F18" s="282"/>
      <c r="G18" s="282"/>
      <c r="H18" s="282"/>
    </row>
    <row r="19">
      <c r="C19" s="295"/>
      <c r="D19" s="295"/>
      <c r="E19" s="281"/>
      <c r="F19" s="282"/>
      <c r="G19" s="282"/>
      <c r="H19" s="282"/>
    </row>
    <row r="20">
      <c r="C20" s="295"/>
      <c r="D20" s="295"/>
      <c r="E20" s="281"/>
      <c r="F20" s="282"/>
      <c r="G20" s="282"/>
      <c r="H20" s="282"/>
    </row>
    <row r="21">
      <c r="C21" s="295"/>
      <c r="D21" s="295"/>
      <c r="E21" s="281"/>
      <c r="F21" s="282"/>
      <c r="G21" s="282"/>
      <c r="H21" s="282"/>
    </row>
    <row r="22">
      <c r="C22" s="295"/>
      <c r="D22" s="295"/>
      <c r="E22" s="281"/>
      <c r="F22" s="282"/>
      <c r="G22" s="282"/>
      <c r="H22" s="282"/>
    </row>
    <row r="23">
      <c r="C23" s="295"/>
      <c r="D23" s="295"/>
      <c r="E23" s="281"/>
      <c r="F23" s="282"/>
      <c r="G23" s="282"/>
      <c r="H23" s="282"/>
    </row>
    <row r="24">
      <c r="C24" s="295"/>
      <c r="D24" s="295"/>
      <c r="E24" s="281"/>
      <c r="F24" s="282"/>
      <c r="G24" s="282"/>
      <c r="H24" s="282"/>
    </row>
    <row r="25">
      <c r="C25" s="295"/>
      <c r="D25" s="295"/>
      <c r="E25" s="281"/>
      <c r="F25" s="282"/>
      <c r="G25" s="282"/>
      <c r="H25" s="282"/>
    </row>
    <row r="26">
      <c r="C26" s="295"/>
      <c r="D26" s="295"/>
      <c r="E26" s="281"/>
      <c r="F26" s="282"/>
      <c r="G26" s="282"/>
      <c r="H26" s="282"/>
    </row>
    <row r="27">
      <c r="C27" s="295"/>
      <c r="D27" s="295"/>
      <c r="E27" s="281"/>
      <c r="F27" s="282"/>
      <c r="G27" s="282"/>
      <c r="H27" s="282"/>
    </row>
    <row r="28">
      <c r="C28" s="295"/>
      <c r="D28" s="295"/>
      <c r="E28" s="281"/>
      <c r="F28" s="282"/>
      <c r="G28" s="282"/>
      <c r="H28" s="282"/>
    </row>
    <row r="29">
      <c r="C29" s="295"/>
      <c r="D29" s="295"/>
      <c r="E29" s="281"/>
      <c r="F29" s="282"/>
      <c r="G29" s="282"/>
      <c r="H29" s="282"/>
    </row>
    <row r="30">
      <c r="C30" s="295"/>
      <c r="D30" s="295"/>
      <c r="E30" s="281"/>
      <c r="F30" s="282"/>
      <c r="G30" s="282"/>
      <c r="H30" s="282"/>
    </row>
    <row r="31">
      <c r="C31" s="295"/>
      <c r="D31" s="295"/>
      <c r="E31" s="281"/>
      <c r="F31" s="282"/>
      <c r="G31" s="282"/>
      <c r="H31" s="282"/>
    </row>
    <row r="32">
      <c r="C32" s="295"/>
      <c r="D32" s="295"/>
      <c r="E32" s="281"/>
      <c r="F32" s="282"/>
      <c r="G32" s="282"/>
      <c r="H32" s="282"/>
    </row>
    <row r="33">
      <c r="C33" s="295"/>
      <c r="D33" s="295"/>
      <c r="E33" s="281"/>
      <c r="F33" s="282"/>
      <c r="G33" s="282"/>
      <c r="H33" s="282"/>
    </row>
    <row r="34">
      <c r="C34" s="295"/>
      <c r="D34" s="295"/>
      <c r="E34" s="281"/>
      <c r="F34" s="282"/>
      <c r="G34" s="282"/>
      <c r="H34" s="282"/>
    </row>
    <row r="35">
      <c r="C35" s="295"/>
      <c r="D35" s="295"/>
      <c r="E35" s="281"/>
      <c r="F35" s="282"/>
      <c r="G35" s="282"/>
      <c r="H35" s="282"/>
    </row>
    <row r="36">
      <c r="C36" s="295"/>
      <c r="D36" s="295"/>
      <c r="E36" s="281"/>
      <c r="F36" s="282"/>
      <c r="G36" s="282"/>
      <c r="H36" s="282"/>
    </row>
    <row r="37">
      <c r="C37" s="295"/>
      <c r="D37" s="295"/>
      <c r="E37" s="281"/>
      <c r="F37" s="282"/>
      <c r="G37" s="282"/>
      <c r="H37" s="282"/>
    </row>
    <row r="38">
      <c r="C38" s="295"/>
      <c r="D38" s="295"/>
      <c r="E38" s="281"/>
      <c r="F38" s="282"/>
      <c r="G38" s="282"/>
      <c r="H38" s="282"/>
    </row>
    <row r="39">
      <c r="C39" s="295"/>
      <c r="D39" s="295"/>
      <c r="E39" s="281"/>
      <c r="F39" s="282"/>
      <c r="G39" s="282"/>
      <c r="H39" s="282"/>
    </row>
    <row r="40">
      <c r="C40" s="295"/>
      <c r="D40" s="295"/>
      <c r="E40" s="281"/>
      <c r="F40" s="282"/>
      <c r="G40" s="282"/>
      <c r="H40" s="282"/>
    </row>
    <row r="41">
      <c r="C41" s="295"/>
      <c r="D41" s="295"/>
      <c r="E41" s="281"/>
      <c r="F41" s="282"/>
      <c r="G41" s="282"/>
      <c r="H41" s="282"/>
    </row>
    <row r="42">
      <c r="C42" s="295"/>
      <c r="D42" s="295"/>
      <c r="E42" s="281"/>
      <c r="F42" s="282"/>
      <c r="G42" s="282"/>
      <c r="H42" s="282"/>
    </row>
    <row r="43">
      <c r="C43" s="295"/>
      <c r="D43" s="295"/>
      <c r="E43" s="281"/>
      <c r="F43" s="282"/>
      <c r="G43" s="282"/>
      <c r="H43" s="282"/>
    </row>
    <row r="44">
      <c r="C44" s="295"/>
      <c r="D44" s="295"/>
      <c r="E44" s="281"/>
      <c r="F44" s="282"/>
      <c r="G44" s="282"/>
      <c r="H44" s="282"/>
    </row>
    <row r="45">
      <c r="C45" s="295"/>
      <c r="D45" s="295"/>
      <c r="E45" s="281"/>
      <c r="F45" s="282"/>
      <c r="G45" s="282"/>
      <c r="H45" s="282"/>
    </row>
    <row r="46">
      <c r="C46" s="295"/>
      <c r="D46" s="295"/>
      <c r="E46" s="281"/>
      <c r="F46" s="282"/>
      <c r="G46" s="282"/>
      <c r="H46" s="282"/>
    </row>
    <row r="47">
      <c r="C47" s="295"/>
      <c r="D47" s="295"/>
      <c r="E47" s="281"/>
      <c r="F47" s="282"/>
      <c r="G47" s="282"/>
      <c r="H47" s="282"/>
    </row>
    <row r="48">
      <c r="C48" s="295"/>
      <c r="D48" s="295"/>
      <c r="E48" s="281"/>
      <c r="F48" s="282"/>
      <c r="G48" s="282"/>
      <c r="H48" s="282"/>
    </row>
    <row r="49">
      <c r="C49" s="295"/>
      <c r="D49" s="295"/>
      <c r="E49" s="281"/>
      <c r="F49" s="282"/>
      <c r="G49" s="282"/>
      <c r="H49" s="282"/>
    </row>
    <row r="50">
      <c r="C50" s="295"/>
      <c r="D50" s="295"/>
      <c r="E50" s="281"/>
      <c r="F50" s="282"/>
      <c r="G50" s="282"/>
      <c r="H50" s="282"/>
    </row>
    <row r="51">
      <c r="C51" s="295"/>
      <c r="D51" s="295"/>
      <c r="E51" s="281"/>
      <c r="F51" s="282"/>
      <c r="G51" s="282"/>
      <c r="H51" s="282"/>
    </row>
    <row r="52">
      <c r="C52" s="295"/>
      <c r="D52" s="295"/>
      <c r="E52" s="281"/>
      <c r="F52" s="282"/>
      <c r="G52" s="282"/>
      <c r="H52" s="282"/>
    </row>
    <row r="53">
      <c r="C53" s="295"/>
      <c r="D53" s="295"/>
      <c r="E53" s="281"/>
      <c r="F53" s="282"/>
      <c r="G53" s="282"/>
      <c r="H53" s="282"/>
    </row>
    <row r="54">
      <c r="C54" s="295"/>
      <c r="D54" s="295"/>
      <c r="E54" s="281"/>
      <c r="F54" s="282"/>
      <c r="G54" s="282"/>
      <c r="H54" s="282"/>
    </row>
    <row r="55">
      <c r="C55" s="295"/>
      <c r="D55" s="295"/>
      <c r="E55" s="281"/>
      <c r="F55" s="282"/>
      <c r="G55" s="282"/>
      <c r="H55" s="282"/>
    </row>
    <row r="56">
      <c r="C56" s="295"/>
      <c r="D56" s="295"/>
      <c r="E56" s="281"/>
      <c r="F56" s="282"/>
      <c r="G56" s="282"/>
      <c r="H56" s="282"/>
    </row>
    <row r="57">
      <c r="C57" s="295"/>
      <c r="D57" s="295"/>
      <c r="E57" s="281"/>
      <c r="F57" s="282"/>
      <c r="G57" s="282"/>
      <c r="H57" s="282"/>
    </row>
    <row r="58">
      <c r="C58" s="295"/>
      <c r="D58" s="295"/>
      <c r="E58" s="281"/>
      <c r="F58" s="282"/>
      <c r="G58" s="282"/>
      <c r="H58" s="282"/>
    </row>
    <row r="59">
      <c r="C59" s="295"/>
      <c r="D59" s="295"/>
      <c r="E59" s="281"/>
      <c r="F59" s="282"/>
      <c r="G59" s="282"/>
      <c r="H59" s="282"/>
    </row>
    <row r="60">
      <c r="C60" s="295"/>
      <c r="D60" s="295"/>
      <c r="E60" s="281"/>
      <c r="F60" s="282"/>
      <c r="G60" s="282"/>
      <c r="H60" s="282"/>
    </row>
    <row r="61">
      <c r="C61" s="295"/>
      <c r="D61" s="295"/>
      <c r="E61" s="281"/>
      <c r="F61" s="282"/>
      <c r="G61" s="282"/>
      <c r="H61" s="282"/>
    </row>
    <row r="62">
      <c r="C62" s="295"/>
      <c r="D62" s="295"/>
      <c r="E62" s="281"/>
      <c r="F62" s="282"/>
      <c r="G62" s="282"/>
      <c r="H62" s="282"/>
    </row>
    <row r="63">
      <c r="C63" s="295"/>
      <c r="D63" s="295"/>
      <c r="E63" s="281"/>
      <c r="F63" s="282"/>
      <c r="G63" s="282"/>
      <c r="H63" s="282"/>
    </row>
    <row r="64">
      <c r="C64" s="295"/>
      <c r="D64" s="295"/>
      <c r="E64" s="281"/>
      <c r="F64" s="282"/>
      <c r="G64" s="282"/>
      <c r="H64" s="282"/>
    </row>
    <row r="65">
      <c r="C65" s="295"/>
      <c r="D65" s="295"/>
      <c r="E65" s="281"/>
      <c r="F65" s="282"/>
      <c r="G65" s="282"/>
      <c r="H65" s="282"/>
    </row>
    <row r="66">
      <c r="C66" s="295"/>
      <c r="D66" s="295"/>
      <c r="E66" s="281"/>
      <c r="F66" s="282"/>
      <c r="G66" s="282"/>
      <c r="H66" s="282"/>
    </row>
    <row r="67">
      <c r="C67" s="295"/>
      <c r="D67" s="295"/>
      <c r="E67" s="281"/>
      <c r="F67" s="282"/>
      <c r="G67" s="282"/>
      <c r="H67" s="282"/>
    </row>
    <row r="68">
      <c r="C68" s="295"/>
      <c r="D68" s="295"/>
      <c r="E68" s="281"/>
      <c r="F68" s="282"/>
      <c r="G68" s="282"/>
      <c r="H68" s="282"/>
    </row>
    <row r="69">
      <c r="C69" s="295"/>
      <c r="D69" s="295"/>
      <c r="E69" s="281"/>
      <c r="F69" s="282"/>
      <c r="G69" s="282"/>
      <c r="H69" s="282"/>
    </row>
    <row r="70">
      <c r="C70" s="295"/>
      <c r="D70" s="295"/>
      <c r="E70" s="281"/>
      <c r="F70" s="282"/>
      <c r="G70" s="282"/>
      <c r="H70" s="282"/>
    </row>
    <row r="71">
      <c r="C71" s="295"/>
      <c r="D71" s="295"/>
      <c r="E71" s="281"/>
      <c r="F71" s="282"/>
      <c r="G71" s="282"/>
      <c r="H71" s="282"/>
    </row>
    <row r="72">
      <c r="C72" s="295"/>
      <c r="D72" s="295"/>
      <c r="E72" s="281"/>
      <c r="F72" s="282"/>
      <c r="G72" s="282"/>
      <c r="H72" s="282"/>
    </row>
    <row r="73">
      <c r="C73" s="295"/>
      <c r="D73" s="295"/>
      <c r="E73" s="281"/>
      <c r="F73" s="282"/>
      <c r="G73" s="282"/>
      <c r="H73" s="282"/>
    </row>
    <row r="74">
      <c r="C74" s="295"/>
      <c r="D74" s="295"/>
      <c r="E74" s="281"/>
      <c r="F74" s="282"/>
      <c r="G74" s="282"/>
      <c r="H74" s="282"/>
    </row>
    <row r="75">
      <c r="C75" s="295"/>
      <c r="D75" s="295"/>
      <c r="E75" s="281"/>
      <c r="F75" s="282"/>
      <c r="G75" s="282"/>
      <c r="H75" s="282"/>
    </row>
    <row r="76">
      <c r="C76" s="295"/>
      <c r="D76" s="295"/>
      <c r="E76" s="281"/>
      <c r="F76" s="282"/>
      <c r="G76" s="282"/>
      <c r="H76" s="282"/>
    </row>
    <row r="77">
      <c r="C77" s="295"/>
      <c r="D77" s="295"/>
      <c r="E77" s="281"/>
      <c r="F77" s="282"/>
      <c r="G77" s="282"/>
      <c r="H77" s="282"/>
    </row>
    <row r="78">
      <c r="C78" s="295"/>
      <c r="D78" s="295"/>
      <c r="E78" s="281"/>
      <c r="F78" s="282"/>
      <c r="G78" s="282"/>
      <c r="H78" s="282"/>
    </row>
    <row r="79">
      <c r="C79" s="295"/>
      <c r="D79" s="295"/>
      <c r="E79" s="281"/>
      <c r="F79" s="282"/>
      <c r="G79" s="282"/>
      <c r="H79" s="282"/>
    </row>
    <row r="80">
      <c r="C80" s="295"/>
      <c r="D80" s="295"/>
      <c r="E80" s="281"/>
      <c r="F80" s="282"/>
      <c r="G80" s="282"/>
      <c r="H80" s="282"/>
    </row>
    <row r="81">
      <c r="C81" s="295"/>
      <c r="D81" s="295"/>
      <c r="E81" s="281"/>
      <c r="F81" s="282"/>
      <c r="G81" s="282"/>
      <c r="H81" s="282"/>
    </row>
    <row r="82">
      <c r="C82" s="295"/>
      <c r="D82" s="295"/>
      <c r="E82" s="281"/>
      <c r="F82" s="282"/>
      <c r="G82" s="282"/>
      <c r="H82" s="282"/>
    </row>
    <row r="83">
      <c r="C83" s="295"/>
      <c r="D83" s="295"/>
      <c r="E83" s="281"/>
      <c r="F83" s="282"/>
      <c r="G83" s="282"/>
      <c r="H83" s="282"/>
    </row>
    <row r="84">
      <c r="C84" s="295"/>
      <c r="D84" s="295"/>
      <c r="E84" s="281"/>
      <c r="F84" s="282"/>
      <c r="G84" s="282"/>
      <c r="H84" s="282"/>
    </row>
    <row r="85">
      <c r="C85" s="295"/>
      <c r="D85" s="295"/>
      <c r="E85" s="281"/>
      <c r="F85" s="282"/>
      <c r="G85" s="282"/>
      <c r="H85" s="282"/>
    </row>
    <row r="86">
      <c r="C86" s="295"/>
      <c r="D86" s="295"/>
      <c r="E86" s="281"/>
      <c r="F86" s="282"/>
      <c r="G86" s="282"/>
      <c r="H86" s="282"/>
    </row>
    <row r="87">
      <c r="C87" s="295"/>
      <c r="D87" s="295"/>
      <c r="E87" s="281"/>
      <c r="F87" s="282"/>
      <c r="G87" s="282"/>
      <c r="H87" s="282"/>
    </row>
    <row r="88">
      <c r="C88" s="295"/>
      <c r="D88" s="295"/>
      <c r="E88" s="281"/>
      <c r="F88" s="282"/>
      <c r="G88" s="282"/>
      <c r="H88" s="282"/>
    </row>
    <row r="89">
      <c r="C89" s="295"/>
      <c r="D89" s="295"/>
      <c r="E89" s="281"/>
      <c r="F89" s="282"/>
      <c r="G89" s="282"/>
      <c r="H89" s="282"/>
    </row>
    <row r="90">
      <c r="C90" s="295"/>
      <c r="D90" s="295"/>
      <c r="E90" s="281"/>
      <c r="F90" s="282"/>
      <c r="G90" s="282"/>
      <c r="H90" s="282"/>
    </row>
    <row r="91">
      <c r="C91" s="295"/>
      <c r="D91" s="295"/>
      <c r="E91" s="281"/>
      <c r="F91" s="282"/>
      <c r="G91" s="282"/>
      <c r="H91" s="282"/>
    </row>
    <row r="92">
      <c r="C92" s="295"/>
      <c r="D92" s="295"/>
      <c r="E92" s="281"/>
      <c r="F92" s="282"/>
      <c r="G92" s="282"/>
      <c r="H92" s="282"/>
    </row>
    <row r="93">
      <c r="C93" s="295"/>
      <c r="D93" s="295"/>
      <c r="E93" s="281"/>
      <c r="F93" s="282"/>
      <c r="G93" s="282"/>
      <c r="H93" s="282"/>
    </row>
    <row r="94">
      <c r="C94" s="295"/>
      <c r="D94" s="295"/>
      <c r="E94" s="281"/>
      <c r="F94" s="282"/>
      <c r="G94" s="282"/>
      <c r="H94" s="282"/>
    </row>
    <row r="95">
      <c r="C95" s="295"/>
      <c r="D95" s="295"/>
      <c r="E95" s="281"/>
      <c r="F95" s="282"/>
      <c r="G95" s="282"/>
      <c r="H95" s="282"/>
    </row>
    <row r="96">
      <c r="C96" s="295"/>
      <c r="D96" s="295"/>
      <c r="E96" s="281"/>
      <c r="F96" s="282"/>
      <c r="G96" s="282"/>
      <c r="H96" s="282"/>
    </row>
    <row r="97">
      <c r="C97" s="295"/>
      <c r="D97" s="295"/>
      <c r="E97" s="281"/>
      <c r="F97" s="282"/>
      <c r="G97" s="282"/>
      <c r="H97" s="282"/>
    </row>
    <row r="98">
      <c r="C98" s="295"/>
      <c r="D98" s="295"/>
      <c r="E98" s="281"/>
      <c r="F98" s="282"/>
      <c r="G98" s="282"/>
      <c r="H98" s="282"/>
    </row>
    <row r="99">
      <c r="C99" s="295"/>
      <c r="D99" s="295"/>
      <c r="E99" s="281"/>
      <c r="F99" s="282"/>
      <c r="G99" s="282"/>
      <c r="H99" s="282"/>
    </row>
    <row r="100">
      <c r="C100" s="295"/>
      <c r="D100" s="295"/>
      <c r="E100" s="281"/>
      <c r="F100" s="282"/>
      <c r="G100" s="282"/>
      <c r="H100" s="282"/>
    </row>
    <row r="101">
      <c r="C101" s="295"/>
      <c r="D101" s="295"/>
      <c r="E101" s="281"/>
      <c r="F101" s="282"/>
      <c r="G101" s="282"/>
      <c r="H101" s="282"/>
    </row>
    <row r="102">
      <c r="C102" s="295"/>
      <c r="D102" s="295"/>
      <c r="E102" s="281"/>
      <c r="F102" s="282"/>
      <c r="G102" s="282"/>
      <c r="H102" s="282"/>
    </row>
    <row r="103">
      <c r="C103" s="295"/>
      <c r="D103" s="295"/>
      <c r="E103" s="281"/>
      <c r="F103" s="282"/>
      <c r="G103" s="282"/>
      <c r="H103" s="282"/>
    </row>
    <row r="104">
      <c r="C104" s="295"/>
      <c r="D104" s="295"/>
      <c r="E104" s="281"/>
      <c r="F104" s="282"/>
      <c r="G104" s="282"/>
      <c r="H104" s="282"/>
    </row>
    <row r="105">
      <c r="C105" s="295"/>
      <c r="D105" s="295"/>
      <c r="E105" s="281"/>
      <c r="F105" s="282"/>
      <c r="G105" s="282"/>
      <c r="H105" s="282"/>
    </row>
    <row r="106">
      <c r="C106" s="295"/>
      <c r="D106" s="295"/>
      <c r="E106" s="281"/>
      <c r="F106" s="282"/>
      <c r="G106" s="282"/>
      <c r="H106" s="282"/>
    </row>
    <row r="107">
      <c r="C107" s="295"/>
      <c r="D107" s="295"/>
      <c r="E107" s="281"/>
      <c r="F107" s="282"/>
      <c r="G107" s="282"/>
      <c r="H107" s="282"/>
    </row>
    <row r="108">
      <c r="C108" s="295"/>
      <c r="D108" s="295"/>
      <c r="E108" s="281"/>
      <c r="F108" s="282"/>
      <c r="G108" s="282"/>
      <c r="H108" s="282"/>
    </row>
    <row r="109">
      <c r="C109" s="295"/>
      <c r="D109" s="295"/>
      <c r="E109" s="281"/>
      <c r="F109" s="282"/>
      <c r="G109" s="282"/>
      <c r="H109" s="282"/>
    </row>
    <row r="110">
      <c r="C110" s="295"/>
      <c r="D110" s="295"/>
      <c r="E110" s="281"/>
      <c r="F110" s="282"/>
      <c r="G110" s="282"/>
      <c r="H110" s="282"/>
    </row>
    <row r="111">
      <c r="C111" s="295"/>
      <c r="D111" s="295"/>
      <c r="E111" s="281"/>
      <c r="F111" s="282"/>
      <c r="G111" s="282"/>
      <c r="H111" s="282"/>
    </row>
    <row r="112">
      <c r="C112" s="295"/>
      <c r="D112" s="295"/>
      <c r="E112" s="281"/>
      <c r="F112" s="282"/>
      <c r="G112" s="282"/>
      <c r="H112" s="282"/>
    </row>
    <row r="113">
      <c r="C113" s="295"/>
      <c r="D113" s="295"/>
      <c r="E113" s="281"/>
      <c r="F113" s="282"/>
      <c r="G113" s="282"/>
      <c r="H113" s="282"/>
    </row>
    <row r="114">
      <c r="C114" s="295"/>
      <c r="D114" s="295"/>
      <c r="E114" s="281"/>
      <c r="F114" s="282"/>
      <c r="G114" s="282"/>
      <c r="H114" s="282"/>
    </row>
    <row r="115">
      <c r="C115" s="295"/>
      <c r="D115" s="295"/>
      <c r="E115" s="281"/>
      <c r="F115" s="282"/>
      <c r="G115" s="282"/>
      <c r="H115" s="282"/>
    </row>
    <row r="116">
      <c r="C116" s="295"/>
      <c r="D116" s="295"/>
      <c r="E116" s="281"/>
      <c r="F116" s="282"/>
      <c r="G116" s="282"/>
      <c r="H116" s="282"/>
    </row>
    <row r="117">
      <c r="C117" s="295"/>
      <c r="D117" s="295"/>
      <c r="E117" s="281"/>
      <c r="F117" s="282"/>
      <c r="G117" s="282"/>
      <c r="H117" s="282"/>
    </row>
    <row r="118">
      <c r="C118" s="295"/>
      <c r="D118" s="295"/>
      <c r="E118" s="281"/>
      <c r="F118" s="282"/>
      <c r="G118" s="282"/>
      <c r="H118" s="282"/>
    </row>
    <row r="119">
      <c r="C119" s="295"/>
      <c r="D119" s="295"/>
      <c r="E119" s="281"/>
      <c r="F119" s="282"/>
      <c r="G119" s="282"/>
      <c r="H119" s="282"/>
    </row>
    <row r="120">
      <c r="C120" s="295"/>
      <c r="D120" s="295"/>
      <c r="E120" s="281"/>
      <c r="F120" s="282"/>
      <c r="G120" s="282"/>
      <c r="H120" s="282"/>
    </row>
    <row r="121">
      <c r="C121" s="295"/>
      <c r="D121" s="295"/>
      <c r="E121" s="281"/>
      <c r="F121" s="282"/>
      <c r="G121" s="282"/>
      <c r="H121" s="282"/>
    </row>
    <row r="122">
      <c r="C122" s="295"/>
      <c r="D122" s="295"/>
      <c r="E122" s="281"/>
      <c r="F122" s="282"/>
      <c r="G122" s="282"/>
      <c r="H122" s="282"/>
    </row>
    <row r="123">
      <c r="C123" s="295"/>
      <c r="D123" s="295"/>
      <c r="E123" s="281"/>
      <c r="F123" s="282"/>
      <c r="G123" s="282"/>
      <c r="H123" s="282"/>
    </row>
    <row r="124">
      <c r="C124" s="295"/>
      <c r="D124" s="295"/>
      <c r="E124" s="281"/>
      <c r="F124" s="282"/>
      <c r="G124" s="282"/>
      <c r="H124" s="282"/>
    </row>
    <row r="125">
      <c r="C125" s="295"/>
      <c r="D125" s="295"/>
      <c r="E125" s="281"/>
      <c r="F125" s="282"/>
      <c r="G125" s="282"/>
      <c r="H125" s="282"/>
    </row>
    <row r="126">
      <c r="C126" s="295"/>
      <c r="D126" s="295"/>
      <c r="E126" s="281"/>
      <c r="F126" s="282"/>
      <c r="G126" s="282"/>
      <c r="H126" s="282"/>
    </row>
    <row r="127">
      <c r="C127" s="295"/>
      <c r="D127" s="295"/>
      <c r="E127" s="281"/>
      <c r="F127" s="282"/>
      <c r="G127" s="282"/>
      <c r="H127" s="282"/>
    </row>
    <row r="128">
      <c r="C128" s="295"/>
      <c r="D128" s="295"/>
      <c r="E128" s="281"/>
      <c r="F128" s="282"/>
      <c r="G128" s="282"/>
      <c r="H128" s="282"/>
    </row>
    <row r="129">
      <c r="C129" s="295"/>
      <c r="D129" s="295"/>
      <c r="E129" s="281"/>
      <c r="F129" s="282"/>
      <c r="G129" s="282"/>
      <c r="H129" s="282"/>
    </row>
    <row r="130">
      <c r="C130" s="295"/>
      <c r="D130" s="295"/>
      <c r="E130" s="281"/>
      <c r="F130" s="282"/>
      <c r="G130" s="282"/>
      <c r="H130" s="282"/>
    </row>
    <row r="131">
      <c r="C131" s="295"/>
      <c r="D131" s="295"/>
      <c r="E131" s="281"/>
      <c r="F131" s="282"/>
      <c r="G131" s="282"/>
      <c r="H131" s="282"/>
    </row>
    <row r="132">
      <c r="C132" s="295"/>
      <c r="D132" s="295"/>
      <c r="E132" s="281"/>
      <c r="F132" s="282"/>
      <c r="G132" s="282"/>
      <c r="H132" s="282"/>
    </row>
    <row r="133">
      <c r="C133" s="295"/>
      <c r="D133" s="295"/>
      <c r="E133" s="281"/>
      <c r="F133" s="282"/>
      <c r="G133" s="282"/>
      <c r="H133" s="282"/>
    </row>
    <row r="134">
      <c r="C134" s="295"/>
      <c r="D134" s="295"/>
      <c r="E134" s="281"/>
      <c r="F134" s="282"/>
      <c r="G134" s="282"/>
      <c r="H134" s="282"/>
    </row>
    <row r="135">
      <c r="C135" s="295"/>
      <c r="D135" s="295"/>
      <c r="E135" s="281"/>
      <c r="F135" s="282"/>
      <c r="G135" s="282"/>
      <c r="H135" s="282"/>
    </row>
    <row r="136">
      <c r="C136" s="295"/>
      <c r="D136" s="295"/>
      <c r="E136" s="281"/>
      <c r="F136" s="282"/>
      <c r="G136" s="282"/>
      <c r="H136" s="282"/>
    </row>
    <row r="137">
      <c r="C137" s="295"/>
      <c r="D137" s="295"/>
      <c r="E137" s="281"/>
      <c r="F137" s="282"/>
      <c r="G137" s="282"/>
      <c r="H137" s="282"/>
    </row>
    <row r="138">
      <c r="C138" s="295"/>
      <c r="D138" s="295"/>
      <c r="E138" s="281"/>
      <c r="F138" s="282"/>
      <c r="G138" s="282"/>
      <c r="H138" s="282"/>
    </row>
    <row r="139">
      <c r="C139" s="295"/>
      <c r="D139" s="295"/>
      <c r="E139" s="281"/>
      <c r="F139" s="282"/>
      <c r="G139" s="282"/>
      <c r="H139" s="282"/>
    </row>
    <row r="140">
      <c r="C140" s="295"/>
      <c r="D140" s="295"/>
      <c r="E140" s="281"/>
      <c r="F140" s="282"/>
      <c r="G140" s="282"/>
      <c r="H140" s="282"/>
    </row>
    <row r="141">
      <c r="C141" s="295"/>
      <c r="D141" s="295"/>
      <c r="E141" s="281"/>
      <c r="F141" s="282"/>
      <c r="G141" s="282"/>
      <c r="H141" s="282"/>
    </row>
    <row r="142">
      <c r="C142" s="295"/>
      <c r="D142" s="295"/>
      <c r="E142" s="281"/>
      <c r="F142" s="282"/>
      <c r="G142" s="282"/>
      <c r="H142" s="282"/>
    </row>
    <row r="143">
      <c r="C143" s="295"/>
      <c r="D143" s="295"/>
      <c r="E143" s="281"/>
      <c r="F143" s="282"/>
      <c r="G143" s="282"/>
      <c r="H143" s="282"/>
    </row>
    <row r="144">
      <c r="C144" s="295"/>
      <c r="D144" s="295"/>
      <c r="E144" s="281"/>
      <c r="F144" s="282"/>
      <c r="G144" s="282"/>
      <c r="H144" s="282"/>
    </row>
    <row r="145">
      <c r="C145" s="295"/>
      <c r="D145" s="295"/>
      <c r="E145" s="281"/>
      <c r="F145" s="282"/>
      <c r="G145" s="282"/>
      <c r="H145" s="282"/>
    </row>
    <row r="146">
      <c r="C146" s="295"/>
      <c r="D146" s="295"/>
      <c r="E146" s="281"/>
      <c r="F146" s="282"/>
      <c r="G146" s="282"/>
      <c r="H146" s="282"/>
    </row>
    <row r="147">
      <c r="C147" s="295"/>
      <c r="D147" s="295"/>
      <c r="E147" s="281"/>
      <c r="F147" s="282"/>
      <c r="G147" s="282"/>
      <c r="H147" s="282"/>
    </row>
    <row r="148">
      <c r="C148" s="295"/>
      <c r="D148" s="295"/>
      <c r="E148" s="281"/>
      <c r="F148" s="282"/>
      <c r="G148" s="282"/>
      <c r="H148" s="282"/>
    </row>
    <row r="149">
      <c r="C149" s="295"/>
      <c r="D149" s="295"/>
      <c r="E149" s="281"/>
      <c r="F149" s="282"/>
      <c r="G149" s="282"/>
      <c r="H149" s="282"/>
    </row>
    <row r="150">
      <c r="C150" s="295"/>
      <c r="D150" s="295"/>
      <c r="E150" s="281"/>
      <c r="F150" s="282"/>
      <c r="G150" s="282"/>
      <c r="H150" s="282"/>
    </row>
    <row r="151">
      <c r="C151" s="295"/>
      <c r="D151" s="295"/>
      <c r="E151" s="281"/>
      <c r="F151" s="282"/>
      <c r="G151" s="282"/>
      <c r="H151" s="282"/>
    </row>
    <row r="152">
      <c r="C152" s="295"/>
      <c r="D152" s="295"/>
      <c r="E152" s="281"/>
      <c r="F152" s="282"/>
      <c r="G152" s="282"/>
      <c r="H152" s="282"/>
    </row>
    <row r="153">
      <c r="C153" s="295"/>
      <c r="D153" s="295"/>
      <c r="E153" s="281"/>
      <c r="F153" s="282"/>
      <c r="G153" s="282"/>
      <c r="H153" s="282"/>
    </row>
    <row r="154">
      <c r="C154" s="295"/>
      <c r="D154" s="295"/>
      <c r="E154" s="281"/>
      <c r="F154" s="282"/>
      <c r="G154" s="282"/>
      <c r="H154" s="282"/>
    </row>
    <row r="155">
      <c r="C155" s="295"/>
      <c r="D155" s="295"/>
      <c r="E155" s="281"/>
      <c r="F155" s="282"/>
      <c r="G155" s="282"/>
      <c r="H155" s="282"/>
    </row>
    <row r="156">
      <c r="C156" s="295"/>
      <c r="D156" s="295"/>
      <c r="E156" s="281"/>
      <c r="F156" s="282"/>
      <c r="G156" s="282"/>
      <c r="H156" s="282"/>
    </row>
    <row r="157">
      <c r="C157" s="295"/>
      <c r="D157" s="295"/>
      <c r="E157" s="281"/>
      <c r="F157" s="282"/>
      <c r="G157" s="282"/>
      <c r="H157" s="282"/>
    </row>
    <row r="158">
      <c r="C158" s="295"/>
      <c r="D158" s="295"/>
      <c r="E158" s="281"/>
      <c r="F158" s="282"/>
      <c r="G158" s="282"/>
      <c r="H158" s="282"/>
    </row>
    <row r="159">
      <c r="C159" s="295"/>
      <c r="D159" s="295"/>
      <c r="E159" s="281"/>
      <c r="F159" s="282"/>
      <c r="G159" s="282"/>
      <c r="H159" s="282"/>
    </row>
    <row r="160">
      <c r="C160" s="295"/>
      <c r="D160" s="295"/>
      <c r="E160" s="281"/>
      <c r="F160" s="282"/>
      <c r="G160" s="282"/>
      <c r="H160" s="282"/>
    </row>
    <row r="161">
      <c r="C161" s="295"/>
      <c r="D161" s="295"/>
      <c r="E161" s="281"/>
      <c r="F161" s="282"/>
      <c r="G161" s="282"/>
      <c r="H161" s="282"/>
    </row>
    <row r="162">
      <c r="C162" s="295"/>
      <c r="D162" s="295"/>
      <c r="E162" s="281"/>
      <c r="F162" s="282"/>
      <c r="G162" s="282"/>
      <c r="H162" s="282"/>
    </row>
    <row r="163">
      <c r="C163" s="295"/>
      <c r="D163" s="295"/>
      <c r="E163" s="281"/>
      <c r="F163" s="282"/>
      <c r="G163" s="282"/>
      <c r="H163" s="282"/>
    </row>
    <row r="164">
      <c r="C164" s="295"/>
      <c r="D164" s="295"/>
      <c r="E164" s="281"/>
      <c r="F164" s="282"/>
      <c r="G164" s="282"/>
      <c r="H164" s="282"/>
    </row>
    <row r="165">
      <c r="C165" s="295"/>
      <c r="D165" s="295"/>
      <c r="E165" s="281"/>
      <c r="F165" s="282"/>
      <c r="G165" s="282"/>
      <c r="H165" s="282"/>
    </row>
    <row r="166">
      <c r="C166" s="295"/>
      <c r="D166" s="295"/>
      <c r="E166" s="281"/>
      <c r="F166" s="282"/>
      <c r="G166" s="282"/>
      <c r="H166" s="282"/>
    </row>
    <row r="167">
      <c r="C167" s="295"/>
      <c r="D167" s="295"/>
      <c r="E167" s="281"/>
      <c r="F167" s="282"/>
      <c r="G167" s="282"/>
      <c r="H167" s="282"/>
    </row>
    <row r="168">
      <c r="C168" s="295"/>
      <c r="D168" s="295"/>
      <c r="E168" s="281"/>
      <c r="F168" s="282"/>
      <c r="G168" s="282"/>
      <c r="H168" s="282"/>
    </row>
    <row r="169">
      <c r="C169" s="295"/>
      <c r="D169" s="295"/>
      <c r="E169" s="281"/>
      <c r="F169" s="282"/>
      <c r="G169" s="282"/>
      <c r="H169" s="282"/>
    </row>
    <row r="170">
      <c r="C170" s="295"/>
      <c r="D170" s="295"/>
      <c r="E170" s="281"/>
      <c r="F170" s="282"/>
      <c r="G170" s="282"/>
      <c r="H170" s="282"/>
    </row>
    <row r="171">
      <c r="C171" s="295"/>
      <c r="D171" s="295"/>
      <c r="E171" s="281"/>
      <c r="F171" s="282"/>
      <c r="G171" s="282"/>
      <c r="H171" s="282"/>
    </row>
    <row r="172">
      <c r="C172" s="295"/>
      <c r="D172" s="295"/>
      <c r="E172" s="281"/>
      <c r="F172" s="282"/>
      <c r="G172" s="282"/>
      <c r="H172" s="282"/>
    </row>
    <row r="173">
      <c r="C173" s="295"/>
      <c r="D173" s="295"/>
      <c r="E173" s="281"/>
      <c r="F173" s="282"/>
      <c r="G173" s="282"/>
      <c r="H173" s="282"/>
    </row>
    <row r="174">
      <c r="C174" s="295"/>
      <c r="D174" s="295"/>
      <c r="E174" s="281"/>
      <c r="F174" s="282"/>
      <c r="G174" s="282"/>
      <c r="H174" s="282"/>
    </row>
    <row r="175">
      <c r="C175" s="295"/>
      <c r="D175" s="295"/>
      <c r="E175" s="281"/>
      <c r="F175" s="282"/>
      <c r="G175" s="282"/>
      <c r="H175" s="282"/>
    </row>
    <row r="176">
      <c r="C176" s="295"/>
      <c r="D176" s="295"/>
      <c r="E176" s="281"/>
      <c r="F176" s="282"/>
      <c r="G176" s="282"/>
      <c r="H176" s="282"/>
    </row>
    <row r="177">
      <c r="C177" s="295"/>
      <c r="D177" s="295"/>
      <c r="E177" s="281"/>
      <c r="F177" s="282"/>
      <c r="G177" s="282"/>
      <c r="H177" s="282"/>
    </row>
    <row r="178">
      <c r="C178" s="295"/>
      <c r="D178" s="295"/>
      <c r="E178" s="281"/>
      <c r="F178" s="282"/>
      <c r="G178" s="282"/>
      <c r="H178" s="282"/>
    </row>
    <row r="179">
      <c r="C179" s="295"/>
      <c r="D179" s="295"/>
      <c r="E179" s="281"/>
      <c r="F179" s="282"/>
      <c r="G179" s="282"/>
      <c r="H179" s="282"/>
    </row>
    <row r="180">
      <c r="C180" s="295"/>
      <c r="D180" s="295"/>
      <c r="E180" s="281"/>
      <c r="F180" s="282"/>
      <c r="G180" s="282"/>
      <c r="H180" s="282"/>
    </row>
    <row r="181">
      <c r="C181" s="295"/>
      <c r="D181" s="295"/>
      <c r="E181" s="281"/>
      <c r="F181" s="282"/>
      <c r="G181" s="282"/>
      <c r="H181" s="282"/>
    </row>
    <row r="182">
      <c r="C182" s="295"/>
      <c r="D182" s="295"/>
      <c r="E182" s="281"/>
      <c r="F182" s="282"/>
      <c r="G182" s="282"/>
      <c r="H182" s="282"/>
    </row>
    <row r="183">
      <c r="C183" s="295"/>
      <c r="D183" s="295"/>
      <c r="E183" s="281"/>
      <c r="F183" s="282"/>
      <c r="G183" s="282"/>
      <c r="H183" s="282"/>
    </row>
    <row r="184">
      <c r="C184" s="295"/>
      <c r="D184" s="295"/>
      <c r="E184" s="281"/>
      <c r="F184" s="282"/>
      <c r="G184" s="282"/>
      <c r="H184" s="282"/>
    </row>
    <row r="185">
      <c r="C185" s="295"/>
      <c r="D185" s="295"/>
      <c r="E185" s="281"/>
      <c r="F185" s="282"/>
      <c r="G185" s="282"/>
      <c r="H185" s="282"/>
    </row>
    <row r="186">
      <c r="C186" s="295"/>
      <c r="D186" s="295"/>
      <c r="E186" s="281"/>
      <c r="F186" s="282"/>
      <c r="G186" s="282"/>
      <c r="H186" s="282"/>
    </row>
    <row r="187">
      <c r="C187" s="295"/>
      <c r="D187" s="295"/>
      <c r="E187" s="281"/>
      <c r="F187" s="282"/>
      <c r="G187" s="282"/>
      <c r="H187" s="282"/>
    </row>
    <row r="188">
      <c r="C188" s="295"/>
      <c r="D188" s="295"/>
      <c r="E188" s="281"/>
      <c r="F188" s="282"/>
      <c r="G188" s="282"/>
      <c r="H188" s="282"/>
    </row>
    <row r="189">
      <c r="C189" s="295"/>
      <c r="D189" s="295"/>
      <c r="E189" s="281"/>
      <c r="F189" s="282"/>
      <c r="G189" s="282"/>
      <c r="H189" s="282"/>
    </row>
    <row r="190">
      <c r="C190" s="295"/>
      <c r="D190" s="295"/>
      <c r="E190" s="281"/>
      <c r="F190" s="282"/>
      <c r="G190" s="282"/>
      <c r="H190" s="282"/>
    </row>
    <row r="191">
      <c r="C191" s="295"/>
      <c r="D191" s="295"/>
      <c r="E191" s="281"/>
      <c r="F191" s="282"/>
      <c r="G191" s="282"/>
      <c r="H191" s="282"/>
    </row>
    <row r="192">
      <c r="C192" s="295"/>
      <c r="D192" s="295"/>
      <c r="E192" s="281"/>
      <c r="F192" s="282"/>
      <c r="G192" s="282"/>
      <c r="H192" s="282"/>
    </row>
    <row r="193">
      <c r="C193" s="295"/>
      <c r="D193" s="295"/>
      <c r="E193" s="281"/>
      <c r="F193" s="282"/>
      <c r="G193" s="282"/>
      <c r="H193" s="282"/>
    </row>
    <row r="194">
      <c r="C194" s="295"/>
      <c r="D194" s="295"/>
      <c r="E194" s="281"/>
      <c r="F194" s="282"/>
      <c r="G194" s="282"/>
      <c r="H194" s="282"/>
    </row>
    <row r="195">
      <c r="C195" s="295"/>
      <c r="D195" s="295"/>
      <c r="E195" s="281"/>
      <c r="F195" s="282"/>
      <c r="G195" s="282"/>
      <c r="H195" s="282"/>
    </row>
    <row r="196">
      <c r="C196" s="295"/>
      <c r="D196" s="295"/>
      <c r="E196" s="281"/>
      <c r="F196" s="282"/>
      <c r="G196" s="282"/>
      <c r="H196" s="282"/>
    </row>
    <row r="197">
      <c r="C197" s="295"/>
      <c r="D197" s="295"/>
      <c r="E197" s="281"/>
      <c r="F197" s="282"/>
      <c r="G197" s="282"/>
      <c r="H197" s="282"/>
    </row>
    <row r="198">
      <c r="C198" s="295"/>
      <c r="D198" s="295"/>
      <c r="E198" s="281"/>
      <c r="F198" s="282"/>
      <c r="G198" s="282"/>
      <c r="H198" s="282"/>
    </row>
    <row r="199">
      <c r="C199" s="295"/>
      <c r="D199" s="295"/>
      <c r="E199" s="281"/>
      <c r="F199" s="282"/>
      <c r="G199" s="282"/>
      <c r="H199" s="282"/>
    </row>
    <row r="200">
      <c r="C200" s="295"/>
      <c r="D200" s="295"/>
      <c r="E200" s="281"/>
      <c r="F200" s="282"/>
      <c r="G200" s="282"/>
      <c r="H200" s="282"/>
    </row>
    <row r="201">
      <c r="C201" s="295"/>
      <c r="D201" s="295"/>
      <c r="E201" s="281"/>
      <c r="F201" s="282"/>
      <c r="G201" s="282"/>
      <c r="H201" s="282"/>
    </row>
    <row r="202">
      <c r="C202" s="295"/>
      <c r="D202" s="295"/>
      <c r="E202" s="281"/>
      <c r="F202" s="282"/>
      <c r="G202" s="282"/>
      <c r="H202" s="282"/>
    </row>
    <row r="203">
      <c r="C203" s="295"/>
      <c r="D203" s="295"/>
      <c r="E203" s="281"/>
      <c r="F203" s="282"/>
      <c r="G203" s="282"/>
      <c r="H203" s="282"/>
    </row>
    <row r="204">
      <c r="C204" s="295"/>
      <c r="D204" s="295"/>
      <c r="E204" s="281"/>
      <c r="F204" s="282"/>
      <c r="G204" s="282"/>
      <c r="H204" s="282"/>
    </row>
    <row r="205">
      <c r="C205" s="295"/>
      <c r="D205" s="295"/>
      <c r="E205" s="281"/>
      <c r="F205" s="282"/>
      <c r="G205" s="282"/>
      <c r="H205" s="282"/>
    </row>
    <row r="206">
      <c r="C206" s="295"/>
      <c r="D206" s="295"/>
      <c r="E206" s="281"/>
      <c r="F206" s="282"/>
      <c r="G206" s="282"/>
      <c r="H206" s="282"/>
    </row>
    <row r="207">
      <c r="C207" s="295"/>
      <c r="D207" s="295"/>
      <c r="E207" s="281"/>
      <c r="F207" s="282"/>
      <c r="G207" s="282"/>
      <c r="H207" s="282"/>
    </row>
    <row r="208">
      <c r="C208" s="295"/>
      <c r="D208" s="295"/>
      <c r="E208" s="281"/>
      <c r="F208" s="282"/>
      <c r="G208" s="282"/>
      <c r="H208" s="282"/>
    </row>
    <row r="209">
      <c r="C209" s="295"/>
      <c r="D209" s="295"/>
      <c r="E209" s="281"/>
      <c r="F209" s="282"/>
      <c r="G209" s="282"/>
      <c r="H209" s="282"/>
    </row>
    <row r="210">
      <c r="C210" s="295"/>
      <c r="D210" s="295"/>
      <c r="E210" s="281"/>
      <c r="F210" s="282"/>
      <c r="G210" s="282"/>
      <c r="H210" s="282"/>
    </row>
    <row r="211">
      <c r="C211" s="295"/>
      <c r="D211" s="295"/>
      <c r="E211" s="281"/>
      <c r="F211" s="282"/>
      <c r="G211" s="282"/>
      <c r="H211" s="282"/>
    </row>
    <row r="212">
      <c r="C212" s="295"/>
      <c r="D212" s="295"/>
      <c r="E212" s="281"/>
      <c r="F212" s="282"/>
      <c r="G212" s="282"/>
      <c r="H212" s="282"/>
    </row>
    <row r="213">
      <c r="C213" s="295"/>
      <c r="D213" s="295"/>
      <c r="E213" s="281"/>
      <c r="F213" s="282"/>
      <c r="G213" s="282"/>
      <c r="H213" s="282"/>
    </row>
    <row r="214">
      <c r="C214" s="295"/>
      <c r="D214" s="295"/>
      <c r="E214" s="281"/>
      <c r="F214" s="282"/>
      <c r="G214" s="282"/>
      <c r="H214" s="282"/>
    </row>
    <row r="215">
      <c r="C215" s="295"/>
      <c r="D215" s="295"/>
      <c r="E215" s="281"/>
      <c r="F215" s="282"/>
      <c r="G215" s="282"/>
      <c r="H215" s="282"/>
    </row>
    <row r="216">
      <c r="C216" s="295"/>
      <c r="D216" s="295"/>
      <c r="E216" s="281"/>
      <c r="F216" s="282"/>
      <c r="G216" s="282"/>
      <c r="H216" s="282"/>
    </row>
    <row r="217">
      <c r="C217" s="295"/>
      <c r="D217" s="295"/>
      <c r="E217" s="281"/>
      <c r="F217" s="282"/>
      <c r="G217" s="282"/>
      <c r="H217" s="282"/>
    </row>
    <row r="218">
      <c r="C218" s="295"/>
      <c r="D218" s="295"/>
      <c r="E218" s="281"/>
      <c r="F218" s="282"/>
      <c r="G218" s="282"/>
      <c r="H218" s="282"/>
    </row>
    <row r="219">
      <c r="C219" s="295"/>
      <c r="D219" s="295"/>
      <c r="E219" s="281"/>
      <c r="F219" s="282"/>
      <c r="G219" s="282"/>
      <c r="H219" s="282"/>
    </row>
    <row r="220">
      <c r="C220" s="295"/>
      <c r="D220" s="295"/>
      <c r="E220" s="281"/>
      <c r="F220" s="282"/>
      <c r="G220" s="282"/>
      <c r="H220" s="282"/>
    </row>
    <row r="221">
      <c r="C221" s="295"/>
      <c r="D221" s="295"/>
      <c r="E221" s="281"/>
      <c r="F221" s="282"/>
      <c r="G221" s="282"/>
      <c r="H221" s="282"/>
    </row>
    <row r="222">
      <c r="C222" s="295"/>
      <c r="D222" s="295"/>
      <c r="E222" s="281"/>
      <c r="F222" s="282"/>
      <c r="G222" s="282"/>
      <c r="H222" s="282"/>
    </row>
    <row r="223">
      <c r="C223" s="295"/>
      <c r="D223" s="295"/>
      <c r="E223" s="281"/>
      <c r="F223" s="282"/>
      <c r="G223" s="282"/>
      <c r="H223" s="282"/>
    </row>
    <row r="224">
      <c r="C224" s="295"/>
      <c r="D224" s="295"/>
      <c r="E224" s="281"/>
      <c r="F224" s="282"/>
      <c r="G224" s="282"/>
      <c r="H224" s="282"/>
    </row>
    <row r="225">
      <c r="C225" s="295"/>
      <c r="D225" s="295"/>
      <c r="E225" s="281"/>
      <c r="F225" s="282"/>
      <c r="G225" s="282"/>
      <c r="H225" s="282"/>
    </row>
    <row r="226">
      <c r="C226" s="295"/>
      <c r="D226" s="295"/>
      <c r="E226" s="281"/>
      <c r="F226" s="282"/>
      <c r="G226" s="282"/>
      <c r="H226" s="282"/>
    </row>
    <row r="227">
      <c r="C227" s="295"/>
      <c r="D227" s="295"/>
      <c r="E227" s="281"/>
      <c r="F227" s="282"/>
      <c r="G227" s="282"/>
      <c r="H227" s="282"/>
    </row>
    <row r="228">
      <c r="C228" s="295"/>
      <c r="D228" s="295"/>
      <c r="E228" s="281"/>
      <c r="F228" s="282"/>
      <c r="G228" s="282"/>
      <c r="H228" s="282"/>
    </row>
    <row r="229">
      <c r="C229" s="295"/>
      <c r="D229" s="295"/>
      <c r="E229" s="281"/>
      <c r="F229" s="282"/>
      <c r="G229" s="282"/>
      <c r="H229" s="282"/>
    </row>
    <row r="230">
      <c r="C230" s="295"/>
      <c r="D230" s="295"/>
      <c r="E230" s="281"/>
      <c r="F230" s="282"/>
      <c r="G230" s="282"/>
      <c r="H230" s="282"/>
    </row>
    <row r="231">
      <c r="C231" s="295"/>
      <c r="D231" s="295"/>
      <c r="E231" s="281"/>
      <c r="F231" s="282"/>
      <c r="G231" s="282"/>
      <c r="H231" s="282"/>
    </row>
    <row r="232">
      <c r="C232" s="295"/>
      <c r="D232" s="295"/>
      <c r="E232" s="281"/>
      <c r="F232" s="282"/>
      <c r="G232" s="282"/>
      <c r="H232" s="282"/>
    </row>
    <row r="233">
      <c r="C233" s="295"/>
      <c r="D233" s="295"/>
      <c r="E233" s="281"/>
      <c r="F233" s="282"/>
      <c r="G233" s="282"/>
      <c r="H233" s="282"/>
    </row>
    <row r="234">
      <c r="C234" s="295"/>
      <c r="D234" s="295"/>
      <c r="E234" s="281"/>
      <c r="F234" s="282"/>
      <c r="G234" s="282"/>
      <c r="H234" s="282"/>
    </row>
    <row r="235">
      <c r="C235" s="295"/>
      <c r="D235" s="295"/>
      <c r="E235" s="281"/>
      <c r="F235" s="282"/>
      <c r="G235" s="282"/>
      <c r="H235" s="282"/>
    </row>
    <row r="236">
      <c r="C236" s="295"/>
      <c r="D236" s="295"/>
      <c r="E236" s="281"/>
      <c r="F236" s="282"/>
      <c r="G236" s="282"/>
      <c r="H236" s="282"/>
    </row>
    <row r="237">
      <c r="C237" s="295"/>
      <c r="D237" s="295"/>
      <c r="E237" s="281"/>
      <c r="F237" s="282"/>
      <c r="G237" s="282"/>
      <c r="H237" s="282"/>
    </row>
    <row r="238">
      <c r="C238" s="295"/>
      <c r="D238" s="295"/>
      <c r="E238" s="281"/>
      <c r="F238" s="282"/>
      <c r="G238" s="282"/>
      <c r="H238" s="282"/>
    </row>
    <row r="239">
      <c r="C239" s="295"/>
      <c r="D239" s="295"/>
      <c r="E239" s="281"/>
      <c r="F239" s="282"/>
      <c r="G239" s="282"/>
      <c r="H239" s="282"/>
    </row>
    <row r="240">
      <c r="C240" s="295"/>
      <c r="D240" s="295"/>
      <c r="E240" s="281"/>
      <c r="F240" s="282"/>
      <c r="G240" s="282"/>
      <c r="H240" s="282"/>
    </row>
    <row r="241">
      <c r="C241" s="295"/>
      <c r="D241" s="295"/>
      <c r="E241" s="281"/>
      <c r="F241" s="282"/>
      <c r="G241" s="282"/>
      <c r="H241" s="282"/>
    </row>
    <row r="242">
      <c r="C242" s="295"/>
      <c r="D242" s="295"/>
      <c r="E242" s="281"/>
      <c r="F242" s="282"/>
      <c r="G242" s="282"/>
      <c r="H242" s="282"/>
    </row>
    <row r="243">
      <c r="C243" s="295"/>
      <c r="D243" s="295"/>
      <c r="E243" s="281"/>
      <c r="F243" s="282"/>
      <c r="G243" s="282"/>
      <c r="H243" s="282"/>
    </row>
    <row r="244">
      <c r="C244" s="295"/>
      <c r="D244" s="295"/>
      <c r="E244" s="281"/>
      <c r="F244" s="282"/>
      <c r="G244" s="282"/>
      <c r="H244" s="282"/>
    </row>
    <row r="245">
      <c r="C245" s="295"/>
      <c r="D245" s="295"/>
      <c r="E245" s="281"/>
      <c r="F245" s="282"/>
      <c r="G245" s="282"/>
      <c r="H245" s="282"/>
    </row>
    <row r="246">
      <c r="C246" s="295"/>
      <c r="D246" s="295"/>
      <c r="E246" s="281"/>
      <c r="F246" s="282"/>
      <c r="G246" s="282"/>
      <c r="H246" s="282"/>
    </row>
    <row r="247">
      <c r="C247" s="295"/>
      <c r="D247" s="295"/>
      <c r="E247" s="281"/>
      <c r="F247" s="282"/>
      <c r="G247" s="282"/>
      <c r="H247" s="282"/>
    </row>
    <row r="248">
      <c r="C248" s="295"/>
      <c r="D248" s="295"/>
      <c r="E248" s="281"/>
      <c r="F248" s="282"/>
      <c r="G248" s="282"/>
      <c r="H248" s="282"/>
    </row>
    <row r="249">
      <c r="C249" s="295"/>
      <c r="D249" s="295"/>
      <c r="E249" s="281"/>
      <c r="F249" s="282"/>
      <c r="G249" s="282"/>
      <c r="H249" s="282"/>
    </row>
    <row r="250">
      <c r="C250" s="295"/>
      <c r="D250" s="295"/>
      <c r="E250" s="281"/>
      <c r="F250" s="282"/>
      <c r="G250" s="282"/>
      <c r="H250" s="282"/>
    </row>
    <row r="251">
      <c r="C251" s="295"/>
      <c r="D251" s="295"/>
      <c r="E251" s="281"/>
      <c r="F251" s="282"/>
      <c r="G251" s="282"/>
      <c r="H251" s="282"/>
    </row>
    <row r="252">
      <c r="C252" s="295"/>
      <c r="D252" s="295"/>
      <c r="E252" s="281"/>
      <c r="F252" s="282"/>
      <c r="G252" s="282"/>
      <c r="H252" s="282"/>
    </row>
    <row r="253">
      <c r="C253" s="295"/>
      <c r="D253" s="295"/>
      <c r="E253" s="281"/>
      <c r="F253" s="282"/>
      <c r="G253" s="282"/>
      <c r="H253" s="282"/>
    </row>
    <row r="254">
      <c r="C254" s="295"/>
      <c r="D254" s="295"/>
      <c r="E254" s="281"/>
      <c r="F254" s="282"/>
      <c r="G254" s="282"/>
      <c r="H254" s="282"/>
    </row>
    <row r="255">
      <c r="C255" s="295"/>
      <c r="D255" s="295"/>
      <c r="E255" s="281"/>
      <c r="F255" s="282"/>
      <c r="G255" s="282"/>
      <c r="H255" s="282"/>
    </row>
    <row r="256">
      <c r="C256" s="295"/>
      <c r="D256" s="295"/>
      <c r="E256" s="281"/>
      <c r="F256" s="282"/>
      <c r="G256" s="282"/>
      <c r="H256" s="282"/>
    </row>
    <row r="257">
      <c r="C257" s="295"/>
      <c r="D257" s="295"/>
      <c r="E257" s="281"/>
      <c r="F257" s="282"/>
      <c r="G257" s="282"/>
      <c r="H257" s="282"/>
    </row>
    <row r="258">
      <c r="C258" s="295"/>
      <c r="D258" s="295"/>
      <c r="E258" s="281"/>
      <c r="F258" s="282"/>
      <c r="G258" s="282"/>
      <c r="H258" s="282"/>
    </row>
    <row r="259">
      <c r="C259" s="295"/>
      <c r="D259" s="295"/>
      <c r="E259" s="281"/>
      <c r="F259" s="282"/>
      <c r="G259" s="282"/>
      <c r="H259" s="282"/>
    </row>
    <row r="260">
      <c r="C260" s="295"/>
      <c r="D260" s="295"/>
      <c r="E260" s="281"/>
      <c r="F260" s="282"/>
      <c r="G260" s="282"/>
      <c r="H260" s="282"/>
    </row>
    <row r="261">
      <c r="C261" s="295"/>
      <c r="D261" s="295"/>
      <c r="E261" s="281"/>
      <c r="F261" s="282"/>
      <c r="G261" s="282"/>
      <c r="H261" s="282"/>
    </row>
    <row r="262">
      <c r="C262" s="295"/>
      <c r="D262" s="295"/>
      <c r="E262" s="281"/>
      <c r="F262" s="282"/>
      <c r="G262" s="282"/>
      <c r="H262" s="282"/>
    </row>
    <row r="263">
      <c r="C263" s="295"/>
      <c r="D263" s="295"/>
      <c r="E263" s="281"/>
      <c r="F263" s="282"/>
      <c r="G263" s="282"/>
      <c r="H263" s="282"/>
    </row>
    <row r="264">
      <c r="C264" s="295"/>
      <c r="D264" s="295"/>
      <c r="E264" s="281"/>
      <c r="F264" s="282"/>
      <c r="G264" s="282"/>
      <c r="H264" s="282"/>
    </row>
    <row r="265">
      <c r="C265" s="295"/>
      <c r="D265" s="295"/>
      <c r="E265" s="281"/>
      <c r="F265" s="282"/>
      <c r="G265" s="282"/>
      <c r="H265" s="282"/>
    </row>
    <row r="266">
      <c r="C266" s="295"/>
      <c r="D266" s="295"/>
      <c r="E266" s="281"/>
      <c r="F266" s="282"/>
      <c r="G266" s="282"/>
      <c r="H266" s="282"/>
    </row>
    <row r="267">
      <c r="C267" s="295"/>
      <c r="D267" s="295"/>
      <c r="E267" s="281"/>
      <c r="F267" s="282"/>
      <c r="G267" s="282"/>
      <c r="H267" s="282"/>
    </row>
    <row r="268">
      <c r="C268" s="295"/>
      <c r="D268" s="295"/>
      <c r="E268" s="281"/>
      <c r="F268" s="282"/>
      <c r="G268" s="282"/>
      <c r="H268" s="282"/>
    </row>
    <row r="269">
      <c r="C269" s="295"/>
      <c r="D269" s="295"/>
      <c r="E269" s="281"/>
      <c r="F269" s="282"/>
      <c r="G269" s="282"/>
      <c r="H269" s="282"/>
    </row>
    <row r="270">
      <c r="C270" s="295"/>
      <c r="D270" s="295"/>
      <c r="E270" s="281"/>
      <c r="F270" s="282"/>
      <c r="G270" s="282"/>
      <c r="H270" s="282"/>
    </row>
    <row r="271">
      <c r="C271" s="295"/>
      <c r="D271" s="295"/>
      <c r="E271" s="281"/>
      <c r="F271" s="282"/>
      <c r="G271" s="282"/>
      <c r="H271" s="282"/>
    </row>
    <row r="272">
      <c r="C272" s="295"/>
      <c r="D272" s="295"/>
      <c r="E272" s="281"/>
      <c r="F272" s="282"/>
      <c r="G272" s="282"/>
      <c r="H272" s="282"/>
    </row>
    <row r="273">
      <c r="C273" s="295"/>
      <c r="D273" s="295"/>
      <c r="E273" s="281"/>
      <c r="F273" s="282"/>
      <c r="G273" s="282"/>
      <c r="H273" s="282"/>
    </row>
    <row r="274">
      <c r="C274" s="295"/>
      <c r="D274" s="295"/>
      <c r="E274" s="281"/>
      <c r="F274" s="282"/>
      <c r="G274" s="282"/>
      <c r="H274" s="282"/>
    </row>
    <row r="275">
      <c r="C275" s="295"/>
      <c r="D275" s="295"/>
      <c r="E275" s="281"/>
      <c r="F275" s="282"/>
      <c r="G275" s="282"/>
      <c r="H275" s="282"/>
    </row>
    <row r="276">
      <c r="C276" s="295"/>
      <c r="D276" s="295"/>
      <c r="E276" s="281"/>
      <c r="F276" s="282"/>
      <c r="G276" s="282"/>
      <c r="H276" s="282"/>
    </row>
    <row r="277">
      <c r="C277" s="295"/>
      <c r="D277" s="295"/>
      <c r="E277" s="281"/>
      <c r="F277" s="282"/>
      <c r="G277" s="282"/>
      <c r="H277" s="282"/>
    </row>
    <row r="278">
      <c r="C278" s="295"/>
      <c r="D278" s="295"/>
      <c r="E278" s="281"/>
      <c r="F278" s="282"/>
      <c r="G278" s="282"/>
      <c r="H278" s="282"/>
    </row>
    <row r="279">
      <c r="C279" s="295"/>
      <c r="D279" s="295"/>
      <c r="E279" s="281"/>
      <c r="F279" s="282"/>
      <c r="G279" s="282"/>
      <c r="H279" s="282"/>
    </row>
    <row r="280">
      <c r="C280" s="295"/>
      <c r="D280" s="295"/>
      <c r="E280" s="281"/>
      <c r="F280" s="282"/>
      <c r="G280" s="282"/>
      <c r="H280" s="282"/>
    </row>
    <row r="281">
      <c r="C281" s="295"/>
      <c r="D281" s="295"/>
      <c r="E281" s="281"/>
      <c r="F281" s="282"/>
      <c r="G281" s="282"/>
      <c r="H281" s="282"/>
    </row>
    <row r="282">
      <c r="C282" s="295"/>
      <c r="D282" s="295"/>
      <c r="E282" s="281"/>
      <c r="F282" s="282"/>
      <c r="G282" s="282"/>
      <c r="H282" s="282"/>
    </row>
    <row r="283">
      <c r="C283" s="295"/>
      <c r="D283" s="295"/>
      <c r="E283" s="281"/>
      <c r="F283" s="282"/>
      <c r="G283" s="282"/>
      <c r="H283" s="282"/>
    </row>
    <row r="284">
      <c r="C284" s="295"/>
      <c r="D284" s="295"/>
      <c r="E284" s="281"/>
      <c r="F284" s="282"/>
      <c r="G284" s="282"/>
      <c r="H284" s="282"/>
    </row>
    <row r="285">
      <c r="C285" s="295"/>
      <c r="D285" s="295"/>
      <c r="E285" s="281"/>
      <c r="F285" s="282"/>
      <c r="G285" s="282"/>
      <c r="H285" s="282"/>
    </row>
    <row r="286">
      <c r="C286" s="295"/>
      <c r="D286" s="295"/>
      <c r="E286" s="281"/>
      <c r="F286" s="282"/>
      <c r="G286" s="282"/>
      <c r="H286" s="282"/>
    </row>
    <row r="287">
      <c r="C287" s="295"/>
      <c r="D287" s="295"/>
      <c r="E287" s="281"/>
      <c r="F287" s="282"/>
      <c r="G287" s="282"/>
      <c r="H287" s="282"/>
    </row>
    <row r="288">
      <c r="C288" s="295"/>
      <c r="D288" s="295"/>
      <c r="E288" s="281"/>
      <c r="F288" s="282"/>
      <c r="G288" s="282"/>
      <c r="H288" s="282"/>
    </row>
    <row r="289">
      <c r="C289" s="295"/>
      <c r="D289" s="295"/>
      <c r="E289" s="281"/>
      <c r="F289" s="282"/>
      <c r="G289" s="282"/>
      <c r="H289" s="282"/>
    </row>
    <row r="290">
      <c r="C290" s="295"/>
      <c r="D290" s="295"/>
      <c r="E290" s="281"/>
      <c r="F290" s="282"/>
      <c r="G290" s="282"/>
      <c r="H290" s="282"/>
    </row>
    <row r="291">
      <c r="C291" s="295"/>
      <c r="D291" s="295"/>
      <c r="E291" s="281"/>
      <c r="F291" s="282"/>
      <c r="G291" s="282"/>
      <c r="H291" s="282"/>
    </row>
    <row r="292">
      <c r="C292" s="295"/>
      <c r="D292" s="295"/>
      <c r="E292" s="281"/>
      <c r="F292" s="282"/>
      <c r="G292" s="282"/>
      <c r="H292" s="282"/>
    </row>
    <row r="293">
      <c r="C293" s="295"/>
      <c r="D293" s="295"/>
      <c r="E293" s="281"/>
      <c r="F293" s="282"/>
      <c r="G293" s="282"/>
      <c r="H293" s="282"/>
    </row>
    <row r="294">
      <c r="C294" s="295"/>
      <c r="D294" s="295"/>
      <c r="E294" s="281"/>
      <c r="F294" s="282"/>
      <c r="G294" s="282"/>
      <c r="H294" s="282"/>
    </row>
    <row r="295">
      <c r="C295" s="295"/>
      <c r="D295" s="295"/>
      <c r="E295" s="281"/>
      <c r="F295" s="282"/>
      <c r="G295" s="282"/>
      <c r="H295" s="282"/>
    </row>
    <row r="296">
      <c r="C296" s="295"/>
      <c r="D296" s="295"/>
      <c r="E296" s="281"/>
      <c r="F296" s="282"/>
      <c r="G296" s="282"/>
      <c r="H296" s="282"/>
    </row>
    <row r="297">
      <c r="C297" s="295"/>
      <c r="D297" s="295"/>
      <c r="E297" s="281"/>
      <c r="F297" s="282"/>
      <c r="G297" s="282"/>
      <c r="H297" s="282"/>
    </row>
    <row r="298">
      <c r="C298" s="295"/>
      <c r="D298" s="295"/>
      <c r="E298" s="281"/>
      <c r="F298" s="282"/>
      <c r="G298" s="282"/>
      <c r="H298" s="282"/>
    </row>
    <row r="299">
      <c r="C299" s="295"/>
      <c r="D299" s="295"/>
      <c r="E299" s="281"/>
      <c r="F299" s="282"/>
      <c r="G299" s="282"/>
      <c r="H299" s="282"/>
    </row>
    <row r="300">
      <c r="C300" s="295"/>
      <c r="D300" s="295"/>
      <c r="E300" s="281"/>
      <c r="F300" s="282"/>
      <c r="G300" s="282"/>
      <c r="H300" s="282"/>
    </row>
    <row r="301">
      <c r="C301" s="295"/>
      <c r="D301" s="295"/>
      <c r="E301" s="281"/>
      <c r="F301" s="282"/>
      <c r="G301" s="282"/>
      <c r="H301" s="282"/>
    </row>
    <row r="302">
      <c r="C302" s="295"/>
      <c r="D302" s="295"/>
      <c r="E302" s="281"/>
      <c r="F302" s="282"/>
      <c r="G302" s="282"/>
      <c r="H302" s="282"/>
    </row>
    <row r="303">
      <c r="C303" s="295"/>
      <c r="D303" s="295"/>
      <c r="E303" s="281"/>
      <c r="F303" s="282"/>
      <c r="G303" s="282"/>
      <c r="H303" s="282"/>
    </row>
    <row r="304">
      <c r="C304" s="295"/>
      <c r="D304" s="295"/>
      <c r="E304" s="281"/>
      <c r="F304" s="282"/>
      <c r="G304" s="282"/>
      <c r="H304" s="282"/>
    </row>
    <row r="305">
      <c r="C305" s="295"/>
      <c r="D305" s="295"/>
      <c r="E305" s="281"/>
      <c r="F305" s="282"/>
      <c r="G305" s="282"/>
      <c r="H305" s="282"/>
    </row>
    <row r="306">
      <c r="C306" s="295"/>
      <c r="D306" s="295"/>
      <c r="E306" s="281"/>
      <c r="F306" s="282"/>
      <c r="G306" s="282"/>
      <c r="H306" s="282"/>
    </row>
    <row r="307">
      <c r="C307" s="295"/>
      <c r="D307" s="295"/>
      <c r="E307" s="281"/>
      <c r="F307" s="282"/>
      <c r="G307" s="282"/>
      <c r="H307" s="282"/>
    </row>
    <row r="308">
      <c r="C308" s="295"/>
      <c r="D308" s="295"/>
      <c r="E308" s="281"/>
      <c r="F308" s="282"/>
      <c r="G308" s="282"/>
      <c r="H308" s="282"/>
    </row>
    <row r="309">
      <c r="C309" s="295"/>
      <c r="D309" s="295"/>
      <c r="E309" s="281"/>
      <c r="F309" s="282"/>
      <c r="G309" s="282"/>
      <c r="H309" s="282"/>
    </row>
    <row r="310">
      <c r="C310" s="295"/>
      <c r="D310" s="295"/>
      <c r="E310" s="281"/>
      <c r="F310" s="282"/>
      <c r="G310" s="282"/>
      <c r="H310" s="282"/>
    </row>
    <row r="311">
      <c r="C311" s="295"/>
      <c r="D311" s="295"/>
      <c r="E311" s="281"/>
      <c r="F311" s="282"/>
      <c r="G311" s="282"/>
      <c r="H311" s="282"/>
    </row>
    <row r="312">
      <c r="C312" s="295"/>
      <c r="D312" s="295"/>
      <c r="E312" s="281"/>
      <c r="F312" s="282"/>
      <c r="G312" s="282"/>
      <c r="H312" s="282"/>
    </row>
    <row r="313">
      <c r="C313" s="295"/>
      <c r="D313" s="295"/>
      <c r="E313" s="281"/>
      <c r="F313" s="282"/>
      <c r="G313" s="282"/>
      <c r="H313" s="282"/>
    </row>
    <row r="314">
      <c r="C314" s="295"/>
      <c r="D314" s="295"/>
      <c r="E314" s="281"/>
      <c r="F314" s="282"/>
      <c r="G314" s="282"/>
      <c r="H314" s="282"/>
    </row>
    <row r="315">
      <c r="C315" s="295"/>
      <c r="D315" s="295"/>
      <c r="E315" s="281"/>
      <c r="F315" s="282"/>
      <c r="G315" s="282"/>
      <c r="H315" s="282"/>
    </row>
    <row r="316">
      <c r="C316" s="295"/>
      <c r="D316" s="295"/>
      <c r="E316" s="281"/>
      <c r="F316" s="282"/>
      <c r="G316" s="282"/>
      <c r="H316" s="282"/>
    </row>
    <row r="317">
      <c r="C317" s="295"/>
      <c r="D317" s="295"/>
      <c r="E317" s="281"/>
      <c r="F317" s="282"/>
      <c r="G317" s="282"/>
      <c r="H317" s="282"/>
    </row>
    <row r="318">
      <c r="C318" s="295"/>
      <c r="D318" s="295"/>
      <c r="E318" s="281"/>
      <c r="F318" s="282"/>
      <c r="G318" s="282"/>
      <c r="H318" s="282"/>
    </row>
    <row r="319">
      <c r="C319" s="295"/>
      <c r="D319" s="295"/>
      <c r="E319" s="281"/>
      <c r="F319" s="282"/>
      <c r="G319" s="282"/>
      <c r="H319" s="282"/>
    </row>
    <row r="320">
      <c r="C320" s="295"/>
      <c r="D320" s="295"/>
      <c r="E320" s="281"/>
      <c r="F320" s="282"/>
      <c r="G320" s="282"/>
      <c r="H320" s="282"/>
    </row>
    <row r="321">
      <c r="C321" s="295"/>
      <c r="D321" s="295"/>
      <c r="E321" s="281"/>
      <c r="F321" s="282"/>
      <c r="G321" s="282"/>
      <c r="H321" s="282"/>
    </row>
    <row r="322">
      <c r="C322" s="295"/>
      <c r="D322" s="295"/>
      <c r="E322" s="281"/>
      <c r="F322" s="282"/>
      <c r="G322" s="282"/>
      <c r="H322" s="282"/>
    </row>
    <row r="323">
      <c r="C323" s="295"/>
      <c r="D323" s="295"/>
      <c r="E323" s="281"/>
      <c r="F323" s="282"/>
      <c r="G323" s="282"/>
      <c r="H323" s="282"/>
    </row>
    <row r="324">
      <c r="C324" s="295"/>
      <c r="D324" s="295"/>
      <c r="E324" s="281"/>
      <c r="F324" s="282"/>
      <c r="G324" s="282"/>
      <c r="H324" s="282"/>
    </row>
    <row r="325">
      <c r="C325" s="295"/>
      <c r="D325" s="295"/>
      <c r="E325" s="281"/>
      <c r="F325" s="282"/>
      <c r="G325" s="282"/>
      <c r="H325" s="282"/>
    </row>
    <row r="326">
      <c r="C326" s="295"/>
      <c r="D326" s="295"/>
      <c r="E326" s="281"/>
      <c r="F326" s="282"/>
      <c r="G326" s="282"/>
      <c r="H326" s="282"/>
    </row>
    <row r="327">
      <c r="C327" s="295"/>
      <c r="D327" s="295"/>
      <c r="E327" s="281"/>
      <c r="F327" s="282"/>
      <c r="G327" s="282"/>
      <c r="H327" s="282"/>
    </row>
    <row r="328">
      <c r="C328" s="295"/>
      <c r="D328" s="295"/>
      <c r="E328" s="281"/>
      <c r="F328" s="282"/>
      <c r="G328" s="282"/>
      <c r="H328" s="282"/>
    </row>
    <row r="329">
      <c r="C329" s="295"/>
      <c r="D329" s="295"/>
      <c r="E329" s="281"/>
      <c r="F329" s="282"/>
      <c r="G329" s="282"/>
      <c r="H329" s="282"/>
    </row>
    <row r="330">
      <c r="C330" s="295"/>
      <c r="D330" s="295"/>
      <c r="E330" s="281"/>
      <c r="F330" s="282"/>
      <c r="G330" s="282"/>
      <c r="H330" s="282"/>
    </row>
    <row r="331">
      <c r="C331" s="295"/>
      <c r="D331" s="295"/>
      <c r="E331" s="281"/>
      <c r="F331" s="282"/>
      <c r="G331" s="282"/>
      <c r="H331" s="282"/>
    </row>
    <row r="332">
      <c r="C332" s="295"/>
      <c r="D332" s="295"/>
      <c r="E332" s="281"/>
      <c r="F332" s="282"/>
      <c r="G332" s="282"/>
      <c r="H332" s="282"/>
    </row>
    <row r="333">
      <c r="C333" s="295"/>
      <c r="D333" s="295"/>
      <c r="E333" s="281"/>
      <c r="F333" s="282"/>
      <c r="G333" s="282"/>
      <c r="H333" s="282"/>
    </row>
    <row r="334">
      <c r="C334" s="295"/>
      <c r="D334" s="295"/>
      <c r="E334" s="281"/>
      <c r="F334" s="282"/>
      <c r="G334" s="282"/>
      <c r="H334" s="282"/>
    </row>
    <row r="335">
      <c r="C335" s="295"/>
      <c r="D335" s="295"/>
      <c r="E335" s="281"/>
      <c r="F335" s="282"/>
      <c r="G335" s="282"/>
      <c r="H335" s="282"/>
    </row>
    <row r="336">
      <c r="C336" s="295"/>
      <c r="D336" s="295"/>
      <c r="E336" s="281"/>
      <c r="F336" s="282"/>
      <c r="G336" s="282"/>
      <c r="H336" s="282"/>
    </row>
    <row r="337">
      <c r="C337" s="295"/>
      <c r="D337" s="295"/>
      <c r="E337" s="281"/>
      <c r="F337" s="282"/>
      <c r="G337" s="282"/>
      <c r="H337" s="282"/>
    </row>
    <row r="338">
      <c r="C338" s="295"/>
      <c r="D338" s="295"/>
      <c r="E338" s="281"/>
      <c r="F338" s="282"/>
      <c r="G338" s="282"/>
      <c r="H338" s="282"/>
    </row>
    <row r="339">
      <c r="C339" s="295"/>
      <c r="D339" s="295"/>
      <c r="E339" s="281"/>
      <c r="F339" s="282"/>
      <c r="G339" s="282"/>
      <c r="H339" s="282"/>
    </row>
    <row r="340">
      <c r="C340" s="295"/>
      <c r="D340" s="295"/>
      <c r="E340" s="281"/>
      <c r="F340" s="282"/>
      <c r="G340" s="282"/>
      <c r="H340" s="282"/>
    </row>
    <row r="341">
      <c r="C341" s="295"/>
      <c r="D341" s="295"/>
      <c r="E341" s="281"/>
      <c r="F341" s="282"/>
      <c r="G341" s="282"/>
      <c r="H341" s="282"/>
    </row>
    <row r="342">
      <c r="C342" s="295"/>
      <c r="D342" s="295"/>
      <c r="E342" s="281"/>
      <c r="F342" s="282"/>
      <c r="G342" s="282"/>
      <c r="H342" s="282"/>
    </row>
    <row r="343">
      <c r="C343" s="295"/>
      <c r="D343" s="295"/>
      <c r="E343" s="281"/>
      <c r="F343" s="282"/>
      <c r="G343" s="282"/>
      <c r="H343" s="282"/>
    </row>
    <row r="344">
      <c r="C344" s="295"/>
      <c r="D344" s="295"/>
      <c r="E344" s="281"/>
      <c r="F344" s="282"/>
      <c r="G344" s="282"/>
      <c r="H344" s="282"/>
    </row>
    <row r="345">
      <c r="C345" s="295"/>
      <c r="D345" s="295"/>
      <c r="E345" s="281"/>
      <c r="F345" s="282"/>
      <c r="G345" s="282"/>
      <c r="H345" s="282"/>
    </row>
    <row r="346">
      <c r="C346" s="295"/>
      <c r="D346" s="295"/>
      <c r="E346" s="281"/>
      <c r="F346" s="282"/>
      <c r="G346" s="282"/>
      <c r="H346" s="282"/>
    </row>
    <row r="347">
      <c r="C347" s="295"/>
      <c r="D347" s="295"/>
      <c r="E347" s="281"/>
      <c r="F347" s="282"/>
      <c r="G347" s="282"/>
      <c r="H347" s="282"/>
    </row>
    <row r="348">
      <c r="C348" s="295"/>
      <c r="D348" s="295"/>
      <c r="E348" s="281"/>
      <c r="F348" s="282"/>
      <c r="G348" s="282"/>
      <c r="H348" s="282"/>
    </row>
    <row r="349">
      <c r="C349" s="295"/>
      <c r="D349" s="295"/>
      <c r="E349" s="281"/>
      <c r="F349" s="282"/>
      <c r="G349" s="282"/>
      <c r="H349" s="282"/>
    </row>
    <row r="350">
      <c r="C350" s="295"/>
      <c r="D350" s="295"/>
      <c r="E350" s="281"/>
      <c r="F350" s="282"/>
      <c r="G350" s="282"/>
      <c r="H350" s="282"/>
    </row>
    <row r="351">
      <c r="C351" s="295"/>
      <c r="D351" s="295"/>
      <c r="E351" s="281"/>
      <c r="F351" s="282"/>
      <c r="G351" s="282"/>
      <c r="H351" s="282"/>
    </row>
    <row r="352">
      <c r="C352" s="295"/>
      <c r="D352" s="295"/>
      <c r="E352" s="281"/>
      <c r="F352" s="282"/>
      <c r="G352" s="282"/>
      <c r="H352" s="282"/>
    </row>
    <row r="353">
      <c r="C353" s="295"/>
      <c r="D353" s="295"/>
      <c r="E353" s="281"/>
      <c r="F353" s="282"/>
      <c r="G353" s="282"/>
      <c r="H353" s="282"/>
    </row>
    <row r="354">
      <c r="C354" s="295"/>
      <c r="D354" s="295"/>
      <c r="E354" s="281"/>
      <c r="F354" s="282"/>
      <c r="G354" s="282"/>
      <c r="H354" s="282"/>
    </row>
    <row r="355">
      <c r="C355" s="295"/>
      <c r="D355" s="295"/>
      <c r="E355" s="281"/>
      <c r="F355" s="282"/>
      <c r="G355" s="282"/>
      <c r="H355" s="282"/>
    </row>
    <row r="356">
      <c r="C356" s="295"/>
      <c r="D356" s="295"/>
      <c r="E356" s="281"/>
      <c r="F356" s="282"/>
      <c r="G356" s="282"/>
      <c r="H356" s="282"/>
    </row>
    <row r="357">
      <c r="C357" s="295"/>
      <c r="D357" s="295"/>
      <c r="E357" s="281"/>
      <c r="F357" s="282"/>
      <c r="G357" s="282"/>
      <c r="H357" s="282"/>
    </row>
    <row r="358">
      <c r="C358" s="295"/>
      <c r="D358" s="295"/>
      <c r="E358" s="281"/>
      <c r="F358" s="282"/>
      <c r="G358" s="282"/>
      <c r="H358" s="282"/>
    </row>
    <row r="359">
      <c r="C359" s="295"/>
      <c r="D359" s="295"/>
      <c r="E359" s="281"/>
      <c r="F359" s="282"/>
      <c r="G359" s="282"/>
      <c r="H359" s="282"/>
    </row>
    <row r="360">
      <c r="C360" s="295"/>
      <c r="D360" s="295"/>
      <c r="E360" s="281"/>
      <c r="F360" s="282"/>
      <c r="G360" s="282"/>
      <c r="H360" s="282"/>
    </row>
    <row r="361">
      <c r="C361" s="295"/>
      <c r="D361" s="295"/>
      <c r="E361" s="281"/>
      <c r="F361" s="282"/>
      <c r="G361" s="282"/>
      <c r="H361" s="282"/>
    </row>
    <row r="362">
      <c r="C362" s="295"/>
      <c r="D362" s="295"/>
      <c r="E362" s="281"/>
      <c r="F362" s="282"/>
      <c r="G362" s="282"/>
      <c r="H362" s="282"/>
    </row>
    <row r="363">
      <c r="C363" s="295"/>
      <c r="D363" s="295"/>
      <c r="E363" s="281"/>
      <c r="F363" s="282"/>
      <c r="G363" s="282"/>
      <c r="H363" s="282"/>
    </row>
    <row r="364">
      <c r="C364" s="295"/>
      <c r="D364" s="295"/>
      <c r="E364" s="281"/>
      <c r="F364" s="282"/>
      <c r="G364" s="282"/>
      <c r="H364" s="282"/>
    </row>
    <row r="365">
      <c r="C365" s="295"/>
      <c r="D365" s="295"/>
      <c r="E365" s="281"/>
      <c r="F365" s="282"/>
      <c r="G365" s="282"/>
      <c r="H365" s="282"/>
    </row>
    <row r="366">
      <c r="C366" s="295"/>
      <c r="D366" s="295"/>
      <c r="E366" s="281"/>
      <c r="F366" s="282"/>
      <c r="G366" s="282"/>
      <c r="H366" s="282"/>
    </row>
    <row r="367">
      <c r="C367" s="295"/>
      <c r="D367" s="295"/>
      <c r="E367" s="281"/>
      <c r="F367" s="282"/>
      <c r="G367" s="282"/>
      <c r="H367" s="282"/>
    </row>
    <row r="368">
      <c r="C368" s="295"/>
      <c r="D368" s="295"/>
      <c r="E368" s="281"/>
      <c r="F368" s="282"/>
      <c r="G368" s="282"/>
      <c r="H368" s="282"/>
    </row>
    <row r="369">
      <c r="C369" s="295"/>
      <c r="D369" s="295"/>
      <c r="E369" s="281"/>
      <c r="F369" s="282"/>
      <c r="G369" s="282"/>
      <c r="H369" s="282"/>
    </row>
    <row r="370">
      <c r="C370" s="295"/>
      <c r="D370" s="295"/>
      <c r="E370" s="281"/>
      <c r="F370" s="282"/>
      <c r="G370" s="282"/>
      <c r="H370" s="282"/>
    </row>
    <row r="371">
      <c r="C371" s="295"/>
      <c r="D371" s="295"/>
      <c r="E371" s="281"/>
      <c r="F371" s="282"/>
      <c r="G371" s="282"/>
      <c r="H371" s="282"/>
    </row>
    <row r="372">
      <c r="C372" s="295"/>
      <c r="D372" s="295"/>
      <c r="E372" s="281"/>
      <c r="F372" s="282"/>
      <c r="G372" s="282"/>
      <c r="H372" s="282"/>
    </row>
    <row r="373">
      <c r="C373" s="295"/>
      <c r="D373" s="295"/>
      <c r="E373" s="281"/>
      <c r="F373" s="282"/>
      <c r="G373" s="282"/>
      <c r="H373" s="282"/>
    </row>
    <row r="374">
      <c r="C374" s="295"/>
      <c r="D374" s="295"/>
      <c r="E374" s="281"/>
      <c r="F374" s="282"/>
      <c r="G374" s="282"/>
      <c r="H374" s="282"/>
    </row>
    <row r="375">
      <c r="C375" s="295"/>
      <c r="D375" s="295"/>
      <c r="E375" s="281"/>
      <c r="F375" s="282"/>
      <c r="G375" s="282"/>
      <c r="H375" s="282"/>
    </row>
    <row r="376">
      <c r="C376" s="295"/>
      <c r="D376" s="295"/>
      <c r="E376" s="281"/>
      <c r="F376" s="282"/>
      <c r="G376" s="282"/>
      <c r="H376" s="282"/>
    </row>
    <row r="377">
      <c r="C377" s="295"/>
      <c r="D377" s="295"/>
      <c r="E377" s="281"/>
      <c r="F377" s="282"/>
      <c r="G377" s="282"/>
      <c r="H377" s="282"/>
    </row>
    <row r="378">
      <c r="C378" s="295"/>
      <c r="D378" s="295"/>
      <c r="E378" s="281"/>
      <c r="F378" s="282"/>
      <c r="G378" s="282"/>
      <c r="H378" s="282"/>
    </row>
    <row r="379">
      <c r="C379" s="295"/>
      <c r="D379" s="295"/>
      <c r="E379" s="281"/>
      <c r="F379" s="282"/>
      <c r="G379" s="282"/>
      <c r="H379" s="282"/>
    </row>
    <row r="380">
      <c r="C380" s="295"/>
      <c r="D380" s="295"/>
      <c r="E380" s="281"/>
      <c r="F380" s="282"/>
      <c r="G380" s="282"/>
      <c r="H380" s="282"/>
    </row>
    <row r="381">
      <c r="C381" s="295"/>
      <c r="D381" s="295"/>
      <c r="E381" s="281"/>
      <c r="F381" s="282"/>
      <c r="G381" s="282"/>
      <c r="H381" s="282"/>
    </row>
    <row r="382">
      <c r="C382" s="295"/>
      <c r="D382" s="295"/>
      <c r="E382" s="281"/>
      <c r="F382" s="282"/>
      <c r="G382" s="282"/>
      <c r="H382" s="282"/>
    </row>
    <row r="383">
      <c r="C383" s="295"/>
      <c r="D383" s="295"/>
      <c r="E383" s="281"/>
      <c r="F383" s="282"/>
      <c r="G383" s="282"/>
      <c r="H383" s="282"/>
    </row>
    <row r="384">
      <c r="C384" s="295"/>
      <c r="D384" s="295"/>
      <c r="E384" s="281"/>
      <c r="F384" s="282"/>
      <c r="G384" s="282"/>
      <c r="H384" s="282"/>
    </row>
    <row r="385">
      <c r="C385" s="295"/>
      <c r="D385" s="295"/>
      <c r="E385" s="281"/>
      <c r="F385" s="282"/>
      <c r="G385" s="282"/>
      <c r="H385" s="282"/>
    </row>
    <row r="386">
      <c r="C386" s="295"/>
      <c r="D386" s="295"/>
      <c r="E386" s="281"/>
      <c r="F386" s="282"/>
      <c r="G386" s="282"/>
      <c r="H386" s="282"/>
    </row>
    <row r="387">
      <c r="C387" s="295"/>
      <c r="D387" s="295"/>
      <c r="E387" s="281"/>
      <c r="F387" s="282"/>
      <c r="G387" s="282"/>
      <c r="H387" s="282"/>
    </row>
    <row r="388">
      <c r="C388" s="295"/>
      <c r="D388" s="295"/>
      <c r="E388" s="281"/>
      <c r="F388" s="282"/>
      <c r="G388" s="282"/>
      <c r="H388" s="282"/>
    </row>
    <row r="389">
      <c r="C389" s="295"/>
      <c r="D389" s="295"/>
      <c r="E389" s="281"/>
      <c r="F389" s="282"/>
      <c r="G389" s="282"/>
      <c r="H389" s="282"/>
    </row>
    <row r="390">
      <c r="C390" s="295"/>
      <c r="D390" s="295"/>
      <c r="E390" s="281"/>
      <c r="F390" s="282"/>
      <c r="G390" s="282"/>
      <c r="H390" s="282"/>
    </row>
    <row r="391">
      <c r="C391" s="295"/>
      <c r="D391" s="295"/>
      <c r="E391" s="281"/>
      <c r="F391" s="282"/>
      <c r="G391" s="282"/>
      <c r="H391" s="282"/>
    </row>
    <row r="392">
      <c r="C392" s="295"/>
      <c r="D392" s="295"/>
      <c r="E392" s="281"/>
      <c r="F392" s="282"/>
      <c r="G392" s="282"/>
      <c r="H392" s="282"/>
    </row>
    <row r="393">
      <c r="C393" s="295"/>
      <c r="D393" s="295"/>
      <c r="E393" s="281"/>
      <c r="F393" s="282"/>
      <c r="G393" s="282"/>
      <c r="H393" s="282"/>
    </row>
    <row r="394">
      <c r="C394" s="295"/>
      <c r="D394" s="295"/>
      <c r="E394" s="281"/>
      <c r="F394" s="282"/>
      <c r="G394" s="282"/>
      <c r="H394" s="282"/>
    </row>
    <row r="395">
      <c r="C395" s="295"/>
      <c r="D395" s="295"/>
      <c r="E395" s="281"/>
      <c r="F395" s="282"/>
      <c r="G395" s="282"/>
      <c r="H395" s="282"/>
    </row>
    <row r="396">
      <c r="C396" s="295"/>
      <c r="D396" s="295"/>
      <c r="E396" s="281"/>
      <c r="F396" s="282"/>
      <c r="G396" s="282"/>
      <c r="H396" s="282"/>
    </row>
    <row r="397">
      <c r="C397" s="295"/>
      <c r="D397" s="295"/>
      <c r="E397" s="281"/>
      <c r="F397" s="282"/>
      <c r="G397" s="282"/>
      <c r="H397" s="282"/>
    </row>
    <row r="398">
      <c r="C398" s="295"/>
      <c r="D398" s="295"/>
      <c r="E398" s="281"/>
      <c r="F398" s="282"/>
      <c r="G398" s="282"/>
      <c r="H398" s="282"/>
    </row>
    <row r="399">
      <c r="C399" s="295"/>
      <c r="D399" s="295"/>
      <c r="E399" s="281"/>
      <c r="F399" s="282"/>
      <c r="G399" s="282"/>
      <c r="H399" s="282"/>
    </row>
    <row r="400">
      <c r="C400" s="295"/>
      <c r="D400" s="295"/>
      <c r="E400" s="281"/>
      <c r="F400" s="282"/>
      <c r="G400" s="282"/>
      <c r="H400" s="282"/>
    </row>
    <row r="401">
      <c r="C401" s="295"/>
      <c r="D401" s="295"/>
      <c r="E401" s="281"/>
      <c r="F401" s="282"/>
      <c r="G401" s="282"/>
      <c r="H401" s="282"/>
    </row>
    <row r="402">
      <c r="C402" s="295"/>
      <c r="D402" s="295"/>
      <c r="E402" s="281"/>
      <c r="F402" s="282"/>
      <c r="G402" s="282"/>
      <c r="H402" s="282"/>
    </row>
    <row r="403">
      <c r="C403" s="295"/>
      <c r="D403" s="295"/>
      <c r="E403" s="281"/>
      <c r="F403" s="282"/>
      <c r="G403" s="282"/>
      <c r="H403" s="282"/>
    </row>
    <row r="404">
      <c r="C404" s="295"/>
      <c r="D404" s="295"/>
      <c r="E404" s="281"/>
      <c r="F404" s="282"/>
      <c r="G404" s="282"/>
      <c r="H404" s="282"/>
    </row>
    <row r="405">
      <c r="C405" s="295"/>
      <c r="D405" s="295"/>
      <c r="E405" s="281"/>
      <c r="F405" s="282"/>
      <c r="G405" s="282"/>
      <c r="H405" s="282"/>
    </row>
    <row r="406">
      <c r="C406" s="295"/>
      <c r="D406" s="295"/>
      <c r="E406" s="281"/>
      <c r="F406" s="282"/>
      <c r="G406" s="282"/>
      <c r="H406" s="282"/>
    </row>
    <row r="407">
      <c r="C407" s="295"/>
      <c r="D407" s="295"/>
      <c r="E407" s="281"/>
      <c r="F407" s="282"/>
      <c r="G407" s="282"/>
      <c r="H407" s="282"/>
    </row>
    <row r="408">
      <c r="C408" s="295"/>
      <c r="D408" s="295"/>
      <c r="E408" s="281"/>
      <c r="F408" s="282"/>
      <c r="G408" s="282"/>
      <c r="H408" s="282"/>
    </row>
    <row r="409">
      <c r="C409" s="295"/>
      <c r="D409" s="295"/>
      <c r="E409" s="281"/>
      <c r="F409" s="282"/>
      <c r="G409" s="282"/>
      <c r="H409" s="282"/>
    </row>
    <row r="410">
      <c r="C410" s="295"/>
      <c r="D410" s="295"/>
      <c r="E410" s="281"/>
      <c r="F410" s="282"/>
      <c r="G410" s="282"/>
      <c r="H410" s="282"/>
    </row>
    <row r="411">
      <c r="C411" s="295"/>
      <c r="D411" s="295"/>
      <c r="E411" s="281"/>
      <c r="F411" s="282"/>
      <c r="G411" s="282"/>
      <c r="H411" s="282"/>
    </row>
    <row r="412">
      <c r="C412" s="295"/>
      <c r="D412" s="295"/>
      <c r="E412" s="281"/>
      <c r="F412" s="282"/>
      <c r="G412" s="282"/>
      <c r="H412" s="282"/>
    </row>
    <row r="413">
      <c r="C413" s="295"/>
      <c r="D413" s="295"/>
      <c r="E413" s="281"/>
      <c r="F413" s="282"/>
      <c r="G413" s="282"/>
      <c r="H413" s="282"/>
    </row>
    <row r="414">
      <c r="C414" s="295"/>
      <c r="D414" s="295"/>
      <c r="E414" s="281"/>
      <c r="F414" s="282"/>
      <c r="G414" s="282"/>
      <c r="H414" s="282"/>
    </row>
    <row r="415">
      <c r="C415" s="295"/>
      <c r="D415" s="295"/>
      <c r="E415" s="281"/>
      <c r="F415" s="282"/>
      <c r="G415" s="282"/>
      <c r="H415" s="282"/>
    </row>
    <row r="416">
      <c r="C416" s="295"/>
      <c r="D416" s="295"/>
      <c r="E416" s="281"/>
      <c r="F416" s="282"/>
      <c r="G416" s="282"/>
      <c r="H416" s="282"/>
    </row>
    <row r="417">
      <c r="C417" s="295"/>
      <c r="D417" s="295"/>
      <c r="E417" s="281"/>
      <c r="F417" s="282"/>
      <c r="G417" s="282"/>
      <c r="H417" s="282"/>
    </row>
    <row r="418">
      <c r="C418" s="295"/>
      <c r="D418" s="295"/>
      <c r="E418" s="281"/>
      <c r="F418" s="282"/>
      <c r="G418" s="282"/>
      <c r="H418" s="282"/>
    </row>
    <row r="419">
      <c r="C419" s="295"/>
      <c r="D419" s="295"/>
      <c r="E419" s="281"/>
      <c r="F419" s="282"/>
      <c r="G419" s="282"/>
      <c r="H419" s="282"/>
    </row>
    <row r="420">
      <c r="C420" s="295"/>
      <c r="D420" s="295"/>
      <c r="E420" s="281"/>
      <c r="F420" s="282"/>
      <c r="G420" s="282"/>
      <c r="H420" s="282"/>
    </row>
    <row r="421">
      <c r="C421" s="295"/>
      <c r="D421" s="295"/>
      <c r="E421" s="281"/>
      <c r="F421" s="282"/>
      <c r="G421" s="282"/>
      <c r="H421" s="282"/>
    </row>
    <row r="422">
      <c r="C422" s="295"/>
      <c r="D422" s="295"/>
      <c r="E422" s="281"/>
      <c r="F422" s="282"/>
      <c r="G422" s="282"/>
      <c r="H422" s="282"/>
    </row>
    <row r="423">
      <c r="C423" s="295"/>
      <c r="D423" s="295"/>
      <c r="E423" s="281"/>
      <c r="F423" s="282"/>
      <c r="G423" s="282"/>
      <c r="H423" s="282"/>
    </row>
    <row r="424">
      <c r="C424" s="295"/>
      <c r="D424" s="295"/>
      <c r="E424" s="281"/>
      <c r="F424" s="282"/>
      <c r="G424" s="282"/>
      <c r="H424" s="282"/>
    </row>
    <row r="425">
      <c r="C425" s="295"/>
      <c r="D425" s="295"/>
      <c r="E425" s="281"/>
      <c r="F425" s="282"/>
      <c r="G425" s="282"/>
      <c r="H425" s="282"/>
    </row>
    <row r="426">
      <c r="C426" s="295"/>
      <c r="D426" s="295"/>
      <c r="E426" s="281"/>
      <c r="F426" s="282"/>
      <c r="G426" s="282"/>
      <c r="H426" s="282"/>
    </row>
    <row r="427">
      <c r="C427" s="295"/>
      <c r="D427" s="295"/>
      <c r="E427" s="281"/>
      <c r="F427" s="282"/>
      <c r="G427" s="282"/>
      <c r="H427" s="282"/>
    </row>
    <row r="428">
      <c r="C428" s="295"/>
      <c r="D428" s="295"/>
      <c r="E428" s="281"/>
      <c r="F428" s="282"/>
      <c r="G428" s="282"/>
      <c r="H428" s="282"/>
    </row>
    <row r="429">
      <c r="C429" s="295"/>
      <c r="D429" s="295"/>
      <c r="E429" s="281"/>
      <c r="F429" s="282"/>
      <c r="G429" s="282"/>
      <c r="H429" s="282"/>
    </row>
    <row r="430">
      <c r="C430" s="295"/>
      <c r="D430" s="295"/>
      <c r="E430" s="281"/>
      <c r="F430" s="282"/>
      <c r="G430" s="282"/>
      <c r="H430" s="282"/>
    </row>
    <row r="431">
      <c r="C431" s="295"/>
      <c r="D431" s="295"/>
      <c r="E431" s="281"/>
      <c r="F431" s="282"/>
      <c r="G431" s="282"/>
      <c r="H431" s="282"/>
    </row>
    <row r="432">
      <c r="C432" s="295"/>
      <c r="D432" s="295"/>
      <c r="E432" s="281"/>
      <c r="F432" s="282"/>
      <c r="G432" s="282"/>
      <c r="H432" s="282"/>
    </row>
    <row r="433">
      <c r="C433" s="295"/>
      <c r="D433" s="295"/>
      <c r="E433" s="281"/>
      <c r="F433" s="282"/>
      <c r="G433" s="282"/>
      <c r="H433" s="282"/>
    </row>
    <row r="434">
      <c r="C434" s="295"/>
      <c r="D434" s="295"/>
      <c r="E434" s="281"/>
      <c r="F434" s="282"/>
      <c r="G434" s="282"/>
      <c r="H434" s="282"/>
    </row>
    <row r="435">
      <c r="C435" s="295"/>
      <c r="D435" s="295"/>
      <c r="E435" s="281"/>
      <c r="F435" s="282"/>
      <c r="G435" s="282"/>
      <c r="H435" s="282"/>
    </row>
    <row r="436">
      <c r="C436" s="295"/>
      <c r="D436" s="295"/>
      <c r="E436" s="281"/>
      <c r="F436" s="282"/>
      <c r="G436" s="282"/>
      <c r="H436" s="282"/>
    </row>
    <row r="437">
      <c r="C437" s="295"/>
      <c r="D437" s="295"/>
      <c r="E437" s="281"/>
      <c r="F437" s="282"/>
      <c r="G437" s="282"/>
      <c r="H437" s="282"/>
    </row>
    <row r="438">
      <c r="C438" s="295"/>
      <c r="D438" s="295"/>
      <c r="E438" s="281"/>
      <c r="F438" s="282"/>
      <c r="G438" s="282"/>
      <c r="H438" s="282"/>
    </row>
    <row r="439">
      <c r="C439" s="295"/>
      <c r="D439" s="295"/>
      <c r="E439" s="281"/>
      <c r="F439" s="282"/>
      <c r="G439" s="282"/>
      <c r="H439" s="282"/>
    </row>
    <row r="440">
      <c r="C440" s="295"/>
      <c r="D440" s="295"/>
      <c r="E440" s="281"/>
      <c r="F440" s="282"/>
      <c r="G440" s="282"/>
      <c r="H440" s="282"/>
    </row>
    <row r="441">
      <c r="C441" s="295"/>
      <c r="D441" s="295"/>
      <c r="E441" s="281"/>
      <c r="F441" s="282"/>
      <c r="G441" s="282"/>
      <c r="H441" s="282"/>
    </row>
    <row r="442">
      <c r="C442" s="295"/>
      <c r="D442" s="295"/>
      <c r="E442" s="281"/>
      <c r="F442" s="282"/>
      <c r="G442" s="282"/>
      <c r="H442" s="282"/>
    </row>
    <row r="443">
      <c r="C443" s="295"/>
      <c r="D443" s="295"/>
      <c r="E443" s="281"/>
      <c r="F443" s="282"/>
      <c r="G443" s="282"/>
      <c r="H443" s="282"/>
    </row>
    <row r="444">
      <c r="C444" s="295"/>
      <c r="D444" s="295"/>
      <c r="E444" s="281"/>
      <c r="F444" s="282"/>
      <c r="G444" s="282"/>
      <c r="H444" s="282"/>
    </row>
    <row r="445">
      <c r="C445" s="295"/>
      <c r="D445" s="295"/>
      <c r="E445" s="281"/>
      <c r="F445" s="282"/>
      <c r="G445" s="282"/>
      <c r="H445" s="282"/>
    </row>
    <row r="446">
      <c r="C446" s="295"/>
      <c r="D446" s="295"/>
      <c r="E446" s="281"/>
      <c r="F446" s="282"/>
      <c r="G446" s="282"/>
      <c r="H446" s="282"/>
    </row>
    <row r="447">
      <c r="C447" s="295"/>
      <c r="D447" s="295"/>
      <c r="E447" s="281"/>
      <c r="F447" s="282"/>
      <c r="G447" s="282"/>
      <c r="H447" s="282"/>
    </row>
    <row r="448">
      <c r="C448" s="295"/>
      <c r="D448" s="295"/>
      <c r="E448" s="281"/>
      <c r="F448" s="282"/>
      <c r="G448" s="282"/>
      <c r="H448" s="282"/>
    </row>
    <row r="449">
      <c r="C449" s="295"/>
      <c r="D449" s="295"/>
      <c r="E449" s="281"/>
      <c r="F449" s="282"/>
      <c r="G449" s="282"/>
      <c r="H449" s="282"/>
    </row>
    <row r="450">
      <c r="C450" s="295"/>
      <c r="D450" s="295"/>
      <c r="E450" s="281"/>
      <c r="F450" s="282"/>
      <c r="G450" s="282"/>
      <c r="H450" s="282"/>
    </row>
    <row r="451">
      <c r="C451" s="295"/>
      <c r="D451" s="295"/>
      <c r="E451" s="281"/>
      <c r="F451" s="282"/>
      <c r="G451" s="282"/>
      <c r="H451" s="282"/>
    </row>
    <row r="452">
      <c r="C452" s="295"/>
      <c r="D452" s="295"/>
      <c r="E452" s="281"/>
      <c r="F452" s="282"/>
      <c r="G452" s="282"/>
      <c r="H452" s="282"/>
    </row>
    <row r="453">
      <c r="C453" s="295"/>
      <c r="D453" s="295"/>
      <c r="E453" s="281"/>
      <c r="F453" s="282"/>
      <c r="G453" s="282"/>
      <c r="H453" s="282"/>
    </row>
    <row r="454">
      <c r="C454" s="295"/>
      <c r="D454" s="295"/>
      <c r="E454" s="281"/>
      <c r="F454" s="282"/>
      <c r="G454" s="282"/>
      <c r="H454" s="282"/>
    </row>
    <row r="455">
      <c r="C455" s="295"/>
      <c r="D455" s="295"/>
      <c r="E455" s="281"/>
      <c r="F455" s="282"/>
      <c r="G455" s="282"/>
      <c r="H455" s="282"/>
    </row>
    <row r="456">
      <c r="C456" s="295"/>
      <c r="D456" s="295"/>
      <c r="E456" s="281"/>
      <c r="F456" s="282"/>
      <c r="G456" s="282"/>
      <c r="H456" s="282"/>
    </row>
    <row r="457">
      <c r="C457" s="295"/>
      <c r="D457" s="295"/>
      <c r="E457" s="281"/>
      <c r="F457" s="282"/>
      <c r="G457" s="282"/>
      <c r="H457" s="282"/>
    </row>
    <row r="458">
      <c r="C458" s="295"/>
      <c r="D458" s="295"/>
      <c r="E458" s="281"/>
      <c r="F458" s="282"/>
      <c r="G458" s="282"/>
      <c r="H458" s="282"/>
    </row>
    <row r="459">
      <c r="C459" s="295"/>
      <c r="D459" s="295"/>
      <c r="E459" s="281"/>
      <c r="F459" s="282"/>
      <c r="G459" s="282"/>
      <c r="H459" s="282"/>
    </row>
    <row r="460">
      <c r="C460" s="295"/>
      <c r="D460" s="295"/>
      <c r="E460" s="281"/>
      <c r="F460" s="282"/>
      <c r="G460" s="282"/>
      <c r="H460" s="282"/>
    </row>
    <row r="461">
      <c r="C461" s="295"/>
      <c r="D461" s="295"/>
      <c r="E461" s="281"/>
      <c r="F461" s="282"/>
      <c r="G461" s="282"/>
      <c r="H461" s="282"/>
    </row>
    <row r="462">
      <c r="C462" s="295"/>
      <c r="D462" s="295"/>
      <c r="E462" s="281"/>
      <c r="F462" s="282"/>
      <c r="G462" s="282"/>
      <c r="H462" s="282"/>
    </row>
    <row r="463">
      <c r="C463" s="295"/>
      <c r="D463" s="295"/>
      <c r="E463" s="281"/>
      <c r="F463" s="282"/>
      <c r="G463" s="282"/>
      <c r="H463" s="282"/>
    </row>
    <row r="464">
      <c r="C464" s="295"/>
      <c r="D464" s="295"/>
      <c r="E464" s="281"/>
      <c r="F464" s="282"/>
      <c r="G464" s="282"/>
      <c r="H464" s="282"/>
    </row>
    <row r="465">
      <c r="C465" s="295"/>
      <c r="D465" s="295"/>
      <c r="E465" s="281"/>
      <c r="F465" s="282"/>
      <c r="G465" s="282"/>
      <c r="H465" s="282"/>
    </row>
    <row r="466">
      <c r="C466" s="295"/>
      <c r="D466" s="295"/>
      <c r="E466" s="281"/>
      <c r="F466" s="282"/>
      <c r="G466" s="282"/>
      <c r="H466" s="282"/>
    </row>
    <row r="467">
      <c r="C467" s="295"/>
      <c r="D467" s="295"/>
      <c r="E467" s="281"/>
      <c r="F467" s="282"/>
      <c r="G467" s="282"/>
      <c r="H467" s="282"/>
    </row>
    <row r="468">
      <c r="C468" s="295"/>
      <c r="D468" s="295"/>
      <c r="E468" s="281"/>
      <c r="F468" s="282"/>
      <c r="G468" s="282"/>
      <c r="H468" s="282"/>
    </row>
    <row r="469">
      <c r="C469" s="295"/>
      <c r="D469" s="295"/>
      <c r="E469" s="281"/>
      <c r="F469" s="282"/>
      <c r="G469" s="282"/>
      <c r="H469" s="282"/>
    </row>
    <row r="470">
      <c r="C470" s="295"/>
      <c r="D470" s="295"/>
      <c r="E470" s="281"/>
      <c r="F470" s="282"/>
      <c r="G470" s="282"/>
      <c r="H470" s="282"/>
    </row>
    <row r="471">
      <c r="C471" s="295"/>
      <c r="D471" s="295"/>
      <c r="E471" s="281"/>
      <c r="F471" s="282"/>
      <c r="G471" s="282"/>
      <c r="H471" s="282"/>
    </row>
    <row r="472">
      <c r="C472" s="295"/>
      <c r="D472" s="295"/>
      <c r="E472" s="281"/>
      <c r="F472" s="282"/>
      <c r="G472" s="282"/>
      <c r="H472" s="282"/>
    </row>
    <row r="473">
      <c r="C473" s="295"/>
      <c r="D473" s="295"/>
      <c r="E473" s="281"/>
      <c r="F473" s="282"/>
      <c r="G473" s="282"/>
      <c r="H473" s="282"/>
    </row>
    <row r="474">
      <c r="C474" s="295"/>
      <c r="D474" s="295"/>
      <c r="E474" s="281"/>
      <c r="F474" s="282"/>
      <c r="G474" s="282"/>
      <c r="H474" s="282"/>
    </row>
    <row r="475">
      <c r="C475" s="295"/>
      <c r="D475" s="295"/>
      <c r="E475" s="281"/>
      <c r="F475" s="282"/>
      <c r="G475" s="282"/>
      <c r="H475" s="282"/>
    </row>
    <row r="476">
      <c r="C476" s="295"/>
      <c r="D476" s="295"/>
      <c r="E476" s="281"/>
      <c r="F476" s="282"/>
      <c r="G476" s="282"/>
      <c r="H476" s="282"/>
    </row>
    <row r="477">
      <c r="C477" s="295"/>
      <c r="D477" s="295"/>
      <c r="E477" s="281"/>
      <c r="F477" s="282"/>
      <c r="G477" s="282"/>
      <c r="H477" s="282"/>
    </row>
    <row r="478">
      <c r="C478" s="295"/>
      <c r="D478" s="295"/>
      <c r="E478" s="281"/>
      <c r="F478" s="282"/>
      <c r="G478" s="282"/>
      <c r="H478" s="282"/>
    </row>
    <row r="479">
      <c r="C479" s="295"/>
      <c r="D479" s="295"/>
      <c r="E479" s="281"/>
      <c r="F479" s="282"/>
      <c r="G479" s="282"/>
      <c r="H479" s="282"/>
    </row>
    <row r="480">
      <c r="C480" s="295"/>
      <c r="D480" s="295"/>
      <c r="E480" s="281"/>
      <c r="F480" s="282"/>
      <c r="G480" s="282"/>
      <c r="H480" s="282"/>
    </row>
    <row r="481">
      <c r="C481" s="295"/>
      <c r="D481" s="295"/>
      <c r="E481" s="281"/>
      <c r="F481" s="282"/>
      <c r="G481" s="282"/>
      <c r="H481" s="282"/>
    </row>
    <row r="482">
      <c r="C482" s="295"/>
      <c r="D482" s="295"/>
      <c r="E482" s="281"/>
      <c r="F482" s="282"/>
      <c r="G482" s="282"/>
      <c r="H482" s="282"/>
    </row>
    <row r="483">
      <c r="C483" s="295"/>
      <c r="D483" s="295"/>
      <c r="E483" s="281"/>
      <c r="F483" s="282"/>
      <c r="G483" s="282"/>
      <c r="H483" s="282"/>
    </row>
    <row r="484">
      <c r="C484" s="295"/>
      <c r="D484" s="295"/>
      <c r="E484" s="281"/>
      <c r="F484" s="282"/>
      <c r="G484" s="282"/>
      <c r="H484" s="282"/>
    </row>
    <row r="485">
      <c r="C485" s="295"/>
      <c r="D485" s="295"/>
      <c r="E485" s="281"/>
      <c r="F485" s="282"/>
      <c r="G485" s="282"/>
      <c r="H485" s="282"/>
    </row>
    <row r="486">
      <c r="C486" s="295"/>
      <c r="D486" s="295"/>
      <c r="E486" s="281"/>
      <c r="F486" s="282"/>
      <c r="G486" s="282"/>
      <c r="H486" s="282"/>
    </row>
    <row r="487">
      <c r="C487" s="295"/>
      <c r="D487" s="295"/>
      <c r="E487" s="281"/>
      <c r="F487" s="282"/>
      <c r="G487" s="282"/>
      <c r="H487" s="282"/>
    </row>
    <row r="488">
      <c r="C488" s="295"/>
      <c r="D488" s="295"/>
      <c r="E488" s="281"/>
      <c r="F488" s="282"/>
      <c r="G488" s="282"/>
      <c r="H488" s="282"/>
    </row>
    <row r="489">
      <c r="C489" s="295"/>
      <c r="D489" s="295"/>
      <c r="E489" s="281"/>
      <c r="F489" s="282"/>
      <c r="G489" s="282"/>
      <c r="H489" s="282"/>
    </row>
    <row r="490">
      <c r="C490" s="295"/>
      <c r="D490" s="295"/>
      <c r="E490" s="281"/>
      <c r="F490" s="282"/>
      <c r="G490" s="282"/>
      <c r="H490" s="282"/>
    </row>
    <row r="491">
      <c r="C491" s="295"/>
      <c r="D491" s="295"/>
      <c r="E491" s="281"/>
      <c r="F491" s="282"/>
      <c r="G491" s="282"/>
      <c r="H491" s="282"/>
    </row>
    <row r="492">
      <c r="C492" s="295"/>
      <c r="D492" s="295"/>
      <c r="E492" s="281"/>
      <c r="F492" s="282"/>
      <c r="G492" s="282"/>
      <c r="H492" s="282"/>
    </row>
    <row r="493">
      <c r="C493" s="295"/>
      <c r="D493" s="295"/>
      <c r="E493" s="281"/>
      <c r="F493" s="282"/>
      <c r="G493" s="282"/>
      <c r="H493" s="282"/>
    </row>
    <row r="494">
      <c r="C494" s="295"/>
      <c r="D494" s="295"/>
      <c r="E494" s="281"/>
      <c r="F494" s="282"/>
      <c r="G494" s="282"/>
      <c r="H494" s="282"/>
    </row>
    <row r="495">
      <c r="C495" s="295"/>
      <c r="D495" s="295"/>
      <c r="E495" s="281"/>
      <c r="F495" s="282"/>
      <c r="G495" s="282"/>
      <c r="H495" s="282"/>
    </row>
    <row r="496">
      <c r="C496" s="295"/>
      <c r="D496" s="295"/>
      <c r="E496" s="281"/>
      <c r="F496" s="282"/>
      <c r="G496" s="282"/>
      <c r="H496" s="282"/>
    </row>
    <row r="497">
      <c r="C497" s="295"/>
      <c r="D497" s="295"/>
      <c r="E497" s="281"/>
      <c r="F497" s="282"/>
      <c r="G497" s="282"/>
      <c r="H497" s="282"/>
    </row>
    <row r="498">
      <c r="C498" s="295"/>
      <c r="D498" s="295"/>
      <c r="E498" s="281"/>
      <c r="F498" s="282"/>
      <c r="G498" s="282"/>
      <c r="H498" s="282"/>
    </row>
    <row r="499">
      <c r="C499" s="295"/>
      <c r="D499" s="295"/>
      <c r="E499" s="281"/>
      <c r="F499" s="282"/>
      <c r="G499" s="282"/>
      <c r="H499" s="282"/>
    </row>
    <row r="500">
      <c r="C500" s="295"/>
      <c r="D500" s="295"/>
      <c r="E500" s="281"/>
      <c r="F500" s="282"/>
      <c r="G500" s="282"/>
      <c r="H500" s="282"/>
    </row>
    <row r="501">
      <c r="C501" s="295"/>
      <c r="D501" s="295"/>
      <c r="E501" s="281"/>
      <c r="F501" s="282"/>
      <c r="G501" s="282"/>
      <c r="H501" s="282"/>
    </row>
    <row r="502">
      <c r="C502" s="295"/>
      <c r="D502" s="295"/>
      <c r="E502" s="281"/>
      <c r="F502" s="282"/>
      <c r="G502" s="282"/>
      <c r="H502" s="282"/>
    </row>
    <row r="503">
      <c r="C503" s="295"/>
      <c r="D503" s="295"/>
      <c r="E503" s="281"/>
      <c r="F503" s="282"/>
      <c r="G503" s="282"/>
      <c r="H503" s="282"/>
    </row>
    <row r="504">
      <c r="C504" s="295"/>
      <c r="D504" s="295"/>
      <c r="E504" s="281"/>
      <c r="F504" s="282"/>
      <c r="G504" s="282"/>
      <c r="H504" s="282"/>
    </row>
    <row r="505">
      <c r="C505" s="295"/>
      <c r="D505" s="295"/>
      <c r="E505" s="281"/>
      <c r="F505" s="282"/>
      <c r="G505" s="282"/>
      <c r="H505" s="282"/>
    </row>
    <row r="506">
      <c r="C506" s="295"/>
      <c r="D506" s="295"/>
      <c r="E506" s="281"/>
      <c r="F506" s="282"/>
      <c r="G506" s="282"/>
      <c r="H506" s="282"/>
    </row>
    <row r="507">
      <c r="C507" s="295"/>
      <c r="D507" s="295"/>
      <c r="E507" s="281"/>
      <c r="F507" s="282"/>
      <c r="G507" s="282"/>
      <c r="H507" s="282"/>
    </row>
    <row r="508">
      <c r="C508" s="295"/>
      <c r="D508" s="295"/>
      <c r="E508" s="281"/>
      <c r="F508" s="282"/>
      <c r="G508" s="282"/>
      <c r="H508" s="282"/>
    </row>
    <row r="509">
      <c r="C509" s="295"/>
      <c r="D509" s="295"/>
      <c r="E509" s="281"/>
      <c r="F509" s="282"/>
      <c r="G509" s="282"/>
      <c r="H509" s="282"/>
    </row>
    <row r="510">
      <c r="C510" s="295"/>
      <c r="D510" s="295"/>
      <c r="E510" s="281"/>
      <c r="F510" s="282"/>
      <c r="G510" s="282"/>
      <c r="H510" s="282"/>
    </row>
    <row r="511">
      <c r="C511" s="295"/>
      <c r="D511" s="295"/>
      <c r="E511" s="281"/>
      <c r="F511" s="282"/>
      <c r="G511" s="282"/>
      <c r="H511" s="282"/>
    </row>
    <row r="512">
      <c r="C512" s="295"/>
      <c r="D512" s="295"/>
      <c r="E512" s="281"/>
      <c r="F512" s="282"/>
      <c r="G512" s="282"/>
      <c r="H512" s="282"/>
    </row>
    <row r="513">
      <c r="C513" s="295"/>
      <c r="D513" s="295"/>
      <c r="E513" s="281"/>
      <c r="F513" s="282"/>
      <c r="G513" s="282"/>
      <c r="H513" s="282"/>
    </row>
    <row r="514">
      <c r="C514" s="295"/>
      <c r="D514" s="295"/>
      <c r="E514" s="281"/>
      <c r="F514" s="282"/>
      <c r="G514" s="282"/>
      <c r="H514" s="282"/>
    </row>
    <row r="515">
      <c r="C515" s="295"/>
      <c r="D515" s="295"/>
      <c r="E515" s="281"/>
      <c r="F515" s="282"/>
      <c r="G515" s="282"/>
      <c r="H515" s="282"/>
    </row>
    <row r="516">
      <c r="C516" s="295"/>
      <c r="D516" s="295"/>
      <c r="E516" s="281"/>
      <c r="F516" s="282"/>
      <c r="G516" s="282"/>
      <c r="H516" s="282"/>
    </row>
    <row r="517">
      <c r="C517" s="295"/>
      <c r="D517" s="295"/>
      <c r="E517" s="281"/>
      <c r="F517" s="282"/>
      <c r="G517" s="282"/>
      <c r="H517" s="282"/>
    </row>
    <row r="518">
      <c r="C518" s="295"/>
      <c r="D518" s="295"/>
      <c r="E518" s="281"/>
      <c r="F518" s="282"/>
      <c r="G518" s="282"/>
      <c r="H518" s="282"/>
    </row>
    <row r="519">
      <c r="C519" s="295"/>
      <c r="D519" s="295"/>
      <c r="E519" s="281"/>
      <c r="F519" s="282"/>
      <c r="G519" s="282"/>
      <c r="H519" s="282"/>
    </row>
    <row r="520">
      <c r="C520" s="295"/>
      <c r="D520" s="295"/>
      <c r="E520" s="281"/>
      <c r="F520" s="282"/>
      <c r="G520" s="282"/>
      <c r="H520" s="282"/>
    </row>
    <row r="521">
      <c r="C521" s="295"/>
      <c r="D521" s="295"/>
      <c r="E521" s="281"/>
      <c r="F521" s="282"/>
      <c r="G521" s="282"/>
      <c r="H521" s="282"/>
    </row>
    <row r="522">
      <c r="C522" s="295"/>
      <c r="D522" s="295"/>
      <c r="E522" s="281"/>
      <c r="F522" s="282"/>
      <c r="G522" s="282"/>
      <c r="H522" s="282"/>
    </row>
    <row r="523">
      <c r="C523" s="295"/>
      <c r="D523" s="295"/>
      <c r="E523" s="281"/>
      <c r="F523" s="282"/>
      <c r="G523" s="282"/>
      <c r="H523" s="282"/>
    </row>
    <row r="524">
      <c r="C524" s="295"/>
      <c r="D524" s="295"/>
      <c r="E524" s="281"/>
      <c r="F524" s="282"/>
      <c r="G524" s="282"/>
      <c r="H524" s="282"/>
    </row>
    <row r="525">
      <c r="C525" s="295"/>
      <c r="D525" s="295"/>
      <c r="E525" s="281"/>
      <c r="F525" s="282"/>
      <c r="G525" s="282"/>
      <c r="H525" s="282"/>
    </row>
    <row r="526">
      <c r="C526" s="295"/>
      <c r="D526" s="295"/>
      <c r="E526" s="281"/>
      <c r="F526" s="282"/>
      <c r="G526" s="282"/>
      <c r="H526" s="282"/>
    </row>
    <row r="527">
      <c r="C527" s="295"/>
      <c r="D527" s="295"/>
      <c r="E527" s="281"/>
      <c r="F527" s="282"/>
      <c r="G527" s="282"/>
      <c r="H527" s="282"/>
    </row>
    <row r="528">
      <c r="C528" s="295"/>
      <c r="D528" s="295"/>
      <c r="E528" s="281"/>
      <c r="F528" s="282"/>
      <c r="G528" s="282"/>
      <c r="H528" s="282"/>
    </row>
    <row r="529">
      <c r="C529" s="295"/>
      <c r="D529" s="295"/>
      <c r="E529" s="281"/>
      <c r="F529" s="282"/>
      <c r="G529" s="282"/>
      <c r="H529" s="282"/>
    </row>
    <row r="530">
      <c r="C530" s="295"/>
      <c r="D530" s="295"/>
      <c r="E530" s="281"/>
      <c r="F530" s="282"/>
      <c r="G530" s="282"/>
      <c r="H530" s="282"/>
    </row>
    <row r="531">
      <c r="C531" s="295"/>
      <c r="D531" s="295"/>
      <c r="E531" s="281"/>
      <c r="F531" s="282"/>
      <c r="G531" s="282"/>
      <c r="H531" s="282"/>
    </row>
    <row r="532">
      <c r="C532" s="295"/>
      <c r="D532" s="295"/>
      <c r="E532" s="281"/>
      <c r="F532" s="282"/>
      <c r="G532" s="282"/>
      <c r="H532" s="282"/>
    </row>
    <row r="533">
      <c r="C533" s="295"/>
      <c r="D533" s="295"/>
      <c r="E533" s="281"/>
      <c r="F533" s="282"/>
      <c r="G533" s="282"/>
      <c r="H533" s="282"/>
    </row>
    <row r="534">
      <c r="C534" s="295"/>
      <c r="D534" s="295"/>
      <c r="E534" s="281"/>
      <c r="F534" s="282"/>
      <c r="G534" s="282"/>
      <c r="H534" s="282"/>
    </row>
    <row r="535">
      <c r="C535" s="295"/>
      <c r="D535" s="295"/>
      <c r="E535" s="281"/>
      <c r="F535" s="282"/>
      <c r="G535" s="282"/>
      <c r="H535" s="282"/>
    </row>
    <row r="536">
      <c r="C536" s="295"/>
      <c r="D536" s="295"/>
      <c r="E536" s="281"/>
      <c r="F536" s="282"/>
      <c r="G536" s="282"/>
      <c r="H536" s="282"/>
    </row>
    <row r="537">
      <c r="C537" s="295"/>
      <c r="D537" s="295"/>
      <c r="E537" s="281"/>
      <c r="F537" s="282"/>
      <c r="G537" s="282"/>
      <c r="H537" s="282"/>
    </row>
    <row r="538">
      <c r="C538" s="295"/>
      <c r="D538" s="295"/>
      <c r="E538" s="281"/>
      <c r="F538" s="282"/>
      <c r="G538" s="282"/>
      <c r="H538" s="282"/>
    </row>
    <row r="539">
      <c r="C539" s="295"/>
      <c r="D539" s="295"/>
      <c r="E539" s="281"/>
      <c r="F539" s="282"/>
      <c r="G539" s="282"/>
      <c r="H539" s="282"/>
    </row>
    <row r="540">
      <c r="C540" s="295"/>
      <c r="D540" s="295"/>
      <c r="E540" s="281"/>
      <c r="F540" s="282"/>
      <c r="G540" s="282"/>
      <c r="H540" s="282"/>
    </row>
    <row r="541">
      <c r="C541" s="295"/>
      <c r="D541" s="295"/>
      <c r="E541" s="281"/>
      <c r="F541" s="282"/>
      <c r="G541" s="282"/>
      <c r="H541" s="282"/>
    </row>
    <row r="542">
      <c r="C542" s="295"/>
      <c r="D542" s="295"/>
      <c r="E542" s="281"/>
      <c r="F542" s="282"/>
      <c r="G542" s="282"/>
      <c r="H542" s="282"/>
    </row>
    <row r="543">
      <c r="C543" s="295"/>
      <c r="D543" s="295"/>
      <c r="E543" s="281"/>
      <c r="F543" s="282"/>
      <c r="G543" s="282"/>
      <c r="H543" s="282"/>
    </row>
    <row r="544">
      <c r="C544" s="295"/>
      <c r="D544" s="295"/>
      <c r="E544" s="281"/>
      <c r="F544" s="282"/>
      <c r="G544" s="282"/>
      <c r="H544" s="282"/>
    </row>
    <row r="545">
      <c r="C545" s="295"/>
      <c r="D545" s="295"/>
      <c r="E545" s="281"/>
      <c r="F545" s="282"/>
      <c r="G545" s="282"/>
      <c r="H545" s="282"/>
    </row>
    <row r="546">
      <c r="C546" s="295"/>
      <c r="D546" s="295"/>
      <c r="E546" s="281"/>
      <c r="F546" s="282"/>
      <c r="G546" s="282"/>
      <c r="H546" s="282"/>
    </row>
    <row r="547">
      <c r="C547" s="295"/>
      <c r="D547" s="295"/>
      <c r="E547" s="281"/>
      <c r="F547" s="282"/>
      <c r="G547" s="282"/>
      <c r="H547" s="282"/>
    </row>
    <row r="548">
      <c r="C548" s="295"/>
      <c r="D548" s="295"/>
      <c r="E548" s="281"/>
      <c r="F548" s="282"/>
      <c r="G548" s="282"/>
      <c r="H548" s="282"/>
    </row>
    <row r="549">
      <c r="C549" s="295"/>
      <c r="D549" s="295"/>
      <c r="E549" s="281"/>
      <c r="F549" s="282"/>
      <c r="G549" s="282"/>
      <c r="H549" s="282"/>
    </row>
    <row r="550">
      <c r="C550" s="295"/>
      <c r="D550" s="295"/>
      <c r="E550" s="281"/>
      <c r="F550" s="282"/>
      <c r="G550" s="282"/>
      <c r="H550" s="282"/>
    </row>
    <row r="551">
      <c r="C551" s="295"/>
      <c r="D551" s="295"/>
      <c r="E551" s="281"/>
      <c r="F551" s="282"/>
      <c r="G551" s="282"/>
      <c r="H551" s="282"/>
    </row>
    <row r="552">
      <c r="C552" s="295"/>
      <c r="D552" s="295"/>
      <c r="E552" s="281"/>
      <c r="F552" s="282"/>
      <c r="G552" s="282"/>
      <c r="H552" s="282"/>
    </row>
    <row r="553">
      <c r="C553" s="295"/>
      <c r="D553" s="295"/>
      <c r="E553" s="281"/>
      <c r="F553" s="282"/>
      <c r="G553" s="282"/>
      <c r="H553" s="282"/>
    </row>
    <row r="554">
      <c r="C554" s="295"/>
      <c r="D554" s="295"/>
      <c r="E554" s="281"/>
      <c r="F554" s="282"/>
      <c r="G554" s="282"/>
      <c r="H554" s="282"/>
    </row>
    <row r="555">
      <c r="C555" s="295"/>
      <c r="D555" s="295"/>
      <c r="E555" s="281"/>
      <c r="F555" s="282"/>
      <c r="G555" s="282"/>
      <c r="H555" s="282"/>
    </row>
    <row r="556">
      <c r="C556" s="295"/>
      <c r="D556" s="295"/>
      <c r="E556" s="281"/>
      <c r="F556" s="282"/>
      <c r="G556" s="282"/>
      <c r="H556" s="282"/>
    </row>
    <row r="557">
      <c r="C557" s="295"/>
      <c r="D557" s="295"/>
      <c r="E557" s="281"/>
      <c r="F557" s="282"/>
      <c r="G557" s="282"/>
      <c r="H557" s="282"/>
    </row>
    <row r="558">
      <c r="C558" s="295"/>
      <c r="D558" s="295"/>
      <c r="E558" s="281"/>
      <c r="F558" s="282"/>
      <c r="G558" s="282"/>
      <c r="H558" s="282"/>
    </row>
    <row r="559">
      <c r="C559" s="295"/>
      <c r="D559" s="295"/>
      <c r="E559" s="281"/>
      <c r="F559" s="282"/>
      <c r="G559" s="282"/>
      <c r="H559" s="282"/>
    </row>
    <row r="560">
      <c r="C560" s="295"/>
      <c r="D560" s="295"/>
      <c r="E560" s="281"/>
      <c r="F560" s="282"/>
      <c r="G560" s="282"/>
      <c r="H560" s="282"/>
    </row>
    <row r="561">
      <c r="C561" s="295"/>
      <c r="D561" s="295"/>
      <c r="E561" s="281"/>
      <c r="F561" s="282"/>
      <c r="G561" s="282"/>
      <c r="H561" s="282"/>
    </row>
    <row r="562">
      <c r="C562" s="295"/>
      <c r="D562" s="295"/>
      <c r="E562" s="281"/>
      <c r="F562" s="282"/>
      <c r="G562" s="282"/>
      <c r="H562" s="282"/>
    </row>
    <row r="563">
      <c r="C563" s="295"/>
      <c r="D563" s="295"/>
      <c r="E563" s="281"/>
      <c r="F563" s="282"/>
      <c r="G563" s="282"/>
      <c r="H563" s="282"/>
    </row>
    <row r="564">
      <c r="C564" s="295"/>
      <c r="D564" s="295"/>
      <c r="E564" s="281"/>
      <c r="F564" s="282"/>
      <c r="G564" s="282"/>
      <c r="H564" s="282"/>
    </row>
    <row r="565">
      <c r="C565" s="295"/>
      <c r="D565" s="295"/>
      <c r="E565" s="281"/>
      <c r="F565" s="282"/>
      <c r="G565" s="282"/>
      <c r="H565" s="282"/>
    </row>
    <row r="566">
      <c r="C566" s="295"/>
      <c r="D566" s="295"/>
      <c r="E566" s="281"/>
      <c r="F566" s="282"/>
      <c r="G566" s="282"/>
      <c r="H566" s="282"/>
    </row>
    <row r="567">
      <c r="C567" s="295"/>
      <c r="D567" s="295"/>
      <c r="E567" s="281"/>
      <c r="F567" s="282"/>
      <c r="G567" s="282"/>
      <c r="H567" s="282"/>
    </row>
    <row r="568">
      <c r="C568" s="295"/>
      <c r="D568" s="295"/>
      <c r="E568" s="281"/>
      <c r="F568" s="282"/>
      <c r="G568" s="282"/>
      <c r="H568" s="282"/>
    </row>
    <row r="569">
      <c r="C569" s="295"/>
      <c r="D569" s="295"/>
      <c r="E569" s="281"/>
      <c r="F569" s="282"/>
      <c r="G569" s="282"/>
      <c r="H569" s="282"/>
    </row>
    <row r="570">
      <c r="C570" s="295"/>
      <c r="D570" s="295"/>
      <c r="E570" s="281"/>
      <c r="F570" s="282"/>
      <c r="G570" s="282"/>
      <c r="H570" s="282"/>
    </row>
    <row r="571">
      <c r="C571" s="295"/>
      <c r="D571" s="295"/>
      <c r="E571" s="281"/>
      <c r="F571" s="282"/>
      <c r="G571" s="282"/>
      <c r="H571" s="282"/>
    </row>
    <row r="572">
      <c r="C572" s="295"/>
      <c r="D572" s="295"/>
      <c r="E572" s="281"/>
      <c r="F572" s="282"/>
      <c r="G572" s="282"/>
      <c r="H572" s="282"/>
    </row>
    <row r="573">
      <c r="C573" s="295"/>
      <c r="D573" s="295"/>
      <c r="E573" s="281"/>
      <c r="F573" s="282"/>
      <c r="G573" s="282"/>
      <c r="H573" s="282"/>
    </row>
    <row r="574">
      <c r="C574" s="295"/>
      <c r="D574" s="295"/>
      <c r="E574" s="281"/>
      <c r="F574" s="282"/>
      <c r="G574" s="282"/>
      <c r="H574" s="282"/>
    </row>
    <row r="575">
      <c r="C575" s="295"/>
      <c r="D575" s="295"/>
      <c r="E575" s="281"/>
      <c r="F575" s="282"/>
      <c r="G575" s="282"/>
      <c r="H575" s="282"/>
    </row>
    <row r="576">
      <c r="C576" s="295"/>
      <c r="D576" s="295"/>
      <c r="E576" s="281"/>
      <c r="F576" s="282"/>
      <c r="G576" s="282"/>
      <c r="H576" s="282"/>
    </row>
    <row r="577">
      <c r="C577" s="295"/>
      <c r="D577" s="295"/>
      <c r="E577" s="281"/>
      <c r="F577" s="282"/>
      <c r="G577" s="282"/>
      <c r="H577" s="282"/>
    </row>
    <row r="578">
      <c r="C578" s="295"/>
      <c r="D578" s="295"/>
      <c r="E578" s="281"/>
      <c r="F578" s="282"/>
      <c r="G578" s="282"/>
      <c r="H578" s="282"/>
    </row>
    <row r="579">
      <c r="C579" s="295"/>
      <c r="D579" s="295"/>
      <c r="E579" s="281"/>
      <c r="F579" s="282"/>
      <c r="G579" s="282"/>
      <c r="H579" s="282"/>
    </row>
    <row r="580">
      <c r="C580" s="295"/>
      <c r="D580" s="295"/>
      <c r="E580" s="281"/>
      <c r="F580" s="282"/>
      <c r="G580" s="282"/>
      <c r="H580" s="282"/>
    </row>
    <row r="581">
      <c r="C581" s="295"/>
      <c r="D581" s="295"/>
      <c r="E581" s="281"/>
      <c r="F581" s="282"/>
      <c r="G581" s="282"/>
      <c r="H581" s="282"/>
    </row>
    <row r="582">
      <c r="C582" s="295"/>
      <c r="D582" s="295"/>
      <c r="E582" s="281"/>
      <c r="F582" s="282"/>
      <c r="G582" s="282"/>
      <c r="H582" s="282"/>
    </row>
    <row r="583">
      <c r="C583" s="295"/>
      <c r="D583" s="295"/>
      <c r="E583" s="281"/>
      <c r="F583" s="282"/>
      <c r="G583" s="282"/>
      <c r="H583" s="282"/>
    </row>
    <row r="584">
      <c r="C584" s="295"/>
      <c r="D584" s="295"/>
      <c r="E584" s="281"/>
      <c r="F584" s="282"/>
      <c r="G584" s="282"/>
      <c r="H584" s="282"/>
    </row>
    <row r="585">
      <c r="C585" s="295"/>
      <c r="D585" s="295"/>
      <c r="E585" s="281"/>
      <c r="F585" s="282"/>
      <c r="G585" s="282"/>
      <c r="H585" s="282"/>
    </row>
    <row r="586">
      <c r="C586" s="295"/>
      <c r="D586" s="295"/>
      <c r="E586" s="281"/>
      <c r="F586" s="282"/>
      <c r="G586" s="282"/>
      <c r="H586" s="282"/>
    </row>
    <row r="587">
      <c r="C587" s="295"/>
      <c r="D587" s="295"/>
      <c r="E587" s="281"/>
      <c r="F587" s="282"/>
      <c r="G587" s="282"/>
      <c r="H587" s="282"/>
    </row>
    <row r="588">
      <c r="C588" s="295"/>
      <c r="D588" s="295"/>
      <c r="E588" s="281"/>
      <c r="F588" s="282"/>
      <c r="G588" s="282"/>
      <c r="H588" s="282"/>
    </row>
    <row r="589">
      <c r="C589" s="295"/>
      <c r="D589" s="295"/>
      <c r="E589" s="281"/>
      <c r="F589" s="282"/>
      <c r="G589" s="282"/>
      <c r="H589" s="282"/>
    </row>
    <row r="590">
      <c r="C590" s="295"/>
      <c r="D590" s="295"/>
      <c r="E590" s="281"/>
      <c r="F590" s="282"/>
      <c r="G590" s="282"/>
      <c r="H590" s="282"/>
    </row>
    <row r="591">
      <c r="C591" s="295"/>
      <c r="D591" s="295"/>
      <c r="E591" s="281"/>
      <c r="F591" s="282"/>
      <c r="G591" s="282"/>
      <c r="H591" s="282"/>
    </row>
    <row r="592">
      <c r="C592" s="295"/>
      <c r="D592" s="295"/>
      <c r="E592" s="281"/>
      <c r="F592" s="282"/>
      <c r="G592" s="282"/>
      <c r="H592" s="282"/>
    </row>
    <row r="593">
      <c r="C593" s="295"/>
      <c r="D593" s="295"/>
      <c r="E593" s="281"/>
      <c r="F593" s="282"/>
      <c r="G593" s="282"/>
      <c r="H593" s="282"/>
    </row>
    <row r="594">
      <c r="C594" s="295"/>
      <c r="D594" s="295"/>
      <c r="E594" s="281"/>
      <c r="F594" s="282"/>
      <c r="G594" s="282"/>
      <c r="H594" s="282"/>
    </row>
    <row r="595">
      <c r="C595" s="295"/>
      <c r="D595" s="295"/>
      <c r="E595" s="281"/>
      <c r="F595" s="282"/>
      <c r="G595" s="282"/>
      <c r="H595" s="282"/>
    </row>
    <row r="596">
      <c r="C596" s="295"/>
      <c r="D596" s="295"/>
      <c r="E596" s="281"/>
      <c r="F596" s="282"/>
      <c r="G596" s="282"/>
      <c r="H596" s="282"/>
    </row>
    <row r="597">
      <c r="C597" s="295"/>
      <c r="D597" s="295"/>
      <c r="E597" s="281"/>
      <c r="F597" s="282"/>
      <c r="G597" s="282"/>
      <c r="H597" s="282"/>
    </row>
    <row r="598">
      <c r="C598" s="295"/>
      <c r="D598" s="295"/>
      <c r="E598" s="281"/>
      <c r="F598" s="282"/>
      <c r="G598" s="282"/>
      <c r="H598" s="282"/>
    </row>
    <row r="599">
      <c r="C599" s="295"/>
      <c r="D599" s="295"/>
      <c r="E599" s="281"/>
      <c r="F599" s="282"/>
      <c r="G599" s="282"/>
      <c r="H599" s="282"/>
    </row>
    <row r="600">
      <c r="C600" s="295"/>
      <c r="D600" s="295"/>
      <c r="E600" s="281"/>
      <c r="F600" s="282"/>
      <c r="G600" s="282"/>
      <c r="H600" s="282"/>
    </row>
    <row r="601">
      <c r="C601" s="295"/>
      <c r="D601" s="295"/>
      <c r="E601" s="281"/>
      <c r="F601" s="282"/>
      <c r="G601" s="282"/>
      <c r="H601" s="282"/>
    </row>
    <row r="602">
      <c r="C602" s="295"/>
      <c r="D602" s="295"/>
      <c r="E602" s="281"/>
      <c r="F602" s="282"/>
      <c r="G602" s="282"/>
      <c r="H602" s="282"/>
    </row>
    <row r="603">
      <c r="C603" s="295"/>
      <c r="D603" s="295"/>
      <c r="E603" s="281"/>
      <c r="F603" s="282"/>
      <c r="G603" s="282"/>
      <c r="H603" s="282"/>
    </row>
    <row r="604">
      <c r="C604" s="295"/>
      <c r="D604" s="295"/>
      <c r="E604" s="281"/>
      <c r="F604" s="282"/>
      <c r="G604" s="282"/>
      <c r="H604" s="282"/>
    </row>
    <row r="605">
      <c r="C605" s="295"/>
      <c r="D605" s="295"/>
      <c r="E605" s="281"/>
      <c r="F605" s="282"/>
      <c r="G605" s="282"/>
      <c r="H605" s="282"/>
    </row>
    <row r="606">
      <c r="C606" s="295"/>
      <c r="D606" s="295"/>
      <c r="E606" s="281"/>
      <c r="F606" s="282"/>
      <c r="G606" s="282"/>
      <c r="H606" s="282"/>
    </row>
    <row r="607">
      <c r="C607" s="295"/>
      <c r="D607" s="295"/>
      <c r="E607" s="281"/>
      <c r="F607" s="282"/>
      <c r="G607" s="282"/>
      <c r="H607" s="282"/>
    </row>
    <row r="608">
      <c r="C608" s="295"/>
      <c r="D608" s="295"/>
      <c r="E608" s="281"/>
      <c r="F608" s="282"/>
      <c r="G608" s="282"/>
      <c r="H608" s="282"/>
    </row>
    <row r="609">
      <c r="C609" s="295"/>
      <c r="D609" s="295"/>
      <c r="E609" s="281"/>
      <c r="F609" s="282"/>
      <c r="G609" s="282"/>
      <c r="H609" s="282"/>
    </row>
    <row r="610">
      <c r="C610" s="295"/>
      <c r="D610" s="295"/>
      <c r="E610" s="281"/>
      <c r="F610" s="282"/>
      <c r="G610" s="282"/>
      <c r="H610" s="282"/>
    </row>
    <row r="611">
      <c r="C611" s="295"/>
      <c r="D611" s="295"/>
      <c r="E611" s="281"/>
      <c r="F611" s="282"/>
      <c r="G611" s="282"/>
      <c r="H611" s="282"/>
    </row>
    <row r="612">
      <c r="C612" s="295"/>
      <c r="D612" s="295"/>
      <c r="E612" s="281"/>
      <c r="F612" s="282"/>
      <c r="G612" s="282"/>
      <c r="H612" s="282"/>
    </row>
    <row r="613">
      <c r="C613" s="295"/>
      <c r="D613" s="295"/>
      <c r="E613" s="281"/>
      <c r="F613" s="282"/>
      <c r="G613" s="282"/>
      <c r="H613" s="282"/>
    </row>
    <row r="614">
      <c r="C614" s="295"/>
      <c r="D614" s="295"/>
      <c r="E614" s="281"/>
      <c r="F614" s="282"/>
      <c r="G614" s="282"/>
      <c r="H614" s="282"/>
    </row>
    <row r="615">
      <c r="C615" s="295"/>
      <c r="D615" s="295"/>
      <c r="E615" s="281"/>
      <c r="F615" s="282"/>
      <c r="G615" s="282"/>
      <c r="H615" s="282"/>
    </row>
    <row r="616">
      <c r="C616" s="295"/>
      <c r="D616" s="295"/>
      <c r="E616" s="281"/>
      <c r="F616" s="282"/>
      <c r="G616" s="282"/>
      <c r="H616" s="282"/>
    </row>
    <row r="617">
      <c r="C617" s="295"/>
      <c r="D617" s="295"/>
      <c r="E617" s="281"/>
      <c r="F617" s="282"/>
      <c r="G617" s="282"/>
      <c r="H617" s="282"/>
    </row>
    <row r="618">
      <c r="C618" s="295"/>
      <c r="D618" s="295"/>
      <c r="E618" s="281"/>
      <c r="F618" s="282"/>
      <c r="G618" s="282"/>
      <c r="H618" s="282"/>
    </row>
    <row r="619">
      <c r="C619" s="295"/>
      <c r="D619" s="295"/>
      <c r="E619" s="281"/>
      <c r="F619" s="282"/>
      <c r="G619" s="282"/>
      <c r="H619" s="282"/>
    </row>
    <row r="620">
      <c r="C620" s="295"/>
      <c r="D620" s="295"/>
      <c r="E620" s="281"/>
      <c r="F620" s="282"/>
      <c r="G620" s="282"/>
      <c r="H620" s="282"/>
    </row>
    <row r="621">
      <c r="C621" s="295"/>
      <c r="D621" s="295"/>
      <c r="E621" s="281"/>
      <c r="F621" s="282"/>
      <c r="G621" s="282"/>
      <c r="H621" s="282"/>
    </row>
    <row r="622">
      <c r="C622" s="295"/>
      <c r="D622" s="295"/>
      <c r="E622" s="281"/>
      <c r="F622" s="282"/>
      <c r="G622" s="282"/>
      <c r="H622" s="282"/>
    </row>
    <row r="623">
      <c r="C623" s="295"/>
      <c r="D623" s="295"/>
      <c r="E623" s="281"/>
      <c r="F623" s="282"/>
      <c r="G623" s="282"/>
      <c r="H623" s="282"/>
    </row>
    <row r="624">
      <c r="C624" s="295"/>
      <c r="D624" s="295"/>
      <c r="E624" s="281"/>
      <c r="F624" s="282"/>
      <c r="G624" s="282"/>
      <c r="H624" s="282"/>
    </row>
    <row r="625">
      <c r="C625" s="295"/>
      <c r="D625" s="295"/>
      <c r="E625" s="281"/>
      <c r="F625" s="282"/>
      <c r="G625" s="282"/>
      <c r="H625" s="282"/>
    </row>
    <row r="626">
      <c r="C626" s="295"/>
      <c r="D626" s="295"/>
      <c r="E626" s="281"/>
      <c r="F626" s="282"/>
      <c r="G626" s="282"/>
      <c r="H626" s="282"/>
    </row>
    <row r="627">
      <c r="C627" s="295"/>
      <c r="D627" s="295"/>
      <c r="E627" s="281"/>
      <c r="F627" s="282"/>
      <c r="G627" s="282"/>
      <c r="H627" s="282"/>
    </row>
    <row r="628">
      <c r="C628" s="295"/>
      <c r="D628" s="295"/>
      <c r="E628" s="281"/>
      <c r="F628" s="282"/>
      <c r="G628" s="282"/>
      <c r="H628" s="282"/>
    </row>
    <row r="629">
      <c r="C629" s="295"/>
      <c r="D629" s="295"/>
      <c r="E629" s="281"/>
      <c r="F629" s="282"/>
      <c r="G629" s="282"/>
      <c r="H629" s="282"/>
    </row>
    <row r="630">
      <c r="C630" s="295"/>
      <c r="D630" s="295"/>
      <c r="E630" s="281"/>
      <c r="F630" s="282"/>
      <c r="G630" s="282"/>
      <c r="H630" s="282"/>
    </row>
    <row r="631">
      <c r="C631" s="295"/>
      <c r="D631" s="295"/>
      <c r="E631" s="281"/>
      <c r="F631" s="282"/>
      <c r="G631" s="282"/>
      <c r="H631" s="282"/>
    </row>
    <row r="632">
      <c r="C632" s="295"/>
      <c r="D632" s="295"/>
      <c r="E632" s="281"/>
      <c r="F632" s="282"/>
      <c r="G632" s="282"/>
      <c r="H632" s="282"/>
    </row>
    <row r="633">
      <c r="C633" s="295"/>
      <c r="D633" s="295"/>
      <c r="E633" s="281"/>
      <c r="F633" s="282"/>
      <c r="G633" s="282"/>
      <c r="H633" s="282"/>
    </row>
    <row r="634">
      <c r="C634" s="295"/>
      <c r="D634" s="295"/>
      <c r="E634" s="281"/>
      <c r="F634" s="282"/>
      <c r="G634" s="282"/>
      <c r="H634" s="282"/>
    </row>
    <row r="635">
      <c r="C635" s="295"/>
      <c r="D635" s="295"/>
      <c r="E635" s="281"/>
      <c r="F635" s="282"/>
      <c r="G635" s="282"/>
      <c r="H635" s="282"/>
    </row>
    <row r="636">
      <c r="C636" s="295"/>
      <c r="D636" s="295"/>
      <c r="E636" s="281"/>
      <c r="F636" s="282"/>
      <c r="G636" s="282"/>
      <c r="H636" s="282"/>
    </row>
    <row r="637">
      <c r="C637" s="295"/>
      <c r="D637" s="295"/>
      <c r="E637" s="281"/>
      <c r="F637" s="282"/>
      <c r="G637" s="282"/>
      <c r="H637" s="282"/>
    </row>
    <row r="638">
      <c r="C638" s="295"/>
      <c r="D638" s="295"/>
      <c r="E638" s="281"/>
      <c r="F638" s="282"/>
      <c r="G638" s="282"/>
      <c r="H638" s="282"/>
    </row>
    <row r="639">
      <c r="C639" s="295"/>
      <c r="D639" s="295"/>
      <c r="E639" s="281"/>
      <c r="F639" s="282"/>
      <c r="G639" s="282"/>
      <c r="H639" s="282"/>
    </row>
    <row r="640">
      <c r="C640" s="295"/>
      <c r="D640" s="295"/>
      <c r="E640" s="281"/>
      <c r="F640" s="282"/>
      <c r="G640" s="282"/>
      <c r="H640" s="282"/>
    </row>
    <row r="641">
      <c r="C641" s="295"/>
      <c r="D641" s="295"/>
      <c r="E641" s="281"/>
      <c r="F641" s="282"/>
      <c r="G641" s="282"/>
      <c r="H641" s="282"/>
    </row>
    <row r="642">
      <c r="C642" s="295"/>
      <c r="D642" s="295"/>
      <c r="E642" s="281"/>
      <c r="F642" s="282"/>
      <c r="G642" s="282"/>
      <c r="H642" s="282"/>
    </row>
    <row r="643">
      <c r="C643" s="295"/>
      <c r="D643" s="295"/>
      <c r="E643" s="281"/>
      <c r="F643" s="282"/>
      <c r="G643" s="282"/>
      <c r="H643" s="282"/>
    </row>
    <row r="644">
      <c r="C644" s="295"/>
      <c r="D644" s="295"/>
      <c r="E644" s="281"/>
      <c r="F644" s="282"/>
      <c r="G644" s="282"/>
      <c r="H644" s="282"/>
    </row>
    <row r="645">
      <c r="C645" s="295"/>
      <c r="D645" s="295"/>
      <c r="E645" s="281"/>
      <c r="F645" s="282"/>
      <c r="G645" s="282"/>
      <c r="H645" s="282"/>
    </row>
    <row r="646">
      <c r="C646" s="295"/>
      <c r="D646" s="295"/>
      <c r="E646" s="281"/>
      <c r="F646" s="282"/>
      <c r="G646" s="282"/>
      <c r="H646" s="282"/>
    </row>
    <row r="647">
      <c r="C647" s="295"/>
      <c r="D647" s="295"/>
      <c r="E647" s="281"/>
      <c r="F647" s="282"/>
      <c r="G647" s="282"/>
      <c r="H647" s="282"/>
    </row>
    <row r="648">
      <c r="C648" s="295"/>
      <c r="D648" s="295"/>
      <c r="E648" s="281"/>
      <c r="F648" s="282"/>
      <c r="G648" s="282"/>
      <c r="H648" s="282"/>
    </row>
    <row r="649">
      <c r="C649" s="295"/>
      <c r="D649" s="295"/>
      <c r="E649" s="281"/>
      <c r="F649" s="282"/>
      <c r="G649" s="282"/>
      <c r="H649" s="282"/>
    </row>
    <row r="650">
      <c r="C650" s="295"/>
      <c r="D650" s="295"/>
      <c r="E650" s="281"/>
      <c r="F650" s="282"/>
      <c r="G650" s="282"/>
      <c r="H650" s="282"/>
    </row>
    <row r="651">
      <c r="C651" s="295"/>
      <c r="D651" s="295"/>
      <c r="E651" s="281"/>
      <c r="F651" s="282"/>
      <c r="G651" s="282"/>
      <c r="H651" s="282"/>
    </row>
    <row r="652">
      <c r="C652" s="295"/>
      <c r="D652" s="295"/>
      <c r="E652" s="281"/>
      <c r="F652" s="282"/>
      <c r="G652" s="282"/>
      <c r="H652" s="282"/>
    </row>
    <row r="653">
      <c r="C653" s="295"/>
      <c r="D653" s="295"/>
      <c r="E653" s="281"/>
      <c r="F653" s="282"/>
      <c r="G653" s="282"/>
      <c r="H653" s="282"/>
    </row>
    <row r="654">
      <c r="C654" s="295"/>
      <c r="D654" s="295"/>
      <c r="E654" s="281"/>
      <c r="F654" s="282"/>
      <c r="G654" s="282"/>
      <c r="H654" s="282"/>
    </row>
    <row r="655">
      <c r="C655" s="295"/>
      <c r="D655" s="295"/>
      <c r="E655" s="281"/>
      <c r="F655" s="282"/>
      <c r="G655" s="282"/>
      <c r="H655" s="282"/>
    </row>
    <row r="656">
      <c r="C656" s="295"/>
      <c r="D656" s="295"/>
      <c r="E656" s="281"/>
      <c r="F656" s="282"/>
      <c r="G656" s="282"/>
      <c r="H656" s="282"/>
    </row>
    <row r="657">
      <c r="C657" s="295"/>
      <c r="D657" s="295"/>
      <c r="E657" s="281"/>
      <c r="F657" s="282"/>
      <c r="G657" s="282"/>
      <c r="H657" s="282"/>
    </row>
    <row r="658">
      <c r="C658" s="295"/>
      <c r="D658" s="295"/>
      <c r="E658" s="281"/>
      <c r="F658" s="282"/>
      <c r="G658" s="282"/>
      <c r="H658" s="282"/>
    </row>
    <row r="659">
      <c r="C659" s="295"/>
      <c r="D659" s="295"/>
      <c r="E659" s="281"/>
      <c r="F659" s="282"/>
      <c r="G659" s="282"/>
      <c r="H659" s="282"/>
    </row>
    <row r="660">
      <c r="C660" s="295"/>
      <c r="D660" s="295"/>
      <c r="E660" s="281"/>
      <c r="F660" s="282"/>
      <c r="G660" s="282"/>
      <c r="H660" s="282"/>
    </row>
    <row r="661">
      <c r="C661" s="295"/>
      <c r="D661" s="295"/>
      <c r="E661" s="281"/>
      <c r="F661" s="282"/>
      <c r="G661" s="282"/>
      <c r="H661" s="282"/>
    </row>
    <row r="662">
      <c r="C662" s="295"/>
      <c r="D662" s="295"/>
      <c r="E662" s="281"/>
      <c r="F662" s="282"/>
      <c r="G662" s="282"/>
      <c r="H662" s="282"/>
    </row>
    <row r="663">
      <c r="C663" s="295"/>
      <c r="D663" s="295"/>
      <c r="E663" s="281"/>
      <c r="F663" s="282"/>
      <c r="G663" s="282"/>
      <c r="H663" s="282"/>
    </row>
    <row r="664">
      <c r="C664" s="295"/>
      <c r="D664" s="295"/>
      <c r="E664" s="281"/>
      <c r="F664" s="282"/>
      <c r="G664" s="282"/>
      <c r="H664" s="282"/>
    </row>
    <row r="665">
      <c r="C665" s="295"/>
      <c r="D665" s="295"/>
      <c r="E665" s="281"/>
      <c r="F665" s="282"/>
      <c r="G665" s="282"/>
      <c r="H665" s="282"/>
    </row>
    <row r="666">
      <c r="C666" s="295"/>
      <c r="D666" s="295"/>
      <c r="E666" s="281"/>
      <c r="F666" s="282"/>
      <c r="G666" s="282"/>
      <c r="H666" s="282"/>
    </row>
    <row r="667">
      <c r="C667" s="295"/>
      <c r="D667" s="295"/>
      <c r="E667" s="281"/>
      <c r="F667" s="282"/>
      <c r="G667" s="282"/>
      <c r="H667" s="282"/>
    </row>
    <row r="668">
      <c r="C668" s="295"/>
      <c r="D668" s="295"/>
      <c r="E668" s="281"/>
      <c r="F668" s="282"/>
      <c r="G668" s="282"/>
      <c r="H668" s="282"/>
    </row>
    <row r="669">
      <c r="C669" s="295"/>
      <c r="D669" s="295"/>
      <c r="E669" s="281"/>
      <c r="F669" s="282"/>
      <c r="G669" s="282"/>
      <c r="H669" s="282"/>
    </row>
    <row r="670">
      <c r="C670" s="295"/>
      <c r="D670" s="295"/>
      <c r="E670" s="281"/>
      <c r="F670" s="282"/>
      <c r="G670" s="282"/>
      <c r="H670" s="282"/>
    </row>
    <row r="671">
      <c r="C671" s="295"/>
      <c r="D671" s="295"/>
      <c r="E671" s="281"/>
      <c r="F671" s="282"/>
      <c r="G671" s="282"/>
      <c r="H671" s="282"/>
    </row>
    <row r="672">
      <c r="C672" s="295"/>
      <c r="D672" s="295"/>
      <c r="E672" s="281"/>
      <c r="F672" s="282"/>
      <c r="G672" s="282"/>
      <c r="H672" s="282"/>
    </row>
    <row r="673">
      <c r="C673" s="295"/>
      <c r="D673" s="295"/>
      <c r="E673" s="281"/>
      <c r="F673" s="282"/>
      <c r="G673" s="282"/>
      <c r="H673" s="282"/>
    </row>
    <row r="674">
      <c r="C674" s="295"/>
      <c r="D674" s="295"/>
      <c r="E674" s="281"/>
      <c r="F674" s="282"/>
      <c r="G674" s="282"/>
      <c r="H674" s="282"/>
    </row>
    <row r="675">
      <c r="C675" s="295"/>
      <c r="D675" s="295"/>
      <c r="E675" s="281"/>
      <c r="F675" s="282"/>
      <c r="G675" s="282"/>
      <c r="H675" s="282"/>
    </row>
    <row r="676">
      <c r="C676" s="295"/>
      <c r="D676" s="295"/>
      <c r="E676" s="281"/>
      <c r="F676" s="282"/>
      <c r="G676" s="282"/>
      <c r="H676" s="282"/>
    </row>
    <row r="677">
      <c r="C677" s="295"/>
      <c r="D677" s="295"/>
      <c r="E677" s="281"/>
      <c r="F677" s="282"/>
      <c r="G677" s="282"/>
      <c r="H677" s="282"/>
    </row>
    <row r="678">
      <c r="C678" s="295"/>
      <c r="D678" s="295"/>
      <c r="E678" s="281"/>
      <c r="F678" s="282"/>
      <c r="G678" s="282"/>
      <c r="H678" s="282"/>
    </row>
    <row r="679">
      <c r="C679" s="295"/>
      <c r="D679" s="295"/>
      <c r="E679" s="281"/>
      <c r="F679" s="282"/>
      <c r="G679" s="282"/>
      <c r="H679" s="282"/>
    </row>
    <row r="680">
      <c r="C680" s="295"/>
      <c r="D680" s="295"/>
      <c r="E680" s="281"/>
      <c r="F680" s="282"/>
      <c r="G680" s="282"/>
      <c r="H680" s="282"/>
    </row>
    <row r="681">
      <c r="C681" s="295"/>
      <c r="D681" s="295"/>
      <c r="E681" s="281"/>
      <c r="F681" s="282"/>
      <c r="G681" s="282"/>
      <c r="H681" s="282"/>
    </row>
    <row r="682">
      <c r="C682" s="295"/>
      <c r="D682" s="295"/>
      <c r="E682" s="281"/>
      <c r="F682" s="282"/>
      <c r="G682" s="282"/>
      <c r="H682" s="282"/>
    </row>
    <row r="683">
      <c r="C683" s="295"/>
      <c r="D683" s="295"/>
      <c r="E683" s="281"/>
      <c r="F683" s="282"/>
      <c r="G683" s="282"/>
      <c r="H683" s="282"/>
    </row>
    <row r="684">
      <c r="C684" s="295"/>
      <c r="D684" s="295"/>
      <c r="E684" s="281"/>
      <c r="F684" s="282"/>
      <c r="G684" s="282"/>
      <c r="H684" s="282"/>
    </row>
    <row r="685">
      <c r="C685" s="295"/>
      <c r="D685" s="295"/>
      <c r="E685" s="281"/>
      <c r="F685" s="282"/>
      <c r="G685" s="282"/>
      <c r="H685" s="282"/>
    </row>
    <row r="686">
      <c r="C686" s="295"/>
      <c r="D686" s="295"/>
      <c r="E686" s="281"/>
      <c r="F686" s="282"/>
      <c r="G686" s="282"/>
      <c r="H686" s="282"/>
    </row>
    <row r="687">
      <c r="C687" s="295"/>
      <c r="D687" s="295"/>
      <c r="E687" s="281"/>
      <c r="F687" s="282"/>
      <c r="G687" s="282"/>
      <c r="H687" s="282"/>
    </row>
    <row r="688">
      <c r="C688" s="295"/>
      <c r="D688" s="295"/>
      <c r="E688" s="281"/>
      <c r="F688" s="282"/>
      <c r="G688" s="282"/>
      <c r="H688" s="282"/>
    </row>
    <row r="689">
      <c r="C689" s="295"/>
      <c r="D689" s="295"/>
      <c r="E689" s="281"/>
      <c r="F689" s="282"/>
      <c r="G689" s="282"/>
      <c r="H689" s="282"/>
    </row>
    <row r="690">
      <c r="C690" s="295"/>
      <c r="D690" s="295"/>
      <c r="E690" s="281"/>
      <c r="F690" s="282"/>
      <c r="G690" s="282"/>
      <c r="H690" s="282"/>
    </row>
    <row r="691">
      <c r="C691" s="295"/>
      <c r="D691" s="295"/>
      <c r="E691" s="281"/>
      <c r="F691" s="282"/>
      <c r="G691" s="282"/>
      <c r="H691" s="282"/>
    </row>
    <row r="692">
      <c r="C692" s="295"/>
      <c r="D692" s="295"/>
      <c r="E692" s="281"/>
      <c r="F692" s="282"/>
      <c r="G692" s="282"/>
      <c r="H692" s="282"/>
    </row>
    <row r="693">
      <c r="C693" s="295"/>
      <c r="D693" s="295"/>
      <c r="E693" s="281"/>
      <c r="F693" s="282"/>
      <c r="G693" s="282"/>
      <c r="H693" s="282"/>
    </row>
    <row r="694">
      <c r="C694" s="295"/>
      <c r="D694" s="295"/>
      <c r="E694" s="281"/>
      <c r="F694" s="282"/>
      <c r="G694" s="282"/>
      <c r="H694" s="282"/>
    </row>
    <row r="695">
      <c r="C695" s="295"/>
      <c r="D695" s="295"/>
      <c r="E695" s="281"/>
      <c r="F695" s="282"/>
      <c r="G695" s="282"/>
      <c r="H695" s="282"/>
    </row>
    <row r="696">
      <c r="C696" s="295"/>
      <c r="D696" s="295"/>
      <c r="E696" s="281"/>
      <c r="F696" s="282"/>
      <c r="G696" s="282"/>
      <c r="H696" s="282"/>
    </row>
    <row r="697">
      <c r="C697" s="295"/>
      <c r="D697" s="295"/>
      <c r="E697" s="281"/>
      <c r="F697" s="282"/>
      <c r="G697" s="282"/>
      <c r="H697" s="282"/>
    </row>
    <row r="698">
      <c r="C698" s="295"/>
      <c r="D698" s="295"/>
      <c r="E698" s="281"/>
      <c r="F698" s="282"/>
      <c r="G698" s="282"/>
      <c r="H698" s="282"/>
    </row>
    <row r="699">
      <c r="C699" s="295"/>
      <c r="D699" s="295"/>
      <c r="E699" s="281"/>
      <c r="F699" s="282"/>
      <c r="G699" s="282"/>
      <c r="H699" s="282"/>
    </row>
    <row r="700">
      <c r="C700" s="295"/>
      <c r="D700" s="295"/>
      <c r="E700" s="281"/>
      <c r="F700" s="282"/>
      <c r="G700" s="282"/>
      <c r="H700" s="282"/>
    </row>
    <row r="701">
      <c r="C701" s="295"/>
      <c r="D701" s="295"/>
      <c r="E701" s="281"/>
      <c r="F701" s="282"/>
      <c r="G701" s="282"/>
      <c r="H701" s="282"/>
    </row>
    <row r="702">
      <c r="C702" s="295"/>
      <c r="D702" s="295"/>
      <c r="E702" s="281"/>
      <c r="F702" s="282"/>
      <c r="G702" s="282"/>
      <c r="H702" s="282"/>
    </row>
    <row r="703">
      <c r="C703" s="295"/>
      <c r="D703" s="295"/>
      <c r="E703" s="281"/>
      <c r="F703" s="282"/>
      <c r="G703" s="282"/>
      <c r="H703" s="282"/>
    </row>
    <row r="704">
      <c r="C704" s="295"/>
      <c r="D704" s="295"/>
      <c r="E704" s="281"/>
      <c r="F704" s="282"/>
      <c r="G704" s="282"/>
      <c r="H704" s="282"/>
    </row>
    <row r="705">
      <c r="C705" s="295"/>
      <c r="D705" s="295"/>
      <c r="E705" s="281"/>
      <c r="F705" s="282"/>
      <c r="G705" s="282"/>
      <c r="H705" s="282"/>
    </row>
    <row r="706">
      <c r="C706" s="295"/>
      <c r="D706" s="295"/>
      <c r="E706" s="281"/>
      <c r="F706" s="282"/>
      <c r="G706" s="282"/>
      <c r="H706" s="282"/>
    </row>
    <row r="707">
      <c r="C707" s="295"/>
      <c r="D707" s="295"/>
      <c r="E707" s="281"/>
      <c r="F707" s="282"/>
      <c r="G707" s="282"/>
      <c r="H707" s="282"/>
    </row>
    <row r="708">
      <c r="C708" s="295"/>
      <c r="D708" s="295"/>
      <c r="E708" s="281"/>
      <c r="F708" s="282"/>
      <c r="G708" s="282"/>
      <c r="H708" s="282"/>
    </row>
    <row r="709">
      <c r="C709" s="295"/>
      <c r="D709" s="295"/>
      <c r="E709" s="281"/>
      <c r="F709" s="282"/>
      <c r="G709" s="282"/>
      <c r="H709" s="282"/>
    </row>
    <row r="710">
      <c r="C710" s="295"/>
      <c r="D710" s="295"/>
      <c r="E710" s="281"/>
      <c r="F710" s="282"/>
      <c r="G710" s="282"/>
      <c r="H710" s="282"/>
    </row>
    <row r="711">
      <c r="C711" s="295"/>
      <c r="D711" s="295"/>
      <c r="E711" s="281"/>
      <c r="F711" s="282"/>
      <c r="G711" s="282"/>
      <c r="H711" s="282"/>
    </row>
    <row r="712">
      <c r="C712" s="295"/>
      <c r="D712" s="295"/>
      <c r="E712" s="281"/>
      <c r="F712" s="282"/>
      <c r="G712" s="282"/>
      <c r="H712" s="282"/>
    </row>
    <row r="713">
      <c r="C713" s="295"/>
      <c r="D713" s="295"/>
      <c r="E713" s="281"/>
      <c r="F713" s="282"/>
      <c r="G713" s="282"/>
      <c r="H713" s="282"/>
    </row>
    <row r="714">
      <c r="C714" s="295"/>
      <c r="D714" s="295"/>
      <c r="E714" s="281"/>
      <c r="F714" s="282"/>
      <c r="G714" s="282"/>
      <c r="H714" s="282"/>
    </row>
    <row r="715">
      <c r="C715" s="295"/>
      <c r="D715" s="295"/>
      <c r="E715" s="281"/>
      <c r="F715" s="282"/>
      <c r="G715" s="282"/>
      <c r="H715" s="282"/>
    </row>
    <row r="716">
      <c r="C716" s="295"/>
      <c r="D716" s="295"/>
      <c r="E716" s="281"/>
      <c r="F716" s="282"/>
      <c r="G716" s="282"/>
      <c r="H716" s="282"/>
    </row>
    <row r="717">
      <c r="C717" s="295"/>
      <c r="D717" s="295"/>
      <c r="E717" s="281"/>
      <c r="F717" s="282"/>
      <c r="G717" s="282"/>
      <c r="H717" s="282"/>
    </row>
    <row r="718">
      <c r="C718" s="295"/>
      <c r="D718" s="295"/>
      <c r="E718" s="281"/>
      <c r="F718" s="282"/>
      <c r="G718" s="282"/>
      <c r="H718" s="282"/>
    </row>
    <row r="719">
      <c r="C719" s="295"/>
      <c r="D719" s="295"/>
      <c r="E719" s="281"/>
      <c r="F719" s="282"/>
      <c r="G719" s="282"/>
      <c r="H719" s="282"/>
    </row>
    <row r="720">
      <c r="C720" s="295"/>
      <c r="D720" s="295"/>
      <c r="E720" s="281"/>
      <c r="F720" s="282"/>
      <c r="G720" s="282"/>
      <c r="H720" s="282"/>
    </row>
    <row r="721">
      <c r="C721" s="295"/>
      <c r="D721" s="295"/>
      <c r="E721" s="281"/>
      <c r="F721" s="282"/>
      <c r="G721" s="282"/>
      <c r="H721" s="282"/>
    </row>
    <row r="722">
      <c r="C722" s="295"/>
      <c r="D722" s="295"/>
      <c r="E722" s="281"/>
      <c r="F722" s="282"/>
      <c r="G722" s="282"/>
      <c r="H722" s="282"/>
    </row>
    <row r="723">
      <c r="C723" s="295"/>
      <c r="D723" s="295"/>
      <c r="E723" s="281"/>
      <c r="F723" s="282"/>
      <c r="G723" s="282"/>
      <c r="H723" s="282"/>
    </row>
    <row r="724">
      <c r="C724" s="295"/>
      <c r="D724" s="295"/>
      <c r="E724" s="281"/>
      <c r="F724" s="282"/>
      <c r="G724" s="282"/>
      <c r="H724" s="282"/>
    </row>
    <row r="725">
      <c r="C725" s="295"/>
      <c r="D725" s="295"/>
      <c r="E725" s="281"/>
      <c r="F725" s="282"/>
      <c r="G725" s="282"/>
      <c r="H725" s="282"/>
    </row>
    <row r="726">
      <c r="C726" s="295"/>
      <c r="D726" s="295"/>
      <c r="E726" s="281"/>
      <c r="F726" s="282"/>
      <c r="G726" s="282"/>
      <c r="H726" s="282"/>
    </row>
    <row r="727">
      <c r="C727" s="295"/>
      <c r="D727" s="295"/>
      <c r="E727" s="281"/>
      <c r="F727" s="282"/>
      <c r="G727" s="282"/>
      <c r="H727" s="282"/>
    </row>
    <row r="728">
      <c r="C728" s="295"/>
      <c r="D728" s="295"/>
      <c r="E728" s="281"/>
      <c r="F728" s="282"/>
      <c r="G728" s="282"/>
      <c r="H728" s="282"/>
    </row>
    <row r="729">
      <c r="C729" s="295"/>
      <c r="D729" s="295"/>
      <c r="E729" s="281"/>
      <c r="F729" s="282"/>
      <c r="G729" s="282"/>
      <c r="H729" s="282"/>
    </row>
    <row r="730">
      <c r="C730" s="295"/>
      <c r="D730" s="295"/>
      <c r="E730" s="281"/>
      <c r="F730" s="282"/>
      <c r="G730" s="282"/>
      <c r="H730" s="282"/>
    </row>
    <row r="731">
      <c r="C731" s="295"/>
      <c r="D731" s="295"/>
      <c r="E731" s="281"/>
      <c r="F731" s="282"/>
      <c r="G731" s="282"/>
      <c r="H731" s="282"/>
    </row>
    <row r="732">
      <c r="C732" s="295"/>
      <c r="D732" s="295"/>
      <c r="E732" s="281"/>
      <c r="F732" s="282"/>
      <c r="G732" s="282"/>
      <c r="H732" s="282"/>
    </row>
    <row r="733">
      <c r="C733" s="295"/>
      <c r="D733" s="295"/>
      <c r="E733" s="281"/>
      <c r="F733" s="282"/>
      <c r="G733" s="282"/>
      <c r="H733" s="282"/>
    </row>
    <row r="734">
      <c r="C734" s="295"/>
      <c r="D734" s="295"/>
      <c r="E734" s="281"/>
      <c r="F734" s="282"/>
      <c r="G734" s="282"/>
      <c r="H734" s="282"/>
    </row>
    <row r="735">
      <c r="C735" s="295"/>
      <c r="D735" s="295"/>
      <c r="E735" s="281"/>
      <c r="F735" s="282"/>
      <c r="G735" s="282"/>
      <c r="H735" s="282"/>
    </row>
    <row r="736">
      <c r="C736" s="295"/>
      <c r="D736" s="295"/>
      <c r="E736" s="281"/>
      <c r="F736" s="282"/>
      <c r="G736" s="282"/>
      <c r="H736" s="282"/>
    </row>
    <row r="737">
      <c r="C737" s="295"/>
      <c r="D737" s="295"/>
      <c r="E737" s="281"/>
      <c r="F737" s="282"/>
      <c r="G737" s="282"/>
      <c r="H737" s="282"/>
    </row>
    <row r="738">
      <c r="C738" s="295"/>
      <c r="D738" s="295"/>
      <c r="E738" s="281"/>
      <c r="F738" s="282"/>
      <c r="G738" s="282"/>
      <c r="H738" s="282"/>
    </row>
    <row r="739">
      <c r="C739" s="295"/>
      <c r="D739" s="295"/>
      <c r="E739" s="281"/>
      <c r="F739" s="282"/>
      <c r="G739" s="282"/>
      <c r="H739" s="282"/>
    </row>
    <row r="740">
      <c r="C740" s="295"/>
      <c r="D740" s="295"/>
      <c r="E740" s="281"/>
      <c r="F740" s="282"/>
      <c r="G740" s="282"/>
      <c r="H740" s="282"/>
    </row>
    <row r="741">
      <c r="C741" s="295"/>
      <c r="D741" s="295"/>
      <c r="E741" s="281"/>
      <c r="F741" s="282"/>
      <c r="G741" s="282"/>
      <c r="H741" s="282"/>
    </row>
    <row r="742">
      <c r="C742" s="295"/>
      <c r="D742" s="295"/>
      <c r="E742" s="281"/>
      <c r="F742" s="282"/>
      <c r="G742" s="282"/>
      <c r="H742" s="282"/>
    </row>
    <row r="743">
      <c r="C743" s="295"/>
      <c r="D743" s="295"/>
      <c r="E743" s="281"/>
      <c r="F743" s="282"/>
      <c r="G743" s="282"/>
      <c r="H743" s="282"/>
    </row>
    <row r="744">
      <c r="C744" s="295"/>
      <c r="D744" s="295"/>
      <c r="E744" s="281"/>
      <c r="F744" s="282"/>
      <c r="G744" s="282"/>
      <c r="H744" s="282"/>
    </row>
    <row r="745">
      <c r="C745" s="295"/>
      <c r="D745" s="295"/>
      <c r="E745" s="281"/>
      <c r="F745" s="282"/>
      <c r="G745" s="282"/>
      <c r="H745" s="282"/>
    </row>
    <row r="746">
      <c r="C746" s="295"/>
      <c r="D746" s="295"/>
      <c r="E746" s="281"/>
      <c r="F746" s="282"/>
      <c r="G746" s="282"/>
      <c r="H746" s="282"/>
    </row>
    <row r="747">
      <c r="C747" s="295"/>
      <c r="D747" s="295"/>
      <c r="E747" s="281"/>
      <c r="F747" s="282"/>
      <c r="G747" s="282"/>
      <c r="H747" s="282"/>
    </row>
    <row r="748">
      <c r="C748" s="295"/>
      <c r="D748" s="295"/>
      <c r="E748" s="281"/>
      <c r="F748" s="282"/>
      <c r="G748" s="282"/>
      <c r="H748" s="282"/>
    </row>
    <row r="749">
      <c r="C749" s="295"/>
      <c r="D749" s="295"/>
      <c r="E749" s="281"/>
      <c r="F749" s="282"/>
      <c r="G749" s="282"/>
      <c r="H749" s="282"/>
    </row>
    <row r="750">
      <c r="C750" s="295"/>
      <c r="D750" s="295"/>
      <c r="E750" s="281"/>
      <c r="F750" s="282"/>
      <c r="G750" s="282"/>
      <c r="H750" s="282"/>
    </row>
    <row r="751">
      <c r="C751" s="295"/>
      <c r="D751" s="295"/>
      <c r="E751" s="281"/>
      <c r="F751" s="282"/>
      <c r="G751" s="282"/>
      <c r="H751" s="282"/>
    </row>
    <row r="752">
      <c r="C752" s="295"/>
      <c r="D752" s="295"/>
      <c r="E752" s="281"/>
      <c r="F752" s="282"/>
      <c r="G752" s="282"/>
      <c r="H752" s="282"/>
    </row>
    <row r="753">
      <c r="C753" s="295"/>
      <c r="D753" s="295"/>
      <c r="E753" s="281"/>
      <c r="F753" s="282"/>
      <c r="G753" s="282"/>
      <c r="H753" s="282"/>
    </row>
    <row r="754">
      <c r="C754" s="295"/>
      <c r="D754" s="295"/>
      <c r="E754" s="281"/>
      <c r="F754" s="282"/>
      <c r="G754" s="282"/>
      <c r="H754" s="282"/>
    </row>
    <row r="755">
      <c r="C755" s="295"/>
      <c r="D755" s="295"/>
      <c r="E755" s="281"/>
      <c r="F755" s="282"/>
      <c r="G755" s="282"/>
      <c r="H755" s="282"/>
    </row>
    <row r="756">
      <c r="C756" s="295"/>
      <c r="D756" s="295"/>
      <c r="E756" s="281"/>
      <c r="F756" s="282"/>
      <c r="G756" s="282"/>
      <c r="H756" s="282"/>
    </row>
    <row r="757">
      <c r="C757" s="295"/>
      <c r="D757" s="295"/>
      <c r="E757" s="281"/>
      <c r="F757" s="282"/>
      <c r="G757" s="282"/>
      <c r="H757" s="282"/>
    </row>
    <row r="758">
      <c r="C758" s="295"/>
      <c r="D758" s="295"/>
      <c r="E758" s="281"/>
      <c r="F758" s="282"/>
      <c r="G758" s="282"/>
      <c r="H758" s="282"/>
    </row>
    <row r="759">
      <c r="C759" s="295"/>
      <c r="D759" s="295"/>
      <c r="E759" s="281"/>
      <c r="F759" s="282"/>
      <c r="G759" s="282"/>
      <c r="H759" s="282"/>
    </row>
    <row r="760">
      <c r="C760" s="295"/>
      <c r="D760" s="295"/>
      <c r="E760" s="281"/>
      <c r="F760" s="282"/>
      <c r="G760" s="282"/>
      <c r="H760" s="282"/>
    </row>
    <row r="761">
      <c r="C761" s="295"/>
      <c r="D761" s="295"/>
      <c r="E761" s="281"/>
      <c r="F761" s="282"/>
      <c r="G761" s="282"/>
      <c r="H761" s="282"/>
    </row>
    <row r="762">
      <c r="C762" s="295"/>
      <c r="D762" s="295"/>
      <c r="E762" s="281"/>
      <c r="F762" s="282"/>
      <c r="G762" s="282"/>
      <c r="H762" s="282"/>
    </row>
    <row r="763">
      <c r="C763" s="295"/>
      <c r="D763" s="295"/>
      <c r="E763" s="281"/>
      <c r="F763" s="282"/>
      <c r="G763" s="282"/>
      <c r="H763" s="282"/>
    </row>
    <row r="764">
      <c r="C764" s="295"/>
      <c r="D764" s="295"/>
      <c r="E764" s="281"/>
      <c r="F764" s="282"/>
      <c r="G764" s="282"/>
      <c r="H764" s="282"/>
    </row>
    <row r="765">
      <c r="C765" s="295"/>
      <c r="D765" s="295"/>
      <c r="E765" s="281"/>
      <c r="F765" s="282"/>
      <c r="G765" s="282"/>
      <c r="H765" s="282"/>
    </row>
    <row r="766">
      <c r="C766" s="295"/>
      <c r="D766" s="295"/>
      <c r="E766" s="281"/>
      <c r="F766" s="282"/>
      <c r="G766" s="282"/>
      <c r="H766" s="282"/>
    </row>
    <row r="767">
      <c r="C767" s="295"/>
      <c r="D767" s="295"/>
      <c r="E767" s="281"/>
      <c r="F767" s="282"/>
      <c r="G767" s="282"/>
      <c r="H767" s="282"/>
    </row>
    <row r="768">
      <c r="C768" s="295"/>
      <c r="D768" s="295"/>
      <c r="E768" s="281"/>
      <c r="F768" s="282"/>
      <c r="G768" s="282"/>
      <c r="H768" s="282"/>
    </row>
    <row r="769">
      <c r="C769" s="295"/>
      <c r="D769" s="295"/>
      <c r="E769" s="281"/>
      <c r="F769" s="282"/>
      <c r="G769" s="282"/>
      <c r="H769" s="282"/>
    </row>
    <row r="770">
      <c r="C770" s="295"/>
      <c r="D770" s="295"/>
      <c r="E770" s="281"/>
      <c r="F770" s="282"/>
      <c r="G770" s="282"/>
      <c r="H770" s="282"/>
    </row>
    <row r="771">
      <c r="C771" s="295"/>
      <c r="D771" s="295"/>
      <c r="E771" s="281"/>
      <c r="F771" s="282"/>
      <c r="G771" s="282"/>
      <c r="H771" s="282"/>
    </row>
    <row r="772">
      <c r="C772" s="295"/>
      <c r="D772" s="295"/>
      <c r="E772" s="281"/>
      <c r="F772" s="282"/>
      <c r="G772" s="282"/>
      <c r="H772" s="282"/>
    </row>
    <row r="773">
      <c r="C773" s="295"/>
      <c r="D773" s="295"/>
      <c r="E773" s="281"/>
      <c r="F773" s="282"/>
      <c r="G773" s="282"/>
      <c r="H773" s="282"/>
    </row>
    <row r="774">
      <c r="C774" s="295"/>
      <c r="D774" s="295"/>
      <c r="E774" s="281"/>
      <c r="F774" s="282"/>
      <c r="G774" s="282"/>
      <c r="H774" s="282"/>
    </row>
    <row r="775">
      <c r="C775" s="295"/>
      <c r="D775" s="295"/>
      <c r="E775" s="281"/>
      <c r="F775" s="282"/>
      <c r="G775" s="282"/>
      <c r="H775" s="282"/>
    </row>
    <row r="776">
      <c r="C776" s="295"/>
      <c r="D776" s="295"/>
      <c r="E776" s="281"/>
      <c r="F776" s="282"/>
      <c r="G776" s="282"/>
      <c r="H776" s="282"/>
    </row>
    <row r="777">
      <c r="C777" s="295"/>
      <c r="D777" s="295"/>
      <c r="E777" s="281"/>
      <c r="F777" s="282"/>
      <c r="G777" s="282"/>
      <c r="H777" s="282"/>
    </row>
    <row r="778">
      <c r="C778" s="295"/>
      <c r="D778" s="295"/>
      <c r="E778" s="281"/>
      <c r="F778" s="282"/>
      <c r="G778" s="282"/>
      <c r="H778" s="282"/>
    </row>
    <row r="779">
      <c r="C779" s="295"/>
      <c r="D779" s="295"/>
      <c r="E779" s="281"/>
      <c r="F779" s="282"/>
      <c r="G779" s="282"/>
      <c r="H779" s="282"/>
    </row>
    <row r="780">
      <c r="C780" s="295"/>
      <c r="D780" s="295"/>
      <c r="E780" s="281"/>
      <c r="F780" s="282"/>
      <c r="G780" s="282"/>
      <c r="H780" s="282"/>
    </row>
    <row r="781">
      <c r="C781" s="295"/>
      <c r="D781" s="295"/>
      <c r="E781" s="281"/>
      <c r="F781" s="282"/>
      <c r="G781" s="282"/>
      <c r="H781" s="282"/>
    </row>
    <row r="782">
      <c r="C782" s="295"/>
      <c r="D782" s="295"/>
      <c r="E782" s="281"/>
      <c r="F782" s="282"/>
      <c r="G782" s="282"/>
      <c r="H782" s="282"/>
    </row>
    <row r="783">
      <c r="C783" s="295"/>
      <c r="D783" s="295"/>
      <c r="E783" s="281"/>
      <c r="F783" s="282"/>
      <c r="G783" s="282"/>
      <c r="H783" s="282"/>
    </row>
    <row r="784">
      <c r="C784" s="295"/>
      <c r="D784" s="295"/>
      <c r="E784" s="281"/>
      <c r="F784" s="282"/>
      <c r="G784" s="282"/>
      <c r="H784" s="282"/>
    </row>
    <row r="785">
      <c r="C785" s="295"/>
      <c r="D785" s="295"/>
      <c r="E785" s="281"/>
      <c r="F785" s="282"/>
      <c r="G785" s="282"/>
      <c r="H785" s="282"/>
    </row>
    <row r="786">
      <c r="C786" s="295"/>
      <c r="D786" s="295"/>
      <c r="E786" s="281"/>
      <c r="F786" s="282"/>
      <c r="G786" s="282"/>
      <c r="H786" s="282"/>
    </row>
    <row r="787">
      <c r="C787" s="295"/>
      <c r="D787" s="295"/>
      <c r="E787" s="281"/>
      <c r="F787" s="282"/>
      <c r="G787" s="282"/>
      <c r="H787" s="282"/>
    </row>
    <row r="788">
      <c r="C788" s="295"/>
      <c r="D788" s="295"/>
      <c r="E788" s="281"/>
      <c r="F788" s="282"/>
      <c r="G788" s="282"/>
      <c r="H788" s="282"/>
    </row>
    <row r="789">
      <c r="C789" s="295"/>
      <c r="D789" s="295"/>
      <c r="E789" s="281"/>
      <c r="F789" s="282"/>
      <c r="G789" s="282"/>
      <c r="H789" s="282"/>
    </row>
    <row r="790">
      <c r="C790" s="295"/>
      <c r="D790" s="295"/>
      <c r="E790" s="281"/>
      <c r="F790" s="282"/>
      <c r="G790" s="282"/>
      <c r="H790" s="282"/>
    </row>
    <row r="791">
      <c r="C791" s="295"/>
      <c r="D791" s="295"/>
      <c r="E791" s="281"/>
      <c r="F791" s="282"/>
      <c r="G791" s="282"/>
      <c r="H791" s="282"/>
    </row>
    <row r="792">
      <c r="C792" s="295"/>
      <c r="D792" s="295"/>
      <c r="E792" s="281"/>
      <c r="F792" s="282"/>
      <c r="G792" s="282"/>
      <c r="H792" s="282"/>
    </row>
    <row r="793">
      <c r="C793" s="295"/>
      <c r="D793" s="295"/>
      <c r="E793" s="281"/>
      <c r="F793" s="282"/>
      <c r="G793" s="282"/>
      <c r="H793" s="282"/>
    </row>
    <row r="794">
      <c r="C794" s="295"/>
      <c r="D794" s="295"/>
      <c r="E794" s="281"/>
      <c r="F794" s="282"/>
      <c r="G794" s="282"/>
      <c r="H794" s="282"/>
    </row>
    <row r="795">
      <c r="C795" s="295"/>
      <c r="D795" s="295"/>
      <c r="E795" s="281"/>
      <c r="F795" s="282"/>
      <c r="G795" s="282"/>
      <c r="H795" s="282"/>
    </row>
    <row r="796">
      <c r="C796" s="295"/>
      <c r="D796" s="295"/>
      <c r="E796" s="281"/>
      <c r="F796" s="282"/>
      <c r="G796" s="282"/>
      <c r="H796" s="282"/>
    </row>
    <row r="797">
      <c r="C797" s="295"/>
      <c r="D797" s="295"/>
      <c r="E797" s="281"/>
      <c r="F797" s="282"/>
      <c r="G797" s="282"/>
      <c r="H797" s="282"/>
    </row>
    <row r="798">
      <c r="C798" s="295"/>
      <c r="D798" s="295"/>
      <c r="E798" s="281"/>
      <c r="F798" s="282"/>
      <c r="G798" s="282"/>
      <c r="H798" s="282"/>
    </row>
    <row r="799">
      <c r="C799" s="295"/>
      <c r="D799" s="295"/>
      <c r="E799" s="281"/>
      <c r="F799" s="282"/>
      <c r="G799" s="282"/>
      <c r="H799" s="282"/>
    </row>
    <row r="800">
      <c r="C800" s="295"/>
      <c r="D800" s="295"/>
      <c r="E800" s="281"/>
      <c r="F800" s="282"/>
      <c r="G800" s="282"/>
      <c r="H800" s="282"/>
    </row>
    <row r="801">
      <c r="C801" s="295"/>
      <c r="D801" s="295"/>
      <c r="E801" s="281"/>
      <c r="F801" s="282"/>
      <c r="G801" s="282"/>
      <c r="H801" s="282"/>
    </row>
    <row r="802">
      <c r="C802" s="295"/>
      <c r="D802" s="295"/>
      <c r="E802" s="281"/>
      <c r="F802" s="282"/>
      <c r="G802" s="282"/>
      <c r="H802" s="282"/>
    </row>
    <row r="803">
      <c r="C803" s="295"/>
      <c r="D803" s="295"/>
      <c r="E803" s="281"/>
      <c r="F803" s="282"/>
      <c r="G803" s="282"/>
      <c r="H803" s="282"/>
    </row>
    <row r="804">
      <c r="C804" s="295"/>
      <c r="D804" s="295"/>
      <c r="E804" s="281"/>
      <c r="F804" s="282"/>
      <c r="G804" s="282"/>
      <c r="H804" s="282"/>
    </row>
    <row r="805">
      <c r="C805" s="295"/>
      <c r="D805" s="295"/>
      <c r="E805" s="281"/>
      <c r="F805" s="282"/>
      <c r="G805" s="282"/>
      <c r="H805" s="282"/>
    </row>
    <row r="806">
      <c r="C806" s="295"/>
      <c r="D806" s="295"/>
      <c r="E806" s="281"/>
      <c r="F806" s="282"/>
      <c r="G806" s="282"/>
      <c r="H806" s="282"/>
    </row>
    <row r="807">
      <c r="C807" s="295"/>
      <c r="D807" s="295"/>
      <c r="E807" s="281"/>
      <c r="F807" s="282"/>
      <c r="G807" s="282"/>
      <c r="H807" s="282"/>
    </row>
    <row r="808">
      <c r="C808" s="295"/>
      <c r="D808" s="295"/>
      <c r="E808" s="281"/>
      <c r="F808" s="282"/>
      <c r="G808" s="282"/>
      <c r="H808" s="282"/>
    </row>
    <row r="809">
      <c r="C809" s="295"/>
      <c r="D809" s="295"/>
      <c r="E809" s="281"/>
      <c r="F809" s="282"/>
      <c r="G809" s="282"/>
      <c r="H809" s="282"/>
    </row>
    <row r="810">
      <c r="C810" s="295"/>
      <c r="D810" s="295"/>
      <c r="E810" s="281"/>
      <c r="F810" s="282"/>
      <c r="G810" s="282"/>
      <c r="H810" s="282"/>
    </row>
    <row r="811">
      <c r="C811" s="295"/>
      <c r="D811" s="295"/>
      <c r="E811" s="281"/>
      <c r="F811" s="282"/>
      <c r="G811" s="282"/>
      <c r="H811" s="282"/>
    </row>
    <row r="812">
      <c r="C812" s="295"/>
      <c r="D812" s="295"/>
      <c r="E812" s="281"/>
      <c r="F812" s="282"/>
      <c r="G812" s="282"/>
      <c r="H812" s="282"/>
    </row>
    <row r="813">
      <c r="C813" s="295"/>
      <c r="D813" s="295"/>
      <c r="E813" s="281"/>
      <c r="F813" s="282"/>
      <c r="G813" s="282"/>
      <c r="H813" s="282"/>
    </row>
    <row r="814">
      <c r="C814" s="295"/>
      <c r="D814" s="295"/>
      <c r="E814" s="281"/>
      <c r="F814" s="282"/>
      <c r="G814" s="282"/>
      <c r="H814" s="282"/>
    </row>
    <row r="815">
      <c r="C815" s="295"/>
      <c r="D815" s="295"/>
      <c r="E815" s="281"/>
      <c r="F815" s="282"/>
      <c r="G815" s="282"/>
      <c r="H815" s="282"/>
    </row>
    <row r="816">
      <c r="C816" s="295"/>
      <c r="D816" s="295"/>
      <c r="E816" s="281"/>
      <c r="F816" s="282"/>
      <c r="G816" s="282"/>
      <c r="H816" s="282"/>
    </row>
    <row r="817">
      <c r="C817" s="295"/>
      <c r="D817" s="295"/>
      <c r="E817" s="281"/>
      <c r="F817" s="282"/>
      <c r="G817" s="282"/>
      <c r="H817" s="282"/>
    </row>
    <row r="818">
      <c r="C818" s="295"/>
      <c r="D818" s="295"/>
      <c r="E818" s="281"/>
      <c r="F818" s="282"/>
      <c r="G818" s="282"/>
      <c r="H818" s="282"/>
    </row>
    <row r="819">
      <c r="C819" s="295"/>
      <c r="D819" s="295"/>
      <c r="E819" s="281"/>
      <c r="F819" s="282"/>
      <c r="G819" s="282"/>
      <c r="H819" s="282"/>
    </row>
    <row r="820">
      <c r="C820" s="295"/>
      <c r="D820" s="295"/>
      <c r="E820" s="281"/>
      <c r="F820" s="282"/>
      <c r="G820" s="282"/>
      <c r="H820" s="282"/>
    </row>
    <row r="821">
      <c r="C821" s="295"/>
      <c r="D821" s="295"/>
      <c r="E821" s="281"/>
      <c r="F821" s="282"/>
      <c r="G821" s="282"/>
      <c r="H821" s="282"/>
    </row>
    <row r="822">
      <c r="C822" s="295"/>
      <c r="D822" s="295"/>
      <c r="E822" s="281"/>
      <c r="F822" s="282"/>
      <c r="G822" s="282"/>
      <c r="H822" s="282"/>
    </row>
    <row r="823">
      <c r="C823" s="295"/>
      <c r="D823" s="295"/>
      <c r="E823" s="281"/>
      <c r="F823" s="282"/>
      <c r="G823" s="282"/>
      <c r="H823" s="282"/>
    </row>
    <row r="824">
      <c r="C824" s="295"/>
      <c r="D824" s="295"/>
      <c r="E824" s="281"/>
      <c r="F824" s="282"/>
      <c r="G824" s="282"/>
      <c r="H824" s="282"/>
    </row>
    <row r="825">
      <c r="C825" s="295"/>
      <c r="D825" s="295"/>
      <c r="E825" s="281"/>
      <c r="F825" s="282"/>
      <c r="G825" s="282"/>
      <c r="H825" s="282"/>
    </row>
    <row r="826">
      <c r="C826" s="295"/>
      <c r="D826" s="295"/>
      <c r="E826" s="281"/>
      <c r="F826" s="282"/>
      <c r="G826" s="282"/>
      <c r="H826" s="282"/>
    </row>
    <row r="827">
      <c r="C827" s="295"/>
      <c r="D827" s="295"/>
      <c r="E827" s="281"/>
      <c r="F827" s="282"/>
      <c r="G827" s="282"/>
      <c r="H827" s="282"/>
    </row>
    <row r="828">
      <c r="C828" s="295"/>
      <c r="D828" s="295"/>
      <c r="E828" s="281"/>
      <c r="F828" s="282"/>
      <c r="G828" s="282"/>
      <c r="H828" s="282"/>
    </row>
    <row r="829">
      <c r="C829" s="295"/>
      <c r="D829" s="295"/>
      <c r="E829" s="281"/>
      <c r="F829" s="282"/>
      <c r="G829" s="282"/>
      <c r="H829" s="282"/>
    </row>
    <row r="830">
      <c r="C830" s="295"/>
      <c r="D830" s="295"/>
      <c r="E830" s="281"/>
      <c r="F830" s="282"/>
      <c r="G830" s="282"/>
      <c r="H830" s="282"/>
    </row>
    <row r="831">
      <c r="C831" s="295"/>
      <c r="D831" s="295"/>
      <c r="E831" s="281"/>
      <c r="F831" s="282"/>
      <c r="G831" s="282"/>
      <c r="H831" s="282"/>
    </row>
    <row r="832">
      <c r="C832" s="295"/>
      <c r="D832" s="295"/>
      <c r="E832" s="281"/>
      <c r="F832" s="282"/>
      <c r="G832" s="282"/>
      <c r="H832" s="282"/>
    </row>
    <row r="833">
      <c r="C833" s="295"/>
      <c r="D833" s="295"/>
      <c r="E833" s="281"/>
      <c r="F833" s="282"/>
      <c r="G833" s="282"/>
      <c r="H833" s="282"/>
    </row>
    <row r="834">
      <c r="C834" s="295"/>
      <c r="D834" s="295"/>
      <c r="E834" s="281"/>
      <c r="F834" s="282"/>
      <c r="G834" s="282"/>
      <c r="H834" s="282"/>
    </row>
    <row r="835">
      <c r="C835" s="295"/>
      <c r="D835" s="295"/>
      <c r="E835" s="281"/>
      <c r="F835" s="282"/>
      <c r="G835" s="282"/>
      <c r="H835" s="282"/>
    </row>
    <row r="836">
      <c r="C836" s="295"/>
      <c r="D836" s="295"/>
      <c r="E836" s="281"/>
      <c r="F836" s="282"/>
      <c r="G836" s="282"/>
      <c r="H836" s="282"/>
    </row>
    <row r="837">
      <c r="C837" s="295"/>
      <c r="D837" s="295"/>
      <c r="E837" s="281"/>
      <c r="F837" s="282"/>
      <c r="G837" s="282"/>
      <c r="H837" s="282"/>
    </row>
    <row r="838">
      <c r="C838" s="295"/>
      <c r="D838" s="295"/>
      <c r="E838" s="281"/>
      <c r="F838" s="282"/>
      <c r="G838" s="282"/>
      <c r="H838" s="282"/>
    </row>
    <row r="839">
      <c r="C839" s="295"/>
      <c r="D839" s="295"/>
      <c r="E839" s="281"/>
      <c r="F839" s="282"/>
      <c r="G839" s="282"/>
      <c r="H839" s="282"/>
    </row>
    <row r="840">
      <c r="C840" s="295"/>
      <c r="D840" s="295"/>
      <c r="E840" s="281"/>
      <c r="F840" s="282"/>
      <c r="G840" s="282"/>
      <c r="H840" s="282"/>
    </row>
    <row r="841">
      <c r="C841" s="295"/>
      <c r="D841" s="295"/>
      <c r="E841" s="281"/>
      <c r="F841" s="282"/>
      <c r="G841" s="282"/>
      <c r="H841" s="282"/>
    </row>
    <row r="842">
      <c r="C842" s="295"/>
      <c r="D842" s="295"/>
      <c r="E842" s="281"/>
      <c r="F842" s="282"/>
      <c r="G842" s="282"/>
      <c r="H842" s="282"/>
    </row>
    <row r="843">
      <c r="C843" s="295"/>
      <c r="D843" s="295"/>
      <c r="E843" s="281"/>
      <c r="F843" s="282"/>
      <c r="G843" s="282"/>
      <c r="H843" s="282"/>
    </row>
    <row r="844">
      <c r="C844" s="295"/>
      <c r="D844" s="295"/>
      <c r="E844" s="281"/>
      <c r="F844" s="282"/>
      <c r="G844" s="282"/>
      <c r="H844" s="282"/>
    </row>
    <row r="845">
      <c r="C845" s="295"/>
      <c r="D845" s="295"/>
      <c r="E845" s="281"/>
      <c r="F845" s="282"/>
      <c r="G845" s="282"/>
      <c r="H845" s="282"/>
    </row>
    <row r="846">
      <c r="C846" s="295"/>
      <c r="D846" s="295"/>
      <c r="E846" s="281"/>
      <c r="F846" s="282"/>
      <c r="G846" s="282"/>
      <c r="H846" s="282"/>
    </row>
    <row r="847">
      <c r="C847" s="295"/>
      <c r="D847" s="295"/>
      <c r="E847" s="281"/>
      <c r="F847" s="282"/>
      <c r="G847" s="282"/>
      <c r="H847" s="282"/>
    </row>
    <row r="848">
      <c r="C848" s="295"/>
      <c r="D848" s="295"/>
      <c r="E848" s="281"/>
      <c r="F848" s="282"/>
      <c r="G848" s="282"/>
      <c r="H848" s="282"/>
    </row>
    <row r="849">
      <c r="C849" s="295"/>
      <c r="D849" s="295"/>
      <c r="E849" s="281"/>
      <c r="F849" s="282"/>
      <c r="G849" s="282"/>
      <c r="H849" s="282"/>
    </row>
    <row r="850">
      <c r="C850" s="295"/>
      <c r="D850" s="295"/>
      <c r="E850" s="281"/>
      <c r="F850" s="282"/>
      <c r="G850" s="282"/>
      <c r="H850" s="282"/>
    </row>
    <row r="851">
      <c r="C851" s="295"/>
      <c r="D851" s="295"/>
      <c r="E851" s="281"/>
      <c r="F851" s="282"/>
      <c r="G851" s="282"/>
      <c r="H851" s="282"/>
    </row>
    <row r="852">
      <c r="C852" s="295"/>
      <c r="D852" s="295"/>
      <c r="E852" s="281"/>
      <c r="F852" s="282"/>
      <c r="G852" s="282"/>
      <c r="H852" s="282"/>
    </row>
    <row r="853">
      <c r="C853" s="295"/>
      <c r="D853" s="295"/>
      <c r="E853" s="281"/>
      <c r="F853" s="282"/>
      <c r="G853" s="282"/>
      <c r="H853" s="282"/>
    </row>
    <row r="854">
      <c r="C854" s="295"/>
      <c r="D854" s="295"/>
      <c r="E854" s="281"/>
      <c r="F854" s="282"/>
      <c r="G854" s="282"/>
      <c r="H854" s="282"/>
    </row>
    <row r="855">
      <c r="C855" s="295"/>
      <c r="D855" s="295"/>
      <c r="E855" s="281"/>
      <c r="F855" s="282"/>
      <c r="G855" s="282"/>
      <c r="H855" s="282"/>
    </row>
    <row r="856">
      <c r="C856" s="295"/>
      <c r="D856" s="295"/>
      <c r="E856" s="281"/>
      <c r="F856" s="282"/>
      <c r="G856" s="282"/>
      <c r="H856" s="282"/>
    </row>
    <row r="857">
      <c r="C857" s="295"/>
      <c r="D857" s="295"/>
      <c r="E857" s="281"/>
      <c r="F857" s="282"/>
      <c r="G857" s="282"/>
      <c r="H857" s="282"/>
    </row>
    <row r="858">
      <c r="C858" s="295"/>
      <c r="D858" s="295"/>
      <c r="E858" s="281"/>
      <c r="F858" s="282"/>
      <c r="G858" s="282"/>
      <c r="H858" s="282"/>
    </row>
    <row r="859">
      <c r="C859" s="295"/>
      <c r="D859" s="295"/>
      <c r="E859" s="281"/>
      <c r="F859" s="282"/>
      <c r="G859" s="282"/>
      <c r="H859" s="282"/>
    </row>
    <row r="860">
      <c r="C860" s="295"/>
      <c r="D860" s="295"/>
      <c r="E860" s="281"/>
      <c r="F860" s="282"/>
      <c r="G860" s="282"/>
      <c r="H860" s="282"/>
    </row>
    <row r="861">
      <c r="C861" s="295"/>
      <c r="D861" s="295"/>
      <c r="E861" s="281"/>
      <c r="F861" s="282"/>
      <c r="G861" s="282"/>
      <c r="H861" s="282"/>
    </row>
    <row r="862">
      <c r="C862" s="295"/>
      <c r="D862" s="295"/>
      <c r="E862" s="281"/>
      <c r="F862" s="282"/>
      <c r="G862" s="282"/>
      <c r="H862" s="282"/>
    </row>
    <row r="863">
      <c r="C863" s="295"/>
      <c r="D863" s="295"/>
      <c r="E863" s="281"/>
      <c r="F863" s="282"/>
      <c r="G863" s="282"/>
      <c r="H863" s="282"/>
    </row>
    <row r="864">
      <c r="C864" s="295"/>
      <c r="D864" s="295"/>
      <c r="E864" s="281"/>
      <c r="F864" s="282"/>
      <c r="G864" s="282"/>
      <c r="H864" s="282"/>
    </row>
    <row r="865">
      <c r="C865" s="295"/>
      <c r="D865" s="295"/>
      <c r="E865" s="281"/>
      <c r="F865" s="282"/>
      <c r="G865" s="282"/>
      <c r="H865" s="282"/>
    </row>
    <row r="866">
      <c r="C866" s="295"/>
      <c r="D866" s="295"/>
      <c r="E866" s="281"/>
      <c r="F866" s="282"/>
      <c r="G866" s="282"/>
      <c r="H866" s="282"/>
    </row>
    <row r="867">
      <c r="C867" s="295"/>
      <c r="D867" s="295"/>
      <c r="E867" s="281"/>
      <c r="F867" s="282"/>
      <c r="G867" s="282"/>
      <c r="H867" s="282"/>
    </row>
    <row r="868">
      <c r="C868" s="295"/>
      <c r="D868" s="295"/>
      <c r="E868" s="281"/>
      <c r="F868" s="282"/>
      <c r="G868" s="282"/>
      <c r="H868" s="282"/>
    </row>
    <row r="869">
      <c r="C869" s="295"/>
      <c r="D869" s="295"/>
      <c r="E869" s="281"/>
      <c r="F869" s="282"/>
      <c r="G869" s="282"/>
      <c r="H869" s="282"/>
    </row>
    <row r="870">
      <c r="C870" s="295"/>
      <c r="D870" s="295"/>
      <c r="E870" s="281"/>
      <c r="F870" s="282"/>
      <c r="G870" s="282"/>
      <c r="H870" s="282"/>
    </row>
    <row r="871">
      <c r="C871" s="295"/>
      <c r="D871" s="295"/>
      <c r="E871" s="281"/>
      <c r="F871" s="282"/>
      <c r="G871" s="282"/>
      <c r="H871" s="282"/>
    </row>
    <row r="872">
      <c r="C872" s="295"/>
      <c r="D872" s="295"/>
      <c r="E872" s="281"/>
      <c r="F872" s="282"/>
      <c r="G872" s="282"/>
      <c r="H872" s="282"/>
    </row>
    <row r="873">
      <c r="C873" s="295"/>
      <c r="D873" s="295"/>
      <c r="E873" s="281"/>
      <c r="F873" s="282"/>
      <c r="G873" s="282"/>
      <c r="H873" s="282"/>
    </row>
    <row r="874">
      <c r="C874" s="295"/>
      <c r="D874" s="295"/>
      <c r="E874" s="281"/>
      <c r="F874" s="282"/>
      <c r="G874" s="282"/>
      <c r="H874" s="282"/>
    </row>
    <row r="875">
      <c r="C875" s="295"/>
      <c r="D875" s="295"/>
      <c r="E875" s="281"/>
      <c r="F875" s="282"/>
      <c r="G875" s="282"/>
      <c r="H875" s="282"/>
    </row>
    <row r="876">
      <c r="C876" s="295"/>
      <c r="D876" s="295"/>
      <c r="E876" s="281"/>
      <c r="F876" s="282"/>
      <c r="G876" s="282"/>
      <c r="H876" s="282"/>
    </row>
    <row r="877">
      <c r="C877" s="295"/>
      <c r="D877" s="295"/>
      <c r="E877" s="281"/>
      <c r="F877" s="282"/>
      <c r="G877" s="282"/>
      <c r="H877" s="282"/>
    </row>
    <row r="878">
      <c r="C878" s="295"/>
      <c r="D878" s="295"/>
      <c r="E878" s="281"/>
      <c r="F878" s="282"/>
      <c r="G878" s="282"/>
      <c r="H878" s="282"/>
    </row>
    <row r="879">
      <c r="C879" s="295"/>
      <c r="D879" s="295"/>
      <c r="E879" s="281"/>
      <c r="F879" s="282"/>
      <c r="G879" s="282"/>
      <c r="H879" s="282"/>
    </row>
    <row r="880">
      <c r="C880" s="295"/>
      <c r="D880" s="295"/>
      <c r="E880" s="281"/>
      <c r="F880" s="282"/>
      <c r="G880" s="282"/>
      <c r="H880" s="282"/>
    </row>
    <row r="881">
      <c r="C881" s="295"/>
      <c r="D881" s="295"/>
      <c r="E881" s="281"/>
      <c r="F881" s="282"/>
      <c r="G881" s="282"/>
      <c r="H881" s="282"/>
    </row>
    <row r="882">
      <c r="C882" s="295"/>
      <c r="D882" s="295"/>
      <c r="E882" s="281"/>
      <c r="F882" s="282"/>
      <c r="G882" s="282"/>
      <c r="H882" s="282"/>
    </row>
    <row r="883">
      <c r="C883" s="295"/>
      <c r="D883" s="295"/>
      <c r="E883" s="281"/>
      <c r="F883" s="282"/>
      <c r="G883" s="282"/>
      <c r="H883" s="282"/>
    </row>
    <row r="884">
      <c r="C884" s="295"/>
      <c r="D884" s="295"/>
      <c r="E884" s="281"/>
      <c r="F884" s="282"/>
      <c r="G884" s="282"/>
      <c r="H884" s="282"/>
    </row>
    <row r="885">
      <c r="C885" s="295"/>
      <c r="D885" s="295"/>
      <c r="E885" s="281"/>
      <c r="F885" s="282"/>
      <c r="G885" s="282"/>
      <c r="H885" s="282"/>
    </row>
    <row r="886">
      <c r="C886" s="295"/>
      <c r="D886" s="295"/>
      <c r="E886" s="281"/>
      <c r="F886" s="282"/>
      <c r="G886" s="282"/>
      <c r="H886" s="282"/>
    </row>
    <row r="887">
      <c r="C887" s="295"/>
      <c r="D887" s="295"/>
      <c r="E887" s="281"/>
      <c r="F887" s="282"/>
      <c r="G887" s="282"/>
      <c r="H887" s="282"/>
    </row>
    <row r="888">
      <c r="C888" s="295"/>
      <c r="D888" s="295"/>
      <c r="E888" s="281"/>
      <c r="F888" s="282"/>
      <c r="G888" s="282"/>
      <c r="H888" s="282"/>
    </row>
    <row r="889">
      <c r="C889" s="295"/>
      <c r="D889" s="295"/>
      <c r="E889" s="281"/>
      <c r="F889" s="282"/>
      <c r="G889" s="282"/>
      <c r="H889" s="282"/>
    </row>
    <row r="890">
      <c r="C890" s="295"/>
      <c r="D890" s="295"/>
      <c r="E890" s="281"/>
      <c r="F890" s="282"/>
      <c r="G890" s="282"/>
      <c r="H890" s="282"/>
    </row>
    <row r="891">
      <c r="C891" s="295"/>
      <c r="D891" s="295"/>
      <c r="E891" s="281"/>
      <c r="F891" s="282"/>
      <c r="G891" s="282"/>
      <c r="H891" s="282"/>
    </row>
    <row r="892">
      <c r="C892" s="295"/>
      <c r="D892" s="295"/>
      <c r="E892" s="281"/>
      <c r="F892" s="282"/>
      <c r="G892" s="282"/>
      <c r="H892" s="282"/>
    </row>
    <row r="893">
      <c r="C893" s="295"/>
      <c r="D893" s="295"/>
      <c r="E893" s="281"/>
      <c r="F893" s="282"/>
      <c r="G893" s="282"/>
      <c r="H893" s="282"/>
    </row>
    <row r="894">
      <c r="C894" s="295"/>
      <c r="D894" s="295"/>
      <c r="E894" s="281"/>
      <c r="F894" s="282"/>
      <c r="G894" s="282"/>
      <c r="H894" s="282"/>
    </row>
    <row r="895">
      <c r="C895" s="295"/>
      <c r="D895" s="295"/>
      <c r="E895" s="281"/>
      <c r="F895" s="282"/>
      <c r="G895" s="282"/>
      <c r="H895" s="282"/>
    </row>
    <row r="896">
      <c r="C896" s="295"/>
      <c r="D896" s="295"/>
      <c r="E896" s="281"/>
      <c r="F896" s="282"/>
      <c r="G896" s="282"/>
      <c r="H896" s="282"/>
    </row>
    <row r="897">
      <c r="C897" s="295"/>
      <c r="D897" s="295"/>
      <c r="E897" s="281"/>
      <c r="F897" s="282"/>
      <c r="G897" s="282"/>
      <c r="H897" s="282"/>
    </row>
    <row r="898">
      <c r="C898" s="295"/>
      <c r="D898" s="295"/>
      <c r="E898" s="281"/>
      <c r="F898" s="282"/>
      <c r="G898" s="282"/>
      <c r="H898" s="282"/>
    </row>
    <row r="899">
      <c r="C899" s="295"/>
      <c r="D899" s="295"/>
      <c r="E899" s="281"/>
      <c r="F899" s="282"/>
      <c r="G899" s="282"/>
      <c r="H899" s="282"/>
    </row>
    <row r="900">
      <c r="C900" s="295"/>
      <c r="D900" s="295"/>
      <c r="E900" s="281"/>
      <c r="F900" s="282"/>
      <c r="G900" s="282"/>
      <c r="H900" s="282"/>
    </row>
    <row r="901">
      <c r="C901" s="295"/>
      <c r="D901" s="295"/>
      <c r="E901" s="281"/>
      <c r="F901" s="282"/>
      <c r="G901" s="282"/>
      <c r="H901" s="282"/>
    </row>
    <row r="902">
      <c r="C902" s="295"/>
      <c r="D902" s="295"/>
      <c r="E902" s="281"/>
      <c r="F902" s="282"/>
      <c r="G902" s="282"/>
      <c r="H902" s="282"/>
    </row>
    <row r="903">
      <c r="C903" s="295"/>
      <c r="D903" s="295"/>
      <c r="E903" s="281"/>
      <c r="F903" s="282"/>
      <c r="G903" s="282"/>
      <c r="H903" s="282"/>
    </row>
    <row r="904">
      <c r="C904" s="295"/>
      <c r="D904" s="295"/>
      <c r="E904" s="281"/>
      <c r="F904" s="282"/>
      <c r="G904" s="282"/>
      <c r="H904" s="282"/>
    </row>
    <row r="905">
      <c r="C905" s="295"/>
      <c r="D905" s="295"/>
      <c r="E905" s="281"/>
      <c r="F905" s="282"/>
      <c r="G905" s="282"/>
      <c r="H905" s="282"/>
    </row>
    <row r="906">
      <c r="C906" s="295"/>
      <c r="D906" s="295"/>
      <c r="E906" s="281"/>
      <c r="F906" s="282"/>
      <c r="G906" s="282"/>
      <c r="H906" s="282"/>
    </row>
    <row r="907">
      <c r="C907" s="295"/>
      <c r="D907" s="295"/>
      <c r="E907" s="281"/>
      <c r="F907" s="282"/>
      <c r="G907" s="282"/>
      <c r="H907" s="282"/>
    </row>
    <row r="908">
      <c r="C908" s="295"/>
      <c r="D908" s="295"/>
      <c r="E908" s="281"/>
      <c r="F908" s="282"/>
      <c r="G908" s="282"/>
      <c r="H908" s="282"/>
    </row>
    <row r="909">
      <c r="C909" s="295"/>
      <c r="D909" s="295"/>
      <c r="E909" s="281"/>
      <c r="F909" s="282"/>
      <c r="G909" s="282"/>
      <c r="H909" s="282"/>
    </row>
    <row r="910">
      <c r="C910" s="295"/>
      <c r="D910" s="295"/>
      <c r="E910" s="281"/>
      <c r="F910" s="282"/>
      <c r="G910" s="282"/>
      <c r="H910" s="282"/>
    </row>
    <row r="911">
      <c r="C911" s="295"/>
      <c r="D911" s="295"/>
      <c r="E911" s="281"/>
      <c r="F911" s="282"/>
      <c r="G911" s="282"/>
      <c r="H911" s="282"/>
    </row>
    <row r="912">
      <c r="C912" s="295"/>
      <c r="D912" s="295"/>
      <c r="E912" s="281"/>
      <c r="F912" s="282"/>
      <c r="G912" s="282"/>
      <c r="H912" s="282"/>
    </row>
    <row r="913">
      <c r="C913" s="295"/>
      <c r="D913" s="295"/>
      <c r="E913" s="281"/>
      <c r="F913" s="282"/>
      <c r="G913" s="282"/>
      <c r="H913" s="282"/>
    </row>
    <row r="914">
      <c r="C914" s="295"/>
      <c r="D914" s="295"/>
      <c r="E914" s="281"/>
      <c r="F914" s="282"/>
      <c r="G914" s="282"/>
      <c r="H914" s="282"/>
    </row>
    <row r="915">
      <c r="C915" s="295"/>
      <c r="D915" s="295"/>
      <c r="E915" s="281"/>
      <c r="F915" s="282"/>
      <c r="G915" s="282"/>
      <c r="H915" s="282"/>
    </row>
    <row r="916">
      <c r="C916" s="295"/>
      <c r="D916" s="295"/>
      <c r="E916" s="281"/>
      <c r="F916" s="282"/>
      <c r="G916" s="282"/>
      <c r="H916" s="282"/>
    </row>
    <row r="917">
      <c r="C917" s="295"/>
      <c r="D917" s="295"/>
      <c r="E917" s="281"/>
      <c r="F917" s="282"/>
      <c r="G917" s="282"/>
      <c r="H917" s="282"/>
    </row>
    <row r="918">
      <c r="C918" s="295"/>
      <c r="D918" s="295"/>
      <c r="E918" s="281"/>
      <c r="F918" s="282"/>
      <c r="G918" s="282"/>
      <c r="H918" s="282"/>
    </row>
    <row r="919">
      <c r="C919" s="295"/>
      <c r="D919" s="295"/>
      <c r="E919" s="281"/>
      <c r="F919" s="282"/>
      <c r="G919" s="282"/>
      <c r="H919" s="282"/>
    </row>
    <row r="920">
      <c r="C920" s="295"/>
      <c r="D920" s="295"/>
      <c r="E920" s="281"/>
      <c r="F920" s="282"/>
      <c r="G920" s="282"/>
      <c r="H920" s="282"/>
    </row>
    <row r="921">
      <c r="C921" s="295"/>
      <c r="D921" s="295"/>
      <c r="E921" s="281"/>
      <c r="F921" s="282"/>
      <c r="G921" s="282"/>
      <c r="H921" s="282"/>
    </row>
    <row r="922">
      <c r="C922" s="295"/>
      <c r="D922" s="295"/>
      <c r="E922" s="281"/>
      <c r="F922" s="282"/>
      <c r="G922" s="282"/>
      <c r="H922" s="282"/>
    </row>
    <row r="923">
      <c r="C923" s="295"/>
      <c r="D923" s="295"/>
      <c r="E923" s="281"/>
      <c r="F923" s="282"/>
      <c r="G923" s="282"/>
      <c r="H923" s="282"/>
    </row>
    <row r="924">
      <c r="C924" s="295"/>
      <c r="D924" s="295"/>
      <c r="E924" s="281"/>
      <c r="F924" s="282"/>
      <c r="G924" s="282"/>
      <c r="H924" s="282"/>
    </row>
    <row r="925">
      <c r="C925" s="295"/>
      <c r="D925" s="295"/>
      <c r="E925" s="281"/>
      <c r="F925" s="282"/>
      <c r="G925" s="282"/>
      <c r="H925" s="282"/>
    </row>
    <row r="926">
      <c r="C926" s="295"/>
      <c r="D926" s="295"/>
      <c r="E926" s="281"/>
      <c r="F926" s="282"/>
      <c r="G926" s="282"/>
      <c r="H926" s="282"/>
    </row>
    <row r="927">
      <c r="C927" s="295"/>
      <c r="D927" s="295"/>
      <c r="E927" s="281"/>
      <c r="F927" s="282"/>
      <c r="G927" s="282"/>
      <c r="H927" s="282"/>
    </row>
    <row r="928">
      <c r="C928" s="295"/>
      <c r="D928" s="295"/>
      <c r="E928" s="281"/>
      <c r="F928" s="282"/>
      <c r="G928" s="282"/>
      <c r="H928" s="282"/>
    </row>
    <row r="929">
      <c r="C929" s="295"/>
      <c r="D929" s="295"/>
      <c r="E929" s="281"/>
      <c r="F929" s="282"/>
      <c r="G929" s="282"/>
      <c r="H929" s="282"/>
    </row>
    <row r="930">
      <c r="C930" s="295"/>
      <c r="D930" s="295"/>
      <c r="E930" s="281"/>
      <c r="F930" s="282"/>
      <c r="G930" s="282"/>
      <c r="H930" s="282"/>
    </row>
    <row r="931">
      <c r="C931" s="295"/>
      <c r="D931" s="295"/>
      <c r="E931" s="281"/>
      <c r="F931" s="282"/>
      <c r="G931" s="282"/>
      <c r="H931" s="282"/>
    </row>
    <row r="932">
      <c r="C932" s="295"/>
      <c r="D932" s="295"/>
      <c r="E932" s="281"/>
      <c r="F932" s="282"/>
      <c r="G932" s="282"/>
      <c r="H932" s="282"/>
    </row>
    <row r="933">
      <c r="C933" s="295"/>
      <c r="D933" s="295"/>
      <c r="E933" s="281"/>
      <c r="F933" s="282"/>
      <c r="G933" s="282"/>
      <c r="H933" s="282"/>
    </row>
    <row r="934">
      <c r="C934" s="295"/>
      <c r="D934" s="295"/>
      <c r="E934" s="281"/>
      <c r="F934" s="282"/>
      <c r="G934" s="282"/>
      <c r="H934" s="282"/>
    </row>
    <row r="935">
      <c r="C935" s="295"/>
      <c r="D935" s="295"/>
      <c r="E935" s="281"/>
      <c r="F935" s="282"/>
      <c r="G935" s="282"/>
      <c r="H935" s="282"/>
    </row>
    <row r="936">
      <c r="C936" s="295"/>
      <c r="D936" s="295"/>
      <c r="E936" s="281"/>
      <c r="F936" s="282"/>
      <c r="G936" s="282"/>
      <c r="H936" s="282"/>
    </row>
    <row r="937">
      <c r="C937" s="295"/>
      <c r="D937" s="295"/>
      <c r="E937" s="281"/>
      <c r="F937" s="282"/>
      <c r="G937" s="282"/>
      <c r="H937" s="282"/>
    </row>
    <row r="938">
      <c r="C938" s="295"/>
      <c r="D938" s="295"/>
      <c r="E938" s="281"/>
      <c r="F938" s="282"/>
      <c r="G938" s="282"/>
      <c r="H938" s="282"/>
    </row>
    <row r="939">
      <c r="C939" s="295"/>
      <c r="D939" s="295"/>
      <c r="E939" s="281"/>
      <c r="F939" s="282"/>
      <c r="G939" s="282"/>
      <c r="H939" s="282"/>
    </row>
    <row r="940">
      <c r="C940" s="295"/>
      <c r="D940" s="295"/>
      <c r="E940" s="281"/>
      <c r="F940" s="282"/>
      <c r="G940" s="282"/>
      <c r="H940" s="282"/>
    </row>
    <row r="941">
      <c r="C941" s="295"/>
      <c r="D941" s="295"/>
      <c r="E941" s="281"/>
      <c r="F941" s="282"/>
      <c r="G941" s="282"/>
      <c r="H941" s="282"/>
    </row>
    <row r="942">
      <c r="C942" s="295"/>
      <c r="D942" s="295"/>
      <c r="E942" s="281"/>
      <c r="F942" s="282"/>
      <c r="G942" s="282"/>
      <c r="H942" s="282"/>
    </row>
    <row r="943">
      <c r="C943" s="295"/>
      <c r="D943" s="295"/>
      <c r="E943" s="281"/>
      <c r="F943" s="282"/>
      <c r="G943" s="282"/>
      <c r="H943" s="282"/>
    </row>
    <row r="944">
      <c r="C944" s="295"/>
      <c r="D944" s="295"/>
      <c r="E944" s="281"/>
      <c r="F944" s="282"/>
      <c r="G944" s="282"/>
      <c r="H944" s="282"/>
    </row>
    <row r="945">
      <c r="C945" s="295"/>
      <c r="D945" s="295"/>
      <c r="E945" s="281"/>
      <c r="F945" s="282"/>
      <c r="G945" s="282"/>
      <c r="H945" s="282"/>
    </row>
    <row r="946">
      <c r="C946" s="295"/>
      <c r="D946" s="295"/>
      <c r="E946" s="281"/>
      <c r="F946" s="282"/>
      <c r="G946" s="282"/>
      <c r="H946" s="282"/>
    </row>
    <row r="947">
      <c r="C947" s="295"/>
      <c r="D947" s="295"/>
      <c r="E947" s="281"/>
      <c r="F947" s="282"/>
      <c r="G947" s="282"/>
      <c r="H947" s="282"/>
    </row>
    <row r="948">
      <c r="C948" s="295"/>
      <c r="D948" s="295"/>
      <c r="E948" s="281"/>
      <c r="F948" s="282"/>
      <c r="G948" s="282"/>
      <c r="H948" s="282"/>
    </row>
    <row r="949">
      <c r="C949" s="295"/>
      <c r="D949" s="295"/>
      <c r="E949" s="281"/>
      <c r="F949" s="282"/>
      <c r="G949" s="282"/>
      <c r="H949" s="282"/>
    </row>
    <row r="950">
      <c r="C950" s="295"/>
      <c r="D950" s="295"/>
      <c r="E950" s="281"/>
      <c r="F950" s="282"/>
      <c r="G950" s="282"/>
      <c r="H950" s="282"/>
    </row>
    <row r="951">
      <c r="C951" s="295"/>
      <c r="D951" s="295"/>
      <c r="E951" s="281"/>
      <c r="F951" s="282"/>
      <c r="G951" s="282"/>
      <c r="H951" s="282"/>
    </row>
    <row r="952">
      <c r="C952" s="295"/>
      <c r="D952" s="295"/>
      <c r="E952" s="281"/>
      <c r="F952" s="282"/>
      <c r="G952" s="282"/>
      <c r="H952" s="282"/>
    </row>
    <row r="953">
      <c r="C953" s="295"/>
      <c r="D953" s="295"/>
      <c r="E953" s="281"/>
      <c r="F953" s="282"/>
      <c r="G953" s="282"/>
      <c r="H953" s="282"/>
    </row>
    <row r="954">
      <c r="C954" s="295"/>
      <c r="D954" s="295"/>
      <c r="E954" s="281"/>
      <c r="F954" s="282"/>
      <c r="G954" s="282"/>
      <c r="H954" s="282"/>
    </row>
    <row r="955">
      <c r="C955" s="295"/>
      <c r="D955" s="295"/>
      <c r="E955" s="281"/>
      <c r="F955" s="282"/>
      <c r="G955" s="282"/>
      <c r="H955" s="282"/>
    </row>
    <row r="956">
      <c r="C956" s="295"/>
      <c r="D956" s="295"/>
      <c r="E956" s="281"/>
      <c r="F956" s="282"/>
      <c r="G956" s="282"/>
      <c r="H956" s="282"/>
    </row>
    <row r="957">
      <c r="C957" s="295"/>
      <c r="D957" s="295"/>
      <c r="E957" s="281"/>
      <c r="F957" s="282"/>
      <c r="G957" s="282"/>
      <c r="H957" s="282"/>
    </row>
    <row r="958">
      <c r="C958" s="295"/>
      <c r="D958" s="295"/>
      <c r="E958" s="281"/>
      <c r="F958" s="282"/>
      <c r="G958" s="282"/>
      <c r="H958" s="282"/>
    </row>
    <row r="959">
      <c r="C959" s="295"/>
      <c r="D959" s="295"/>
      <c r="E959" s="281"/>
      <c r="F959" s="282"/>
      <c r="G959" s="282"/>
      <c r="H959" s="282"/>
    </row>
    <row r="960">
      <c r="C960" s="295"/>
      <c r="D960" s="295"/>
      <c r="E960" s="281"/>
      <c r="F960" s="282"/>
      <c r="G960" s="282"/>
      <c r="H960" s="282"/>
    </row>
    <row r="961">
      <c r="C961" s="295"/>
      <c r="D961" s="295"/>
      <c r="E961" s="281"/>
      <c r="F961" s="282"/>
      <c r="G961" s="282"/>
      <c r="H961" s="282"/>
    </row>
    <row r="962">
      <c r="C962" s="295"/>
      <c r="D962" s="295"/>
      <c r="E962" s="281"/>
      <c r="F962" s="282"/>
      <c r="G962" s="282"/>
      <c r="H962" s="282"/>
    </row>
    <row r="963">
      <c r="C963" s="295"/>
      <c r="D963" s="295"/>
      <c r="E963" s="281"/>
      <c r="F963" s="282"/>
      <c r="G963" s="282"/>
      <c r="H963" s="282"/>
    </row>
    <row r="964">
      <c r="C964" s="295"/>
      <c r="D964" s="295"/>
      <c r="E964" s="281"/>
      <c r="F964" s="282"/>
      <c r="G964" s="282"/>
      <c r="H964" s="282"/>
    </row>
    <row r="965">
      <c r="C965" s="295"/>
      <c r="D965" s="295"/>
      <c r="E965" s="281"/>
      <c r="F965" s="282"/>
      <c r="G965" s="282"/>
      <c r="H965" s="282"/>
    </row>
    <row r="966">
      <c r="C966" s="295"/>
      <c r="D966" s="295"/>
      <c r="E966" s="281"/>
      <c r="F966" s="282"/>
      <c r="G966" s="282"/>
      <c r="H966" s="282"/>
    </row>
    <row r="967">
      <c r="C967" s="295"/>
      <c r="D967" s="295"/>
      <c r="E967" s="281"/>
      <c r="F967" s="282"/>
      <c r="G967" s="282"/>
      <c r="H967" s="282"/>
    </row>
    <row r="968">
      <c r="C968" s="295"/>
      <c r="D968" s="295"/>
      <c r="E968" s="281"/>
      <c r="F968" s="282"/>
      <c r="G968" s="282"/>
      <c r="H968" s="282"/>
    </row>
    <row r="969">
      <c r="C969" s="295"/>
      <c r="D969" s="295"/>
      <c r="E969" s="281"/>
      <c r="F969" s="282"/>
      <c r="G969" s="282"/>
      <c r="H969" s="282"/>
    </row>
    <row r="970">
      <c r="C970" s="295"/>
      <c r="D970" s="295"/>
      <c r="E970" s="281"/>
      <c r="F970" s="282"/>
      <c r="G970" s="282"/>
      <c r="H970" s="282"/>
    </row>
    <row r="971">
      <c r="C971" s="295"/>
      <c r="D971" s="295"/>
      <c r="E971" s="281"/>
      <c r="F971" s="282"/>
      <c r="G971" s="282"/>
      <c r="H971" s="282"/>
    </row>
    <row r="972">
      <c r="C972" s="295"/>
      <c r="D972" s="295"/>
      <c r="E972" s="281"/>
      <c r="F972" s="282"/>
      <c r="G972" s="282"/>
      <c r="H972" s="282"/>
    </row>
    <row r="973">
      <c r="C973" s="295"/>
      <c r="D973" s="295"/>
      <c r="E973" s="281"/>
      <c r="F973" s="282"/>
      <c r="G973" s="282"/>
      <c r="H973" s="282"/>
    </row>
    <row r="974">
      <c r="C974" s="295"/>
      <c r="D974" s="295"/>
      <c r="E974" s="281"/>
      <c r="F974" s="282"/>
      <c r="G974" s="282"/>
      <c r="H974" s="282"/>
    </row>
    <row r="975">
      <c r="C975" s="295"/>
      <c r="D975" s="295"/>
      <c r="E975" s="281"/>
      <c r="F975" s="282"/>
      <c r="G975" s="282"/>
      <c r="H975" s="282"/>
    </row>
    <row r="976">
      <c r="C976" s="295"/>
      <c r="D976" s="295"/>
      <c r="E976" s="281"/>
      <c r="F976" s="282"/>
      <c r="G976" s="282"/>
      <c r="H976" s="282"/>
    </row>
    <row r="977">
      <c r="C977" s="295"/>
      <c r="D977" s="295"/>
      <c r="E977" s="281"/>
      <c r="F977" s="282"/>
      <c r="G977" s="282"/>
      <c r="H977" s="282"/>
    </row>
    <row r="978">
      <c r="C978" s="295"/>
      <c r="D978" s="295"/>
      <c r="E978" s="281"/>
      <c r="F978" s="282"/>
      <c r="G978" s="282"/>
      <c r="H978" s="282"/>
    </row>
    <row r="979">
      <c r="C979" s="295"/>
      <c r="D979" s="295"/>
      <c r="E979" s="281"/>
      <c r="F979" s="282"/>
      <c r="G979" s="282"/>
      <c r="H979" s="282"/>
    </row>
    <row r="980">
      <c r="C980" s="295"/>
      <c r="D980" s="295"/>
      <c r="E980" s="281"/>
      <c r="F980" s="282"/>
      <c r="G980" s="282"/>
      <c r="H980" s="282"/>
    </row>
    <row r="981">
      <c r="C981" s="295"/>
      <c r="D981" s="295"/>
      <c r="E981" s="281"/>
      <c r="F981" s="282"/>
      <c r="G981" s="282"/>
      <c r="H981" s="282"/>
    </row>
    <row r="982">
      <c r="C982" s="295"/>
      <c r="D982" s="295"/>
      <c r="E982" s="281"/>
      <c r="F982" s="282"/>
      <c r="G982" s="282"/>
      <c r="H982" s="282"/>
    </row>
    <row r="983">
      <c r="C983" s="295"/>
      <c r="D983" s="295"/>
      <c r="E983" s="281"/>
      <c r="F983" s="282"/>
      <c r="G983" s="282"/>
      <c r="H983" s="282"/>
    </row>
    <row r="984">
      <c r="C984" s="295"/>
      <c r="D984" s="295"/>
      <c r="E984" s="281"/>
      <c r="F984" s="282"/>
      <c r="G984" s="282"/>
      <c r="H984" s="282"/>
    </row>
    <row r="985">
      <c r="C985" s="295"/>
      <c r="D985" s="295"/>
      <c r="E985" s="281"/>
      <c r="F985" s="282"/>
      <c r="G985" s="282"/>
      <c r="H985" s="282"/>
    </row>
    <row r="986">
      <c r="C986" s="295"/>
      <c r="D986" s="295"/>
      <c r="E986" s="281"/>
      <c r="F986" s="282"/>
      <c r="G986" s="282"/>
      <c r="H986" s="282"/>
    </row>
    <row r="987">
      <c r="C987" s="295"/>
      <c r="D987" s="295"/>
      <c r="E987" s="281"/>
      <c r="F987" s="282"/>
      <c r="G987" s="282"/>
      <c r="H987" s="282"/>
    </row>
    <row r="988">
      <c r="C988" s="295"/>
      <c r="D988" s="295"/>
      <c r="E988" s="281"/>
      <c r="F988" s="282"/>
      <c r="G988" s="282"/>
      <c r="H988" s="282"/>
    </row>
    <row r="989">
      <c r="C989" s="295"/>
      <c r="D989" s="295"/>
      <c r="E989" s="281"/>
      <c r="F989" s="282"/>
      <c r="G989" s="282"/>
      <c r="H989" s="282"/>
    </row>
    <row r="990">
      <c r="C990" s="295"/>
      <c r="D990" s="295"/>
      <c r="E990" s="281"/>
      <c r="F990" s="282"/>
      <c r="G990" s="282"/>
      <c r="H990" s="282"/>
    </row>
    <row r="991">
      <c r="C991" s="295"/>
      <c r="D991" s="295"/>
      <c r="E991" s="281"/>
      <c r="F991" s="282"/>
      <c r="G991" s="282"/>
      <c r="H991" s="282"/>
    </row>
    <row r="992">
      <c r="C992" s="295"/>
      <c r="D992" s="295"/>
      <c r="E992" s="281"/>
      <c r="F992" s="282"/>
      <c r="G992" s="282"/>
      <c r="H992" s="282"/>
    </row>
    <row r="993">
      <c r="C993" s="295"/>
      <c r="D993" s="295"/>
      <c r="E993" s="281"/>
      <c r="F993" s="282"/>
      <c r="G993" s="282"/>
      <c r="H993" s="282"/>
    </row>
    <row r="994">
      <c r="C994" s="295"/>
      <c r="D994" s="295"/>
      <c r="E994" s="281"/>
      <c r="F994" s="282"/>
      <c r="G994" s="282"/>
      <c r="H994" s="282"/>
    </row>
  </sheetData>
  <hyperlinks>
    <hyperlink r:id="rId1" location="gid=1558813663&amp;range=A1" ref="D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20.25"/>
    <col customWidth="1" min="3" max="3" width="29.88"/>
    <col customWidth="1" min="6" max="6" width="13.88"/>
  </cols>
  <sheetData>
    <row r="1" ht="61.5" customHeight="1">
      <c r="A1" s="296" t="s">
        <v>3132</v>
      </c>
      <c r="B1" s="297" t="s">
        <v>2908</v>
      </c>
      <c r="C1" s="298" t="s">
        <v>2909</v>
      </c>
      <c r="D1" s="299" t="s">
        <v>3133</v>
      </c>
      <c r="E1" s="300" t="s">
        <v>3134</v>
      </c>
      <c r="F1" s="301" t="s">
        <v>3135</v>
      </c>
      <c r="G1" s="301" t="s">
        <v>3136</v>
      </c>
      <c r="H1" s="173"/>
      <c r="I1" s="173"/>
      <c r="J1" s="173"/>
      <c r="K1" s="173"/>
      <c r="L1" s="173"/>
      <c r="M1" s="173"/>
      <c r="N1" s="173"/>
      <c r="O1" s="173"/>
      <c r="P1" s="173"/>
      <c r="Q1" s="173"/>
      <c r="R1" s="173"/>
      <c r="S1" s="173"/>
      <c r="T1" s="173"/>
      <c r="U1" s="173"/>
      <c r="V1" s="173"/>
      <c r="W1" s="173"/>
      <c r="X1" s="173"/>
      <c r="Y1" s="173"/>
    </row>
    <row r="2">
      <c r="A2" s="59">
        <v>1.0</v>
      </c>
      <c r="B2" s="302" t="s">
        <v>18</v>
      </c>
      <c r="C2" s="303" t="s">
        <v>20</v>
      </c>
      <c r="D2" s="304" t="s">
        <v>3137</v>
      </c>
      <c r="E2" s="59" t="s">
        <v>3137</v>
      </c>
      <c r="F2" s="305" t="s">
        <v>3137</v>
      </c>
      <c r="G2" s="173"/>
      <c r="H2" s="173"/>
      <c r="I2" s="173"/>
      <c r="J2" s="173"/>
      <c r="K2" s="173"/>
      <c r="L2" s="173"/>
      <c r="M2" s="173"/>
      <c r="N2" s="173"/>
      <c r="O2" s="173"/>
      <c r="P2" s="173"/>
      <c r="Q2" s="173"/>
      <c r="R2" s="173"/>
      <c r="S2" s="173"/>
      <c r="T2" s="173"/>
      <c r="U2" s="173"/>
      <c r="V2" s="173"/>
      <c r="W2" s="173"/>
      <c r="X2" s="173"/>
      <c r="Y2" s="173"/>
    </row>
    <row r="3">
      <c r="A3" s="59">
        <v>2.0</v>
      </c>
      <c r="B3" s="302" t="s">
        <v>18</v>
      </c>
      <c r="C3" s="303" t="s">
        <v>26</v>
      </c>
      <c r="D3" s="304" t="s">
        <v>3138</v>
      </c>
      <c r="E3" s="59" t="s">
        <v>3138</v>
      </c>
      <c r="F3" s="305" t="s">
        <v>3138</v>
      </c>
      <c r="G3" s="173"/>
      <c r="H3" s="173"/>
      <c r="I3" s="173"/>
      <c r="J3" s="173"/>
      <c r="K3" s="173"/>
      <c r="L3" s="173"/>
      <c r="M3" s="173"/>
      <c r="N3" s="173"/>
      <c r="O3" s="173"/>
      <c r="P3" s="173"/>
      <c r="Q3" s="173"/>
      <c r="R3" s="173"/>
      <c r="S3" s="173"/>
      <c r="T3" s="173"/>
      <c r="U3" s="173"/>
      <c r="V3" s="173"/>
      <c r="W3" s="173"/>
      <c r="X3" s="173"/>
      <c r="Y3" s="173"/>
    </row>
    <row r="4">
      <c r="A4" s="59">
        <v>3.0</v>
      </c>
      <c r="B4" s="302" t="s">
        <v>18</v>
      </c>
      <c r="C4" s="303" t="s">
        <v>31</v>
      </c>
      <c r="D4" s="304" t="s">
        <v>3138</v>
      </c>
      <c r="E4" s="59" t="s">
        <v>3138</v>
      </c>
      <c r="F4" s="305" t="s">
        <v>3138</v>
      </c>
      <c r="G4" s="173"/>
      <c r="H4" s="173"/>
      <c r="I4" s="173"/>
      <c r="J4" s="173"/>
      <c r="K4" s="173"/>
      <c r="L4" s="173"/>
      <c r="M4" s="173"/>
      <c r="N4" s="173"/>
      <c r="O4" s="173"/>
      <c r="P4" s="173"/>
      <c r="Q4" s="173"/>
      <c r="R4" s="173"/>
      <c r="S4" s="173"/>
      <c r="T4" s="173"/>
      <c r="U4" s="173"/>
      <c r="V4" s="173"/>
      <c r="W4" s="173"/>
      <c r="X4" s="173"/>
      <c r="Y4" s="173"/>
    </row>
    <row r="5">
      <c r="A5" s="59">
        <v>4.0</v>
      </c>
      <c r="B5" s="302" t="s">
        <v>18</v>
      </c>
      <c r="C5" s="303" t="s">
        <v>36</v>
      </c>
      <c r="D5" s="304" t="s">
        <v>3139</v>
      </c>
      <c r="E5" s="59" t="s">
        <v>3138</v>
      </c>
      <c r="F5" s="305" t="s">
        <v>3138</v>
      </c>
      <c r="G5" s="173"/>
      <c r="H5" s="173"/>
      <c r="I5" s="173"/>
      <c r="J5" s="173"/>
      <c r="K5" s="173"/>
      <c r="L5" s="173"/>
      <c r="M5" s="173"/>
      <c r="N5" s="173"/>
      <c r="O5" s="173"/>
      <c r="P5" s="173"/>
      <c r="Q5" s="173"/>
      <c r="R5" s="173"/>
      <c r="S5" s="173"/>
      <c r="T5" s="173"/>
      <c r="U5" s="173"/>
      <c r="V5" s="173"/>
      <c r="W5" s="173"/>
      <c r="X5" s="173"/>
      <c r="Y5" s="173"/>
    </row>
    <row r="6">
      <c r="A6" s="59">
        <v>5.0</v>
      </c>
      <c r="B6" s="302" t="s">
        <v>18</v>
      </c>
      <c r="C6" s="303" t="s">
        <v>41</v>
      </c>
      <c r="D6" s="304" t="s">
        <v>3138</v>
      </c>
      <c r="E6" s="59" t="s">
        <v>3138</v>
      </c>
      <c r="F6" s="305" t="s">
        <v>3138</v>
      </c>
      <c r="G6" s="173"/>
      <c r="H6" s="173"/>
      <c r="I6" s="173"/>
      <c r="J6" s="173"/>
      <c r="K6" s="173"/>
      <c r="L6" s="173"/>
      <c r="M6" s="173"/>
      <c r="N6" s="173"/>
      <c r="O6" s="173"/>
      <c r="P6" s="173"/>
      <c r="Q6" s="173"/>
      <c r="R6" s="173"/>
      <c r="S6" s="173"/>
      <c r="T6" s="173"/>
      <c r="U6" s="173"/>
      <c r="V6" s="173"/>
      <c r="W6" s="173"/>
      <c r="X6" s="173"/>
      <c r="Y6" s="173"/>
    </row>
    <row r="7">
      <c r="A7" s="59">
        <v>6.0</v>
      </c>
      <c r="B7" s="302" t="s">
        <v>18</v>
      </c>
      <c r="C7" s="303" t="s">
        <v>45</v>
      </c>
      <c r="D7" s="304" t="s">
        <v>3138</v>
      </c>
      <c r="E7" s="59" t="s">
        <v>3138</v>
      </c>
      <c r="F7" s="305" t="s">
        <v>3138</v>
      </c>
      <c r="G7" s="173"/>
      <c r="H7" s="173"/>
      <c r="I7" s="173"/>
      <c r="J7" s="173"/>
      <c r="K7" s="173"/>
      <c r="L7" s="173"/>
      <c r="M7" s="173"/>
      <c r="N7" s="173"/>
      <c r="O7" s="173"/>
      <c r="P7" s="173"/>
      <c r="Q7" s="173"/>
      <c r="R7" s="173"/>
      <c r="S7" s="173"/>
      <c r="T7" s="173"/>
      <c r="U7" s="173"/>
      <c r="V7" s="173"/>
      <c r="W7" s="173"/>
      <c r="X7" s="173"/>
      <c r="Y7" s="173"/>
    </row>
    <row r="8">
      <c r="A8" s="59">
        <v>7.0</v>
      </c>
      <c r="B8" s="302" t="s">
        <v>18</v>
      </c>
      <c r="C8" s="303" t="s">
        <v>50</v>
      </c>
      <c r="D8" s="304" t="s">
        <v>3140</v>
      </c>
      <c r="E8" s="59" t="s">
        <v>3140</v>
      </c>
      <c r="F8" s="305" t="s">
        <v>3140</v>
      </c>
      <c r="G8" s="173"/>
      <c r="H8" s="173"/>
      <c r="I8" s="173"/>
      <c r="J8" s="173"/>
      <c r="K8" s="173"/>
      <c r="L8" s="173"/>
      <c r="M8" s="173"/>
      <c r="N8" s="173"/>
      <c r="O8" s="173"/>
      <c r="P8" s="173"/>
      <c r="Q8" s="173"/>
      <c r="R8" s="173"/>
      <c r="S8" s="173"/>
      <c r="T8" s="173"/>
      <c r="U8" s="173"/>
      <c r="V8" s="173"/>
      <c r="W8" s="173"/>
      <c r="X8" s="173"/>
      <c r="Y8" s="173"/>
    </row>
    <row r="9">
      <c r="A9" s="59">
        <v>8.0</v>
      </c>
      <c r="B9" s="302" t="s">
        <v>18</v>
      </c>
      <c r="C9" s="303" t="s">
        <v>55</v>
      </c>
      <c r="D9" s="304" t="s">
        <v>3138</v>
      </c>
      <c r="E9" s="59" t="s">
        <v>3138</v>
      </c>
      <c r="F9" s="305" t="s">
        <v>3138</v>
      </c>
      <c r="G9" s="173"/>
      <c r="H9" s="173"/>
      <c r="I9" s="173"/>
      <c r="J9" s="173"/>
      <c r="K9" s="173"/>
      <c r="L9" s="173"/>
      <c r="M9" s="173"/>
      <c r="N9" s="173"/>
      <c r="O9" s="173"/>
      <c r="P9" s="173"/>
      <c r="Q9" s="173"/>
      <c r="R9" s="173"/>
      <c r="S9" s="173"/>
      <c r="T9" s="173"/>
      <c r="U9" s="173"/>
      <c r="V9" s="173"/>
      <c r="W9" s="173"/>
      <c r="X9" s="173"/>
      <c r="Y9" s="173"/>
    </row>
    <row r="10">
      <c r="A10" s="59">
        <v>9.0</v>
      </c>
      <c r="B10" s="302" t="s">
        <v>18</v>
      </c>
      <c r="C10" s="303" t="s">
        <v>3141</v>
      </c>
      <c r="D10" s="304" t="s">
        <v>3138</v>
      </c>
      <c r="E10" s="59" t="s">
        <v>3138</v>
      </c>
      <c r="F10" s="305" t="s">
        <v>3138</v>
      </c>
      <c r="G10" s="173"/>
      <c r="H10" s="173"/>
      <c r="I10" s="173"/>
      <c r="J10" s="173"/>
      <c r="K10" s="173"/>
      <c r="L10" s="173"/>
      <c r="M10" s="173"/>
      <c r="N10" s="173"/>
      <c r="O10" s="173"/>
      <c r="P10" s="173"/>
      <c r="Q10" s="173"/>
      <c r="R10" s="173"/>
      <c r="S10" s="173"/>
      <c r="T10" s="173"/>
      <c r="U10" s="173"/>
      <c r="V10" s="173"/>
      <c r="W10" s="173"/>
      <c r="X10" s="173"/>
      <c r="Y10" s="173"/>
    </row>
    <row r="11">
      <c r="A11" s="59">
        <v>10.0</v>
      </c>
      <c r="B11" s="302" t="s">
        <v>18</v>
      </c>
      <c r="C11" s="303" t="s">
        <v>66</v>
      </c>
      <c r="D11" s="304" t="s">
        <v>3138</v>
      </c>
      <c r="E11" s="59" t="s">
        <v>3138</v>
      </c>
      <c r="F11" s="305" t="s">
        <v>3138</v>
      </c>
      <c r="G11" s="173"/>
      <c r="H11" s="173"/>
      <c r="I11" s="173"/>
      <c r="J11" s="173"/>
      <c r="K11" s="173"/>
      <c r="L11" s="173"/>
      <c r="M11" s="173"/>
      <c r="N11" s="173"/>
      <c r="O11" s="173"/>
      <c r="P11" s="173"/>
      <c r="Q11" s="173"/>
      <c r="R11" s="173"/>
      <c r="S11" s="173"/>
      <c r="T11" s="173"/>
      <c r="U11" s="173"/>
      <c r="V11" s="173"/>
      <c r="W11" s="173"/>
      <c r="X11" s="173"/>
      <c r="Y11" s="173"/>
    </row>
    <row r="12">
      <c r="A12" s="59">
        <v>11.0</v>
      </c>
      <c r="B12" s="302" t="s">
        <v>18</v>
      </c>
      <c r="C12" s="303" t="s">
        <v>71</v>
      </c>
      <c r="D12" s="304" t="s">
        <v>3138</v>
      </c>
      <c r="E12" s="59" t="s">
        <v>3138</v>
      </c>
      <c r="F12" s="305" t="s">
        <v>3138</v>
      </c>
      <c r="G12" s="173"/>
      <c r="H12" s="173"/>
      <c r="I12" s="173"/>
      <c r="J12" s="173"/>
      <c r="K12" s="173"/>
      <c r="L12" s="173"/>
      <c r="M12" s="173"/>
      <c r="N12" s="173"/>
      <c r="O12" s="173"/>
      <c r="P12" s="173"/>
      <c r="Q12" s="173"/>
      <c r="R12" s="173"/>
      <c r="S12" s="173"/>
      <c r="T12" s="173"/>
      <c r="U12" s="173"/>
      <c r="V12" s="173"/>
      <c r="W12" s="173"/>
      <c r="X12" s="173"/>
      <c r="Y12" s="173"/>
    </row>
    <row r="13">
      <c r="A13" s="59">
        <v>12.0</v>
      </c>
      <c r="B13" s="302" t="s">
        <v>18</v>
      </c>
      <c r="C13" s="303" t="s">
        <v>2923</v>
      </c>
      <c r="D13" s="304" t="s">
        <v>3138</v>
      </c>
      <c r="E13" s="59" t="s">
        <v>3138</v>
      </c>
      <c r="F13" s="305" t="s">
        <v>3138</v>
      </c>
      <c r="G13" s="173"/>
      <c r="H13" s="173"/>
      <c r="I13" s="173"/>
      <c r="J13" s="173"/>
      <c r="K13" s="173"/>
      <c r="L13" s="173"/>
      <c r="M13" s="173"/>
      <c r="N13" s="173"/>
      <c r="O13" s="173"/>
      <c r="P13" s="173"/>
      <c r="Q13" s="173"/>
      <c r="R13" s="173"/>
      <c r="S13" s="173"/>
      <c r="T13" s="173"/>
      <c r="U13" s="173"/>
      <c r="V13" s="173"/>
      <c r="W13" s="173"/>
      <c r="X13" s="173"/>
      <c r="Y13" s="173"/>
    </row>
    <row r="14">
      <c r="A14" s="59">
        <v>13.0</v>
      </c>
      <c r="B14" s="302" t="s">
        <v>18</v>
      </c>
      <c r="C14" s="303" t="s">
        <v>3142</v>
      </c>
      <c r="D14" s="304" t="s">
        <v>3138</v>
      </c>
      <c r="E14" s="59" t="s">
        <v>3138</v>
      </c>
      <c r="F14" s="305" t="s">
        <v>3138</v>
      </c>
      <c r="G14" s="173"/>
      <c r="H14" s="173"/>
      <c r="I14" s="173"/>
      <c r="J14" s="173"/>
      <c r="K14" s="173"/>
      <c r="L14" s="173"/>
      <c r="M14" s="173"/>
      <c r="N14" s="173"/>
      <c r="O14" s="173"/>
      <c r="P14" s="173"/>
      <c r="Q14" s="173"/>
      <c r="R14" s="173"/>
      <c r="S14" s="173"/>
      <c r="T14" s="173"/>
      <c r="U14" s="173"/>
      <c r="V14" s="173"/>
      <c r="W14" s="173"/>
      <c r="X14" s="173"/>
      <c r="Y14" s="173"/>
    </row>
    <row r="15">
      <c r="A15" s="59">
        <v>14.0</v>
      </c>
      <c r="B15" s="302" t="s">
        <v>18</v>
      </c>
      <c r="C15" s="303" t="s">
        <v>2924</v>
      </c>
      <c r="D15" s="304" t="s">
        <v>3138</v>
      </c>
      <c r="E15" s="59" t="s">
        <v>3138</v>
      </c>
      <c r="F15" s="305" t="s">
        <v>3138</v>
      </c>
      <c r="G15" s="173"/>
      <c r="H15" s="173"/>
      <c r="I15" s="173"/>
      <c r="J15" s="173"/>
      <c r="K15" s="173"/>
      <c r="L15" s="173"/>
      <c r="M15" s="173"/>
      <c r="N15" s="173"/>
      <c r="O15" s="173"/>
      <c r="P15" s="173"/>
      <c r="Q15" s="173"/>
      <c r="R15" s="173"/>
      <c r="S15" s="173"/>
      <c r="T15" s="173"/>
      <c r="U15" s="173"/>
      <c r="V15" s="173"/>
      <c r="W15" s="173"/>
      <c r="X15" s="173"/>
      <c r="Y15" s="173"/>
    </row>
    <row r="16">
      <c r="A16" s="59">
        <v>15.0</v>
      </c>
      <c r="B16" s="302" t="s">
        <v>18</v>
      </c>
      <c r="C16" s="303" t="s">
        <v>2925</v>
      </c>
      <c r="D16" s="304" t="s">
        <v>3138</v>
      </c>
      <c r="E16" s="59" t="s">
        <v>3138</v>
      </c>
      <c r="F16" s="305" t="s">
        <v>3138</v>
      </c>
      <c r="G16" s="173"/>
      <c r="H16" s="173"/>
      <c r="I16" s="173"/>
      <c r="J16" s="173"/>
      <c r="K16" s="173"/>
      <c r="L16" s="173"/>
      <c r="M16" s="173"/>
      <c r="N16" s="173"/>
      <c r="O16" s="173"/>
      <c r="P16" s="173"/>
      <c r="Q16" s="173"/>
      <c r="R16" s="173"/>
      <c r="S16" s="173"/>
      <c r="T16" s="173"/>
      <c r="U16" s="173"/>
      <c r="V16" s="173"/>
      <c r="W16" s="173"/>
      <c r="X16" s="173"/>
      <c r="Y16" s="173"/>
    </row>
    <row r="17">
      <c r="A17" s="59">
        <v>16.0</v>
      </c>
      <c r="B17" s="302" t="s">
        <v>18</v>
      </c>
      <c r="C17" s="303" t="s">
        <v>76</v>
      </c>
      <c r="D17" s="304" t="s">
        <v>3138</v>
      </c>
      <c r="E17" s="59" t="s">
        <v>3138</v>
      </c>
      <c r="F17" s="305" t="s">
        <v>3138</v>
      </c>
      <c r="G17" s="173"/>
      <c r="H17" s="173"/>
      <c r="I17" s="173"/>
      <c r="J17" s="173"/>
      <c r="K17" s="173"/>
      <c r="L17" s="173"/>
      <c r="M17" s="173"/>
      <c r="N17" s="173"/>
      <c r="O17" s="173"/>
      <c r="P17" s="173"/>
      <c r="Q17" s="173"/>
      <c r="R17" s="173"/>
      <c r="S17" s="173"/>
      <c r="T17" s="173"/>
      <c r="U17" s="173"/>
      <c r="V17" s="173"/>
      <c r="W17" s="173"/>
      <c r="X17" s="173"/>
      <c r="Y17" s="173"/>
    </row>
    <row r="18">
      <c r="A18" s="59">
        <v>17.0</v>
      </c>
      <c r="B18" s="302" t="s">
        <v>18</v>
      </c>
      <c r="C18" s="303" t="s">
        <v>81</v>
      </c>
      <c r="D18" s="304" t="s">
        <v>3140</v>
      </c>
      <c r="E18" s="59" t="s">
        <v>3140</v>
      </c>
      <c r="F18" s="305" t="s">
        <v>3140</v>
      </c>
      <c r="G18" s="173"/>
      <c r="H18" s="173"/>
      <c r="I18" s="173"/>
      <c r="J18" s="173"/>
      <c r="K18" s="173"/>
      <c r="L18" s="173"/>
      <c r="M18" s="173"/>
      <c r="N18" s="173"/>
      <c r="O18" s="173"/>
      <c r="P18" s="173"/>
      <c r="Q18" s="173"/>
      <c r="R18" s="173"/>
      <c r="S18" s="173"/>
      <c r="T18" s="173"/>
      <c r="U18" s="173"/>
      <c r="V18" s="173"/>
      <c r="W18" s="173"/>
      <c r="X18" s="173"/>
      <c r="Y18" s="173"/>
    </row>
    <row r="19">
      <c r="A19" s="59">
        <v>18.0</v>
      </c>
      <c r="B19" s="306" t="s">
        <v>18</v>
      </c>
      <c r="C19" s="307" t="s">
        <v>86</v>
      </c>
      <c r="D19" s="308" t="s">
        <v>3140</v>
      </c>
      <c r="E19" s="309" t="s">
        <v>3140</v>
      </c>
      <c r="F19" s="310" t="s">
        <v>3140</v>
      </c>
      <c r="G19" s="173"/>
      <c r="H19" s="173"/>
      <c r="I19" s="173"/>
      <c r="J19" s="173"/>
      <c r="K19" s="173"/>
      <c r="L19" s="173"/>
      <c r="M19" s="173"/>
      <c r="N19" s="173"/>
      <c r="O19" s="173"/>
      <c r="P19" s="173"/>
      <c r="Q19" s="173"/>
      <c r="R19" s="173"/>
      <c r="S19" s="173"/>
      <c r="T19" s="173"/>
      <c r="U19" s="173"/>
      <c r="V19" s="173"/>
      <c r="W19" s="173"/>
      <c r="X19" s="173"/>
      <c r="Y19" s="173"/>
    </row>
    <row r="20">
      <c r="A20" s="59">
        <v>19.0</v>
      </c>
      <c r="B20" s="311" t="s">
        <v>91</v>
      </c>
      <c r="C20" s="312" t="s">
        <v>94</v>
      </c>
      <c r="D20" s="313" t="s">
        <v>3138</v>
      </c>
      <c r="E20" s="314" t="s">
        <v>3138</v>
      </c>
      <c r="F20" s="315" t="s">
        <v>3138</v>
      </c>
      <c r="G20" s="173"/>
      <c r="H20" s="173"/>
      <c r="I20" s="173"/>
      <c r="J20" s="173"/>
      <c r="K20" s="173"/>
      <c r="L20" s="173"/>
      <c r="M20" s="173"/>
      <c r="N20" s="173"/>
      <c r="O20" s="173"/>
      <c r="P20" s="173"/>
      <c r="Q20" s="173"/>
      <c r="R20" s="173"/>
      <c r="S20" s="173"/>
      <c r="T20" s="173"/>
      <c r="U20" s="173"/>
      <c r="V20" s="173"/>
      <c r="W20" s="173"/>
      <c r="X20" s="173"/>
      <c r="Y20" s="173"/>
    </row>
    <row r="21">
      <c r="A21" s="59">
        <v>20.0</v>
      </c>
      <c r="B21" s="302" t="s">
        <v>91</v>
      </c>
      <c r="C21" s="303" t="s">
        <v>99</v>
      </c>
      <c r="D21" s="304" t="s">
        <v>3137</v>
      </c>
      <c r="E21" s="59" t="s">
        <v>3137</v>
      </c>
      <c r="F21" s="305" t="s">
        <v>3137</v>
      </c>
      <c r="G21" s="173"/>
      <c r="H21" s="173"/>
      <c r="I21" s="173"/>
      <c r="J21" s="173"/>
      <c r="K21" s="173"/>
      <c r="L21" s="173"/>
      <c r="M21" s="173"/>
      <c r="N21" s="173"/>
      <c r="O21" s="173"/>
      <c r="P21" s="173"/>
      <c r="Q21" s="173"/>
      <c r="R21" s="173"/>
      <c r="S21" s="173"/>
      <c r="T21" s="173"/>
      <c r="U21" s="173"/>
      <c r="V21" s="173"/>
      <c r="W21" s="173"/>
      <c r="X21" s="173"/>
      <c r="Y21" s="173"/>
    </row>
    <row r="22">
      <c r="A22" s="59">
        <v>21.0</v>
      </c>
      <c r="B22" s="302" t="s">
        <v>91</v>
      </c>
      <c r="C22" s="303" t="s">
        <v>104</v>
      </c>
      <c r="D22" s="304" t="s">
        <v>3138</v>
      </c>
      <c r="E22" s="59" t="s">
        <v>3138</v>
      </c>
      <c r="F22" s="305" t="s">
        <v>3138</v>
      </c>
      <c r="G22" s="173"/>
      <c r="H22" s="173"/>
      <c r="I22" s="173"/>
      <c r="J22" s="173"/>
      <c r="K22" s="173"/>
      <c r="L22" s="173"/>
      <c r="M22" s="173"/>
      <c r="N22" s="173"/>
      <c r="O22" s="173"/>
      <c r="P22" s="173"/>
      <c r="Q22" s="173"/>
      <c r="R22" s="173"/>
      <c r="S22" s="173"/>
      <c r="T22" s="173"/>
      <c r="U22" s="173"/>
      <c r="V22" s="173"/>
      <c r="W22" s="173"/>
      <c r="X22" s="173"/>
      <c r="Y22" s="173"/>
    </row>
    <row r="23">
      <c r="A23" s="59">
        <v>22.0</v>
      </c>
      <c r="B23" s="302" t="s">
        <v>91</v>
      </c>
      <c r="C23" s="303" t="s">
        <v>2942</v>
      </c>
      <c r="D23" s="304" t="s">
        <v>3137</v>
      </c>
      <c r="E23" s="59" t="s">
        <v>3137</v>
      </c>
      <c r="F23" s="305" t="s">
        <v>3137</v>
      </c>
      <c r="G23" s="173"/>
      <c r="H23" s="173"/>
      <c r="I23" s="173"/>
      <c r="J23" s="173"/>
      <c r="K23" s="173"/>
      <c r="L23" s="173"/>
      <c r="M23" s="173"/>
      <c r="N23" s="173"/>
      <c r="O23" s="173"/>
      <c r="P23" s="173"/>
      <c r="Q23" s="173"/>
      <c r="R23" s="173"/>
      <c r="S23" s="173"/>
      <c r="T23" s="173"/>
      <c r="U23" s="173"/>
      <c r="V23" s="173"/>
      <c r="W23" s="173"/>
      <c r="X23" s="173"/>
      <c r="Y23" s="173"/>
    </row>
    <row r="24">
      <c r="A24" s="59">
        <v>23.0</v>
      </c>
      <c r="B24" s="302" t="s">
        <v>91</v>
      </c>
      <c r="C24" s="303" t="s">
        <v>2946</v>
      </c>
      <c r="D24" s="304" t="s">
        <v>3137</v>
      </c>
      <c r="E24" s="59" t="s">
        <v>3137</v>
      </c>
      <c r="F24" s="305" t="s">
        <v>3137</v>
      </c>
      <c r="G24" s="179" t="s">
        <v>3143</v>
      </c>
      <c r="H24" s="173"/>
      <c r="I24" s="173"/>
      <c r="J24" s="173"/>
      <c r="K24" s="173"/>
      <c r="L24" s="173"/>
      <c r="M24" s="173"/>
      <c r="N24" s="173"/>
      <c r="O24" s="173"/>
      <c r="P24" s="173"/>
      <c r="Q24" s="173"/>
      <c r="R24" s="173"/>
      <c r="S24" s="173"/>
      <c r="T24" s="173"/>
      <c r="U24" s="173"/>
      <c r="V24" s="173"/>
      <c r="W24" s="173"/>
      <c r="X24" s="173"/>
      <c r="Y24" s="173"/>
    </row>
    <row r="25">
      <c r="A25" s="59">
        <v>24.0</v>
      </c>
      <c r="B25" s="302" t="s">
        <v>91</v>
      </c>
      <c r="C25" s="303" t="s">
        <v>2949</v>
      </c>
      <c r="D25" s="304" t="s">
        <v>3138</v>
      </c>
      <c r="E25" s="59" t="s">
        <v>3138</v>
      </c>
      <c r="F25" s="305" t="s">
        <v>3138</v>
      </c>
      <c r="G25" s="173"/>
      <c r="H25" s="173"/>
      <c r="I25" s="173"/>
      <c r="J25" s="173"/>
      <c r="K25" s="173"/>
      <c r="L25" s="173"/>
      <c r="M25" s="173"/>
      <c r="N25" s="173"/>
      <c r="O25" s="173"/>
      <c r="P25" s="173"/>
      <c r="Q25" s="173"/>
      <c r="R25" s="173"/>
      <c r="S25" s="173"/>
      <c r="T25" s="173"/>
      <c r="U25" s="173"/>
      <c r="V25" s="173"/>
      <c r="W25" s="173"/>
      <c r="X25" s="173"/>
      <c r="Y25" s="173"/>
    </row>
    <row r="26">
      <c r="A26" s="59">
        <v>25.0</v>
      </c>
      <c r="B26" s="302" t="s">
        <v>91</v>
      </c>
      <c r="C26" s="303" t="s">
        <v>2950</v>
      </c>
      <c r="D26" s="304" t="s">
        <v>3138</v>
      </c>
      <c r="E26" s="59" t="s">
        <v>3138</v>
      </c>
      <c r="F26" s="305" t="s">
        <v>3138</v>
      </c>
      <c r="G26" s="173"/>
      <c r="H26" s="173"/>
      <c r="I26" s="173"/>
      <c r="J26" s="173"/>
      <c r="K26" s="173"/>
      <c r="L26" s="173"/>
      <c r="M26" s="173"/>
      <c r="N26" s="173"/>
      <c r="O26" s="173"/>
      <c r="P26" s="173"/>
      <c r="Q26" s="173"/>
      <c r="R26" s="173"/>
      <c r="S26" s="173"/>
      <c r="T26" s="173"/>
      <c r="U26" s="173"/>
      <c r="V26" s="173"/>
      <c r="W26" s="173"/>
      <c r="X26" s="173"/>
      <c r="Y26" s="173"/>
    </row>
    <row r="27">
      <c r="A27" s="59">
        <v>26.0</v>
      </c>
      <c r="B27" s="302" t="s">
        <v>91</v>
      </c>
      <c r="C27" s="303" t="s">
        <v>2951</v>
      </c>
      <c r="D27" s="304" t="s">
        <v>3138</v>
      </c>
      <c r="E27" s="59" t="s">
        <v>3138</v>
      </c>
      <c r="F27" s="305" t="s">
        <v>3138</v>
      </c>
      <c r="G27" s="173"/>
      <c r="H27" s="173"/>
      <c r="I27" s="173"/>
      <c r="J27" s="173"/>
      <c r="K27" s="173"/>
      <c r="L27" s="173"/>
      <c r="M27" s="173"/>
      <c r="N27" s="173"/>
      <c r="O27" s="173"/>
      <c r="P27" s="173"/>
      <c r="Q27" s="173"/>
      <c r="R27" s="173"/>
      <c r="S27" s="173"/>
      <c r="T27" s="173"/>
      <c r="U27" s="173"/>
      <c r="V27" s="173"/>
      <c r="W27" s="173"/>
      <c r="X27" s="173"/>
      <c r="Y27" s="173"/>
    </row>
    <row r="28">
      <c r="A28" s="59">
        <v>27.0</v>
      </c>
      <c r="B28" s="302" t="s">
        <v>91</v>
      </c>
      <c r="C28" s="303" t="s">
        <v>3144</v>
      </c>
      <c r="D28" s="304" t="s">
        <v>3138</v>
      </c>
      <c r="E28" s="59" t="s">
        <v>3138</v>
      </c>
      <c r="F28" s="305" t="s">
        <v>3138</v>
      </c>
      <c r="G28" s="173"/>
      <c r="H28" s="173"/>
      <c r="I28" s="173"/>
      <c r="J28" s="173"/>
      <c r="K28" s="173"/>
      <c r="L28" s="173"/>
      <c r="M28" s="173"/>
      <c r="N28" s="173"/>
      <c r="O28" s="173"/>
      <c r="P28" s="173"/>
      <c r="Q28" s="173"/>
      <c r="R28" s="173"/>
      <c r="S28" s="173"/>
      <c r="T28" s="173"/>
      <c r="U28" s="173"/>
      <c r="V28" s="173"/>
      <c r="W28" s="173"/>
      <c r="X28" s="173"/>
      <c r="Y28" s="173"/>
    </row>
    <row r="29">
      <c r="A29" s="59">
        <v>28.0</v>
      </c>
      <c r="B29" s="302" t="s">
        <v>91</v>
      </c>
      <c r="C29" s="303" t="s">
        <v>3145</v>
      </c>
      <c r="D29" s="304" t="s">
        <v>3138</v>
      </c>
      <c r="E29" s="59" t="s">
        <v>3138</v>
      </c>
      <c r="F29" s="305" t="s">
        <v>3138</v>
      </c>
      <c r="G29" s="173"/>
      <c r="H29" s="173"/>
      <c r="I29" s="173"/>
      <c r="J29" s="173"/>
      <c r="K29" s="173"/>
      <c r="L29" s="173"/>
      <c r="M29" s="173"/>
      <c r="N29" s="173"/>
      <c r="O29" s="173"/>
      <c r="P29" s="173"/>
      <c r="Q29" s="173"/>
      <c r="R29" s="173"/>
      <c r="S29" s="173"/>
      <c r="T29" s="173"/>
      <c r="U29" s="173"/>
      <c r="V29" s="173"/>
      <c r="W29" s="173"/>
      <c r="X29" s="173"/>
      <c r="Y29" s="173"/>
    </row>
    <row r="30">
      <c r="A30" s="59">
        <v>29.0</v>
      </c>
      <c r="B30" s="302" t="s">
        <v>91</v>
      </c>
      <c r="C30" s="303" t="s">
        <v>144</v>
      </c>
      <c r="D30" s="304" t="s">
        <v>3138</v>
      </c>
      <c r="E30" s="59" t="s">
        <v>3138</v>
      </c>
      <c r="F30" s="305" t="s">
        <v>3138</v>
      </c>
      <c r="G30" s="173"/>
      <c r="H30" s="173"/>
      <c r="I30" s="173"/>
      <c r="J30" s="173"/>
      <c r="K30" s="173"/>
      <c r="L30" s="173"/>
      <c r="M30" s="173"/>
      <c r="N30" s="173"/>
      <c r="O30" s="173"/>
      <c r="P30" s="173"/>
      <c r="Q30" s="173"/>
      <c r="R30" s="173"/>
      <c r="S30" s="173"/>
      <c r="T30" s="173"/>
      <c r="U30" s="173"/>
      <c r="V30" s="173"/>
      <c r="W30" s="173"/>
      <c r="X30" s="173"/>
      <c r="Y30" s="173"/>
    </row>
    <row r="31">
      <c r="A31" s="59">
        <v>30.0</v>
      </c>
      <c r="B31" s="302" t="s">
        <v>91</v>
      </c>
      <c r="C31" s="303" t="s">
        <v>149</v>
      </c>
      <c r="D31" s="304" t="s">
        <v>3138</v>
      </c>
      <c r="E31" s="59" t="s">
        <v>3138</v>
      </c>
      <c r="F31" s="305" t="s">
        <v>3138</v>
      </c>
      <c r="G31" s="173"/>
      <c r="H31" s="173"/>
      <c r="I31" s="173"/>
      <c r="J31" s="173"/>
      <c r="K31" s="173"/>
      <c r="L31" s="173"/>
      <c r="M31" s="173"/>
      <c r="N31" s="173"/>
      <c r="O31" s="173"/>
      <c r="P31" s="173"/>
      <c r="Q31" s="173"/>
      <c r="R31" s="173"/>
      <c r="S31" s="173"/>
      <c r="T31" s="173"/>
      <c r="U31" s="173"/>
      <c r="V31" s="173"/>
      <c r="W31" s="173"/>
      <c r="X31" s="173"/>
      <c r="Y31" s="173"/>
    </row>
    <row r="32">
      <c r="A32" s="59">
        <v>31.0</v>
      </c>
      <c r="B32" s="302" t="s">
        <v>91</v>
      </c>
      <c r="C32" s="303" t="s">
        <v>154</v>
      </c>
      <c r="D32" s="304" t="s">
        <v>3137</v>
      </c>
      <c r="E32" s="59" t="s">
        <v>3139</v>
      </c>
      <c r="F32" s="305" t="s">
        <v>3137</v>
      </c>
      <c r="G32" s="173"/>
      <c r="H32" s="173"/>
      <c r="I32" s="173"/>
      <c r="J32" s="173"/>
      <c r="K32" s="173"/>
      <c r="L32" s="173"/>
      <c r="M32" s="173"/>
      <c r="N32" s="173"/>
      <c r="O32" s="173"/>
      <c r="P32" s="173"/>
      <c r="Q32" s="173"/>
      <c r="R32" s="173"/>
      <c r="S32" s="173"/>
      <c r="T32" s="173"/>
      <c r="U32" s="173"/>
      <c r="V32" s="173"/>
      <c r="W32" s="173"/>
      <c r="X32" s="173"/>
      <c r="Y32" s="173"/>
    </row>
    <row r="33">
      <c r="A33" s="59">
        <v>32.0</v>
      </c>
      <c r="B33" s="302" t="s">
        <v>91</v>
      </c>
      <c r="C33" s="303" t="s">
        <v>159</v>
      </c>
      <c r="D33" s="304" t="s">
        <v>3137</v>
      </c>
      <c r="E33" s="304" t="s">
        <v>3137</v>
      </c>
      <c r="F33" s="304" t="s">
        <v>3137</v>
      </c>
      <c r="G33" s="173"/>
      <c r="H33" s="173"/>
      <c r="I33" s="173"/>
      <c r="J33" s="173"/>
      <c r="K33" s="173"/>
      <c r="L33" s="173"/>
      <c r="M33" s="173"/>
      <c r="N33" s="173"/>
      <c r="O33" s="173"/>
      <c r="P33" s="173"/>
      <c r="Q33" s="173"/>
      <c r="R33" s="173"/>
      <c r="S33" s="173"/>
      <c r="T33" s="173"/>
      <c r="U33" s="173"/>
      <c r="V33" s="173"/>
      <c r="W33" s="173"/>
      <c r="X33" s="173"/>
      <c r="Y33" s="173"/>
    </row>
    <row r="34">
      <c r="A34" s="59">
        <v>33.0</v>
      </c>
      <c r="B34" s="302" t="s">
        <v>91</v>
      </c>
      <c r="C34" s="303" t="s">
        <v>3146</v>
      </c>
      <c r="D34" s="304" t="s">
        <v>3140</v>
      </c>
      <c r="E34" s="59" t="s">
        <v>3140</v>
      </c>
      <c r="F34" s="305" t="s">
        <v>3140</v>
      </c>
      <c r="G34" s="173"/>
      <c r="H34" s="173"/>
      <c r="I34" s="173"/>
      <c r="J34" s="173"/>
      <c r="K34" s="173"/>
      <c r="L34" s="173"/>
      <c r="M34" s="173"/>
      <c r="N34" s="173"/>
      <c r="O34" s="173"/>
      <c r="P34" s="173"/>
      <c r="Q34" s="173"/>
      <c r="R34" s="173"/>
      <c r="S34" s="173"/>
      <c r="T34" s="173"/>
      <c r="U34" s="173"/>
      <c r="V34" s="173"/>
      <c r="W34" s="173"/>
      <c r="X34" s="173"/>
      <c r="Y34" s="173"/>
    </row>
    <row r="35">
      <c r="A35" s="59">
        <v>34.0</v>
      </c>
      <c r="B35" s="302" t="s">
        <v>91</v>
      </c>
      <c r="C35" s="303" t="s">
        <v>169</v>
      </c>
      <c r="D35" s="304" t="s">
        <v>3138</v>
      </c>
      <c r="E35" s="59" t="s">
        <v>3138</v>
      </c>
      <c r="F35" s="305" t="s">
        <v>3138</v>
      </c>
      <c r="G35" s="173"/>
      <c r="H35" s="173"/>
      <c r="I35" s="173"/>
      <c r="J35" s="173"/>
      <c r="K35" s="173"/>
      <c r="L35" s="173"/>
      <c r="M35" s="173"/>
      <c r="N35" s="173"/>
      <c r="O35" s="173"/>
      <c r="P35" s="173"/>
      <c r="Q35" s="173"/>
      <c r="R35" s="173"/>
      <c r="S35" s="173"/>
      <c r="T35" s="173"/>
      <c r="U35" s="173"/>
      <c r="V35" s="173"/>
      <c r="W35" s="173"/>
      <c r="X35" s="173"/>
      <c r="Y35" s="173"/>
    </row>
    <row r="36">
      <c r="A36" s="59">
        <v>35.0</v>
      </c>
      <c r="B36" s="302" t="s">
        <v>91</v>
      </c>
      <c r="C36" s="303" t="s">
        <v>173</v>
      </c>
      <c r="D36" s="304" t="s">
        <v>3137</v>
      </c>
      <c r="E36" s="59" t="s">
        <v>3137</v>
      </c>
      <c r="F36" s="305" t="s">
        <v>3137</v>
      </c>
      <c r="G36" s="179" t="s">
        <v>3143</v>
      </c>
      <c r="H36" s="173"/>
      <c r="I36" s="173"/>
      <c r="J36" s="173"/>
      <c r="K36" s="173"/>
      <c r="L36" s="173"/>
      <c r="M36" s="173"/>
      <c r="N36" s="173"/>
      <c r="O36" s="173"/>
      <c r="P36" s="173"/>
      <c r="Q36" s="173"/>
      <c r="R36" s="173"/>
      <c r="S36" s="173"/>
      <c r="T36" s="173"/>
      <c r="U36" s="173"/>
      <c r="V36" s="173"/>
      <c r="W36" s="173"/>
      <c r="X36" s="173"/>
      <c r="Y36" s="173"/>
    </row>
    <row r="37">
      <c r="A37" s="59">
        <v>36.0</v>
      </c>
      <c r="B37" s="302" t="s">
        <v>91</v>
      </c>
      <c r="C37" s="303" t="s">
        <v>181</v>
      </c>
      <c r="D37" s="304" t="s">
        <v>3138</v>
      </c>
      <c r="E37" s="59" t="s">
        <v>3138</v>
      </c>
      <c r="F37" s="305" t="s">
        <v>3138</v>
      </c>
      <c r="G37" s="173"/>
      <c r="H37" s="173"/>
      <c r="I37" s="173"/>
      <c r="J37" s="173"/>
      <c r="K37" s="173"/>
      <c r="L37" s="173"/>
      <c r="M37" s="173"/>
      <c r="N37" s="173"/>
      <c r="O37" s="173"/>
      <c r="P37" s="173"/>
      <c r="Q37" s="173"/>
      <c r="R37" s="173"/>
      <c r="S37" s="173"/>
      <c r="T37" s="173"/>
      <c r="U37" s="173"/>
      <c r="V37" s="173"/>
      <c r="W37" s="173"/>
      <c r="X37" s="173"/>
      <c r="Y37" s="173"/>
    </row>
    <row r="38">
      <c r="A38" s="59">
        <v>37.0</v>
      </c>
      <c r="B38" s="302" t="s">
        <v>91</v>
      </c>
      <c r="C38" s="303" t="s">
        <v>3147</v>
      </c>
      <c r="D38" s="304" t="s">
        <v>3140</v>
      </c>
      <c r="E38" s="59" t="s">
        <v>3140</v>
      </c>
      <c r="F38" s="305" t="s">
        <v>3140</v>
      </c>
      <c r="G38" s="179" t="s">
        <v>3143</v>
      </c>
      <c r="H38" s="173"/>
      <c r="I38" s="173"/>
      <c r="J38" s="173"/>
      <c r="K38" s="173"/>
      <c r="L38" s="173"/>
      <c r="M38" s="173"/>
      <c r="N38" s="173"/>
      <c r="O38" s="173"/>
      <c r="P38" s="173"/>
      <c r="Q38" s="173"/>
      <c r="R38" s="173"/>
      <c r="S38" s="173"/>
      <c r="T38" s="173"/>
      <c r="U38" s="173"/>
      <c r="V38" s="173"/>
      <c r="W38" s="173"/>
      <c r="X38" s="173"/>
      <c r="Y38" s="173"/>
    </row>
    <row r="39">
      <c r="A39" s="59">
        <v>38.0</v>
      </c>
      <c r="B39" s="302" t="s">
        <v>91</v>
      </c>
      <c r="C39" s="303" t="s">
        <v>194</v>
      </c>
      <c r="D39" s="304" t="s">
        <v>3138</v>
      </c>
      <c r="E39" s="59" t="s">
        <v>3138</v>
      </c>
      <c r="F39" s="305" t="s">
        <v>3138</v>
      </c>
      <c r="G39" s="173"/>
      <c r="H39" s="173"/>
      <c r="I39" s="173"/>
      <c r="J39" s="173"/>
      <c r="K39" s="173"/>
      <c r="L39" s="173"/>
      <c r="M39" s="173"/>
      <c r="N39" s="173"/>
      <c r="O39" s="173"/>
      <c r="P39" s="173"/>
      <c r="Q39" s="173"/>
      <c r="R39" s="173"/>
      <c r="S39" s="173"/>
      <c r="T39" s="173"/>
      <c r="U39" s="173"/>
      <c r="V39" s="173"/>
      <c r="W39" s="173"/>
      <c r="X39" s="173"/>
      <c r="Y39" s="173"/>
    </row>
    <row r="40">
      <c r="A40" s="59">
        <v>39.0</v>
      </c>
      <c r="B40" s="302" t="s">
        <v>91</v>
      </c>
      <c r="C40" s="303" t="s">
        <v>199</v>
      </c>
      <c r="D40" s="304" t="s">
        <v>3140</v>
      </c>
      <c r="E40" s="59" t="s">
        <v>3140</v>
      </c>
      <c r="F40" s="305" t="s">
        <v>3140</v>
      </c>
      <c r="G40" s="179" t="s">
        <v>3143</v>
      </c>
      <c r="H40" s="173"/>
      <c r="I40" s="173"/>
      <c r="J40" s="173"/>
      <c r="K40" s="173"/>
      <c r="L40" s="173"/>
      <c r="M40" s="173"/>
      <c r="N40" s="173"/>
      <c r="O40" s="173"/>
      <c r="P40" s="173"/>
      <c r="Q40" s="173"/>
      <c r="R40" s="173"/>
      <c r="S40" s="173"/>
      <c r="T40" s="173"/>
      <c r="U40" s="173"/>
      <c r="V40" s="173"/>
      <c r="W40" s="173"/>
      <c r="X40" s="173"/>
      <c r="Y40" s="173"/>
    </row>
    <row r="41">
      <c r="A41" s="59">
        <v>40.0</v>
      </c>
      <c r="B41" s="302" t="s">
        <v>91</v>
      </c>
      <c r="C41" s="303" t="s">
        <v>203</v>
      </c>
      <c r="D41" s="304" t="s">
        <v>3140</v>
      </c>
      <c r="E41" s="59" t="s">
        <v>3140</v>
      </c>
      <c r="F41" s="305" t="s">
        <v>3140</v>
      </c>
      <c r="G41" s="173"/>
      <c r="H41" s="173"/>
      <c r="I41" s="173"/>
      <c r="J41" s="173"/>
      <c r="K41" s="173"/>
      <c r="L41" s="173"/>
      <c r="M41" s="173"/>
      <c r="N41" s="173"/>
      <c r="O41" s="173"/>
      <c r="P41" s="173"/>
      <c r="Q41" s="173"/>
      <c r="R41" s="173"/>
      <c r="S41" s="173"/>
      <c r="T41" s="173"/>
      <c r="U41" s="173"/>
      <c r="V41" s="173"/>
      <c r="W41" s="173"/>
      <c r="X41" s="173"/>
      <c r="Y41" s="173"/>
    </row>
    <row r="42">
      <c r="A42" s="59">
        <v>41.0</v>
      </c>
      <c r="B42" s="302" t="s">
        <v>91</v>
      </c>
      <c r="C42" s="303" t="s">
        <v>208</v>
      </c>
      <c r="D42" s="304" t="s">
        <v>3138</v>
      </c>
      <c r="E42" s="59" t="s">
        <v>3138</v>
      </c>
      <c r="F42" s="305" t="s">
        <v>3138</v>
      </c>
      <c r="G42" s="173"/>
      <c r="H42" s="173"/>
      <c r="I42" s="173"/>
      <c r="J42" s="173"/>
      <c r="K42" s="173"/>
      <c r="L42" s="173"/>
      <c r="M42" s="173"/>
      <c r="N42" s="173"/>
      <c r="O42" s="173"/>
      <c r="P42" s="173"/>
      <c r="Q42" s="173"/>
      <c r="R42" s="173"/>
      <c r="S42" s="173"/>
      <c r="T42" s="173"/>
      <c r="U42" s="173"/>
      <c r="V42" s="173"/>
      <c r="W42" s="173"/>
      <c r="X42" s="173"/>
      <c r="Y42" s="173"/>
    </row>
    <row r="43">
      <c r="A43" s="59">
        <v>42.0</v>
      </c>
      <c r="B43" s="302" t="s">
        <v>91</v>
      </c>
      <c r="C43" s="303" t="s">
        <v>213</v>
      </c>
      <c r="D43" s="304" t="s">
        <v>3138</v>
      </c>
      <c r="E43" s="59" t="s">
        <v>3138</v>
      </c>
      <c r="F43" s="305" t="s">
        <v>3138</v>
      </c>
      <c r="G43" s="173"/>
      <c r="H43" s="173"/>
      <c r="I43" s="173"/>
      <c r="J43" s="173"/>
      <c r="K43" s="173"/>
      <c r="L43" s="173"/>
      <c r="M43" s="173"/>
      <c r="N43" s="173"/>
      <c r="O43" s="173"/>
      <c r="P43" s="173"/>
      <c r="Q43" s="173"/>
      <c r="R43" s="173"/>
      <c r="S43" s="173"/>
      <c r="T43" s="173"/>
      <c r="U43" s="173"/>
      <c r="V43" s="173"/>
      <c r="W43" s="173"/>
      <c r="X43" s="173"/>
      <c r="Y43" s="173"/>
    </row>
    <row r="44">
      <c r="A44" s="59">
        <v>43.0</v>
      </c>
      <c r="B44" s="302" t="s">
        <v>91</v>
      </c>
      <c r="C44" s="303" t="s">
        <v>218</v>
      </c>
      <c r="D44" s="304" t="s">
        <v>3138</v>
      </c>
      <c r="E44" s="59" t="s">
        <v>3138</v>
      </c>
      <c r="F44" s="305" t="s">
        <v>3138</v>
      </c>
      <c r="G44" s="179" t="s">
        <v>3143</v>
      </c>
      <c r="H44" s="173"/>
      <c r="I44" s="173"/>
      <c r="J44" s="173"/>
      <c r="K44" s="173"/>
      <c r="L44" s="173"/>
      <c r="M44" s="173"/>
      <c r="N44" s="173"/>
      <c r="O44" s="173"/>
      <c r="P44" s="173"/>
      <c r="Q44" s="173"/>
      <c r="R44" s="173"/>
      <c r="S44" s="173"/>
      <c r="T44" s="173"/>
      <c r="U44" s="173"/>
      <c r="V44" s="173"/>
      <c r="W44" s="173"/>
      <c r="X44" s="173"/>
      <c r="Y44" s="173"/>
    </row>
    <row r="45">
      <c r="A45" s="59">
        <v>44.0</v>
      </c>
      <c r="B45" s="302" t="s">
        <v>91</v>
      </c>
      <c r="C45" s="303" t="s">
        <v>222</v>
      </c>
      <c r="D45" s="304" t="s">
        <v>3138</v>
      </c>
      <c r="E45" s="59" t="s">
        <v>3138</v>
      </c>
      <c r="F45" s="305" t="s">
        <v>3138</v>
      </c>
      <c r="G45" s="173"/>
      <c r="H45" s="173"/>
      <c r="I45" s="173"/>
      <c r="J45" s="173"/>
      <c r="K45" s="173"/>
      <c r="L45" s="173"/>
      <c r="M45" s="173"/>
      <c r="N45" s="173"/>
      <c r="O45" s="173"/>
      <c r="P45" s="173"/>
      <c r="Q45" s="173"/>
      <c r="R45" s="173"/>
      <c r="S45" s="173"/>
      <c r="T45" s="173"/>
      <c r="U45" s="173"/>
      <c r="V45" s="173"/>
      <c r="W45" s="173"/>
      <c r="X45" s="173"/>
      <c r="Y45" s="173"/>
    </row>
    <row r="46" ht="17.25" customHeight="1">
      <c r="A46" s="59">
        <v>45.0</v>
      </c>
      <c r="B46" s="302" t="s">
        <v>91</v>
      </c>
      <c r="C46" s="303" t="s">
        <v>3148</v>
      </c>
      <c r="D46" s="304" t="s">
        <v>3138</v>
      </c>
      <c r="E46" s="59" t="s">
        <v>3138</v>
      </c>
      <c r="F46" s="305" t="s">
        <v>3138</v>
      </c>
      <c r="G46" s="179" t="s">
        <v>3143</v>
      </c>
      <c r="H46" s="173"/>
      <c r="I46" s="173"/>
      <c r="J46" s="173"/>
      <c r="K46" s="173"/>
      <c r="L46" s="173"/>
      <c r="M46" s="173"/>
      <c r="N46" s="173"/>
      <c r="O46" s="173"/>
      <c r="P46" s="173"/>
      <c r="Q46" s="173"/>
      <c r="R46" s="173"/>
      <c r="S46" s="173"/>
      <c r="T46" s="173"/>
      <c r="U46" s="173"/>
      <c r="V46" s="173"/>
      <c r="W46" s="173"/>
      <c r="X46" s="173"/>
      <c r="Y46" s="173"/>
    </row>
    <row r="47">
      <c r="A47" s="59">
        <v>46.0</v>
      </c>
      <c r="B47" s="302" t="s">
        <v>91</v>
      </c>
      <c r="C47" s="303" t="s">
        <v>231</v>
      </c>
      <c r="D47" s="304" t="s">
        <v>3138</v>
      </c>
      <c r="E47" s="59" t="s">
        <v>3138</v>
      </c>
      <c r="F47" s="305" t="s">
        <v>3138</v>
      </c>
      <c r="G47" s="173"/>
      <c r="H47" s="173"/>
      <c r="I47" s="173"/>
      <c r="J47" s="173"/>
      <c r="K47" s="173"/>
      <c r="L47" s="173"/>
      <c r="M47" s="173"/>
      <c r="N47" s="173"/>
      <c r="O47" s="173"/>
      <c r="P47" s="173"/>
      <c r="Q47" s="173"/>
      <c r="R47" s="173"/>
      <c r="S47" s="173"/>
      <c r="T47" s="173"/>
      <c r="U47" s="173"/>
      <c r="V47" s="173"/>
      <c r="W47" s="173"/>
      <c r="X47" s="173"/>
      <c r="Y47" s="173"/>
    </row>
    <row r="48">
      <c r="A48" s="59">
        <v>47.0</v>
      </c>
      <c r="B48" s="302" t="s">
        <v>91</v>
      </c>
      <c r="C48" s="303" t="s">
        <v>236</v>
      </c>
      <c r="D48" s="304" t="s">
        <v>3138</v>
      </c>
      <c r="E48" s="59" t="s">
        <v>3138</v>
      </c>
      <c r="F48" s="305" t="s">
        <v>3138</v>
      </c>
      <c r="G48" s="173"/>
      <c r="H48" s="173"/>
      <c r="I48" s="173"/>
      <c r="J48" s="173"/>
      <c r="K48" s="173"/>
      <c r="L48" s="173"/>
      <c r="M48" s="173"/>
      <c r="N48" s="173"/>
      <c r="O48" s="173"/>
      <c r="P48" s="173"/>
      <c r="Q48" s="173"/>
      <c r="R48" s="173"/>
      <c r="S48" s="173"/>
      <c r="T48" s="173"/>
      <c r="U48" s="173"/>
      <c r="V48" s="173"/>
      <c r="W48" s="173"/>
      <c r="X48" s="173"/>
      <c r="Y48" s="173"/>
    </row>
    <row r="49">
      <c r="A49" s="59">
        <v>48.0</v>
      </c>
      <c r="B49" s="302" t="s">
        <v>91</v>
      </c>
      <c r="C49" s="303" t="s">
        <v>239</v>
      </c>
      <c r="D49" s="304" t="s">
        <v>3138</v>
      </c>
      <c r="E49" s="59" t="s">
        <v>3138</v>
      </c>
      <c r="F49" s="305" t="s">
        <v>3138</v>
      </c>
      <c r="G49" s="173"/>
      <c r="H49" s="173"/>
      <c r="I49" s="173"/>
      <c r="J49" s="173"/>
      <c r="K49" s="173"/>
      <c r="L49" s="173"/>
      <c r="M49" s="173"/>
      <c r="N49" s="173"/>
      <c r="O49" s="173"/>
      <c r="P49" s="173"/>
      <c r="Q49" s="173"/>
      <c r="R49" s="173"/>
      <c r="S49" s="173"/>
      <c r="T49" s="173"/>
      <c r="U49" s="173"/>
      <c r="V49" s="173"/>
      <c r="W49" s="173"/>
      <c r="X49" s="173"/>
      <c r="Y49" s="173"/>
    </row>
    <row r="50">
      <c r="A50" s="59">
        <v>49.0</v>
      </c>
      <c r="B50" s="302" t="s">
        <v>91</v>
      </c>
      <c r="C50" s="303" t="s">
        <v>243</v>
      </c>
      <c r="D50" s="304" t="s">
        <v>3138</v>
      </c>
      <c r="E50" s="59" t="s">
        <v>3138</v>
      </c>
      <c r="F50" s="305" t="s">
        <v>3138</v>
      </c>
      <c r="G50" s="173"/>
      <c r="H50" s="173"/>
      <c r="I50" s="173"/>
      <c r="J50" s="173"/>
      <c r="K50" s="173"/>
      <c r="L50" s="173"/>
      <c r="M50" s="173"/>
      <c r="N50" s="173"/>
      <c r="O50" s="173"/>
      <c r="P50" s="173"/>
      <c r="Q50" s="173"/>
      <c r="R50" s="173"/>
      <c r="S50" s="173"/>
      <c r="T50" s="173"/>
      <c r="U50" s="173"/>
      <c r="V50" s="173"/>
      <c r="W50" s="173"/>
      <c r="X50" s="173"/>
      <c r="Y50" s="173"/>
    </row>
    <row r="51">
      <c r="A51" s="59">
        <v>50.0</v>
      </c>
      <c r="B51" s="302" t="s">
        <v>91</v>
      </c>
      <c r="C51" s="303" t="s">
        <v>248</v>
      </c>
      <c r="D51" s="304" t="s">
        <v>3138</v>
      </c>
      <c r="E51" s="59" t="s">
        <v>3138</v>
      </c>
      <c r="F51" s="305" t="s">
        <v>3138</v>
      </c>
      <c r="G51" s="173"/>
      <c r="H51" s="173"/>
      <c r="I51" s="173"/>
      <c r="J51" s="173"/>
      <c r="K51" s="173"/>
      <c r="L51" s="173"/>
      <c r="M51" s="173"/>
      <c r="N51" s="173"/>
      <c r="O51" s="173"/>
      <c r="P51" s="173"/>
      <c r="Q51" s="173"/>
      <c r="R51" s="173"/>
      <c r="S51" s="173"/>
      <c r="T51" s="173"/>
      <c r="U51" s="173"/>
      <c r="V51" s="173"/>
      <c r="W51" s="173"/>
      <c r="X51" s="173"/>
      <c r="Y51" s="173"/>
    </row>
    <row r="52">
      <c r="A52" s="59">
        <v>51.0</v>
      </c>
      <c r="B52" s="302" t="s">
        <v>91</v>
      </c>
      <c r="C52" s="303" t="s">
        <v>2982</v>
      </c>
      <c r="D52" s="304" t="s">
        <v>3140</v>
      </c>
      <c r="E52" s="59" t="s">
        <v>3140</v>
      </c>
      <c r="F52" s="305" t="s">
        <v>3140</v>
      </c>
      <c r="G52" s="173"/>
      <c r="H52" s="173"/>
      <c r="I52" s="173"/>
      <c r="J52" s="173"/>
      <c r="K52" s="173"/>
      <c r="L52" s="173"/>
      <c r="M52" s="173"/>
      <c r="N52" s="173"/>
      <c r="O52" s="173"/>
      <c r="P52" s="173"/>
      <c r="Q52" s="173"/>
      <c r="R52" s="173"/>
      <c r="S52" s="173"/>
      <c r="T52" s="173"/>
      <c r="U52" s="173"/>
      <c r="V52" s="173"/>
      <c r="W52" s="173"/>
      <c r="X52" s="173"/>
      <c r="Y52" s="173"/>
    </row>
    <row r="53">
      <c r="A53" s="59">
        <v>52.0</v>
      </c>
      <c r="B53" s="302" t="s">
        <v>91</v>
      </c>
      <c r="C53" s="303" t="s">
        <v>262</v>
      </c>
      <c r="D53" s="304" t="s">
        <v>3140</v>
      </c>
      <c r="E53" s="59" t="s">
        <v>3140</v>
      </c>
      <c r="F53" s="305" t="s">
        <v>3140</v>
      </c>
      <c r="G53" s="179" t="s">
        <v>3149</v>
      </c>
      <c r="H53" s="173"/>
      <c r="I53" s="173"/>
      <c r="J53" s="173"/>
      <c r="K53" s="173"/>
      <c r="L53" s="173"/>
      <c r="M53" s="173"/>
      <c r="N53" s="173"/>
      <c r="O53" s="173"/>
      <c r="P53" s="173"/>
      <c r="Q53" s="173"/>
      <c r="R53" s="173"/>
      <c r="S53" s="173"/>
      <c r="T53" s="173"/>
      <c r="U53" s="173"/>
      <c r="V53" s="173"/>
      <c r="W53" s="173"/>
      <c r="X53" s="173"/>
      <c r="Y53" s="173"/>
    </row>
    <row r="54">
      <c r="A54" s="59">
        <v>53.0</v>
      </c>
      <c r="B54" s="302" t="s">
        <v>91</v>
      </c>
      <c r="C54" s="303" t="s">
        <v>267</v>
      </c>
      <c r="D54" s="304" t="s">
        <v>3140</v>
      </c>
      <c r="E54" s="59" t="s">
        <v>3140</v>
      </c>
      <c r="F54" s="305" t="s">
        <v>3140</v>
      </c>
      <c r="G54" s="173"/>
      <c r="H54" s="173"/>
      <c r="I54" s="173"/>
      <c r="J54" s="173"/>
      <c r="K54" s="173"/>
      <c r="L54" s="173"/>
      <c r="M54" s="173"/>
      <c r="N54" s="173"/>
      <c r="O54" s="173"/>
      <c r="P54" s="173"/>
      <c r="Q54" s="173"/>
      <c r="R54" s="173"/>
      <c r="S54" s="173"/>
      <c r="T54" s="173"/>
      <c r="U54" s="173"/>
      <c r="V54" s="173"/>
      <c r="W54" s="173"/>
      <c r="X54" s="173"/>
      <c r="Y54" s="173"/>
    </row>
    <row r="55">
      <c r="A55" s="59">
        <v>54.0</v>
      </c>
      <c r="B55" s="302" t="s">
        <v>91</v>
      </c>
      <c r="C55" s="303" t="s">
        <v>272</v>
      </c>
      <c r="D55" s="304" t="s">
        <v>3140</v>
      </c>
      <c r="E55" s="59" t="s">
        <v>3140</v>
      </c>
      <c r="F55" s="305" t="s">
        <v>3140</v>
      </c>
      <c r="G55" s="179" t="s">
        <v>3150</v>
      </c>
      <c r="H55" s="173"/>
      <c r="I55" s="173"/>
      <c r="J55" s="173"/>
      <c r="K55" s="173"/>
      <c r="L55" s="173"/>
      <c r="M55" s="173"/>
      <c r="N55" s="173"/>
      <c r="O55" s="173"/>
      <c r="P55" s="173"/>
      <c r="Q55" s="173"/>
      <c r="R55" s="173"/>
      <c r="S55" s="173"/>
      <c r="T55" s="173"/>
      <c r="U55" s="173"/>
      <c r="V55" s="173"/>
      <c r="W55" s="173"/>
      <c r="X55" s="173"/>
      <c r="Y55" s="173"/>
    </row>
    <row r="56">
      <c r="A56" s="59">
        <v>55.0</v>
      </c>
      <c r="B56" s="302" t="s">
        <v>91</v>
      </c>
      <c r="C56" s="303" t="s">
        <v>3151</v>
      </c>
      <c r="D56" s="304" t="s">
        <v>3138</v>
      </c>
      <c r="E56" s="59" t="s">
        <v>3138</v>
      </c>
      <c r="F56" s="305" t="s">
        <v>3138</v>
      </c>
      <c r="G56" s="173"/>
      <c r="H56" s="173"/>
      <c r="I56" s="173"/>
      <c r="J56" s="173"/>
      <c r="K56" s="173"/>
      <c r="L56" s="173"/>
      <c r="M56" s="173"/>
      <c r="N56" s="173"/>
      <c r="O56" s="173"/>
      <c r="P56" s="173"/>
      <c r="Q56" s="173"/>
      <c r="R56" s="173"/>
      <c r="S56" s="173"/>
      <c r="T56" s="173"/>
      <c r="U56" s="173"/>
      <c r="V56" s="173"/>
      <c r="W56" s="173"/>
      <c r="X56" s="173"/>
      <c r="Y56" s="173"/>
    </row>
    <row r="57">
      <c r="A57" s="59">
        <v>56.0</v>
      </c>
      <c r="B57" s="302" t="s">
        <v>91</v>
      </c>
      <c r="C57" s="303" t="s">
        <v>282</v>
      </c>
      <c r="D57" s="304" t="s">
        <v>3138</v>
      </c>
      <c r="E57" s="59" t="s">
        <v>3138</v>
      </c>
      <c r="F57" s="305" t="s">
        <v>3138</v>
      </c>
      <c r="G57" s="173"/>
      <c r="H57" s="173"/>
      <c r="I57" s="173"/>
      <c r="J57" s="173"/>
      <c r="K57" s="173"/>
      <c r="L57" s="173"/>
      <c r="M57" s="173"/>
      <c r="N57" s="173"/>
      <c r="O57" s="173"/>
      <c r="P57" s="173"/>
      <c r="Q57" s="173"/>
      <c r="R57" s="173"/>
      <c r="S57" s="173"/>
      <c r="T57" s="173"/>
      <c r="U57" s="173"/>
      <c r="V57" s="173"/>
      <c r="W57" s="173"/>
      <c r="X57" s="173"/>
      <c r="Y57" s="173"/>
    </row>
    <row r="58">
      <c r="A58" s="59">
        <v>57.0</v>
      </c>
      <c r="B58" s="302" t="s">
        <v>91</v>
      </c>
      <c r="C58" s="303" t="s">
        <v>287</v>
      </c>
      <c r="D58" s="304" t="s">
        <v>3138</v>
      </c>
      <c r="E58" s="59" t="s">
        <v>3138</v>
      </c>
      <c r="F58" s="305" t="s">
        <v>3138</v>
      </c>
      <c r="G58" s="173"/>
      <c r="H58" s="173"/>
      <c r="I58" s="173"/>
      <c r="J58" s="173"/>
      <c r="K58" s="173"/>
      <c r="L58" s="173"/>
      <c r="M58" s="173"/>
      <c r="N58" s="173"/>
      <c r="O58" s="173"/>
      <c r="P58" s="173"/>
      <c r="Q58" s="173"/>
      <c r="R58" s="173"/>
      <c r="S58" s="173"/>
      <c r="T58" s="173"/>
      <c r="U58" s="173"/>
      <c r="V58" s="173"/>
      <c r="W58" s="173"/>
      <c r="X58" s="173"/>
      <c r="Y58" s="173"/>
    </row>
    <row r="59">
      <c r="A59" s="59">
        <v>58.0</v>
      </c>
      <c r="B59" s="302" t="s">
        <v>91</v>
      </c>
      <c r="C59" s="303" t="s">
        <v>2995</v>
      </c>
      <c r="D59" s="304" t="s">
        <v>3140</v>
      </c>
      <c r="E59" s="59" t="s">
        <v>3140</v>
      </c>
      <c r="F59" s="305" t="s">
        <v>3140</v>
      </c>
      <c r="G59" s="179" t="s">
        <v>3143</v>
      </c>
      <c r="H59" s="173"/>
      <c r="I59" s="173"/>
      <c r="J59" s="173"/>
      <c r="K59" s="173"/>
      <c r="L59" s="173"/>
      <c r="M59" s="173"/>
      <c r="N59" s="173"/>
      <c r="O59" s="173"/>
      <c r="P59" s="173"/>
      <c r="Q59" s="173"/>
      <c r="R59" s="173"/>
      <c r="S59" s="173"/>
      <c r="T59" s="173"/>
      <c r="U59" s="173"/>
      <c r="V59" s="173"/>
      <c r="W59" s="173"/>
      <c r="X59" s="173"/>
      <c r="Y59" s="173"/>
    </row>
    <row r="60">
      <c r="A60" s="59">
        <v>59.0</v>
      </c>
      <c r="B60" s="302" t="s">
        <v>91</v>
      </c>
      <c r="C60" s="303" t="s">
        <v>3001</v>
      </c>
      <c r="D60" s="304" t="s">
        <v>3138</v>
      </c>
      <c r="E60" s="59" t="s">
        <v>3138</v>
      </c>
      <c r="F60" s="305" t="s">
        <v>3138</v>
      </c>
      <c r="G60" s="179" t="s">
        <v>3143</v>
      </c>
      <c r="H60" s="173"/>
      <c r="I60" s="173"/>
      <c r="J60" s="173"/>
      <c r="K60" s="173"/>
      <c r="L60" s="173"/>
      <c r="M60" s="173"/>
      <c r="N60" s="173"/>
      <c r="O60" s="173"/>
      <c r="P60" s="173"/>
      <c r="Q60" s="173"/>
      <c r="R60" s="173"/>
      <c r="S60" s="173"/>
      <c r="T60" s="173"/>
      <c r="U60" s="173"/>
      <c r="V60" s="173"/>
      <c r="W60" s="173"/>
      <c r="X60" s="173"/>
      <c r="Y60" s="173"/>
    </row>
    <row r="61">
      <c r="A61" s="59">
        <v>60.0</v>
      </c>
      <c r="B61" s="302" t="s">
        <v>91</v>
      </c>
      <c r="C61" s="303" t="s">
        <v>3002</v>
      </c>
      <c r="D61" s="304" t="s">
        <v>3138</v>
      </c>
      <c r="E61" s="59" t="s">
        <v>3138</v>
      </c>
      <c r="F61" s="305" t="s">
        <v>3138</v>
      </c>
      <c r="G61" s="173"/>
      <c r="H61" s="173"/>
      <c r="I61" s="173"/>
      <c r="J61" s="173"/>
      <c r="K61" s="173"/>
      <c r="L61" s="173"/>
      <c r="M61" s="173"/>
      <c r="N61" s="173"/>
      <c r="O61" s="173"/>
      <c r="P61" s="173"/>
      <c r="Q61" s="173"/>
      <c r="R61" s="173"/>
      <c r="S61" s="173"/>
      <c r="T61" s="173"/>
      <c r="U61" s="173"/>
      <c r="V61" s="173"/>
      <c r="W61" s="173"/>
      <c r="X61" s="173"/>
      <c r="Y61" s="173"/>
    </row>
    <row r="62">
      <c r="A62" s="59">
        <v>61.0</v>
      </c>
      <c r="B62" s="302" t="s">
        <v>91</v>
      </c>
      <c r="C62" s="303" t="s">
        <v>307</v>
      </c>
      <c r="D62" s="304" t="s">
        <v>3140</v>
      </c>
      <c r="E62" s="59" t="s">
        <v>3140</v>
      </c>
      <c r="F62" s="305" t="s">
        <v>3140</v>
      </c>
      <c r="G62" s="173"/>
      <c r="H62" s="173"/>
      <c r="I62" s="173"/>
      <c r="J62" s="173"/>
      <c r="K62" s="173"/>
      <c r="L62" s="173"/>
      <c r="M62" s="173"/>
      <c r="N62" s="173"/>
      <c r="O62" s="173"/>
      <c r="P62" s="173"/>
      <c r="Q62" s="173"/>
      <c r="R62" s="173"/>
      <c r="S62" s="173"/>
      <c r="T62" s="173"/>
      <c r="U62" s="173"/>
      <c r="V62" s="173"/>
      <c r="W62" s="173"/>
      <c r="X62" s="173"/>
      <c r="Y62" s="173"/>
    </row>
    <row r="63">
      <c r="A63" s="59">
        <v>62.0</v>
      </c>
      <c r="B63" s="302" t="s">
        <v>91</v>
      </c>
      <c r="C63" s="303" t="s">
        <v>312</v>
      </c>
      <c r="D63" s="304" t="s">
        <v>3138</v>
      </c>
      <c r="E63" s="59" t="s">
        <v>3138</v>
      </c>
      <c r="F63" s="305" t="s">
        <v>3138</v>
      </c>
      <c r="G63" s="179" t="s">
        <v>3143</v>
      </c>
      <c r="H63" s="173"/>
      <c r="I63" s="173"/>
      <c r="J63" s="173"/>
      <c r="K63" s="173"/>
      <c r="L63" s="173"/>
      <c r="M63" s="173"/>
      <c r="N63" s="173"/>
      <c r="O63" s="173"/>
      <c r="P63" s="173"/>
      <c r="Q63" s="173"/>
      <c r="R63" s="173"/>
      <c r="S63" s="173"/>
      <c r="T63" s="173"/>
      <c r="U63" s="173"/>
      <c r="V63" s="173"/>
      <c r="W63" s="173"/>
      <c r="X63" s="173"/>
      <c r="Y63" s="173"/>
    </row>
    <row r="64">
      <c r="A64" s="59">
        <v>63.0</v>
      </c>
      <c r="B64" s="306" t="s">
        <v>91</v>
      </c>
      <c r="C64" s="316" t="s">
        <v>316</v>
      </c>
      <c r="D64" s="308" t="s">
        <v>3138</v>
      </c>
      <c r="E64" s="309" t="s">
        <v>3138</v>
      </c>
      <c r="F64" s="310" t="s">
        <v>3138</v>
      </c>
      <c r="G64" s="173"/>
      <c r="H64" s="173"/>
      <c r="I64" s="173"/>
      <c r="J64" s="173"/>
      <c r="K64" s="173"/>
      <c r="L64" s="173"/>
      <c r="M64" s="173"/>
      <c r="N64" s="173"/>
      <c r="O64" s="173"/>
      <c r="P64" s="173"/>
      <c r="Q64" s="173"/>
      <c r="R64" s="173"/>
      <c r="S64" s="173"/>
      <c r="T64" s="173"/>
      <c r="U64" s="173"/>
      <c r="V64" s="173"/>
      <c r="W64" s="173"/>
      <c r="X64" s="173"/>
      <c r="Y64" s="173"/>
    </row>
    <row r="65">
      <c r="A65" s="59">
        <v>64.0</v>
      </c>
      <c r="B65" s="311" t="s">
        <v>321</v>
      </c>
      <c r="C65" s="312" t="s">
        <v>3152</v>
      </c>
      <c r="D65" s="304" t="s">
        <v>3140</v>
      </c>
      <c r="E65" s="59" t="s">
        <v>3140</v>
      </c>
      <c r="F65" s="305" t="s">
        <v>3140</v>
      </c>
      <c r="G65" s="179" t="s">
        <v>3143</v>
      </c>
      <c r="H65" s="173"/>
      <c r="I65" s="173"/>
      <c r="J65" s="173"/>
      <c r="K65" s="173"/>
      <c r="L65" s="173"/>
      <c r="M65" s="173"/>
      <c r="N65" s="173"/>
      <c r="O65" s="173"/>
      <c r="P65" s="173"/>
      <c r="Q65" s="173"/>
      <c r="R65" s="173"/>
      <c r="S65" s="173"/>
      <c r="T65" s="173"/>
      <c r="U65" s="173"/>
      <c r="V65" s="173"/>
      <c r="W65" s="173"/>
      <c r="X65" s="173"/>
      <c r="Y65" s="173"/>
    </row>
    <row r="66">
      <c r="A66" s="59">
        <v>65.0</v>
      </c>
      <c r="B66" s="302" t="s">
        <v>321</v>
      </c>
      <c r="C66" s="303" t="s">
        <v>3153</v>
      </c>
      <c r="D66" s="304" t="s">
        <v>3138</v>
      </c>
      <c r="E66" s="59" t="s">
        <v>3138</v>
      </c>
      <c r="F66" s="305" t="s">
        <v>3138</v>
      </c>
      <c r="G66" s="173"/>
      <c r="H66" s="173"/>
      <c r="I66" s="173"/>
      <c r="J66" s="173"/>
      <c r="K66" s="173"/>
      <c r="L66" s="173"/>
      <c r="M66" s="173"/>
      <c r="N66" s="173"/>
      <c r="O66" s="173"/>
      <c r="P66" s="173"/>
      <c r="Q66" s="173"/>
      <c r="R66" s="173"/>
      <c r="S66" s="173"/>
      <c r="T66" s="173"/>
      <c r="U66" s="173"/>
      <c r="V66" s="173"/>
      <c r="W66" s="173"/>
      <c r="X66" s="173"/>
      <c r="Y66" s="173"/>
    </row>
    <row r="67">
      <c r="A67" s="59">
        <v>66.0</v>
      </c>
      <c r="B67" s="302" t="s">
        <v>321</v>
      </c>
      <c r="C67" s="303" t="s">
        <v>3154</v>
      </c>
      <c r="D67" s="304" t="s">
        <v>3138</v>
      </c>
      <c r="E67" s="59" t="s">
        <v>3138</v>
      </c>
      <c r="F67" s="305" t="s">
        <v>3138</v>
      </c>
      <c r="G67" s="173"/>
      <c r="H67" s="173"/>
      <c r="I67" s="173"/>
      <c r="J67" s="173"/>
      <c r="K67" s="173"/>
      <c r="L67" s="173"/>
      <c r="M67" s="173"/>
      <c r="N67" s="173"/>
      <c r="O67" s="173"/>
      <c r="P67" s="173"/>
      <c r="Q67" s="173"/>
      <c r="R67" s="173"/>
      <c r="S67" s="173"/>
      <c r="T67" s="173"/>
      <c r="U67" s="173"/>
      <c r="V67" s="173"/>
      <c r="W67" s="173"/>
      <c r="X67" s="173"/>
      <c r="Y67" s="173"/>
    </row>
    <row r="68">
      <c r="A68" s="59">
        <v>67.0</v>
      </c>
      <c r="B68" s="302" t="s">
        <v>321</v>
      </c>
      <c r="C68" s="303" t="s">
        <v>3155</v>
      </c>
      <c r="D68" s="304" t="s">
        <v>3138</v>
      </c>
      <c r="E68" s="59" t="s">
        <v>3138</v>
      </c>
      <c r="F68" s="305" t="s">
        <v>3138</v>
      </c>
      <c r="G68" s="173"/>
      <c r="H68" s="173"/>
      <c r="I68" s="173"/>
      <c r="J68" s="173"/>
      <c r="K68" s="173"/>
      <c r="L68" s="173"/>
      <c r="M68" s="173"/>
      <c r="N68" s="173"/>
      <c r="O68" s="173"/>
      <c r="P68" s="173"/>
      <c r="Q68" s="173"/>
      <c r="R68" s="173"/>
      <c r="S68" s="173"/>
      <c r="T68" s="173"/>
      <c r="U68" s="173"/>
      <c r="V68" s="173"/>
      <c r="W68" s="173"/>
      <c r="X68" s="173"/>
      <c r="Y68" s="173"/>
    </row>
    <row r="69">
      <c r="A69" s="59">
        <v>68.0</v>
      </c>
      <c r="B69" s="302" t="s">
        <v>321</v>
      </c>
      <c r="C69" s="303" t="s">
        <v>3156</v>
      </c>
      <c r="D69" s="304" t="s">
        <v>3138</v>
      </c>
      <c r="E69" s="59" t="s">
        <v>3138</v>
      </c>
      <c r="F69" s="305" t="s">
        <v>3138</v>
      </c>
      <c r="G69" s="173"/>
      <c r="H69" s="173"/>
      <c r="I69" s="173"/>
      <c r="J69" s="173"/>
      <c r="K69" s="173"/>
      <c r="L69" s="173"/>
      <c r="M69" s="173"/>
      <c r="N69" s="173"/>
      <c r="O69" s="173"/>
      <c r="P69" s="173"/>
      <c r="Q69" s="173"/>
      <c r="R69" s="173"/>
      <c r="S69" s="173"/>
      <c r="T69" s="173"/>
      <c r="U69" s="173"/>
      <c r="V69" s="173"/>
      <c r="W69" s="173"/>
      <c r="X69" s="173"/>
      <c r="Y69" s="173"/>
    </row>
    <row r="70">
      <c r="A70" s="59">
        <v>69.0</v>
      </c>
      <c r="B70" s="302" t="s">
        <v>321</v>
      </c>
      <c r="C70" s="303" t="s">
        <v>346</v>
      </c>
      <c r="D70" s="304" t="s">
        <v>3138</v>
      </c>
      <c r="E70" s="59" t="s">
        <v>3138</v>
      </c>
      <c r="F70" s="305" t="s">
        <v>3138</v>
      </c>
      <c r="G70" s="173"/>
      <c r="H70" s="173"/>
      <c r="I70" s="173"/>
      <c r="J70" s="173"/>
      <c r="K70" s="173"/>
      <c r="L70" s="173"/>
      <c r="M70" s="173"/>
      <c r="N70" s="173"/>
      <c r="O70" s="173"/>
      <c r="P70" s="173"/>
      <c r="Q70" s="173"/>
      <c r="R70" s="173"/>
      <c r="S70" s="173"/>
      <c r="T70" s="173"/>
      <c r="U70" s="173"/>
      <c r="V70" s="173"/>
      <c r="W70" s="173"/>
      <c r="X70" s="173"/>
      <c r="Y70" s="173"/>
    </row>
    <row r="71">
      <c r="A71" s="59">
        <v>70.0</v>
      </c>
      <c r="B71" s="302" t="s">
        <v>321</v>
      </c>
      <c r="C71" s="303" t="s">
        <v>351</v>
      </c>
      <c r="D71" s="304" t="s">
        <v>3138</v>
      </c>
      <c r="E71" s="59" t="s">
        <v>3138</v>
      </c>
      <c r="F71" s="305" t="s">
        <v>3138</v>
      </c>
      <c r="G71" s="173"/>
      <c r="H71" s="173"/>
      <c r="I71" s="173"/>
      <c r="J71" s="173"/>
      <c r="K71" s="173"/>
      <c r="L71" s="173"/>
      <c r="M71" s="173"/>
      <c r="N71" s="173"/>
      <c r="O71" s="173"/>
      <c r="P71" s="173"/>
      <c r="Q71" s="173"/>
      <c r="R71" s="173"/>
      <c r="S71" s="173"/>
      <c r="T71" s="173"/>
      <c r="U71" s="173"/>
      <c r="V71" s="173"/>
      <c r="W71" s="173"/>
      <c r="X71" s="173"/>
      <c r="Y71" s="173"/>
    </row>
    <row r="72">
      <c r="A72" s="59">
        <v>71.0</v>
      </c>
      <c r="B72" s="302" t="s">
        <v>321</v>
      </c>
      <c r="C72" s="303" t="s">
        <v>356</v>
      </c>
      <c r="D72" s="304" t="s">
        <v>3138</v>
      </c>
      <c r="E72" s="59" t="s">
        <v>3138</v>
      </c>
      <c r="F72" s="305" t="s">
        <v>3138</v>
      </c>
      <c r="G72" s="173"/>
      <c r="H72" s="173"/>
      <c r="I72" s="173"/>
      <c r="J72" s="173"/>
      <c r="K72" s="173"/>
      <c r="L72" s="173"/>
      <c r="M72" s="173"/>
      <c r="N72" s="173"/>
      <c r="O72" s="173"/>
      <c r="P72" s="173"/>
      <c r="Q72" s="173"/>
      <c r="R72" s="173"/>
      <c r="S72" s="173"/>
      <c r="T72" s="173"/>
      <c r="U72" s="173"/>
      <c r="V72" s="173"/>
      <c r="W72" s="173"/>
      <c r="X72" s="173"/>
      <c r="Y72" s="173"/>
    </row>
    <row r="73">
      <c r="A73" s="59">
        <v>72.0</v>
      </c>
      <c r="B73" s="302" t="s">
        <v>321</v>
      </c>
      <c r="C73" s="303" t="s">
        <v>361</v>
      </c>
      <c r="D73" s="304" t="s">
        <v>3140</v>
      </c>
      <c r="E73" s="59" t="s">
        <v>3140</v>
      </c>
      <c r="F73" s="305" t="s">
        <v>3140</v>
      </c>
      <c r="G73" s="173"/>
      <c r="H73" s="173"/>
      <c r="I73" s="173"/>
      <c r="J73" s="173"/>
      <c r="K73" s="173"/>
      <c r="L73" s="173"/>
      <c r="M73" s="173"/>
      <c r="N73" s="173"/>
      <c r="O73" s="173"/>
      <c r="P73" s="173"/>
      <c r="Q73" s="173"/>
      <c r="R73" s="173"/>
      <c r="S73" s="173"/>
      <c r="T73" s="173"/>
      <c r="U73" s="173"/>
      <c r="V73" s="173"/>
      <c r="W73" s="173"/>
      <c r="X73" s="173"/>
      <c r="Y73" s="173"/>
    </row>
    <row r="74">
      <c r="A74" s="59">
        <v>73.0</v>
      </c>
      <c r="B74" s="302" t="s">
        <v>321</v>
      </c>
      <c r="C74" s="303" t="s">
        <v>365</v>
      </c>
      <c r="D74" s="304" t="s">
        <v>3140</v>
      </c>
      <c r="E74" s="59" t="s">
        <v>3140</v>
      </c>
      <c r="F74" s="305" t="s">
        <v>3140</v>
      </c>
      <c r="G74" s="173"/>
      <c r="H74" s="173"/>
      <c r="I74" s="173"/>
      <c r="J74" s="173"/>
      <c r="K74" s="173"/>
      <c r="L74" s="173"/>
      <c r="M74" s="173"/>
      <c r="N74" s="173"/>
      <c r="O74" s="173"/>
      <c r="P74" s="173"/>
      <c r="Q74" s="173"/>
      <c r="R74" s="173"/>
      <c r="S74" s="173"/>
      <c r="T74" s="173"/>
      <c r="U74" s="173"/>
      <c r="V74" s="173"/>
      <c r="W74" s="173"/>
      <c r="X74" s="173"/>
      <c r="Y74" s="173"/>
    </row>
    <row r="75">
      <c r="A75" s="59">
        <v>74.0</v>
      </c>
      <c r="B75" s="302" t="s">
        <v>321</v>
      </c>
      <c r="C75" s="303" t="s">
        <v>370</v>
      </c>
      <c r="D75" s="304" t="s">
        <v>3138</v>
      </c>
      <c r="E75" s="59" t="s">
        <v>3138</v>
      </c>
      <c r="F75" s="305" t="s">
        <v>3138</v>
      </c>
      <c r="G75" s="173"/>
      <c r="H75" s="173"/>
      <c r="I75" s="173"/>
      <c r="J75" s="173"/>
      <c r="K75" s="173"/>
      <c r="L75" s="173"/>
      <c r="M75" s="173"/>
      <c r="N75" s="173"/>
      <c r="O75" s="173"/>
      <c r="P75" s="173"/>
      <c r="Q75" s="173"/>
      <c r="R75" s="173"/>
      <c r="S75" s="173"/>
      <c r="T75" s="173"/>
      <c r="U75" s="173"/>
      <c r="V75" s="173"/>
      <c r="W75" s="173"/>
      <c r="X75" s="173"/>
      <c r="Y75" s="173"/>
    </row>
    <row r="76">
      <c r="A76" s="59">
        <v>75.0</v>
      </c>
      <c r="B76" s="302" t="s">
        <v>321</v>
      </c>
      <c r="C76" s="303" t="s">
        <v>375</v>
      </c>
      <c r="D76" s="304" t="s">
        <v>3138</v>
      </c>
      <c r="E76" s="59" t="s">
        <v>3138</v>
      </c>
      <c r="F76" s="305" t="s">
        <v>3138</v>
      </c>
      <c r="G76" s="173"/>
      <c r="H76" s="173"/>
      <c r="I76" s="173"/>
      <c r="J76" s="173"/>
      <c r="K76" s="173"/>
      <c r="L76" s="173"/>
      <c r="M76" s="173"/>
      <c r="N76" s="173"/>
      <c r="O76" s="173"/>
      <c r="P76" s="173"/>
      <c r="Q76" s="173"/>
      <c r="R76" s="173"/>
      <c r="S76" s="173"/>
      <c r="T76" s="173"/>
      <c r="U76" s="173"/>
      <c r="V76" s="173"/>
      <c r="W76" s="173"/>
      <c r="X76" s="173"/>
      <c r="Y76" s="173"/>
    </row>
    <row r="77">
      <c r="A77" s="59">
        <v>76.0</v>
      </c>
      <c r="B77" s="302" t="s">
        <v>321</v>
      </c>
      <c r="C77" s="317" t="s">
        <v>379</v>
      </c>
      <c r="D77" s="304" t="s">
        <v>3138</v>
      </c>
      <c r="E77" s="59" t="s">
        <v>3138</v>
      </c>
      <c r="F77" s="305" t="s">
        <v>3138</v>
      </c>
      <c r="G77" s="173"/>
      <c r="H77" s="173"/>
      <c r="I77" s="173"/>
      <c r="J77" s="173"/>
      <c r="K77" s="173"/>
      <c r="L77" s="173"/>
      <c r="M77" s="173"/>
      <c r="N77" s="173"/>
      <c r="O77" s="173"/>
      <c r="P77" s="173"/>
      <c r="Q77" s="173"/>
      <c r="R77" s="173"/>
      <c r="S77" s="173"/>
      <c r="T77" s="173"/>
      <c r="U77" s="173"/>
      <c r="V77" s="173"/>
      <c r="W77" s="173"/>
      <c r="X77" s="173"/>
      <c r="Y77" s="173"/>
    </row>
    <row r="78">
      <c r="A78" s="59">
        <v>77.0</v>
      </c>
      <c r="B78" s="302" t="s">
        <v>321</v>
      </c>
      <c r="C78" s="303" t="s">
        <v>384</v>
      </c>
      <c r="D78" s="304" t="s">
        <v>3138</v>
      </c>
      <c r="E78" s="59" t="s">
        <v>3138</v>
      </c>
      <c r="F78" s="305" t="s">
        <v>3138</v>
      </c>
      <c r="G78" s="173"/>
      <c r="H78" s="173"/>
      <c r="I78" s="173"/>
      <c r="J78" s="173"/>
      <c r="K78" s="173"/>
      <c r="L78" s="173"/>
      <c r="M78" s="173"/>
      <c r="N78" s="173"/>
      <c r="O78" s="173"/>
      <c r="P78" s="173"/>
      <c r="Q78" s="173"/>
      <c r="R78" s="173"/>
      <c r="S78" s="173"/>
      <c r="T78" s="173"/>
      <c r="U78" s="173"/>
      <c r="V78" s="173"/>
      <c r="W78" s="173"/>
      <c r="X78" s="173"/>
      <c r="Y78" s="173"/>
    </row>
    <row r="79">
      <c r="A79" s="59">
        <v>78.0</v>
      </c>
      <c r="B79" s="302" t="s">
        <v>321</v>
      </c>
      <c r="C79" s="303" t="s">
        <v>388</v>
      </c>
      <c r="D79" s="304" t="s">
        <v>3138</v>
      </c>
      <c r="E79" s="59" t="s">
        <v>3138</v>
      </c>
      <c r="F79" s="305" t="s">
        <v>3138</v>
      </c>
      <c r="G79" s="173"/>
      <c r="H79" s="173"/>
      <c r="I79" s="173"/>
      <c r="J79" s="173"/>
      <c r="K79" s="173"/>
      <c r="L79" s="173"/>
      <c r="M79" s="173"/>
      <c r="N79" s="173"/>
      <c r="O79" s="173"/>
      <c r="P79" s="173"/>
      <c r="Q79" s="173"/>
      <c r="R79" s="173"/>
      <c r="S79" s="173"/>
      <c r="T79" s="173"/>
      <c r="U79" s="173"/>
      <c r="V79" s="173"/>
      <c r="W79" s="173"/>
      <c r="X79" s="173"/>
      <c r="Y79" s="173"/>
    </row>
    <row r="80">
      <c r="A80" s="59">
        <v>79.0</v>
      </c>
      <c r="B80" s="302" t="s">
        <v>321</v>
      </c>
      <c r="C80" s="303" t="s">
        <v>393</v>
      </c>
      <c r="D80" s="304" t="s">
        <v>3138</v>
      </c>
      <c r="E80" s="59" t="s">
        <v>3138</v>
      </c>
      <c r="F80" s="305" t="s">
        <v>3138</v>
      </c>
      <c r="G80" s="179" t="s">
        <v>3143</v>
      </c>
      <c r="H80" s="173"/>
      <c r="I80" s="173"/>
      <c r="J80" s="173"/>
      <c r="K80" s="173"/>
      <c r="L80" s="173"/>
      <c r="M80" s="173"/>
      <c r="N80" s="173"/>
      <c r="O80" s="173"/>
      <c r="P80" s="173"/>
      <c r="Q80" s="173"/>
      <c r="R80" s="173"/>
      <c r="S80" s="173"/>
      <c r="T80" s="173"/>
      <c r="U80" s="173"/>
      <c r="V80" s="173"/>
      <c r="W80" s="173"/>
      <c r="X80" s="173"/>
      <c r="Y80" s="173"/>
    </row>
    <row r="81">
      <c r="A81" s="59">
        <v>80.0</v>
      </c>
      <c r="B81" s="302" t="s">
        <v>321</v>
      </c>
      <c r="C81" s="303" t="s">
        <v>397</v>
      </c>
      <c r="D81" s="304" t="s">
        <v>3138</v>
      </c>
      <c r="E81" s="59" t="s">
        <v>3138</v>
      </c>
      <c r="F81" s="305" t="s">
        <v>3138</v>
      </c>
      <c r="G81" s="173"/>
      <c r="H81" s="173"/>
      <c r="I81" s="173"/>
      <c r="J81" s="173"/>
      <c r="K81" s="173"/>
      <c r="L81" s="173"/>
      <c r="M81" s="173"/>
      <c r="N81" s="173"/>
      <c r="O81" s="173"/>
      <c r="P81" s="173"/>
      <c r="Q81" s="173"/>
      <c r="R81" s="173"/>
      <c r="S81" s="173"/>
      <c r="T81" s="173"/>
      <c r="U81" s="173"/>
      <c r="V81" s="173"/>
      <c r="W81" s="173"/>
      <c r="X81" s="173"/>
      <c r="Y81" s="173"/>
    </row>
    <row r="82">
      <c r="A82" s="59">
        <v>81.0</v>
      </c>
      <c r="B82" s="302" t="s">
        <v>321</v>
      </c>
      <c r="C82" s="303" t="s">
        <v>402</v>
      </c>
      <c r="D82" s="304" t="s">
        <v>3138</v>
      </c>
      <c r="E82" s="59" t="s">
        <v>3138</v>
      </c>
      <c r="F82" s="305" t="s">
        <v>3138</v>
      </c>
      <c r="G82" s="173"/>
      <c r="H82" s="173"/>
      <c r="I82" s="173"/>
      <c r="J82" s="173"/>
      <c r="K82" s="173"/>
      <c r="L82" s="173"/>
      <c r="M82" s="173"/>
      <c r="N82" s="173"/>
      <c r="O82" s="173"/>
      <c r="P82" s="173"/>
      <c r="Q82" s="173"/>
      <c r="R82" s="173"/>
      <c r="S82" s="173"/>
      <c r="T82" s="173"/>
      <c r="U82" s="173"/>
      <c r="V82" s="173"/>
      <c r="W82" s="173"/>
      <c r="X82" s="173"/>
      <c r="Y82" s="173"/>
    </row>
    <row r="83">
      <c r="A83" s="59">
        <v>82.0</v>
      </c>
      <c r="B83" s="302" t="s">
        <v>321</v>
      </c>
      <c r="C83" s="303" t="s">
        <v>407</v>
      </c>
      <c r="D83" s="304" t="s">
        <v>3138</v>
      </c>
      <c r="E83" s="59" t="s">
        <v>3138</v>
      </c>
      <c r="F83" s="305" t="s">
        <v>3138</v>
      </c>
      <c r="G83" s="173"/>
      <c r="H83" s="173"/>
      <c r="I83" s="173"/>
      <c r="J83" s="173"/>
      <c r="K83" s="173"/>
      <c r="L83" s="173"/>
      <c r="M83" s="173"/>
      <c r="N83" s="173"/>
      <c r="O83" s="173"/>
      <c r="P83" s="173"/>
      <c r="Q83" s="173"/>
      <c r="R83" s="173"/>
      <c r="S83" s="173"/>
      <c r="T83" s="173"/>
      <c r="U83" s="173"/>
      <c r="V83" s="173"/>
      <c r="W83" s="173"/>
      <c r="X83" s="173"/>
      <c r="Y83" s="173"/>
    </row>
    <row r="84">
      <c r="A84" s="59">
        <v>83.0</v>
      </c>
      <c r="B84" s="302" t="s">
        <v>321</v>
      </c>
      <c r="C84" s="303" t="s">
        <v>410</v>
      </c>
      <c r="D84" s="304" t="s">
        <v>3138</v>
      </c>
      <c r="E84" s="59" t="s">
        <v>3138</v>
      </c>
      <c r="F84" s="305" t="s">
        <v>3138</v>
      </c>
      <c r="G84" s="173"/>
      <c r="H84" s="173"/>
      <c r="I84" s="173"/>
      <c r="J84" s="173"/>
      <c r="K84" s="173"/>
      <c r="L84" s="173"/>
      <c r="M84" s="173"/>
      <c r="N84" s="173"/>
      <c r="O84" s="173"/>
      <c r="P84" s="173"/>
      <c r="Q84" s="173"/>
      <c r="R84" s="173"/>
      <c r="S84" s="173"/>
      <c r="T84" s="173"/>
      <c r="U84" s="173"/>
      <c r="V84" s="173"/>
      <c r="W84" s="173"/>
      <c r="X84" s="173"/>
      <c r="Y84" s="173"/>
    </row>
    <row r="85">
      <c r="A85" s="59">
        <v>84.0</v>
      </c>
      <c r="B85" s="302" t="s">
        <v>321</v>
      </c>
      <c r="C85" s="303" t="s">
        <v>414</v>
      </c>
      <c r="D85" s="304" t="s">
        <v>3138</v>
      </c>
      <c r="E85" s="59" t="s">
        <v>3138</v>
      </c>
      <c r="F85" s="305" t="s">
        <v>3138</v>
      </c>
      <c r="G85" s="173"/>
      <c r="H85" s="173"/>
      <c r="I85" s="173"/>
      <c r="J85" s="173"/>
      <c r="K85" s="173"/>
      <c r="L85" s="173"/>
      <c r="M85" s="173"/>
      <c r="N85" s="173"/>
      <c r="O85" s="173"/>
      <c r="P85" s="173"/>
      <c r="Q85" s="173"/>
      <c r="R85" s="173"/>
      <c r="S85" s="173"/>
      <c r="T85" s="173"/>
      <c r="U85" s="173"/>
      <c r="V85" s="173"/>
      <c r="W85" s="173"/>
      <c r="X85" s="173"/>
      <c r="Y85" s="173"/>
    </row>
    <row r="86">
      <c r="A86" s="59">
        <v>85.0</v>
      </c>
      <c r="B86" s="302" t="s">
        <v>321</v>
      </c>
      <c r="C86" s="303" t="s">
        <v>417</v>
      </c>
      <c r="D86" s="304" t="s">
        <v>3140</v>
      </c>
      <c r="E86" s="59" t="s">
        <v>3140</v>
      </c>
      <c r="F86" s="305" t="s">
        <v>3140</v>
      </c>
      <c r="G86" s="173"/>
      <c r="H86" s="173"/>
      <c r="I86" s="173"/>
      <c r="J86" s="173"/>
      <c r="K86" s="173"/>
      <c r="L86" s="173"/>
      <c r="M86" s="173"/>
      <c r="N86" s="173"/>
      <c r="O86" s="173"/>
      <c r="P86" s="173"/>
      <c r="Q86" s="173"/>
      <c r="R86" s="173"/>
      <c r="S86" s="173"/>
      <c r="T86" s="173"/>
      <c r="U86" s="173"/>
      <c r="V86" s="173"/>
      <c r="W86" s="173"/>
      <c r="X86" s="173"/>
      <c r="Y86" s="173"/>
    </row>
    <row r="87">
      <c r="A87" s="59">
        <v>86.0</v>
      </c>
      <c r="B87" s="302" t="s">
        <v>321</v>
      </c>
      <c r="C87" s="303" t="s">
        <v>421</v>
      </c>
      <c r="D87" s="304" t="s">
        <v>3140</v>
      </c>
      <c r="E87" s="59" t="s">
        <v>3140</v>
      </c>
      <c r="F87" s="305" t="s">
        <v>3140</v>
      </c>
      <c r="G87" s="173"/>
      <c r="H87" s="173"/>
      <c r="I87" s="173"/>
      <c r="J87" s="173"/>
      <c r="K87" s="173"/>
      <c r="L87" s="173"/>
      <c r="M87" s="173"/>
      <c r="N87" s="173"/>
      <c r="O87" s="173"/>
      <c r="P87" s="173"/>
      <c r="Q87" s="173"/>
      <c r="R87" s="173"/>
      <c r="S87" s="173"/>
      <c r="T87" s="173"/>
      <c r="U87" s="173"/>
      <c r="V87" s="173"/>
      <c r="W87" s="173"/>
      <c r="X87" s="173"/>
      <c r="Y87" s="173"/>
    </row>
    <row r="88">
      <c r="A88" s="59">
        <v>87.0</v>
      </c>
      <c r="B88" s="302" t="s">
        <v>321</v>
      </c>
      <c r="C88" s="303" t="s">
        <v>426</v>
      </c>
      <c r="D88" s="304" t="s">
        <v>3138</v>
      </c>
      <c r="E88" s="59" t="s">
        <v>3138</v>
      </c>
      <c r="F88" s="305" t="s">
        <v>3138</v>
      </c>
      <c r="G88" s="173"/>
      <c r="H88" s="173"/>
      <c r="I88" s="173"/>
      <c r="J88" s="173"/>
      <c r="K88" s="173"/>
      <c r="L88" s="173"/>
      <c r="M88" s="173"/>
      <c r="N88" s="173"/>
      <c r="O88" s="173"/>
      <c r="P88" s="173"/>
      <c r="Q88" s="173"/>
      <c r="R88" s="173"/>
      <c r="S88" s="173"/>
      <c r="T88" s="173"/>
      <c r="U88" s="173"/>
      <c r="V88" s="173"/>
      <c r="W88" s="173"/>
      <c r="X88" s="173"/>
      <c r="Y88" s="173"/>
    </row>
    <row r="89">
      <c r="A89" s="59">
        <v>88.0</v>
      </c>
      <c r="B89" s="302" t="s">
        <v>321</v>
      </c>
      <c r="C89" s="303" t="s">
        <v>431</v>
      </c>
      <c r="D89" s="304" t="s">
        <v>3138</v>
      </c>
      <c r="E89" s="59" t="s">
        <v>3138</v>
      </c>
      <c r="F89" s="305" t="s">
        <v>3138</v>
      </c>
      <c r="G89" s="173"/>
      <c r="H89" s="173"/>
      <c r="I89" s="173"/>
      <c r="J89" s="173"/>
      <c r="K89" s="173"/>
      <c r="L89" s="173"/>
      <c r="M89" s="173"/>
      <c r="N89" s="173"/>
      <c r="O89" s="173"/>
      <c r="P89" s="173"/>
      <c r="Q89" s="173"/>
      <c r="R89" s="173"/>
      <c r="S89" s="173"/>
      <c r="T89" s="173"/>
      <c r="U89" s="173"/>
      <c r="V89" s="173"/>
      <c r="W89" s="173"/>
      <c r="X89" s="173"/>
      <c r="Y89" s="173"/>
    </row>
    <row r="90">
      <c r="A90" s="59">
        <v>89.0</v>
      </c>
      <c r="B90" s="302" t="s">
        <v>321</v>
      </c>
      <c r="C90" s="303" t="s">
        <v>435</v>
      </c>
      <c r="D90" s="304" t="s">
        <v>3138</v>
      </c>
      <c r="E90" s="59" t="s">
        <v>3138</v>
      </c>
      <c r="F90" s="305" t="s">
        <v>3138</v>
      </c>
      <c r="G90" s="173"/>
      <c r="H90" s="173"/>
      <c r="I90" s="173"/>
      <c r="J90" s="173"/>
      <c r="K90" s="173"/>
      <c r="L90" s="173"/>
      <c r="M90" s="173"/>
      <c r="N90" s="173"/>
      <c r="O90" s="173"/>
      <c r="P90" s="173"/>
      <c r="Q90" s="173"/>
      <c r="R90" s="173"/>
      <c r="S90" s="173"/>
      <c r="T90" s="173"/>
      <c r="U90" s="173"/>
      <c r="V90" s="173"/>
      <c r="W90" s="173"/>
      <c r="X90" s="173"/>
      <c r="Y90" s="173"/>
    </row>
    <row r="91">
      <c r="A91" s="59">
        <v>90.0</v>
      </c>
      <c r="B91" s="302" t="s">
        <v>321</v>
      </c>
      <c r="C91" s="303" t="s">
        <v>440</v>
      </c>
      <c r="D91" s="304" t="s">
        <v>3138</v>
      </c>
      <c r="E91" s="59" t="s">
        <v>3138</v>
      </c>
      <c r="F91" s="305" t="s">
        <v>3138</v>
      </c>
      <c r="G91" s="173"/>
      <c r="H91" s="173"/>
      <c r="I91" s="173"/>
      <c r="J91" s="173"/>
      <c r="K91" s="173"/>
      <c r="L91" s="173"/>
      <c r="M91" s="173"/>
      <c r="N91" s="173"/>
      <c r="O91" s="173"/>
      <c r="P91" s="173"/>
      <c r="Q91" s="173"/>
      <c r="R91" s="173"/>
      <c r="S91" s="173"/>
      <c r="T91" s="173"/>
      <c r="U91" s="173"/>
      <c r="V91" s="173"/>
      <c r="W91" s="173"/>
      <c r="X91" s="173"/>
      <c r="Y91" s="173"/>
    </row>
    <row r="92">
      <c r="A92" s="59">
        <v>91.0</v>
      </c>
      <c r="B92" s="302" t="s">
        <v>321</v>
      </c>
      <c r="C92" s="303" t="s">
        <v>445</v>
      </c>
      <c r="D92" s="304" t="s">
        <v>3138</v>
      </c>
      <c r="E92" s="59" t="s">
        <v>3138</v>
      </c>
      <c r="F92" s="305" t="s">
        <v>3138</v>
      </c>
      <c r="G92" s="173"/>
      <c r="H92" s="173"/>
      <c r="I92" s="173"/>
      <c r="J92" s="173"/>
      <c r="K92" s="173"/>
      <c r="L92" s="173"/>
      <c r="M92" s="173"/>
      <c r="N92" s="173"/>
      <c r="O92" s="173"/>
      <c r="P92" s="173"/>
      <c r="Q92" s="173"/>
      <c r="R92" s="173"/>
      <c r="S92" s="173"/>
      <c r="T92" s="173"/>
      <c r="U92" s="173"/>
      <c r="V92" s="173"/>
      <c r="W92" s="173"/>
      <c r="X92" s="173"/>
      <c r="Y92" s="173"/>
    </row>
    <row r="93">
      <c r="A93" s="59">
        <v>92.0</v>
      </c>
      <c r="B93" s="302" t="s">
        <v>321</v>
      </c>
      <c r="C93" s="303" t="s">
        <v>449</v>
      </c>
      <c r="D93" s="304" t="s">
        <v>3138</v>
      </c>
      <c r="E93" s="59" t="s">
        <v>3138</v>
      </c>
      <c r="F93" s="305" t="s">
        <v>3138</v>
      </c>
      <c r="G93" s="173"/>
      <c r="H93" s="173"/>
      <c r="I93" s="173"/>
      <c r="J93" s="173"/>
      <c r="K93" s="173"/>
      <c r="L93" s="173"/>
      <c r="M93" s="173"/>
      <c r="N93" s="173"/>
      <c r="O93" s="173"/>
      <c r="P93" s="173"/>
      <c r="Q93" s="173"/>
      <c r="R93" s="173"/>
      <c r="S93" s="173"/>
      <c r="T93" s="173"/>
      <c r="U93" s="173"/>
      <c r="V93" s="173"/>
      <c r="W93" s="173"/>
      <c r="X93" s="173"/>
      <c r="Y93" s="173"/>
    </row>
    <row r="94">
      <c r="A94" s="59">
        <v>93.0</v>
      </c>
      <c r="B94" s="302" t="s">
        <v>321</v>
      </c>
      <c r="C94" s="303" t="s">
        <v>454</v>
      </c>
      <c r="D94" s="304" t="s">
        <v>3138</v>
      </c>
      <c r="E94" s="59" t="s">
        <v>3138</v>
      </c>
      <c r="F94" s="305" t="s">
        <v>3138</v>
      </c>
      <c r="G94" s="173"/>
      <c r="H94" s="173"/>
      <c r="I94" s="173"/>
      <c r="J94" s="173"/>
      <c r="K94" s="173"/>
      <c r="L94" s="173"/>
      <c r="M94" s="173"/>
      <c r="N94" s="173"/>
      <c r="O94" s="173"/>
      <c r="P94" s="173"/>
      <c r="Q94" s="173"/>
      <c r="R94" s="173"/>
      <c r="S94" s="173"/>
      <c r="T94" s="173"/>
      <c r="U94" s="173"/>
      <c r="V94" s="173"/>
      <c r="W94" s="173"/>
      <c r="X94" s="173"/>
      <c r="Y94" s="173"/>
    </row>
    <row r="95">
      <c r="A95" s="59">
        <v>94.0</v>
      </c>
      <c r="B95" s="302" t="s">
        <v>321</v>
      </c>
      <c r="C95" s="303" t="s">
        <v>459</v>
      </c>
      <c r="D95" s="304" t="s">
        <v>3138</v>
      </c>
      <c r="E95" s="59" t="s">
        <v>3138</v>
      </c>
      <c r="F95" s="305" t="s">
        <v>3138</v>
      </c>
      <c r="G95" s="173"/>
      <c r="H95" s="173"/>
      <c r="I95" s="173"/>
      <c r="J95" s="173"/>
      <c r="K95" s="173"/>
      <c r="L95" s="173"/>
      <c r="M95" s="173"/>
      <c r="N95" s="173"/>
      <c r="O95" s="173"/>
      <c r="P95" s="173"/>
      <c r="Q95" s="173"/>
      <c r="R95" s="173"/>
      <c r="S95" s="173"/>
      <c r="T95" s="173"/>
      <c r="U95" s="173"/>
      <c r="V95" s="173"/>
      <c r="W95" s="173"/>
      <c r="X95" s="173"/>
      <c r="Y95" s="173"/>
    </row>
    <row r="96">
      <c r="A96" s="59">
        <v>95.0</v>
      </c>
      <c r="B96" s="302" t="s">
        <v>321</v>
      </c>
      <c r="C96" s="303" t="s">
        <v>463</v>
      </c>
      <c r="D96" s="304" t="s">
        <v>3138</v>
      </c>
      <c r="E96" s="59" t="s">
        <v>3138</v>
      </c>
      <c r="F96" s="305" t="s">
        <v>3138</v>
      </c>
      <c r="G96" s="173"/>
      <c r="H96" s="173"/>
      <c r="I96" s="173"/>
      <c r="J96" s="173"/>
      <c r="K96" s="173"/>
      <c r="L96" s="173"/>
      <c r="M96" s="173"/>
      <c r="N96" s="173"/>
      <c r="O96" s="173"/>
      <c r="P96" s="173"/>
      <c r="Q96" s="173"/>
      <c r="R96" s="173"/>
      <c r="S96" s="173"/>
      <c r="T96" s="173"/>
      <c r="U96" s="173"/>
      <c r="V96" s="173"/>
      <c r="W96" s="173"/>
      <c r="X96" s="173"/>
      <c r="Y96" s="173"/>
    </row>
    <row r="97">
      <c r="A97" s="59">
        <v>96.0</v>
      </c>
      <c r="B97" s="302" t="s">
        <v>321</v>
      </c>
      <c r="C97" s="303" t="s">
        <v>468</v>
      </c>
      <c r="D97" s="304" t="s">
        <v>3138</v>
      </c>
      <c r="E97" s="59" t="s">
        <v>3138</v>
      </c>
      <c r="F97" s="305" t="s">
        <v>3138</v>
      </c>
      <c r="G97" s="173"/>
      <c r="H97" s="173"/>
      <c r="I97" s="173"/>
      <c r="J97" s="173"/>
      <c r="K97" s="173"/>
      <c r="L97" s="173"/>
      <c r="M97" s="173"/>
      <c r="N97" s="173"/>
      <c r="O97" s="173"/>
      <c r="P97" s="173"/>
      <c r="Q97" s="173"/>
      <c r="R97" s="173"/>
      <c r="S97" s="173"/>
      <c r="T97" s="173"/>
      <c r="U97" s="173"/>
      <c r="V97" s="173"/>
      <c r="W97" s="173"/>
      <c r="X97" s="173"/>
      <c r="Y97" s="173"/>
    </row>
    <row r="98">
      <c r="A98" s="59">
        <v>97.0</v>
      </c>
      <c r="B98" s="302" t="s">
        <v>321</v>
      </c>
      <c r="C98" s="303" t="s">
        <v>473</v>
      </c>
      <c r="D98" s="304" t="s">
        <v>3138</v>
      </c>
      <c r="E98" s="59" t="s">
        <v>3138</v>
      </c>
      <c r="F98" s="305" t="s">
        <v>3138</v>
      </c>
      <c r="G98" s="173"/>
      <c r="H98" s="173"/>
      <c r="I98" s="173"/>
      <c r="J98" s="173"/>
      <c r="K98" s="173"/>
      <c r="L98" s="173"/>
      <c r="M98" s="173"/>
      <c r="N98" s="173"/>
      <c r="O98" s="173"/>
      <c r="P98" s="173"/>
      <c r="Q98" s="173"/>
      <c r="R98" s="173"/>
      <c r="S98" s="173"/>
      <c r="T98" s="173"/>
      <c r="U98" s="173"/>
      <c r="V98" s="173"/>
      <c r="W98" s="173"/>
      <c r="X98" s="173"/>
      <c r="Y98" s="173"/>
    </row>
    <row r="99">
      <c r="A99" s="59">
        <v>98.0</v>
      </c>
      <c r="B99" s="302" t="s">
        <v>321</v>
      </c>
      <c r="C99" s="303" t="s">
        <v>477</v>
      </c>
      <c r="D99" s="304" t="s">
        <v>3138</v>
      </c>
      <c r="E99" s="59" t="s">
        <v>3138</v>
      </c>
      <c r="F99" s="305" t="s">
        <v>3138</v>
      </c>
      <c r="G99" s="173"/>
      <c r="H99" s="173"/>
      <c r="I99" s="173"/>
      <c r="J99" s="173"/>
      <c r="K99" s="173"/>
      <c r="L99" s="173"/>
      <c r="M99" s="173"/>
      <c r="N99" s="173"/>
      <c r="O99" s="173"/>
      <c r="P99" s="173"/>
      <c r="Q99" s="173"/>
      <c r="R99" s="173"/>
      <c r="S99" s="173"/>
      <c r="T99" s="173"/>
      <c r="U99" s="173"/>
      <c r="V99" s="173"/>
      <c r="W99" s="173"/>
      <c r="X99" s="173"/>
      <c r="Y99" s="173"/>
    </row>
    <row r="100">
      <c r="A100" s="59">
        <v>99.0</v>
      </c>
      <c r="B100" s="302" t="s">
        <v>321</v>
      </c>
      <c r="C100" s="303" t="s">
        <v>481</v>
      </c>
      <c r="D100" s="304" t="s">
        <v>3138</v>
      </c>
      <c r="E100" s="59" t="s">
        <v>3138</v>
      </c>
      <c r="F100" s="305" t="s">
        <v>3138</v>
      </c>
      <c r="G100" s="173"/>
      <c r="H100" s="173"/>
      <c r="I100" s="173"/>
      <c r="J100" s="173"/>
      <c r="K100" s="173"/>
      <c r="L100" s="173"/>
      <c r="M100" s="173"/>
      <c r="N100" s="173"/>
      <c r="O100" s="173"/>
      <c r="P100" s="173"/>
      <c r="Q100" s="173"/>
      <c r="R100" s="173"/>
      <c r="S100" s="173"/>
      <c r="T100" s="173"/>
      <c r="U100" s="173"/>
      <c r="V100" s="173"/>
      <c r="W100" s="173"/>
      <c r="X100" s="173"/>
      <c r="Y100" s="173"/>
    </row>
    <row r="101">
      <c r="A101" s="59">
        <v>100.0</v>
      </c>
      <c r="B101" s="302" t="s">
        <v>321</v>
      </c>
      <c r="C101" s="303" t="s">
        <v>486</v>
      </c>
      <c r="D101" s="304" t="s">
        <v>3138</v>
      </c>
      <c r="E101" s="59" t="s">
        <v>3138</v>
      </c>
      <c r="F101" s="305" t="s">
        <v>3138</v>
      </c>
      <c r="G101" s="173"/>
      <c r="H101" s="173"/>
      <c r="I101" s="173"/>
      <c r="J101" s="173"/>
      <c r="K101" s="173"/>
      <c r="L101" s="173"/>
      <c r="M101" s="173"/>
      <c r="N101" s="173"/>
      <c r="O101" s="173"/>
      <c r="P101" s="173"/>
      <c r="Q101" s="173"/>
      <c r="R101" s="173"/>
      <c r="S101" s="173"/>
      <c r="T101" s="173"/>
      <c r="U101" s="173"/>
      <c r="V101" s="173"/>
      <c r="W101" s="173"/>
      <c r="X101" s="173"/>
      <c r="Y101" s="173"/>
    </row>
    <row r="102">
      <c r="A102" s="59">
        <v>101.0</v>
      </c>
      <c r="B102" s="302" t="s">
        <v>321</v>
      </c>
      <c r="C102" s="303" t="s">
        <v>490</v>
      </c>
      <c r="D102" s="304" t="s">
        <v>3138</v>
      </c>
      <c r="E102" s="59" t="s">
        <v>3138</v>
      </c>
      <c r="F102" s="305" t="s">
        <v>3138</v>
      </c>
      <c r="G102" s="173"/>
      <c r="H102" s="173"/>
      <c r="I102" s="173"/>
      <c r="J102" s="173"/>
      <c r="K102" s="173"/>
      <c r="L102" s="173"/>
      <c r="M102" s="173"/>
      <c r="N102" s="173"/>
      <c r="O102" s="173"/>
      <c r="P102" s="173"/>
      <c r="Q102" s="173"/>
      <c r="R102" s="173"/>
      <c r="S102" s="173"/>
      <c r="T102" s="173"/>
      <c r="U102" s="173"/>
      <c r="V102" s="173"/>
      <c r="W102" s="173"/>
      <c r="X102" s="173"/>
      <c r="Y102" s="173"/>
    </row>
    <row r="103">
      <c r="A103" s="59">
        <v>102.0</v>
      </c>
      <c r="B103" s="302" t="s">
        <v>321</v>
      </c>
      <c r="C103" s="303" t="s">
        <v>495</v>
      </c>
      <c r="D103" s="304" t="s">
        <v>3138</v>
      </c>
      <c r="E103" s="59" t="s">
        <v>3138</v>
      </c>
      <c r="F103" s="305" t="s">
        <v>3138</v>
      </c>
      <c r="G103" s="173"/>
      <c r="H103" s="173"/>
      <c r="I103" s="173"/>
      <c r="J103" s="173"/>
      <c r="K103" s="173"/>
      <c r="L103" s="173"/>
      <c r="M103" s="173"/>
      <c r="N103" s="173"/>
      <c r="O103" s="173"/>
      <c r="P103" s="173"/>
      <c r="Q103" s="173"/>
      <c r="R103" s="173"/>
      <c r="S103" s="173"/>
      <c r="T103" s="173"/>
      <c r="U103" s="173"/>
      <c r="V103" s="173"/>
      <c r="W103" s="173"/>
      <c r="X103" s="173"/>
      <c r="Y103" s="173"/>
    </row>
    <row r="104">
      <c r="A104" s="59">
        <v>103.0</v>
      </c>
      <c r="B104" s="302" t="s">
        <v>321</v>
      </c>
      <c r="C104" s="303" t="s">
        <v>500</v>
      </c>
      <c r="D104" s="304" t="s">
        <v>3138</v>
      </c>
      <c r="E104" s="59" t="s">
        <v>3138</v>
      </c>
      <c r="F104" s="305" t="s">
        <v>3138</v>
      </c>
      <c r="G104" s="173"/>
      <c r="H104" s="173"/>
      <c r="I104" s="173"/>
      <c r="J104" s="173"/>
      <c r="K104" s="173"/>
      <c r="L104" s="173"/>
      <c r="M104" s="173"/>
      <c r="N104" s="173"/>
      <c r="O104" s="173"/>
      <c r="P104" s="173"/>
      <c r="Q104" s="173"/>
      <c r="R104" s="173"/>
      <c r="S104" s="173"/>
      <c r="T104" s="173"/>
      <c r="U104" s="173"/>
      <c r="V104" s="173"/>
      <c r="W104" s="173"/>
      <c r="X104" s="173"/>
      <c r="Y104" s="173"/>
    </row>
    <row r="105">
      <c r="A105" s="59">
        <v>104.0</v>
      </c>
      <c r="B105" s="302" t="s">
        <v>321</v>
      </c>
      <c r="C105" s="303" t="s">
        <v>504</v>
      </c>
      <c r="D105" s="304" t="s">
        <v>3138</v>
      </c>
      <c r="E105" s="59" t="s">
        <v>3138</v>
      </c>
      <c r="F105" s="305" t="s">
        <v>3138</v>
      </c>
      <c r="G105" s="173"/>
      <c r="H105" s="173"/>
      <c r="I105" s="173"/>
      <c r="J105" s="173"/>
      <c r="K105" s="173"/>
      <c r="L105" s="173"/>
      <c r="M105" s="173"/>
      <c r="N105" s="173"/>
      <c r="O105" s="173"/>
      <c r="P105" s="173"/>
      <c r="Q105" s="173"/>
      <c r="R105" s="173"/>
      <c r="S105" s="173"/>
      <c r="T105" s="173"/>
      <c r="U105" s="173"/>
      <c r="V105" s="173"/>
      <c r="W105" s="173"/>
      <c r="X105" s="173"/>
      <c r="Y105" s="173"/>
    </row>
    <row r="106">
      <c r="A106" s="59">
        <v>105.0</v>
      </c>
      <c r="B106" s="302" t="s">
        <v>321</v>
      </c>
      <c r="C106" s="303" t="s">
        <v>508</v>
      </c>
      <c r="D106" s="304" t="s">
        <v>3138</v>
      </c>
      <c r="E106" s="59" t="s">
        <v>3138</v>
      </c>
      <c r="F106" s="305" t="s">
        <v>3138</v>
      </c>
      <c r="G106" s="173"/>
      <c r="H106" s="173"/>
      <c r="I106" s="173"/>
      <c r="J106" s="173"/>
      <c r="K106" s="173"/>
      <c r="L106" s="173"/>
      <c r="M106" s="173"/>
      <c r="N106" s="173"/>
      <c r="O106" s="173"/>
      <c r="P106" s="173"/>
      <c r="Q106" s="173"/>
      <c r="R106" s="173"/>
      <c r="S106" s="173"/>
      <c r="T106" s="173"/>
      <c r="U106" s="173"/>
      <c r="V106" s="173"/>
      <c r="W106" s="173"/>
      <c r="X106" s="173"/>
      <c r="Y106" s="173"/>
    </row>
    <row r="107">
      <c r="A107" s="59">
        <v>106.0</v>
      </c>
      <c r="B107" s="302" t="s">
        <v>321</v>
      </c>
      <c r="C107" s="303" t="s">
        <v>513</v>
      </c>
      <c r="D107" s="304" t="s">
        <v>3138</v>
      </c>
      <c r="E107" s="59" t="s">
        <v>3138</v>
      </c>
      <c r="F107" s="305" t="s">
        <v>3138</v>
      </c>
      <c r="G107" s="173"/>
      <c r="H107" s="173"/>
      <c r="I107" s="173"/>
      <c r="J107" s="173"/>
      <c r="K107" s="173"/>
      <c r="L107" s="173"/>
      <c r="M107" s="173"/>
      <c r="N107" s="173"/>
      <c r="O107" s="173"/>
      <c r="P107" s="173"/>
      <c r="Q107" s="173"/>
      <c r="R107" s="173"/>
      <c r="S107" s="173"/>
      <c r="T107" s="173"/>
      <c r="U107" s="173"/>
      <c r="V107" s="173"/>
      <c r="W107" s="173"/>
      <c r="X107" s="173"/>
      <c r="Y107" s="173"/>
    </row>
    <row r="108">
      <c r="A108" s="59">
        <v>107.0</v>
      </c>
      <c r="B108" s="302" t="s">
        <v>321</v>
      </c>
      <c r="C108" s="303" t="s">
        <v>517</v>
      </c>
      <c r="D108" s="304" t="s">
        <v>3138</v>
      </c>
      <c r="E108" s="59" t="s">
        <v>3138</v>
      </c>
      <c r="F108" s="305" t="s">
        <v>3138</v>
      </c>
      <c r="G108" s="173"/>
      <c r="H108" s="173"/>
      <c r="I108" s="173"/>
      <c r="J108" s="173"/>
      <c r="K108" s="173"/>
      <c r="L108" s="173"/>
      <c r="M108" s="173"/>
      <c r="N108" s="173"/>
      <c r="O108" s="173"/>
      <c r="P108" s="173"/>
      <c r="Q108" s="173"/>
      <c r="R108" s="173"/>
      <c r="S108" s="173"/>
      <c r="T108" s="173"/>
      <c r="U108" s="173"/>
      <c r="V108" s="173"/>
      <c r="W108" s="173"/>
      <c r="X108" s="173"/>
      <c r="Y108" s="173"/>
    </row>
    <row r="109">
      <c r="A109" s="59">
        <v>108.0</v>
      </c>
      <c r="B109" s="302" t="s">
        <v>321</v>
      </c>
      <c r="C109" s="303" t="s">
        <v>521</v>
      </c>
      <c r="D109" s="304" t="s">
        <v>3138</v>
      </c>
      <c r="E109" s="59" t="s">
        <v>3138</v>
      </c>
      <c r="F109" s="305" t="s">
        <v>3138</v>
      </c>
      <c r="G109" s="173"/>
      <c r="H109" s="173"/>
      <c r="I109" s="173"/>
      <c r="J109" s="173"/>
      <c r="K109" s="173"/>
      <c r="L109" s="173"/>
      <c r="M109" s="173"/>
      <c r="N109" s="173"/>
      <c r="O109" s="173"/>
      <c r="P109" s="173"/>
      <c r="Q109" s="173"/>
      <c r="R109" s="173"/>
      <c r="S109" s="173"/>
      <c r="T109" s="173"/>
      <c r="U109" s="173"/>
      <c r="V109" s="173"/>
      <c r="W109" s="173"/>
      <c r="X109" s="173"/>
      <c r="Y109" s="173"/>
    </row>
    <row r="110">
      <c r="A110" s="59">
        <v>109.0</v>
      </c>
      <c r="B110" s="302" t="s">
        <v>321</v>
      </c>
      <c r="C110" s="303" t="s">
        <v>526</v>
      </c>
      <c r="D110" s="304" t="s">
        <v>3138</v>
      </c>
      <c r="E110" s="59" t="s">
        <v>3138</v>
      </c>
      <c r="F110" s="305" t="s">
        <v>3138</v>
      </c>
      <c r="G110" s="173"/>
      <c r="H110" s="173"/>
      <c r="I110" s="173"/>
      <c r="J110" s="173"/>
      <c r="K110" s="173"/>
      <c r="L110" s="173"/>
      <c r="M110" s="173"/>
      <c r="N110" s="173"/>
      <c r="O110" s="173"/>
      <c r="P110" s="173"/>
      <c r="Q110" s="173"/>
      <c r="R110" s="173"/>
      <c r="S110" s="173"/>
      <c r="T110" s="173"/>
      <c r="U110" s="173"/>
      <c r="V110" s="173"/>
      <c r="W110" s="173"/>
      <c r="X110" s="173"/>
      <c r="Y110" s="173"/>
    </row>
    <row r="111">
      <c r="A111" s="59">
        <v>110.0</v>
      </c>
      <c r="B111" s="302" t="s">
        <v>321</v>
      </c>
      <c r="C111" s="303" t="s">
        <v>530</v>
      </c>
      <c r="D111" s="304" t="s">
        <v>3138</v>
      </c>
      <c r="E111" s="59" t="s">
        <v>3138</v>
      </c>
      <c r="F111" s="305" t="s">
        <v>3138</v>
      </c>
      <c r="G111" s="173"/>
      <c r="H111" s="173"/>
      <c r="I111" s="173"/>
      <c r="J111" s="173"/>
      <c r="K111" s="173"/>
      <c r="L111" s="173"/>
      <c r="M111" s="173"/>
      <c r="N111" s="173"/>
      <c r="O111" s="173"/>
      <c r="P111" s="173"/>
      <c r="Q111" s="173"/>
      <c r="R111" s="173"/>
      <c r="S111" s="173"/>
      <c r="T111" s="173"/>
      <c r="U111" s="173"/>
      <c r="V111" s="173"/>
      <c r="W111" s="173"/>
      <c r="X111" s="173"/>
      <c r="Y111" s="173"/>
    </row>
    <row r="112">
      <c r="A112" s="59">
        <v>111.0</v>
      </c>
      <c r="B112" s="302" t="s">
        <v>321</v>
      </c>
      <c r="C112" s="303" t="s">
        <v>535</v>
      </c>
      <c r="D112" s="304" t="s">
        <v>3138</v>
      </c>
      <c r="E112" s="59" t="s">
        <v>3138</v>
      </c>
      <c r="F112" s="305" t="s">
        <v>3138</v>
      </c>
      <c r="G112" s="173"/>
      <c r="H112" s="173"/>
      <c r="I112" s="173"/>
      <c r="J112" s="173"/>
      <c r="K112" s="173"/>
      <c r="L112" s="173"/>
      <c r="M112" s="173"/>
      <c r="N112" s="173"/>
      <c r="O112" s="173"/>
      <c r="P112" s="173"/>
      <c r="Q112" s="173"/>
      <c r="R112" s="173"/>
      <c r="S112" s="173"/>
      <c r="T112" s="173"/>
      <c r="U112" s="173"/>
      <c r="V112" s="173"/>
      <c r="W112" s="173"/>
      <c r="X112" s="173"/>
      <c r="Y112" s="173"/>
    </row>
    <row r="113">
      <c r="A113" s="59">
        <v>112.0</v>
      </c>
      <c r="B113" s="302" t="s">
        <v>321</v>
      </c>
      <c r="C113" s="303" t="s">
        <v>540</v>
      </c>
      <c r="D113" s="304" t="s">
        <v>3138</v>
      </c>
      <c r="E113" s="59" t="s">
        <v>3138</v>
      </c>
      <c r="F113" s="305" t="s">
        <v>3138</v>
      </c>
      <c r="G113" s="173"/>
      <c r="H113" s="173"/>
      <c r="I113" s="173"/>
      <c r="J113" s="173"/>
      <c r="K113" s="173"/>
      <c r="L113" s="173"/>
      <c r="M113" s="173"/>
      <c r="N113" s="173"/>
      <c r="O113" s="173"/>
      <c r="P113" s="173"/>
      <c r="Q113" s="173"/>
      <c r="R113" s="173"/>
      <c r="S113" s="173"/>
      <c r="T113" s="173"/>
      <c r="U113" s="173"/>
      <c r="V113" s="173"/>
      <c r="W113" s="173"/>
      <c r="X113" s="173"/>
      <c r="Y113" s="173"/>
    </row>
    <row r="114">
      <c r="A114" s="59">
        <v>113.0</v>
      </c>
      <c r="B114" s="302" t="s">
        <v>321</v>
      </c>
      <c r="C114" s="303" t="s">
        <v>544</v>
      </c>
      <c r="D114" s="304" t="s">
        <v>3138</v>
      </c>
      <c r="E114" s="59" t="s">
        <v>3138</v>
      </c>
      <c r="F114" s="305" t="s">
        <v>3138</v>
      </c>
      <c r="G114" s="173"/>
      <c r="H114" s="173"/>
      <c r="I114" s="173"/>
      <c r="J114" s="173"/>
      <c r="K114" s="173"/>
      <c r="L114" s="173"/>
      <c r="M114" s="173"/>
      <c r="N114" s="173"/>
      <c r="O114" s="173"/>
      <c r="P114" s="173"/>
      <c r="Q114" s="173"/>
      <c r="R114" s="173"/>
      <c r="S114" s="173"/>
      <c r="T114" s="173"/>
      <c r="U114" s="173"/>
      <c r="V114" s="173"/>
      <c r="W114" s="173"/>
      <c r="X114" s="173"/>
      <c r="Y114" s="173"/>
    </row>
    <row r="115">
      <c r="A115" s="59">
        <v>114.0</v>
      </c>
      <c r="B115" s="302" t="s">
        <v>321</v>
      </c>
      <c r="C115" s="303" t="s">
        <v>549</v>
      </c>
      <c r="D115" s="304" t="s">
        <v>3138</v>
      </c>
      <c r="E115" s="59" t="s">
        <v>3138</v>
      </c>
      <c r="F115" s="305" t="s">
        <v>3138</v>
      </c>
      <c r="G115" s="173"/>
      <c r="H115" s="173"/>
      <c r="I115" s="173"/>
      <c r="J115" s="173"/>
      <c r="K115" s="173"/>
      <c r="L115" s="173"/>
      <c r="M115" s="173"/>
      <c r="N115" s="173"/>
      <c r="O115" s="173"/>
      <c r="P115" s="173"/>
      <c r="Q115" s="173"/>
      <c r="R115" s="173"/>
      <c r="S115" s="173"/>
      <c r="T115" s="173"/>
      <c r="U115" s="173"/>
      <c r="V115" s="173"/>
      <c r="W115" s="173"/>
      <c r="X115" s="173"/>
      <c r="Y115" s="173"/>
    </row>
    <row r="116">
      <c r="A116" s="59">
        <v>115.0</v>
      </c>
      <c r="B116" s="302" t="s">
        <v>321</v>
      </c>
      <c r="C116" s="303" t="s">
        <v>554</v>
      </c>
      <c r="D116" s="304" t="s">
        <v>3138</v>
      </c>
      <c r="E116" s="59" t="s">
        <v>3138</v>
      </c>
      <c r="F116" s="305" t="s">
        <v>3138</v>
      </c>
      <c r="G116" s="173"/>
      <c r="H116" s="173"/>
      <c r="I116" s="173"/>
      <c r="J116" s="173"/>
      <c r="K116" s="173"/>
      <c r="L116" s="173"/>
      <c r="M116" s="173"/>
      <c r="N116" s="173"/>
      <c r="O116" s="173"/>
      <c r="P116" s="173"/>
      <c r="Q116" s="173"/>
      <c r="R116" s="173"/>
      <c r="S116" s="173"/>
      <c r="T116" s="173"/>
      <c r="U116" s="173"/>
      <c r="V116" s="173"/>
      <c r="W116" s="173"/>
      <c r="X116" s="173"/>
      <c r="Y116" s="173"/>
    </row>
    <row r="117">
      <c r="A117" s="59">
        <v>116.0</v>
      </c>
      <c r="B117" s="302" t="s">
        <v>321</v>
      </c>
      <c r="C117" s="303" t="s">
        <v>558</v>
      </c>
      <c r="D117" s="304" t="s">
        <v>3138</v>
      </c>
      <c r="E117" s="59" t="s">
        <v>3138</v>
      </c>
      <c r="F117" s="305" t="s">
        <v>3138</v>
      </c>
      <c r="G117" s="173"/>
      <c r="H117" s="173"/>
      <c r="I117" s="173"/>
      <c r="J117" s="173"/>
      <c r="K117" s="173"/>
      <c r="L117" s="173"/>
      <c r="M117" s="173"/>
      <c r="N117" s="173"/>
      <c r="O117" s="173"/>
      <c r="P117" s="173"/>
      <c r="Q117" s="173"/>
      <c r="R117" s="173"/>
      <c r="S117" s="173"/>
      <c r="T117" s="173"/>
      <c r="U117" s="173"/>
      <c r="V117" s="173"/>
      <c r="W117" s="173"/>
      <c r="X117" s="173"/>
      <c r="Y117" s="173"/>
    </row>
    <row r="118">
      <c r="A118" s="59">
        <v>117.0</v>
      </c>
      <c r="B118" s="302" t="s">
        <v>321</v>
      </c>
      <c r="C118" s="303" t="s">
        <v>563</v>
      </c>
      <c r="D118" s="304" t="s">
        <v>3138</v>
      </c>
      <c r="E118" s="59" t="s">
        <v>3138</v>
      </c>
      <c r="F118" s="305" t="s">
        <v>3138</v>
      </c>
      <c r="G118" s="173"/>
      <c r="H118" s="173"/>
      <c r="I118" s="173"/>
      <c r="J118" s="173"/>
      <c r="K118" s="173"/>
      <c r="L118" s="173"/>
      <c r="M118" s="173"/>
      <c r="N118" s="173"/>
      <c r="O118" s="173"/>
      <c r="P118" s="173"/>
      <c r="Q118" s="173"/>
      <c r="R118" s="173"/>
      <c r="S118" s="173"/>
      <c r="T118" s="173"/>
      <c r="U118" s="173"/>
      <c r="V118" s="173"/>
      <c r="W118" s="173"/>
      <c r="X118" s="173"/>
      <c r="Y118" s="173"/>
    </row>
    <row r="119">
      <c r="A119" s="59">
        <v>118.0</v>
      </c>
      <c r="B119" s="302" t="s">
        <v>321</v>
      </c>
      <c r="C119" s="303" t="s">
        <v>568</v>
      </c>
      <c r="D119" s="304" t="s">
        <v>3138</v>
      </c>
      <c r="E119" s="59" t="s">
        <v>3138</v>
      </c>
      <c r="F119" s="305" t="s">
        <v>3138</v>
      </c>
      <c r="G119" s="173"/>
      <c r="H119" s="173"/>
      <c r="I119" s="173"/>
      <c r="J119" s="173"/>
      <c r="K119" s="173"/>
      <c r="L119" s="173"/>
      <c r="M119" s="173"/>
      <c r="N119" s="173"/>
      <c r="O119" s="173"/>
      <c r="P119" s="173"/>
      <c r="Q119" s="173"/>
      <c r="R119" s="173"/>
      <c r="S119" s="173"/>
      <c r="T119" s="173"/>
      <c r="U119" s="173"/>
      <c r="V119" s="173"/>
      <c r="W119" s="173"/>
      <c r="X119" s="173"/>
      <c r="Y119" s="173"/>
    </row>
    <row r="120">
      <c r="A120" s="59">
        <v>119.0</v>
      </c>
      <c r="B120" s="302" t="s">
        <v>321</v>
      </c>
      <c r="C120" s="303" t="s">
        <v>572</v>
      </c>
      <c r="D120" s="304" t="s">
        <v>3138</v>
      </c>
      <c r="E120" s="59" t="s">
        <v>3138</v>
      </c>
      <c r="F120" s="305" t="s">
        <v>3138</v>
      </c>
      <c r="G120" s="173"/>
      <c r="H120" s="173"/>
      <c r="I120" s="173"/>
      <c r="J120" s="173"/>
      <c r="K120" s="173"/>
      <c r="L120" s="173"/>
      <c r="M120" s="173"/>
      <c r="N120" s="173"/>
      <c r="O120" s="173"/>
      <c r="P120" s="173"/>
      <c r="Q120" s="173"/>
      <c r="R120" s="173"/>
      <c r="S120" s="173"/>
      <c r="T120" s="173"/>
      <c r="U120" s="173"/>
      <c r="V120" s="173"/>
      <c r="W120" s="173"/>
      <c r="X120" s="173"/>
      <c r="Y120" s="173"/>
    </row>
    <row r="121">
      <c r="A121" s="59">
        <v>120.0</v>
      </c>
      <c r="B121" s="302" t="s">
        <v>321</v>
      </c>
      <c r="C121" s="303" t="s">
        <v>576</v>
      </c>
      <c r="D121" s="304" t="s">
        <v>3138</v>
      </c>
      <c r="E121" s="59" t="s">
        <v>3138</v>
      </c>
      <c r="F121" s="305" t="s">
        <v>3138</v>
      </c>
      <c r="G121" s="173"/>
      <c r="H121" s="173"/>
      <c r="I121" s="173"/>
      <c r="J121" s="173"/>
      <c r="K121" s="173"/>
      <c r="L121" s="173"/>
      <c r="M121" s="173"/>
      <c r="N121" s="173"/>
      <c r="O121" s="173"/>
      <c r="P121" s="173"/>
      <c r="Q121" s="173"/>
      <c r="R121" s="173"/>
      <c r="S121" s="173"/>
      <c r="T121" s="173"/>
      <c r="U121" s="173"/>
      <c r="V121" s="173"/>
      <c r="W121" s="173"/>
      <c r="X121" s="173"/>
      <c r="Y121" s="173"/>
    </row>
    <row r="122">
      <c r="A122" s="59">
        <v>121.0</v>
      </c>
      <c r="B122" s="302" t="s">
        <v>321</v>
      </c>
      <c r="C122" s="303" t="s">
        <v>581</v>
      </c>
      <c r="D122" s="304" t="s">
        <v>3138</v>
      </c>
      <c r="E122" s="59" t="s">
        <v>3138</v>
      </c>
      <c r="F122" s="305" t="s">
        <v>3138</v>
      </c>
      <c r="G122" s="173"/>
      <c r="H122" s="173"/>
      <c r="I122" s="173"/>
      <c r="J122" s="173"/>
      <c r="K122" s="173"/>
      <c r="L122" s="173"/>
      <c r="M122" s="173"/>
      <c r="N122" s="173"/>
      <c r="O122" s="173"/>
      <c r="P122" s="173"/>
      <c r="Q122" s="173"/>
      <c r="R122" s="173"/>
      <c r="S122" s="173"/>
      <c r="T122" s="173"/>
      <c r="U122" s="173"/>
      <c r="V122" s="173"/>
      <c r="W122" s="173"/>
      <c r="X122" s="173"/>
      <c r="Y122" s="173"/>
    </row>
    <row r="123">
      <c r="A123" s="59">
        <v>122.0</v>
      </c>
      <c r="B123" s="302" t="s">
        <v>321</v>
      </c>
      <c r="C123" s="303" t="s">
        <v>585</v>
      </c>
      <c r="D123" s="304" t="s">
        <v>3138</v>
      </c>
      <c r="E123" s="59" t="s">
        <v>3138</v>
      </c>
      <c r="F123" s="305" t="s">
        <v>3138</v>
      </c>
      <c r="G123" s="173"/>
      <c r="H123" s="173"/>
      <c r="I123" s="173"/>
      <c r="J123" s="173"/>
      <c r="K123" s="173"/>
      <c r="L123" s="173"/>
      <c r="M123" s="173"/>
      <c r="N123" s="173"/>
      <c r="O123" s="173"/>
      <c r="P123" s="173"/>
      <c r="Q123" s="173"/>
      <c r="R123" s="173"/>
      <c r="S123" s="173"/>
      <c r="T123" s="173"/>
      <c r="U123" s="173"/>
      <c r="V123" s="173"/>
      <c r="W123" s="173"/>
      <c r="X123" s="173"/>
      <c r="Y123" s="173"/>
    </row>
    <row r="124">
      <c r="A124" s="59">
        <v>123.0</v>
      </c>
      <c r="B124" s="302" t="s">
        <v>321</v>
      </c>
      <c r="C124" s="303" t="s">
        <v>590</v>
      </c>
      <c r="D124" s="304" t="s">
        <v>3138</v>
      </c>
      <c r="E124" s="59" t="s">
        <v>3138</v>
      </c>
      <c r="F124" s="305" t="s">
        <v>3138</v>
      </c>
      <c r="G124" s="173"/>
      <c r="H124" s="173"/>
      <c r="I124" s="173"/>
      <c r="J124" s="173"/>
      <c r="K124" s="173"/>
      <c r="L124" s="173"/>
      <c r="M124" s="173"/>
      <c r="N124" s="173"/>
      <c r="O124" s="173"/>
      <c r="P124" s="173"/>
      <c r="Q124" s="173"/>
      <c r="R124" s="173"/>
      <c r="S124" s="173"/>
      <c r="T124" s="173"/>
      <c r="U124" s="173"/>
      <c r="V124" s="173"/>
      <c r="W124" s="173"/>
      <c r="X124" s="173"/>
      <c r="Y124" s="173"/>
    </row>
    <row r="125">
      <c r="A125" s="59">
        <v>124.0</v>
      </c>
      <c r="B125" s="302" t="s">
        <v>321</v>
      </c>
      <c r="C125" s="303" t="s">
        <v>3037</v>
      </c>
      <c r="D125" s="304" t="s">
        <v>3140</v>
      </c>
      <c r="E125" s="59" t="s">
        <v>3140</v>
      </c>
      <c r="F125" s="305" t="s">
        <v>3140</v>
      </c>
      <c r="G125" s="173"/>
      <c r="H125" s="173"/>
      <c r="I125" s="173"/>
      <c r="J125" s="173"/>
      <c r="K125" s="173"/>
      <c r="L125" s="173"/>
      <c r="M125" s="173"/>
      <c r="N125" s="173"/>
      <c r="O125" s="173"/>
      <c r="P125" s="173"/>
      <c r="Q125" s="173"/>
      <c r="R125" s="173"/>
      <c r="S125" s="173"/>
      <c r="T125" s="173"/>
      <c r="U125" s="173"/>
      <c r="V125" s="173"/>
      <c r="W125" s="173"/>
      <c r="X125" s="173"/>
      <c r="Y125" s="173"/>
    </row>
    <row r="126">
      <c r="A126" s="59">
        <v>125.0</v>
      </c>
      <c r="B126" s="302" t="s">
        <v>321</v>
      </c>
      <c r="C126" s="303" t="s">
        <v>600</v>
      </c>
      <c r="D126" s="304" t="s">
        <v>3140</v>
      </c>
      <c r="E126" s="59" t="s">
        <v>3140</v>
      </c>
      <c r="F126" s="305" t="s">
        <v>3140</v>
      </c>
      <c r="G126" s="173"/>
      <c r="H126" s="173"/>
      <c r="I126" s="173"/>
      <c r="J126" s="173"/>
      <c r="K126" s="173"/>
      <c r="L126" s="173"/>
      <c r="M126" s="173"/>
      <c r="N126" s="173"/>
      <c r="O126" s="173"/>
      <c r="P126" s="173"/>
      <c r="Q126" s="173"/>
      <c r="R126" s="173"/>
      <c r="S126" s="173"/>
      <c r="T126" s="173"/>
      <c r="U126" s="173"/>
      <c r="V126" s="173"/>
      <c r="W126" s="173"/>
      <c r="X126" s="173"/>
      <c r="Y126" s="173"/>
    </row>
    <row r="127">
      <c r="A127" s="59">
        <v>126.0</v>
      </c>
      <c r="B127" s="302" t="s">
        <v>321</v>
      </c>
      <c r="C127" s="303" t="s">
        <v>604</v>
      </c>
      <c r="D127" s="304" t="s">
        <v>3140</v>
      </c>
      <c r="E127" s="59" t="s">
        <v>3140</v>
      </c>
      <c r="F127" s="305" t="s">
        <v>3140</v>
      </c>
      <c r="G127" s="173"/>
      <c r="H127" s="173"/>
      <c r="I127" s="173"/>
      <c r="J127" s="173"/>
      <c r="K127" s="173"/>
      <c r="L127" s="173"/>
      <c r="M127" s="173"/>
      <c r="N127" s="173"/>
      <c r="O127" s="173"/>
      <c r="P127" s="173"/>
      <c r="Q127" s="173"/>
      <c r="R127" s="173"/>
      <c r="S127" s="173"/>
      <c r="T127" s="173"/>
      <c r="U127" s="173"/>
      <c r="V127" s="173"/>
      <c r="W127" s="173"/>
      <c r="X127" s="173"/>
      <c r="Y127" s="173"/>
    </row>
    <row r="128">
      <c r="A128" s="59">
        <v>127.0</v>
      </c>
      <c r="B128" s="302" t="s">
        <v>321</v>
      </c>
      <c r="C128" s="303" t="s">
        <v>609</v>
      </c>
      <c r="D128" s="304" t="s">
        <v>3138</v>
      </c>
      <c r="E128" s="59" t="s">
        <v>3138</v>
      </c>
      <c r="F128" s="305" t="s">
        <v>3138</v>
      </c>
      <c r="G128" s="173"/>
      <c r="H128" s="173"/>
      <c r="I128" s="173"/>
      <c r="J128" s="173"/>
      <c r="K128" s="173"/>
      <c r="L128" s="173"/>
      <c r="M128" s="173"/>
      <c r="N128" s="173"/>
      <c r="O128" s="173"/>
      <c r="P128" s="173"/>
      <c r="Q128" s="173"/>
      <c r="R128" s="173"/>
      <c r="S128" s="173"/>
      <c r="T128" s="173"/>
      <c r="U128" s="173"/>
      <c r="V128" s="173"/>
      <c r="W128" s="173"/>
      <c r="X128" s="173"/>
      <c r="Y128" s="173"/>
    </row>
    <row r="129">
      <c r="A129" s="59">
        <v>128.0</v>
      </c>
      <c r="B129" s="302" t="s">
        <v>321</v>
      </c>
      <c r="C129" s="303" t="s">
        <v>614</v>
      </c>
      <c r="D129" s="304" t="s">
        <v>3138</v>
      </c>
      <c r="E129" s="59" t="s">
        <v>3138</v>
      </c>
      <c r="F129" s="305" t="s">
        <v>3138</v>
      </c>
      <c r="G129" s="173"/>
      <c r="H129" s="173"/>
      <c r="I129" s="173"/>
      <c r="J129" s="173"/>
      <c r="K129" s="173"/>
      <c r="L129" s="173"/>
      <c r="M129" s="173"/>
      <c r="N129" s="173"/>
      <c r="O129" s="173"/>
      <c r="P129" s="173"/>
      <c r="Q129" s="173"/>
      <c r="R129" s="173"/>
      <c r="S129" s="173"/>
      <c r="T129" s="173"/>
      <c r="U129" s="173"/>
      <c r="V129" s="173"/>
      <c r="W129" s="173"/>
      <c r="X129" s="173"/>
      <c r="Y129" s="173"/>
    </row>
    <row r="130">
      <c r="A130" s="59">
        <v>129.0</v>
      </c>
      <c r="B130" s="302" t="s">
        <v>321</v>
      </c>
      <c r="C130" s="303" t="s">
        <v>618</v>
      </c>
      <c r="D130" s="304" t="s">
        <v>3138</v>
      </c>
      <c r="E130" s="59" t="s">
        <v>3138</v>
      </c>
      <c r="F130" s="305" t="s">
        <v>3138</v>
      </c>
      <c r="G130" s="173"/>
      <c r="H130" s="173"/>
      <c r="I130" s="173"/>
      <c r="J130" s="173"/>
      <c r="K130" s="173"/>
      <c r="L130" s="173"/>
      <c r="M130" s="173"/>
      <c r="N130" s="173"/>
      <c r="O130" s="173"/>
      <c r="P130" s="173"/>
      <c r="Q130" s="173"/>
      <c r="R130" s="173"/>
      <c r="S130" s="173"/>
      <c r="T130" s="173"/>
      <c r="U130" s="173"/>
      <c r="V130" s="173"/>
      <c r="W130" s="173"/>
      <c r="X130" s="173"/>
      <c r="Y130" s="173"/>
    </row>
    <row r="131">
      <c r="A131" s="59">
        <v>130.0</v>
      </c>
      <c r="B131" s="302" t="s">
        <v>321</v>
      </c>
      <c r="C131" s="303" t="s">
        <v>623</v>
      </c>
      <c r="D131" s="304" t="s">
        <v>3138</v>
      </c>
      <c r="E131" s="59" t="s">
        <v>3138</v>
      </c>
      <c r="F131" s="305" t="s">
        <v>3138</v>
      </c>
      <c r="G131" s="173"/>
      <c r="H131" s="173"/>
      <c r="I131" s="173"/>
      <c r="J131" s="173"/>
      <c r="K131" s="173"/>
      <c r="L131" s="173"/>
      <c r="M131" s="173"/>
      <c r="N131" s="173"/>
      <c r="O131" s="173"/>
      <c r="P131" s="173"/>
      <c r="Q131" s="173"/>
      <c r="R131" s="173"/>
      <c r="S131" s="173"/>
      <c r="T131" s="173"/>
      <c r="U131" s="173"/>
      <c r="V131" s="173"/>
      <c r="W131" s="173"/>
      <c r="X131" s="173"/>
      <c r="Y131" s="173"/>
    </row>
    <row r="132">
      <c r="A132" s="59">
        <v>131.0</v>
      </c>
      <c r="B132" s="302" t="s">
        <v>321</v>
      </c>
      <c r="C132" s="303" t="s">
        <v>628</v>
      </c>
      <c r="D132" s="304" t="s">
        <v>3138</v>
      </c>
      <c r="E132" s="59" t="s">
        <v>3138</v>
      </c>
      <c r="F132" s="305" t="s">
        <v>3138</v>
      </c>
      <c r="G132" s="173"/>
      <c r="H132" s="173"/>
      <c r="I132" s="173"/>
      <c r="J132" s="173"/>
      <c r="K132" s="173"/>
      <c r="L132" s="173"/>
      <c r="M132" s="173"/>
      <c r="N132" s="173"/>
      <c r="O132" s="173"/>
      <c r="P132" s="173"/>
      <c r="Q132" s="173"/>
      <c r="R132" s="173"/>
      <c r="S132" s="173"/>
      <c r="T132" s="173"/>
      <c r="U132" s="173"/>
      <c r="V132" s="173"/>
      <c r="W132" s="173"/>
      <c r="X132" s="173"/>
      <c r="Y132" s="173"/>
    </row>
    <row r="133">
      <c r="A133" s="59">
        <v>132.0</v>
      </c>
      <c r="B133" s="302" t="s">
        <v>321</v>
      </c>
      <c r="C133" s="303" t="s">
        <v>633</v>
      </c>
      <c r="D133" s="304" t="s">
        <v>3138</v>
      </c>
      <c r="E133" s="59" t="s">
        <v>3138</v>
      </c>
      <c r="F133" s="305" t="s">
        <v>3138</v>
      </c>
      <c r="G133" s="173"/>
      <c r="H133" s="173"/>
      <c r="I133" s="173"/>
      <c r="J133" s="173"/>
      <c r="K133" s="173"/>
      <c r="L133" s="173"/>
      <c r="M133" s="173"/>
      <c r="N133" s="173"/>
      <c r="O133" s="173"/>
      <c r="P133" s="173"/>
      <c r="Q133" s="173"/>
      <c r="R133" s="173"/>
      <c r="S133" s="173"/>
      <c r="T133" s="173"/>
      <c r="U133" s="173"/>
      <c r="V133" s="173"/>
      <c r="W133" s="173"/>
      <c r="X133" s="173"/>
      <c r="Y133" s="173"/>
    </row>
    <row r="134">
      <c r="A134" s="59">
        <v>133.0</v>
      </c>
      <c r="B134" s="302" t="s">
        <v>321</v>
      </c>
      <c r="C134" s="303" t="s">
        <v>637</v>
      </c>
      <c r="D134" s="304" t="s">
        <v>3138</v>
      </c>
      <c r="E134" s="59" t="s">
        <v>3138</v>
      </c>
      <c r="F134" s="305" t="s">
        <v>3138</v>
      </c>
      <c r="G134" s="173"/>
      <c r="H134" s="173"/>
      <c r="I134" s="173"/>
      <c r="J134" s="173"/>
      <c r="K134" s="173"/>
      <c r="L134" s="173"/>
      <c r="M134" s="173"/>
      <c r="N134" s="173"/>
      <c r="O134" s="173"/>
      <c r="P134" s="173"/>
      <c r="Q134" s="173"/>
      <c r="R134" s="173"/>
      <c r="S134" s="173"/>
      <c r="T134" s="173"/>
      <c r="U134" s="173"/>
      <c r="V134" s="173"/>
      <c r="W134" s="173"/>
      <c r="X134" s="173"/>
      <c r="Y134" s="173"/>
    </row>
    <row r="135">
      <c r="A135" s="59">
        <v>134.0</v>
      </c>
      <c r="B135" s="302" t="s">
        <v>321</v>
      </c>
      <c r="C135" s="303" t="s">
        <v>642</v>
      </c>
      <c r="D135" s="304" t="s">
        <v>3138</v>
      </c>
      <c r="E135" s="59" t="s">
        <v>3138</v>
      </c>
      <c r="F135" s="305" t="s">
        <v>3138</v>
      </c>
      <c r="G135" s="173"/>
      <c r="H135" s="173"/>
      <c r="I135" s="173"/>
      <c r="J135" s="173"/>
      <c r="K135" s="173"/>
      <c r="L135" s="173"/>
      <c r="M135" s="173"/>
      <c r="N135" s="173"/>
      <c r="O135" s="173"/>
      <c r="P135" s="173"/>
      <c r="Q135" s="173"/>
      <c r="R135" s="173"/>
      <c r="S135" s="173"/>
      <c r="T135" s="173"/>
      <c r="U135" s="173"/>
      <c r="V135" s="173"/>
      <c r="W135" s="173"/>
      <c r="X135" s="173"/>
      <c r="Y135" s="173"/>
    </row>
    <row r="136">
      <c r="A136" s="59">
        <v>135.0</v>
      </c>
      <c r="B136" s="302" t="s">
        <v>321</v>
      </c>
      <c r="C136" s="303" t="s">
        <v>646</v>
      </c>
      <c r="D136" s="304" t="s">
        <v>3138</v>
      </c>
      <c r="E136" s="59" t="s">
        <v>3138</v>
      </c>
      <c r="F136" s="305" t="s">
        <v>3138</v>
      </c>
      <c r="G136" s="173"/>
      <c r="H136" s="173"/>
      <c r="I136" s="173"/>
      <c r="J136" s="173"/>
      <c r="K136" s="173"/>
      <c r="L136" s="173"/>
      <c r="M136" s="173"/>
      <c r="N136" s="173"/>
      <c r="O136" s="173"/>
      <c r="P136" s="173"/>
      <c r="Q136" s="173"/>
      <c r="R136" s="173"/>
      <c r="S136" s="173"/>
      <c r="T136" s="173"/>
      <c r="U136" s="173"/>
      <c r="V136" s="173"/>
      <c r="W136" s="173"/>
      <c r="X136" s="173"/>
      <c r="Y136" s="173"/>
    </row>
    <row r="137">
      <c r="A137" s="59">
        <v>136.0</v>
      </c>
      <c r="B137" s="302" t="s">
        <v>321</v>
      </c>
      <c r="C137" s="303" t="s">
        <v>649</v>
      </c>
      <c r="D137" s="304" t="s">
        <v>3138</v>
      </c>
      <c r="E137" s="59" t="s">
        <v>3138</v>
      </c>
      <c r="F137" s="305" t="s">
        <v>3138</v>
      </c>
      <c r="G137" s="173"/>
      <c r="H137" s="173"/>
      <c r="I137" s="173"/>
      <c r="J137" s="173"/>
      <c r="K137" s="173"/>
      <c r="L137" s="173"/>
      <c r="M137" s="173"/>
      <c r="N137" s="173"/>
      <c r="O137" s="173"/>
      <c r="P137" s="173"/>
      <c r="Q137" s="173"/>
      <c r="R137" s="173"/>
      <c r="S137" s="173"/>
      <c r="T137" s="173"/>
      <c r="U137" s="173"/>
      <c r="V137" s="173"/>
      <c r="W137" s="173"/>
      <c r="X137" s="173"/>
      <c r="Y137" s="173"/>
    </row>
    <row r="138">
      <c r="A138" s="59">
        <v>137.0</v>
      </c>
      <c r="B138" s="302" t="s">
        <v>321</v>
      </c>
      <c r="C138" s="303" t="s">
        <v>652</v>
      </c>
      <c r="D138" s="304" t="s">
        <v>3138</v>
      </c>
      <c r="E138" s="59" t="s">
        <v>3138</v>
      </c>
      <c r="F138" s="305" t="s">
        <v>3138</v>
      </c>
      <c r="G138" s="173"/>
      <c r="H138" s="173"/>
      <c r="I138" s="173"/>
      <c r="J138" s="173"/>
      <c r="K138" s="173"/>
      <c r="L138" s="173"/>
      <c r="M138" s="173"/>
      <c r="N138" s="173"/>
      <c r="O138" s="173"/>
      <c r="P138" s="173"/>
      <c r="Q138" s="173"/>
      <c r="R138" s="173"/>
      <c r="S138" s="173"/>
      <c r="T138" s="173"/>
      <c r="U138" s="173"/>
      <c r="V138" s="173"/>
      <c r="W138" s="173"/>
      <c r="X138" s="173"/>
      <c r="Y138" s="173"/>
    </row>
    <row r="139">
      <c r="A139" s="59">
        <v>138.0</v>
      </c>
      <c r="B139" s="306" t="s">
        <v>321</v>
      </c>
      <c r="C139" s="307" t="s">
        <v>655</v>
      </c>
      <c r="D139" s="308" t="s">
        <v>3138</v>
      </c>
      <c r="E139" s="309" t="s">
        <v>3138</v>
      </c>
      <c r="F139" s="310" t="s">
        <v>3138</v>
      </c>
      <c r="G139" s="173"/>
      <c r="H139" s="173"/>
      <c r="I139" s="173"/>
      <c r="J139" s="173"/>
      <c r="K139" s="173"/>
      <c r="L139" s="173"/>
      <c r="M139" s="173"/>
      <c r="N139" s="173"/>
      <c r="O139" s="173"/>
      <c r="P139" s="173"/>
      <c r="Q139" s="173"/>
      <c r="R139" s="173"/>
      <c r="S139" s="173"/>
      <c r="T139" s="173"/>
      <c r="U139" s="173"/>
      <c r="V139" s="173"/>
      <c r="W139" s="173"/>
      <c r="X139" s="173"/>
      <c r="Y139" s="173"/>
    </row>
    <row r="140">
      <c r="A140" s="59">
        <v>139.0</v>
      </c>
      <c r="B140" s="311" t="s">
        <v>726</v>
      </c>
      <c r="C140" s="312" t="s">
        <v>3038</v>
      </c>
      <c r="D140" s="313" t="s">
        <v>3137</v>
      </c>
      <c r="E140" s="314" t="s">
        <v>3137</v>
      </c>
      <c r="F140" s="315" t="s">
        <v>3137</v>
      </c>
      <c r="G140" s="173"/>
      <c r="H140" s="173"/>
      <c r="I140" s="173"/>
      <c r="J140" s="173"/>
      <c r="K140" s="173"/>
      <c r="L140" s="173"/>
      <c r="M140" s="173"/>
      <c r="N140" s="173"/>
      <c r="O140" s="173"/>
      <c r="P140" s="173"/>
      <c r="Q140" s="173"/>
      <c r="R140" s="173"/>
      <c r="S140" s="173"/>
      <c r="T140" s="173"/>
      <c r="U140" s="173"/>
      <c r="V140" s="173"/>
      <c r="W140" s="173"/>
      <c r="X140" s="173"/>
      <c r="Y140" s="173"/>
    </row>
    <row r="141">
      <c r="A141" s="59">
        <v>140.0</v>
      </c>
      <c r="B141" s="302" t="s">
        <v>726</v>
      </c>
      <c r="C141" s="303" t="s">
        <v>733</v>
      </c>
      <c r="D141" s="304" t="s">
        <v>3138</v>
      </c>
      <c r="E141" s="59" t="s">
        <v>3138</v>
      </c>
      <c r="F141" s="305" t="s">
        <v>3138</v>
      </c>
      <c r="G141" s="173"/>
      <c r="H141" s="173"/>
      <c r="I141" s="173"/>
      <c r="J141" s="173"/>
      <c r="K141" s="173"/>
      <c r="L141" s="173"/>
      <c r="M141" s="173"/>
      <c r="N141" s="173"/>
      <c r="O141" s="173"/>
      <c r="P141" s="173"/>
      <c r="Q141" s="173"/>
      <c r="R141" s="173"/>
      <c r="S141" s="173"/>
      <c r="T141" s="173"/>
      <c r="U141" s="173"/>
      <c r="V141" s="173"/>
      <c r="W141" s="173"/>
      <c r="X141" s="173"/>
      <c r="Y141" s="173"/>
    </row>
    <row r="142">
      <c r="A142" s="59">
        <v>141.0</v>
      </c>
      <c r="B142" s="302" t="s">
        <v>726</v>
      </c>
      <c r="C142" s="303" t="s">
        <v>750</v>
      </c>
      <c r="D142" s="304" t="s">
        <v>3137</v>
      </c>
      <c r="E142" s="59" t="s">
        <v>3137</v>
      </c>
      <c r="F142" s="305" t="s">
        <v>3137</v>
      </c>
      <c r="G142" s="173"/>
      <c r="H142" s="173"/>
      <c r="I142" s="173"/>
      <c r="J142" s="173"/>
      <c r="K142" s="173"/>
      <c r="L142" s="173"/>
      <c r="M142" s="173"/>
      <c r="N142" s="173"/>
      <c r="O142" s="173"/>
      <c r="P142" s="173"/>
      <c r="Q142" s="173"/>
      <c r="R142" s="173"/>
      <c r="S142" s="173"/>
      <c r="T142" s="173"/>
      <c r="U142" s="173"/>
      <c r="V142" s="173"/>
      <c r="W142" s="173"/>
      <c r="X142" s="173"/>
      <c r="Y142" s="173"/>
    </row>
    <row r="143">
      <c r="A143" s="59">
        <v>142.0</v>
      </c>
      <c r="B143" s="302" t="s">
        <v>726</v>
      </c>
      <c r="C143" s="317" t="s">
        <v>755</v>
      </c>
      <c r="D143" s="304" t="s">
        <v>3140</v>
      </c>
      <c r="E143" s="59" t="s">
        <v>3140</v>
      </c>
      <c r="F143" s="305" t="s">
        <v>3140</v>
      </c>
      <c r="G143" s="173"/>
      <c r="H143" s="173"/>
      <c r="I143" s="173"/>
      <c r="J143" s="173"/>
      <c r="K143" s="173"/>
      <c r="L143" s="173"/>
      <c r="M143" s="173"/>
      <c r="N143" s="173"/>
      <c r="O143" s="173"/>
      <c r="P143" s="173"/>
      <c r="Q143" s="173"/>
      <c r="R143" s="173"/>
      <c r="S143" s="173"/>
      <c r="T143" s="173"/>
      <c r="U143" s="173"/>
      <c r="V143" s="173"/>
      <c r="W143" s="173"/>
      <c r="X143" s="173"/>
      <c r="Y143" s="173"/>
    </row>
    <row r="144">
      <c r="A144" s="59">
        <v>143.0</v>
      </c>
      <c r="B144" s="302" t="s">
        <v>726</v>
      </c>
      <c r="C144" s="303" t="s">
        <v>759</v>
      </c>
      <c r="D144" s="304" t="s">
        <v>3138</v>
      </c>
      <c r="E144" s="59" t="s">
        <v>3138</v>
      </c>
      <c r="F144" s="305" t="s">
        <v>3138</v>
      </c>
      <c r="G144" s="173"/>
      <c r="H144" s="173"/>
      <c r="I144" s="173"/>
      <c r="J144" s="173"/>
      <c r="K144" s="173"/>
      <c r="L144" s="173"/>
      <c r="M144" s="173"/>
      <c r="N144" s="173"/>
      <c r="O144" s="173"/>
      <c r="P144" s="173"/>
      <c r="Q144" s="173"/>
      <c r="R144" s="173"/>
      <c r="S144" s="173"/>
      <c r="T144" s="173"/>
      <c r="U144" s="173"/>
      <c r="V144" s="173"/>
      <c r="W144" s="173"/>
      <c r="X144" s="173"/>
      <c r="Y144" s="173"/>
    </row>
    <row r="145">
      <c r="A145" s="59">
        <v>144.0</v>
      </c>
      <c r="B145" s="302" t="s">
        <v>726</v>
      </c>
      <c r="C145" s="303" t="s">
        <v>763</v>
      </c>
      <c r="D145" s="304" t="s">
        <v>3138</v>
      </c>
      <c r="E145" s="59" t="s">
        <v>3138</v>
      </c>
      <c r="F145" s="305" t="s">
        <v>3138</v>
      </c>
      <c r="G145" s="173"/>
      <c r="H145" s="173"/>
      <c r="I145" s="173"/>
      <c r="J145" s="173"/>
      <c r="K145" s="173"/>
      <c r="L145" s="173"/>
      <c r="M145" s="173"/>
      <c r="N145" s="173"/>
      <c r="O145" s="173"/>
      <c r="P145" s="173"/>
      <c r="Q145" s="173"/>
      <c r="R145" s="173"/>
      <c r="S145" s="173"/>
      <c r="T145" s="173"/>
      <c r="U145" s="173"/>
      <c r="V145" s="173"/>
      <c r="W145" s="173"/>
      <c r="X145" s="173"/>
      <c r="Y145" s="173"/>
    </row>
    <row r="146">
      <c r="A146" s="59">
        <v>145.0</v>
      </c>
      <c r="B146" s="302" t="s">
        <v>726</v>
      </c>
      <c r="C146" s="303" t="s">
        <v>768</v>
      </c>
      <c r="D146" s="304" t="s">
        <v>3138</v>
      </c>
      <c r="E146" s="59" t="s">
        <v>3138</v>
      </c>
      <c r="F146" s="305" t="s">
        <v>3138</v>
      </c>
      <c r="G146" s="173"/>
      <c r="H146" s="173"/>
      <c r="I146" s="173"/>
      <c r="J146" s="173"/>
      <c r="K146" s="173"/>
      <c r="L146" s="173"/>
      <c r="M146" s="173"/>
      <c r="N146" s="173"/>
      <c r="O146" s="173"/>
      <c r="P146" s="173"/>
      <c r="Q146" s="173"/>
      <c r="R146" s="173"/>
      <c r="S146" s="173"/>
      <c r="T146" s="173"/>
      <c r="U146" s="173"/>
      <c r="V146" s="173"/>
      <c r="W146" s="173"/>
      <c r="X146" s="173"/>
      <c r="Y146" s="173"/>
    </row>
    <row r="147">
      <c r="A147" s="59">
        <v>146.0</v>
      </c>
      <c r="B147" s="302" t="s">
        <v>726</v>
      </c>
      <c r="C147" s="303" t="s">
        <v>773</v>
      </c>
      <c r="D147" s="304" t="s">
        <v>3137</v>
      </c>
      <c r="E147" s="59" t="s">
        <v>3137</v>
      </c>
      <c r="F147" s="305" t="s">
        <v>3137</v>
      </c>
      <c r="G147" s="173"/>
      <c r="H147" s="173"/>
      <c r="I147" s="173"/>
      <c r="J147" s="173"/>
      <c r="K147" s="173"/>
      <c r="L147" s="173"/>
      <c r="M147" s="173"/>
      <c r="N147" s="173"/>
      <c r="O147" s="173"/>
      <c r="P147" s="173"/>
      <c r="Q147" s="173"/>
      <c r="R147" s="173"/>
      <c r="S147" s="173"/>
      <c r="T147" s="173"/>
      <c r="U147" s="173"/>
      <c r="V147" s="173"/>
      <c r="W147" s="173"/>
      <c r="X147" s="173"/>
      <c r="Y147" s="173"/>
    </row>
    <row r="148">
      <c r="A148" s="59">
        <v>147.0</v>
      </c>
      <c r="B148" s="302" t="s">
        <v>726</v>
      </c>
      <c r="C148" s="303" t="s">
        <v>3157</v>
      </c>
      <c r="D148" s="304" t="s">
        <v>3140</v>
      </c>
      <c r="E148" s="59" t="s">
        <v>3140</v>
      </c>
      <c r="F148" s="305" t="s">
        <v>3140</v>
      </c>
      <c r="G148" s="173"/>
      <c r="H148" s="173"/>
      <c r="I148" s="173"/>
      <c r="J148" s="173"/>
      <c r="K148" s="173"/>
      <c r="L148" s="173"/>
      <c r="M148" s="173"/>
      <c r="N148" s="173"/>
      <c r="O148" s="173"/>
      <c r="P148" s="173"/>
      <c r="Q148" s="173"/>
      <c r="R148" s="173"/>
      <c r="S148" s="173"/>
      <c r="T148" s="173"/>
      <c r="U148" s="173"/>
      <c r="V148" s="173"/>
      <c r="W148" s="173"/>
      <c r="X148" s="173"/>
      <c r="Y148" s="173"/>
    </row>
    <row r="149">
      <c r="A149" s="59">
        <v>148.0</v>
      </c>
      <c r="B149" s="302" t="s">
        <v>726</v>
      </c>
      <c r="C149" s="303" t="s">
        <v>783</v>
      </c>
      <c r="D149" s="304" t="s">
        <v>3138</v>
      </c>
      <c r="E149" s="59" t="s">
        <v>3138</v>
      </c>
      <c r="F149" s="305" t="s">
        <v>3138</v>
      </c>
      <c r="G149" s="173"/>
      <c r="H149" s="173"/>
      <c r="I149" s="173"/>
      <c r="J149" s="173"/>
      <c r="K149" s="173"/>
      <c r="L149" s="173"/>
      <c r="M149" s="173"/>
      <c r="N149" s="173"/>
      <c r="O149" s="173"/>
      <c r="P149" s="173"/>
      <c r="Q149" s="173"/>
      <c r="R149" s="173"/>
      <c r="S149" s="173"/>
      <c r="T149" s="173"/>
      <c r="U149" s="173"/>
      <c r="V149" s="173"/>
      <c r="W149" s="173"/>
      <c r="X149" s="173"/>
      <c r="Y149" s="173"/>
    </row>
    <row r="150">
      <c r="A150" s="59">
        <v>149.0</v>
      </c>
      <c r="B150" s="302" t="s">
        <v>726</v>
      </c>
      <c r="C150" s="303" t="s">
        <v>788</v>
      </c>
      <c r="D150" s="304" t="s">
        <v>3140</v>
      </c>
      <c r="E150" s="59" t="s">
        <v>3140</v>
      </c>
      <c r="F150" s="305" t="s">
        <v>3140</v>
      </c>
      <c r="G150" s="173"/>
      <c r="H150" s="173"/>
      <c r="I150" s="173"/>
      <c r="J150" s="173"/>
      <c r="K150" s="173"/>
      <c r="L150" s="173"/>
      <c r="M150" s="173"/>
      <c r="N150" s="173"/>
      <c r="O150" s="173"/>
      <c r="P150" s="173"/>
      <c r="Q150" s="173"/>
      <c r="R150" s="173"/>
      <c r="S150" s="173"/>
      <c r="T150" s="173"/>
      <c r="U150" s="173"/>
      <c r="V150" s="173"/>
      <c r="W150" s="173"/>
      <c r="X150" s="173"/>
      <c r="Y150" s="173"/>
    </row>
    <row r="151">
      <c r="A151" s="59">
        <v>150.0</v>
      </c>
      <c r="B151" s="302" t="s">
        <v>726</v>
      </c>
      <c r="C151" s="303" t="s">
        <v>807</v>
      </c>
      <c r="D151" s="304" t="s">
        <v>3140</v>
      </c>
      <c r="E151" s="59" t="s">
        <v>3139</v>
      </c>
      <c r="F151" s="305" t="s">
        <v>3139</v>
      </c>
      <c r="G151" s="173"/>
      <c r="H151" s="173"/>
      <c r="I151" s="173"/>
      <c r="J151" s="173"/>
      <c r="K151" s="173"/>
      <c r="L151" s="173"/>
      <c r="M151" s="173"/>
      <c r="N151" s="173"/>
      <c r="O151" s="173"/>
      <c r="P151" s="173"/>
      <c r="Q151" s="173"/>
      <c r="R151" s="173"/>
      <c r="S151" s="173"/>
      <c r="T151" s="173"/>
      <c r="U151" s="173"/>
      <c r="V151" s="173"/>
      <c r="W151" s="173"/>
      <c r="X151" s="173"/>
      <c r="Y151" s="173"/>
    </row>
    <row r="152">
      <c r="A152" s="59">
        <v>151.0</v>
      </c>
      <c r="B152" s="302" t="s">
        <v>726</v>
      </c>
      <c r="C152" s="317" t="s">
        <v>812</v>
      </c>
      <c r="D152" s="304" t="s">
        <v>3138</v>
      </c>
      <c r="E152" s="59" t="s">
        <v>3139</v>
      </c>
      <c r="F152" s="305" t="s">
        <v>3139</v>
      </c>
      <c r="G152" s="173"/>
      <c r="H152" s="173"/>
      <c r="I152" s="173"/>
      <c r="J152" s="173"/>
      <c r="K152" s="173"/>
      <c r="L152" s="173"/>
      <c r="M152" s="173"/>
      <c r="N152" s="173"/>
      <c r="O152" s="173"/>
      <c r="P152" s="173"/>
      <c r="Q152" s="173"/>
      <c r="R152" s="173"/>
      <c r="S152" s="173"/>
      <c r="T152" s="173"/>
      <c r="U152" s="173"/>
      <c r="V152" s="173"/>
      <c r="W152" s="173"/>
      <c r="X152" s="173"/>
      <c r="Y152" s="173"/>
    </row>
    <row r="153">
      <c r="A153" s="59">
        <v>152.0</v>
      </c>
      <c r="B153" s="302" t="s">
        <v>726</v>
      </c>
      <c r="C153" s="303" t="s">
        <v>793</v>
      </c>
      <c r="D153" s="304" t="s">
        <v>3139</v>
      </c>
      <c r="E153" s="304" t="s">
        <v>3138</v>
      </c>
      <c r="F153" s="304" t="s">
        <v>3138</v>
      </c>
      <c r="G153" s="173"/>
      <c r="H153" s="173"/>
      <c r="I153" s="173"/>
      <c r="J153" s="173"/>
      <c r="K153" s="173"/>
      <c r="L153" s="173"/>
      <c r="M153" s="173"/>
      <c r="N153" s="173"/>
      <c r="O153" s="173"/>
      <c r="P153" s="173"/>
      <c r="Q153" s="173"/>
      <c r="R153" s="173"/>
      <c r="S153" s="173"/>
      <c r="T153" s="173"/>
      <c r="U153" s="173"/>
      <c r="V153" s="173"/>
      <c r="W153" s="173"/>
      <c r="X153" s="173"/>
      <c r="Y153" s="173"/>
    </row>
    <row r="154">
      <c r="A154" s="59">
        <v>153.0</v>
      </c>
      <c r="B154" s="302" t="s">
        <v>726</v>
      </c>
      <c r="C154" s="303" t="s">
        <v>797</v>
      </c>
      <c r="D154" s="304" t="s">
        <v>3139</v>
      </c>
      <c r="E154" s="59" t="s">
        <v>3140</v>
      </c>
      <c r="F154" s="305" t="s">
        <v>3140</v>
      </c>
      <c r="G154" s="173"/>
      <c r="H154" s="173"/>
      <c r="I154" s="173"/>
      <c r="J154" s="173"/>
      <c r="K154" s="173"/>
      <c r="L154" s="173"/>
      <c r="M154" s="173"/>
      <c r="N154" s="173"/>
      <c r="O154" s="173"/>
      <c r="P154" s="173"/>
      <c r="Q154" s="173"/>
      <c r="R154" s="173"/>
      <c r="S154" s="173"/>
      <c r="T154" s="173"/>
      <c r="U154" s="173"/>
      <c r="V154" s="173"/>
      <c r="W154" s="173"/>
      <c r="X154" s="173"/>
      <c r="Y154" s="173"/>
    </row>
    <row r="155">
      <c r="A155" s="59">
        <v>154.0</v>
      </c>
      <c r="B155" s="306" t="s">
        <v>726</v>
      </c>
      <c r="C155" s="307" t="s">
        <v>802</v>
      </c>
      <c r="D155" s="308" t="s">
        <v>3139</v>
      </c>
      <c r="E155" s="309" t="s">
        <v>3138</v>
      </c>
      <c r="F155" s="310" t="s">
        <v>3138</v>
      </c>
      <c r="G155" s="173"/>
      <c r="H155" s="173"/>
      <c r="I155" s="173"/>
      <c r="J155" s="173"/>
      <c r="K155" s="173"/>
      <c r="L155" s="173"/>
      <c r="M155" s="173"/>
      <c r="N155" s="173"/>
      <c r="O155" s="173"/>
      <c r="P155" s="173"/>
      <c r="Q155" s="173"/>
      <c r="R155" s="173"/>
      <c r="S155" s="173"/>
      <c r="T155" s="173"/>
      <c r="U155" s="173"/>
      <c r="V155" s="173"/>
      <c r="W155" s="173"/>
      <c r="X155" s="173"/>
      <c r="Y155" s="173"/>
    </row>
    <row r="156">
      <c r="A156" s="59">
        <v>155.0</v>
      </c>
      <c r="B156" s="318" t="s">
        <v>816</v>
      </c>
      <c r="C156" s="319" t="s">
        <v>818</v>
      </c>
      <c r="D156" s="313" t="s">
        <v>3138</v>
      </c>
      <c r="E156" s="314" t="s">
        <v>3138</v>
      </c>
      <c r="F156" s="315" t="s">
        <v>3138</v>
      </c>
      <c r="G156" s="173"/>
      <c r="H156" s="173"/>
      <c r="I156" s="173"/>
      <c r="J156" s="173"/>
      <c r="K156" s="173"/>
      <c r="L156" s="173"/>
      <c r="M156" s="173"/>
      <c r="N156" s="173"/>
      <c r="O156" s="173"/>
      <c r="P156" s="173"/>
      <c r="Q156" s="173"/>
      <c r="R156" s="173"/>
      <c r="S156" s="173"/>
      <c r="T156" s="173"/>
      <c r="U156" s="173"/>
      <c r="V156" s="173"/>
      <c r="W156" s="173"/>
      <c r="X156" s="173"/>
      <c r="Y156" s="173"/>
    </row>
    <row r="157">
      <c r="A157" s="59">
        <v>156.0</v>
      </c>
      <c r="B157" s="320" t="s">
        <v>816</v>
      </c>
      <c r="C157" s="317" t="s">
        <v>823</v>
      </c>
      <c r="D157" s="304" t="s">
        <v>3138</v>
      </c>
      <c r="E157" s="59" t="s">
        <v>3138</v>
      </c>
      <c r="F157" s="305" t="s">
        <v>3138</v>
      </c>
      <c r="G157" s="173"/>
      <c r="H157" s="173"/>
      <c r="I157" s="173"/>
      <c r="J157" s="173"/>
      <c r="K157" s="173"/>
      <c r="L157" s="173"/>
      <c r="M157" s="173"/>
      <c r="N157" s="173"/>
      <c r="O157" s="173"/>
      <c r="P157" s="173"/>
      <c r="Q157" s="173"/>
      <c r="R157" s="173"/>
      <c r="S157" s="173"/>
      <c r="T157" s="173"/>
      <c r="U157" s="173"/>
      <c r="V157" s="173"/>
      <c r="W157" s="173"/>
      <c r="X157" s="173"/>
      <c r="Y157" s="173"/>
    </row>
    <row r="158">
      <c r="A158" s="59">
        <v>157.0</v>
      </c>
      <c r="B158" s="320" t="s">
        <v>816</v>
      </c>
      <c r="C158" s="317" t="s">
        <v>828</v>
      </c>
      <c r="D158" s="304" t="s">
        <v>3138</v>
      </c>
      <c r="E158" s="59" t="s">
        <v>3138</v>
      </c>
      <c r="F158" s="305" t="s">
        <v>3138</v>
      </c>
      <c r="G158" s="173"/>
      <c r="H158" s="173"/>
      <c r="I158" s="173"/>
      <c r="J158" s="173"/>
      <c r="K158" s="173"/>
      <c r="L158" s="173"/>
      <c r="M158" s="173"/>
      <c r="N158" s="173"/>
      <c r="O158" s="173"/>
      <c r="P158" s="173"/>
      <c r="Q158" s="173"/>
      <c r="R158" s="173"/>
      <c r="S158" s="173"/>
      <c r="T158" s="173"/>
      <c r="U158" s="173"/>
      <c r="V158" s="173"/>
      <c r="W158" s="173"/>
      <c r="X158" s="173"/>
      <c r="Y158" s="173"/>
    </row>
    <row r="159">
      <c r="A159" s="59">
        <v>158.0</v>
      </c>
      <c r="B159" s="320" t="s">
        <v>816</v>
      </c>
      <c r="C159" s="317" t="s">
        <v>833</v>
      </c>
      <c r="D159" s="304" t="s">
        <v>3138</v>
      </c>
      <c r="E159" s="59" t="s">
        <v>3138</v>
      </c>
      <c r="F159" s="305" t="s">
        <v>3138</v>
      </c>
      <c r="G159" s="173"/>
      <c r="H159" s="173"/>
      <c r="I159" s="173"/>
      <c r="J159" s="173"/>
      <c r="K159" s="173"/>
      <c r="L159" s="173"/>
      <c r="M159" s="173"/>
      <c r="N159" s="173"/>
      <c r="O159" s="173"/>
      <c r="P159" s="173"/>
      <c r="Q159" s="173"/>
      <c r="R159" s="173"/>
      <c r="S159" s="173"/>
      <c r="T159" s="173"/>
      <c r="U159" s="173"/>
      <c r="V159" s="173"/>
      <c r="W159" s="173"/>
      <c r="X159" s="173"/>
      <c r="Y159" s="173"/>
    </row>
    <row r="160">
      <c r="A160" s="59">
        <v>159.0</v>
      </c>
      <c r="B160" s="320" t="s">
        <v>816</v>
      </c>
      <c r="C160" s="317" t="s">
        <v>837</v>
      </c>
      <c r="D160" s="304" t="s">
        <v>3138</v>
      </c>
      <c r="E160" s="59" t="s">
        <v>3138</v>
      </c>
      <c r="F160" s="305" t="s">
        <v>3138</v>
      </c>
      <c r="G160" s="173"/>
      <c r="H160" s="173"/>
      <c r="I160" s="173"/>
      <c r="J160" s="173"/>
      <c r="K160" s="173"/>
      <c r="L160" s="173"/>
      <c r="M160" s="173"/>
      <c r="N160" s="173"/>
      <c r="O160" s="173"/>
      <c r="P160" s="173"/>
      <c r="Q160" s="173"/>
      <c r="R160" s="173"/>
      <c r="S160" s="173"/>
      <c r="T160" s="173"/>
      <c r="U160" s="173"/>
      <c r="V160" s="173"/>
      <c r="W160" s="173"/>
      <c r="X160" s="173"/>
      <c r="Y160" s="173"/>
    </row>
    <row r="161">
      <c r="A161" s="59">
        <v>160.0</v>
      </c>
      <c r="B161" s="302" t="s">
        <v>816</v>
      </c>
      <c r="C161" s="303" t="s">
        <v>842</v>
      </c>
      <c r="D161" s="304" t="s">
        <v>3140</v>
      </c>
      <c r="E161" s="59" t="s">
        <v>3140</v>
      </c>
      <c r="F161" s="305" t="s">
        <v>3140</v>
      </c>
      <c r="G161" s="173"/>
      <c r="H161" s="173"/>
      <c r="I161" s="173"/>
      <c r="J161" s="173"/>
      <c r="K161" s="173"/>
      <c r="L161" s="173"/>
      <c r="M161" s="173"/>
      <c r="N161" s="173"/>
      <c r="O161" s="173"/>
      <c r="P161" s="173"/>
      <c r="Q161" s="173"/>
      <c r="R161" s="173"/>
      <c r="S161" s="173"/>
      <c r="T161" s="173"/>
      <c r="U161" s="173"/>
      <c r="V161" s="173"/>
      <c r="W161" s="173"/>
      <c r="X161" s="173"/>
      <c r="Y161" s="173"/>
    </row>
    <row r="162">
      <c r="A162" s="59">
        <v>161.0</v>
      </c>
      <c r="B162" s="302" t="s">
        <v>816</v>
      </c>
      <c r="C162" s="303" t="s">
        <v>847</v>
      </c>
      <c r="D162" s="304" t="s">
        <v>3140</v>
      </c>
      <c r="E162" s="59" t="s">
        <v>3140</v>
      </c>
      <c r="F162" s="305" t="s">
        <v>3140</v>
      </c>
      <c r="G162" s="173"/>
      <c r="H162" s="173"/>
      <c r="I162" s="173"/>
      <c r="J162" s="173"/>
      <c r="K162" s="173"/>
      <c r="L162" s="173"/>
      <c r="M162" s="173"/>
      <c r="N162" s="173"/>
      <c r="O162" s="173"/>
      <c r="P162" s="173"/>
      <c r="Q162" s="173"/>
      <c r="R162" s="173"/>
      <c r="S162" s="173"/>
      <c r="T162" s="173"/>
      <c r="U162" s="173"/>
      <c r="V162" s="173"/>
      <c r="W162" s="173"/>
      <c r="X162" s="173"/>
      <c r="Y162" s="173"/>
    </row>
    <row r="163">
      <c r="A163" s="59">
        <v>162.0</v>
      </c>
      <c r="B163" s="302" t="s">
        <v>816</v>
      </c>
      <c r="C163" s="303" t="s">
        <v>852</v>
      </c>
      <c r="D163" s="304" t="s">
        <v>3137</v>
      </c>
      <c r="E163" s="59" t="s">
        <v>3139</v>
      </c>
      <c r="F163" s="305" t="s">
        <v>3139</v>
      </c>
      <c r="G163" s="173"/>
      <c r="H163" s="173"/>
      <c r="I163" s="173"/>
      <c r="J163" s="173"/>
      <c r="K163" s="173"/>
      <c r="L163" s="173"/>
      <c r="M163" s="173"/>
      <c r="N163" s="173"/>
      <c r="O163" s="173"/>
      <c r="P163" s="173"/>
      <c r="Q163" s="173"/>
      <c r="R163" s="173"/>
      <c r="S163" s="173"/>
      <c r="T163" s="173"/>
      <c r="U163" s="173"/>
      <c r="V163" s="173"/>
      <c r="W163" s="173"/>
      <c r="X163" s="173"/>
      <c r="Y163" s="173"/>
    </row>
    <row r="164">
      <c r="A164" s="59">
        <v>163.0</v>
      </c>
      <c r="B164" s="302" t="s">
        <v>816</v>
      </c>
      <c r="C164" s="303" t="s">
        <v>857</v>
      </c>
      <c r="D164" s="304" t="s">
        <v>3137</v>
      </c>
      <c r="E164" s="59" t="s">
        <v>3139</v>
      </c>
      <c r="F164" s="305" t="s">
        <v>3139</v>
      </c>
      <c r="G164" s="173"/>
      <c r="H164" s="173"/>
      <c r="I164" s="173"/>
      <c r="J164" s="173"/>
      <c r="K164" s="173"/>
      <c r="L164" s="173"/>
      <c r="M164" s="173"/>
      <c r="N164" s="173"/>
      <c r="O164" s="173"/>
      <c r="P164" s="173"/>
      <c r="Q164" s="173"/>
      <c r="R164" s="173"/>
      <c r="S164" s="173"/>
      <c r="T164" s="173"/>
      <c r="U164" s="173"/>
      <c r="V164" s="173"/>
      <c r="W164" s="173"/>
      <c r="X164" s="173"/>
      <c r="Y164" s="173"/>
    </row>
    <row r="165">
      <c r="A165" s="59">
        <v>164.0</v>
      </c>
      <c r="B165" s="302" t="s">
        <v>816</v>
      </c>
      <c r="C165" s="303" t="s">
        <v>861</v>
      </c>
      <c r="D165" s="304" t="s">
        <v>3139</v>
      </c>
      <c r="E165" s="59" t="s">
        <v>3137</v>
      </c>
      <c r="F165" s="305" t="s">
        <v>3137</v>
      </c>
      <c r="G165" s="173"/>
      <c r="H165" s="173"/>
      <c r="I165" s="173"/>
      <c r="J165" s="173"/>
      <c r="K165" s="173"/>
      <c r="L165" s="173"/>
      <c r="M165" s="173"/>
      <c r="N165" s="173"/>
      <c r="O165" s="173"/>
      <c r="P165" s="173"/>
      <c r="Q165" s="173"/>
      <c r="R165" s="173"/>
      <c r="S165" s="173"/>
      <c r="T165" s="173"/>
      <c r="U165" s="173"/>
      <c r="V165" s="173"/>
      <c r="W165" s="173"/>
      <c r="X165" s="173"/>
      <c r="Y165" s="173"/>
    </row>
    <row r="166">
      <c r="A166" s="59">
        <v>165.0</v>
      </c>
      <c r="B166" s="302" t="s">
        <v>816</v>
      </c>
      <c r="C166" s="303" t="s">
        <v>866</v>
      </c>
      <c r="D166" s="304" t="s">
        <v>3139</v>
      </c>
      <c r="E166" s="59" t="s">
        <v>3137</v>
      </c>
      <c r="F166" s="305" t="s">
        <v>3137</v>
      </c>
      <c r="G166" s="173"/>
      <c r="H166" s="173"/>
      <c r="I166" s="173"/>
      <c r="J166" s="173"/>
      <c r="K166" s="173"/>
      <c r="L166" s="173"/>
      <c r="M166" s="173"/>
      <c r="N166" s="173"/>
      <c r="O166" s="173"/>
      <c r="P166" s="173"/>
      <c r="Q166" s="173"/>
      <c r="R166" s="173"/>
      <c r="S166" s="173"/>
      <c r="T166" s="173"/>
      <c r="U166" s="173"/>
      <c r="V166" s="173"/>
      <c r="W166" s="173"/>
      <c r="X166" s="173"/>
      <c r="Y166" s="173"/>
    </row>
    <row r="167">
      <c r="A167" s="59">
        <v>166.0</v>
      </c>
      <c r="B167" s="302" t="s">
        <v>816</v>
      </c>
      <c r="C167" s="303" t="s">
        <v>871</v>
      </c>
      <c r="D167" s="304" t="s">
        <v>3138</v>
      </c>
      <c r="E167" s="59" t="s">
        <v>3139</v>
      </c>
      <c r="F167" s="305" t="s">
        <v>3138</v>
      </c>
      <c r="G167" s="173"/>
      <c r="H167" s="173"/>
      <c r="I167" s="173"/>
      <c r="J167" s="173"/>
      <c r="K167" s="173"/>
      <c r="L167" s="173"/>
      <c r="M167" s="173"/>
      <c r="N167" s="173"/>
      <c r="O167" s="173"/>
      <c r="P167" s="173"/>
      <c r="Q167" s="173"/>
      <c r="R167" s="173"/>
      <c r="S167" s="173"/>
      <c r="T167" s="173"/>
      <c r="U167" s="173"/>
      <c r="V167" s="173"/>
      <c r="W167" s="173"/>
      <c r="X167" s="173"/>
      <c r="Y167" s="173"/>
    </row>
    <row r="168">
      <c r="A168" s="59">
        <v>167.0</v>
      </c>
      <c r="B168" s="302" t="s">
        <v>816</v>
      </c>
      <c r="C168" s="303" t="s">
        <v>874</v>
      </c>
      <c r="D168" s="304" t="s">
        <v>3138</v>
      </c>
      <c r="E168" s="59" t="s">
        <v>3139</v>
      </c>
      <c r="F168" s="305" t="s">
        <v>3138</v>
      </c>
      <c r="G168" s="173"/>
      <c r="H168" s="173"/>
      <c r="I168" s="173"/>
      <c r="J168" s="173"/>
      <c r="K168" s="173"/>
      <c r="L168" s="173"/>
      <c r="M168" s="173"/>
      <c r="N168" s="173"/>
      <c r="O168" s="173"/>
      <c r="P168" s="173"/>
      <c r="Q168" s="173"/>
      <c r="R168" s="173"/>
      <c r="S168" s="173"/>
      <c r="T168" s="173"/>
      <c r="U168" s="173"/>
      <c r="V168" s="173"/>
      <c r="W168" s="173"/>
      <c r="X168" s="173"/>
      <c r="Y168" s="173"/>
    </row>
    <row r="169">
      <c r="A169" s="59">
        <v>168.0</v>
      </c>
      <c r="B169" s="302" t="s">
        <v>816</v>
      </c>
      <c r="C169" s="303" t="s">
        <v>878</v>
      </c>
      <c r="D169" s="304" t="s">
        <v>3138</v>
      </c>
      <c r="E169" s="59" t="s">
        <v>3139</v>
      </c>
      <c r="F169" s="305" t="s">
        <v>3138</v>
      </c>
      <c r="G169" s="173"/>
      <c r="H169" s="173"/>
      <c r="I169" s="173"/>
      <c r="J169" s="173"/>
      <c r="K169" s="173"/>
      <c r="L169" s="173"/>
      <c r="M169" s="173"/>
      <c r="N169" s="173"/>
      <c r="O169" s="173"/>
      <c r="P169" s="173"/>
      <c r="Q169" s="173"/>
      <c r="R169" s="173"/>
      <c r="S169" s="173"/>
      <c r="T169" s="173"/>
      <c r="U169" s="173"/>
      <c r="V169" s="173"/>
      <c r="W169" s="173"/>
      <c r="X169" s="173"/>
      <c r="Y169" s="173"/>
    </row>
    <row r="170">
      <c r="A170" s="59">
        <v>169.0</v>
      </c>
      <c r="B170" s="302" t="s">
        <v>816</v>
      </c>
      <c r="C170" s="303" t="s">
        <v>882</v>
      </c>
      <c r="D170" s="304" t="s">
        <v>3138</v>
      </c>
      <c r="E170" s="59" t="s">
        <v>3139</v>
      </c>
      <c r="F170" s="305" t="s">
        <v>3138</v>
      </c>
      <c r="G170" s="173"/>
      <c r="H170" s="173"/>
      <c r="I170" s="173"/>
      <c r="J170" s="173"/>
      <c r="K170" s="173"/>
      <c r="L170" s="173"/>
      <c r="M170" s="173"/>
      <c r="N170" s="173"/>
      <c r="O170" s="173"/>
      <c r="P170" s="173"/>
      <c r="Q170" s="173"/>
      <c r="R170" s="173"/>
      <c r="S170" s="173"/>
      <c r="T170" s="173"/>
      <c r="U170" s="173"/>
      <c r="V170" s="173"/>
      <c r="W170" s="173"/>
      <c r="X170" s="173"/>
      <c r="Y170" s="173"/>
    </row>
    <row r="171">
      <c r="A171" s="59">
        <v>170.0</v>
      </c>
      <c r="B171" s="302" t="s">
        <v>816</v>
      </c>
      <c r="C171" s="303" t="s">
        <v>886</v>
      </c>
      <c r="D171" s="304" t="s">
        <v>3138</v>
      </c>
      <c r="E171" s="59" t="s">
        <v>3138</v>
      </c>
      <c r="F171" s="305" t="s">
        <v>3138</v>
      </c>
      <c r="G171" s="173"/>
      <c r="H171" s="173"/>
      <c r="I171" s="173"/>
      <c r="J171" s="173"/>
      <c r="K171" s="173"/>
      <c r="L171" s="173"/>
      <c r="M171" s="173"/>
      <c r="N171" s="173"/>
      <c r="O171" s="173"/>
      <c r="P171" s="173"/>
      <c r="Q171" s="173"/>
      <c r="R171" s="173"/>
      <c r="S171" s="173"/>
      <c r="T171" s="173"/>
      <c r="U171" s="173"/>
      <c r="V171" s="173"/>
      <c r="W171" s="173"/>
      <c r="X171" s="173"/>
      <c r="Y171" s="173"/>
    </row>
    <row r="172">
      <c r="A172" s="59">
        <v>171.0</v>
      </c>
      <c r="B172" s="302" t="s">
        <v>816</v>
      </c>
      <c r="C172" s="303" t="s">
        <v>890</v>
      </c>
      <c r="D172" s="304" t="s">
        <v>3138</v>
      </c>
      <c r="E172" s="59" t="s">
        <v>3138</v>
      </c>
      <c r="F172" s="305" t="s">
        <v>3138</v>
      </c>
      <c r="G172" s="173"/>
      <c r="H172" s="173"/>
      <c r="I172" s="173"/>
      <c r="J172" s="173"/>
      <c r="K172" s="173"/>
      <c r="L172" s="173"/>
      <c r="M172" s="173"/>
      <c r="N172" s="173"/>
      <c r="O172" s="173"/>
      <c r="P172" s="173"/>
      <c r="Q172" s="173"/>
      <c r="R172" s="173"/>
      <c r="S172" s="173"/>
      <c r="T172" s="173"/>
      <c r="U172" s="173"/>
      <c r="V172" s="173"/>
      <c r="W172" s="173"/>
      <c r="X172" s="173"/>
      <c r="Y172" s="173"/>
    </row>
    <row r="173">
      <c r="A173" s="59">
        <v>172.0</v>
      </c>
      <c r="B173" s="302" t="s">
        <v>816</v>
      </c>
      <c r="C173" s="303" t="s">
        <v>893</v>
      </c>
      <c r="D173" s="304" t="s">
        <v>3138</v>
      </c>
      <c r="E173" s="59" t="s">
        <v>3138</v>
      </c>
      <c r="F173" s="305" t="s">
        <v>3138</v>
      </c>
      <c r="G173" s="173"/>
      <c r="H173" s="173"/>
      <c r="I173" s="173"/>
      <c r="J173" s="173"/>
      <c r="K173" s="173"/>
      <c r="L173" s="173"/>
      <c r="M173" s="173"/>
      <c r="N173" s="173"/>
      <c r="O173" s="173"/>
      <c r="P173" s="173"/>
      <c r="Q173" s="173"/>
      <c r="R173" s="173"/>
      <c r="S173" s="173"/>
      <c r="T173" s="173"/>
      <c r="U173" s="173"/>
      <c r="V173" s="173"/>
      <c r="W173" s="173"/>
      <c r="X173" s="173"/>
      <c r="Y173" s="173"/>
    </row>
    <row r="174">
      <c r="A174" s="59">
        <v>173.0</v>
      </c>
      <c r="B174" s="302" t="s">
        <v>816</v>
      </c>
      <c r="C174" s="303" t="s">
        <v>896</v>
      </c>
      <c r="D174" s="304" t="s">
        <v>3138</v>
      </c>
      <c r="E174" s="59" t="s">
        <v>3138</v>
      </c>
      <c r="F174" s="305" t="s">
        <v>3138</v>
      </c>
      <c r="G174" s="173"/>
      <c r="H174" s="173"/>
      <c r="I174" s="173"/>
      <c r="J174" s="173"/>
      <c r="K174" s="173"/>
      <c r="L174" s="173"/>
      <c r="M174" s="173"/>
      <c r="N174" s="173"/>
      <c r="O174" s="173"/>
      <c r="P174" s="173"/>
      <c r="Q174" s="173"/>
      <c r="R174" s="173"/>
      <c r="S174" s="173"/>
      <c r="T174" s="173"/>
      <c r="U174" s="173"/>
      <c r="V174" s="173"/>
      <c r="W174" s="173"/>
      <c r="X174" s="173"/>
      <c r="Y174" s="173"/>
    </row>
    <row r="175">
      <c r="A175" s="59">
        <v>174.0</v>
      </c>
      <c r="B175" s="302" t="s">
        <v>816</v>
      </c>
      <c r="C175" s="303" t="s">
        <v>899</v>
      </c>
      <c r="D175" s="304" t="s">
        <v>3138</v>
      </c>
      <c r="E175" s="59" t="s">
        <v>3138</v>
      </c>
      <c r="F175" s="305" t="s">
        <v>3138</v>
      </c>
      <c r="G175" s="173"/>
      <c r="H175" s="173"/>
      <c r="I175" s="173"/>
      <c r="J175" s="173"/>
      <c r="K175" s="173"/>
      <c r="L175" s="173"/>
      <c r="M175" s="173"/>
      <c r="N175" s="173"/>
      <c r="O175" s="173"/>
      <c r="P175" s="173"/>
      <c r="Q175" s="173"/>
      <c r="R175" s="173"/>
      <c r="S175" s="173"/>
      <c r="T175" s="173"/>
      <c r="U175" s="173"/>
      <c r="V175" s="173"/>
      <c r="W175" s="173"/>
      <c r="X175" s="173"/>
      <c r="Y175" s="173"/>
    </row>
    <row r="176">
      <c r="A176" s="59">
        <v>175.0</v>
      </c>
      <c r="B176" s="302" t="s">
        <v>816</v>
      </c>
      <c r="C176" s="303" t="s">
        <v>903</v>
      </c>
      <c r="D176" s="304" t="s">
        <v>3138</v>
      </c>
      <c r="E176" s="59" t="s">
        <v>3139</v>
      </c>
      <c r="F176" s="305" t="s">
        <v>3138</v>
      </c>
      <c r="G176" s="173"/>
      <c r="H176" s="173"/>
      <c r="I176" s="173"/>
      <c r="J176" s="173"/>
      <c r="K176" s="173"/>
      <c r="L176" s="173"/>
      <c r="M176" s="173"/>
      <c r="N176" s="173"/>
      <c r="O176" s="173"/>
      <c r="P176" s="173"/>
      <c r="Q176" s="173"/>
      <c r="R176" s="173"/>
      <c r="S176" s="173"/>
      <c r="T176" s="173"/>
      <c r="U176" s="173"/>
      <c r="V176" s="173"/>
      <c r="W176" s="173"/>
      <c r="X176" s="173"/>
      <c r="Y176" s="173"/>
    </row>
    <row r="177">
      <c r="A177" s="59">
        <v>176.0</v>
      </c>
      <c r="B177" s="302" t="s">
        <v>816</v>
      </c>
      <c r="C177" s="303" t="s">
        <v>906</v>
      </c>
      <c r="D177" s="304" t="s">
        <v>3138</v>
      </c>
      <c r="E177" s="59" t="s">
        <v>3138</v>
      </c>
      <c r="F177" s="305" t="s">
        <v>3138</v>
      </c>
      <c r="G177" s="173"/>
      <c r="H177" s="173"/>
      <c r="I177" s="173"/>
      <c r="J177" s="173"/>
      <c r="K177" s="173"/>
      <c r="L177" s="173"/>
      <c r="M177" s="173"/>
      <c r="N177" s="173"/>
      <c r="O177" s="173"/>
      <c r="P177" s="173"/>
      <c r="Q177" s="173"/>
      <c r="R177" s="173"/>
      <c r="S177" s="173"/>
      <c r="T177" s="173"/>
      <c r="U177" s="173"/>
      <c r="V177" s="173"/>
      <c r="W177" s="173"/>
      <c r="X177" s="173"/>
      <c r="Y177" s="173"/>
    </row>
    <row r="178">
      <c r="A178" s="59">
        <v>177.0</v>
      </c>
      <c r="B178" s="302" t="s">
        <v>816</v>
      </c>
      <c r="C178" s="303" t="s">
        <v>3158</v>
      </c>
      <c r="D178" s="304" t="s">
        <v>3138</v>
      </c>
      <c r="E178" s="59" t="s">
        <v>3138</v>
      </c>
      <c r="F178" s="305" t="s">
        <v>3138</v>
      </c>
      <c r="G178" s="173"/>
      <c r="H178" s="173"/>
      <c r="I178" s="173"/>
      <c r="J178" s="173"/>
      <c r="K178" s="173"/>
      <c r="L178" s="173"/>
      <c r="M178" s="173"/>
      <c r="N178" s="173"/>
      <c r="O178" s="173"/>
      <c r="P178" s="173"/>
      <c r="Q178" s="173"/>
      <c r="R178" s="173"/>
      <c r="S178" s="173"/>
      <c r="T178" s="173"/>
      <c r="U178" s="173"/>
      <c r="V178" s="173"/>
      <c r="W178" s="173"/>
      <c r="X178" s="173"/>
      <c r="Y178" s="173"/>
    </row>
    <row r="179">
      <c r="A179" s="59">
        <v>178.0</v>
      </c>
      <c r="B179" s="302" t="s">
        <v>816</v>
      </c>
      <c r="C179" s="303" t="s">
        <v>3159</v>
      </c>
      <c r="D179" s="304" t="s">
        <v>3138</v>
      </c>
      <c r="E179" s="59" t="s">
        <v>3138</v>
      </c>
      <c r="F179" s="305" t="s">
        <v>3138</v>
      </c>
      <c r="G179" s="173"/>
      <c r="H179" s="173"/>
      <c r="I179" s="173"/>
      <c r="J179" s="173"/>
      <c r="K179" s="173"/>
      <c r="L179" s="173"/>
      <c r="M179" s="173"/>
      <c r="N179" s="173"/>
      <c r="O179" s="173"/>
      <c r="P179" s="173"/>
      <c r="Q179" s="173"/>
      <c r="R179" s="173"/>
      <c r="S179" s="173"/>
      <c r="T179" s="173"/>
      <c r="U179" s="173"/>
      <c r="V179" s="173"/>
      <c r="W179" s="173"/>
      <c r="X179" s="173"/>
      <c r="Y179" s="173"/>
    </row>
    <row r="180">
      <c r="A180" s="59">
        <v>179.0</v>
      </c>
      <c r="B180" s="302" t="s">
        <v>816</v>
      </c>
      <c r="C180" s="303" t="s">
        <v>917</v>
      </c>
      <c r="D180" s="304" t="s">
        <v>3138</v>
      </c>
      <c r="E180" s="59" t="s">
        <v>3139</v>
      </c>
      <c r="F180" s="305" t="s">
        <v>3139</v>
      </c>
      <c r="G180" s="173"/>
      <c r="H180" s="173"/>
      <c r="I180" s="173"/>
      <c r="J180" s="173"/>
      <c r="K180" s="173"/>
      <c r="L180" s="173"/>
      <c r="M180" s="173"/>
      <c r="N180" s="173"/>
      <c r="O180" s="173"/>
      <c r="P180" s="173"/>
      <c r="Q180" s="173"/>
      <c r="R180" s="173"/>
      <c r="S180" s="173"/>
      <c r="T180" s="173"/>
      <c r="U180" s="173"/>
      <c r="V180" s="173"/>
      <c r="W180" s="173"/>
      <c r="X180" s="173"/>
      <c r="Y180" s="173"/>
    </row>
    <row r="181">
      <c r="A181" s="59">
        <v>180.0</v>
      </c>
      <c r="B181" s="302" t="s">
        <v>816</v>
      </c>
      <c r="C181" s="303" t="s">
        <v>920</v>
      </c>
      <c r="D181" s="304" t="s">
        <v>3139</v>
      </c>
      <c r="E181" s="59" t="s">
        <v>3139</v>
      </c>
      <c r="F181" s="305" t="s">
        <v>3138</v>
      </c>
      <c r="G181" s="173"/>
      <c r="H181" s="173"/>
      <c r="I181" s="173"/>
      <c r="J181" s="173"/>
      <c r="K181" s="173"/>
      <c r="L181" s="173"/>
      <c r="M181" s="173"/>
      <c r="N181" s="173"/>
      <c r="O181" s="173"/>
      <c r="P181" s="173"/>
      <c r="Q181" s="173"/>
      <c r="R181" s="173"/>
      <c r="S181" s="173"/>
      <c r="T181" s="173"/>
      <c r="U181" s="173"/>
      <c r="V181" s="173"/>
      <c r="W181" s="173"/>
      <c r="X181" s="173"/>
      <c r="Y181" s="173"/>
    </row>
    <row r="182">
      <c r="A182" s="59">
        <v>181.0</v>
      </c>
      <c r="B182" s="302" t="s">
        <v>816</v>
      </c>
      <c r="C182" s="303" t="s">
        <v>923</v>
      </c>
      <c r="D182" s="304" t="s">
        <v>3138</v>
      </c>
      <c r="E182" s="59" t="s">
        <v>3139</v>
      </c>
      <c r="F182" s="305" t="s">
        <v>3138</v>
      </c>
      <c r="G182" s="173"/>
      <c r="H182" s="173"/>
      <c r="I182" s="173"/>
      <c r="J182" s="173"/>
      <c r="K182" s="173"/>
      <c r="L182" s="173"/>
      <c r="M182" s="173"/>
      <c r="N182" s="173"/>
      <c r="O182" s="173"/>
      <c r="P182" s="173"/>
      <c r="Q182" s="173"/>
      <c r="R182" s="173"/>
      <c r="S182" s="173"/>
      <c r="T182" s="173"/>
      <c r="U182" s="173"/>
      <c r="V182" s="173"/>
      <c r="W182" s="173"/>
      <c r="X182" s="173"/>
      <c r="Y182" s="173"/>
    </row>
    <row r="183">
      <c r="A183" s="59">
        <v>182.0</v>
      </c>
      <c r="B183" s="302" t="s">
        <v>816</v>
      </c>
      <c r="C183" s="303" t="s">
        <v>928</v>
      </c>
      <c r="D183" s="304" t="s">
        <v>3138</v>
      </c>
      <c r="E183" s="59" t="s">
        <v>3138</v>
      </c>
      <c r="F183" s="305" t="s">
        <v>3138</v>
      </c>
      <c r="G183" s="173"/>
      <c r="H183" s="173"/>
      <c r="I183" s="173"/>
      <c r="J183" s="173"/>
      <c r="K183" s="173"/>
      <c r="L183" s="173"/>
      <c r="M183" s="173"/>
      <c r="N183" s="173"/>
      <c r="O183" s="173"/>
      <c r="P183" s="173"/>
      <c r="Q183" s="173"/>
      <c r="R183" s="173"/>
      <c r="S183" s="173"/>
      <c r="T183" s="173"/>
      <c r="U183" s="173"/>
      <c r="V183" s="173"/>
      <c r="W183" s="173"/>
      <c r="X183" s="173"/>
      <c r="Y183" s="173"/>
    </row>
    <row r="184">
      <c r="A184" s="59">
        <v>183.0</v>
      </c>
      <c r="B184" s="302" t="s">
        <v>816</v>
      </c>
      <c r="C184" s="303" t="s">
        <v>940</v>
      </c>
      <c r="D184" s="304" t="s">
        <v>3139</v>
      </c>
      <c r="E184" s="59" t="s">
        <v>3138</v>
      </c>
      <c r="F184" s="305" t="s">
        <v>3138</v>
      </c>
      <c r="G184" s="173"/>
      <c r="H184" s="173"/>
      <c r="I184" s="173"/>
      <c r="J184" s="173"/>
      <c r="K184" s="173"/>
      <c r="L184" s="173"/>
      <c r="M184" s="173"/>
      <c r="N184" s="173"/>
      <c r="O184" s="173"/>
      <c r="P184" s="173"/>
      <c r="Q184" s="173"/>
      <c r="R184" s="173"/>
      <c r="S184" s="173"/>
      <c r="T184" s="173"/>
      <c r="U184" s="173"/>
      <c r="V184" s="173"/>
      <c r="W184" s="173"/>
      <c r="X184" s="173"/>
      <c r="Y184" s="173"/>
    </row>
    <row r="185">
      <c r="A185" s="59">
        <v>184.0</v>
      </c>
      <c r="B185" s="302" t="s">
        <v>816</v>
      </c>
      <c r="C185" s="303" t="s">
        <v>945</v>
      </c>
      <c r="D185" s="304" t="s">
        <v>3139</v>
      </c>
      <c r="E185" s="59" t="s">
        <v>3138</v>
      </c>
      <c r="F185" s="305" t="s">
        <v>3138</v>
      </c>
      <c r="G185" s="173"/>
      <c r="H185" s="173"/>
      <c r="I185" s="173"/>
      <c r="J185" s="173"/>
      <c r="K185" s="173"/>
      <c r="L185" s="173"/>
      <c r="M185" s="173"/>
      <c r="N185" s="173"/>
      <c r="O185" s="173"/>
      <c r="P185" s="173"/>
      <c r="Q185" s="173"/>
      <c r="R185" s="173"/>
      <c r="S185" s="173"/>
      <c r="T185" s="173"/>
      <c r="U185" s="173"/>
      <c r="V185" s="173"/>
      <c r="W185" s="173"/>
      <c r="X185" s="173"/>
      <c r="Y185" s="173"/>
    </row>
    <row r="186">
      <c r="A186" s="59">
        <v>185.0</v>
      </c>
      <c r="B186" s="302" t="s">
        <v>816</v>
      </c>
      <c r="C186" s="303" t="s">
        <v>950</v>
      </c>
      <c r="D186" s="304" t="s">
        <v>3139</v>
      </c>
      <c r="E186" s="59" t="s">
        <v>3138</v>
      </c>
      <c r="F186" s="305" t="s">
        <v>3138</v>
      </c>
      <c r="G186" s="173"/>
      <c r="H186" s="173"/>
      <c r="I186" s="173"/>
      <c r="J186" s="173"/>
      <c r="K186" s="173"/>
      <c r="L186" s="173"/>
      <c r="M186" s="173"/>
      <c r="N186" s="173"/>
      <c r="O186" s="173"/>
      <c r="P186" s="173"/>
      <c r="Q186" s="173"/>
      <c r="R186" s="173"/>
      <c r="S186" s="173"/>
      <c r="T186" s="173"/>
      <c r="U186" s="173"/>
      <c r="V186" s="173"/>
      <c r="W186" s="173"/>
      <c r="X186" s="173"/>
      <c r="Y186" s="173"/>
    </row>
    <row r="187">
      <c r="A187" s="59">
        <v>186.0</v>
      </c>
      <c r="B187" s="302" t="s">
        <v>816</v>
      </c>
      <c r="C187" s="303" t="s">
        <v>955</v>
      </c>
      <c r="D187" s="304" t="s">
        <v>3139</v>
      </c>
      <c r="E187" s="59" t="s">
        <v>3138</v>
      </c>
      <c r="F187" s="305" t="s">
        <v>3138</v>
      </c>
      <c r="G187" s="173"/>
      <c r="H187" s="173"/>
      <c r="I187" s="173"/>
      <c r="J187" s="173"/>
      <c r="K187" s="173"/>
      <c r="L187" s="173"/>
      <c r="M187" s="173"/>
      <c r="N187" s="173"/>
      <c r="O187" s="173"/>
      <c r="P187" s="173"/>
      <c r="Q187" s="173"/>
      <c r="R187" s="173"/>
      <c r="S187" s="173"/>
      <c r="T187" s="173"/>
      <c r="U187" s="173"/>
      <c r="V187" s="173"/>
      <c r="W187" s="173"/>
      <c r="X187" s="173"/>
      <c r="Y187" s="173"/>
    </row>
    <row r="188">
      <c r="A188" s="59">
        <v>187.0</v>
      </c>
      <c r="B188" s="302" t="s">
        <v>816</v>
      </c>
      <c r="C188" s="303" t="s">
        <v>968</v>
      </c>
      <c r="D188" s="304" t="s">
        <v>3139</v>
      </c>
      <c r="E188" s="59" t="s">
        <v>3138</v>
      </c>
      <c r="F188" s="305" t="s">
        <v>3138</v>
      </c>
      <c r="G188" s="173"/>
      <c r="H188" s="173"/>
      <c r="I188" s="173"/>
      <c r="J188" s="173"/>
      <c r="K188" s="173"/>
      <c r="L188" s="173"/>
      <c r="M188" s="173"/>
      <c r="N188" s="173"/>
      <c r="O188" s="173"/>
      <c r="P188" s="173"/>
      <c r="Q188" s="173"/>
      <c r="R188" s="173"/>
      <c r="S188" s="173"/>
      <c r="T188" s="173"/>
      <c r="U188" s="173"/>
      <c r="V188" s="173"/>
      <c r="W188" s="173"/>
      <c r="X188" s="173"/>
      <c r="Y188" s="173"/>
    </row>
    <row r="189">
      <c r="A189" s="59">
        <v>188.0</v>
      </c>
      <c r="B189" s="306" t="s">
        <v>816</v>
      </c>
      <c r="C189" s="307" t="s">
        <v>933</v>
      </c>
      <c r="D189" s="308" t="s">
        <v>3138</v>
      </c>
      <c r="E189" s="309" t="s">
        <v>3138</v>
      </c>
      <c r="F189" s="310" t="s">
        <v>3138</v>
      </c>
      <c r="G189" s="173"/>
      <c r="H189" s="173"/>
      <c r="I189" s="173"/>
      <c r="J189" s="173"/>
      <c r="K189" s="173"/>
      <c r="L189" s="173"/>
      <c r="M189" s="173"/>
      <c r="N189" s="173"/>
      <c r="O189" s="173"/>
      <c r="P189" s="173"/>
      <c r="Q189" s="173"/>
      <c r="R189" s="173"/>
      <c r="S189" s="173"/>
      <c r="T189" s="173"/>
      <c r="U189" s="173"/>
      <c r="V189" s="173"/>
      <c r="W189" s="173"/>
      <c r="X189" s="173"/>
      <c r="Y189" s="173"/>
    </row>
    <row r="190">
      <c r="A190" s="59">
        <v>189.0</v>
      </c>
      <c r="B190" s="311" t="s">
        <v>1022</v>
      </c>
      <c r="C190" s="312" t="s">
        <v>3160</v>
      </c>
      <c r="D190" s="304" t="s">
        <v>3138</v>
      </c>
      <c r="E190" s="59" t="s">
        <v>3138</v>
      </c>
      <c r="F190" s="305" t="s">
        <v>3138</v>
      </c>
      <c r="G190" s="173"/>
      <c r="H190" s="173"/>
      <c r="I190" s="173"/>
      <c r="J190" s="173"/>
      <c r="K190" s="173"/>
      <c r="L190" s="173"/>
      <c r="M190" s="173"/>
      <c r="N190" s="173"/>
      <c r="O190" s="173"/>
      <c r="P190" s="173"/>
      <c r="Q190" s="173"/>
      <c r="R190" s="173"/>
      <c r="S190" s="173"/>
      <c r="T190" s="173"/>
      <c r="U190" s="173"/>
      <c r="V190" s="173"/>
      <c r="W190" s="173"/>
      <c r="X190" s="173"/>
      <c r="Y190" s="173"/>
    </row>
    <row r="191">
      <c r="A191" s="59">
        <v>190.0</v>
      </c>
      <c r="B191" s="302" t="s">
        <v>1022</v>
      </c>
      <c r="C191" s="303" t="s">
        <v>3064</v>
      </c>
      <c r="D191" s="304" t="s">
        <v>3138</v>
      </c>
      <c r="E191" s="59" t="s">
        <v>3138</v>
      </c>
      <c r="F191" s="305" t="s">
        <v>3138</v>
      </c>
      <c r="G191" s="173"/>
      <c r="H191" s="173"/>
      <c r="I191" s="173"/>
      <c r="J191" s="173"/>
      <c r="K191" s="173"/>
      <c r="L191" s="173"/>
      <c r="M191" s="173"/>
      <c r="N191" s="173"/>
      <c r="O191" s="173"/>
      <c r="P191" s="173"/>
      <c r="Q191" s="173"/>
      <c r="R191" s="173"/>
      <c r="S191" s="173"/>
      <c r="T191" s="173"/>
      <c r="U191" s="173"/>
      <c r="V191" s="173"/>
      <c r="W191" s="173"/>
      <c r="X191" s="173"/>
      <c r="Y191" s="173"/>
    </row>
    <row r="192">
      <c r="A192" s="59">
        <v>191.0</v>
      </c>
      <c r="B192" s="302" t="s">
        <v>1022</v>
      </c>
      <c r="C192" s="303" t="s">
        <v>3161</v>
      </c>
      <c r="D192" s="304" t="s">
        <v>3138</v>
      </c>
      <c r="E192" s="59" t="s">
        <v>3138</v>
      </c>
      <c r="F192" s="305" t="s">
        <v>3138</v>
      </c>
      <c r="G192" s="173"/>
      <c r="H192" s="173"/>
      <c r="I192" s="173"/>
      <c r="J192" s="173"/>
      <c r="K192" s="173"/>
      <c r="L192" s="173"/>
      <c r="M192" s="173"/>
      <c r="N192" s="173"/>
      <c r="O192" s="173"/>
      <c r="P192" s="173"/>
      <c r="Q192" s="173"/>
      <c r="R192" s="173"/>
      <c r="S192" s="173"/>
      <c r="T192" s="173"/>
      <c r="U192" s="173"/>
      <c r="V192" s="173"/>
      <c r="W192" s="173"/>
      <c r="X192" s="173"/>
      <c r="Y192" s="173"/>
    </row>
    <row r="193">
      <c r="A193" s="59">
        <v>192.0</v>
      </c>
      <c r="B193" s="302" t="s">
        <v>1022</v>
      </c>
      <c r="C193" s="303" t="s">
        <v>3162</v>
      </c>
      <c r="D193" s="304" t="s">
        <v>3138</v>
      </c>
      <c r="E193" s="59" t="s">
        <v>3138</v>
      </c>
      <c r="F193" s="305" t="s">
        <v>3138</v>
      </c>
      <c r="G193" s="179" t="s">
        <v>3143</v>
      </c>
      <c r="H193" s="173"/>
      <c r="I193" s="173"/>
      <c r="J193" s="173"/>
      <c r="K193" s="173"/>
      <c r="L193" s="173"/>
      <c r="M193" s="173"/>
      <c r="N193" s="173"/>
      <c r="O193" s="173"/>
      <c r="P193" s="173"/>
      <c r="Q193" s="173"/>
      <c r="R193" s="173"/>
      <c r="S193" s="173"/>
      <c r="T193" s="173"/>
      <c r="U193" s="173"/>
      <c r="V193" s="173"/>
      <c r="W193" s="173"/>
      <c r="X193" s="173"/>
      <c r="Y193" s="173"/>
    </row>
    <row r="194">
      <c r="A194" s="59">
        <v>193.0</v>
      </c>
      <c r="B194" s="302" t="s">
        <v>1022</v>
      </c>
      <c r="C194" s="303" t="s">
        <v>3163</v>
      </c>
      <c r="D194" s="304" t="s">
        <v>3138</v>
      </c>
      <c r="E194" s="59" t="s">
        <v>3138</v>
      </c>
      <c r="F194" s="305" t="s">
        <v>3138</v>
      </c>
      <c r="G194" s="173"/>
      <c r="H194" s="173"/>
      <c r="I194" s="173"/>
      <c r="J194" s="173"/>
      <c r="K194" s="173"/>
      <c r="L194" s="173"/>
      <c r="M194" s="173"/>
      <c r="N194" s="173"/>
      <c r="O194" s="173"/>
      <c r="P194" s="173"/>
      <c r="Q194" s="173"/>
      <c r="R194" s="173"/>
      <c r="S194" s="173"/>
      <c r="T194" s="173"/>
      <c r="U194" s="173"/>
      <c r="V194" s="173"/>
      <c r="W194" s="173"/>
      <c r="X194" s="173"/>
      <c r="Y194" s="173"/>
    </row>
    <row r="195">
      <c r="A195" s="59">
        <v>194.0</v>
      </c>
      <c r="B195" s="302" t="s">
        <v>1022</v>
      </c>
      <c r="C195" s="303" t="s">
        <v>3164</v>
      </c>
      <c r="D195" s="304" t="s">
        <v>3138</v>
      </c>
      <c r="E195" s="59" t="s">
        <v>3138</v>
      </c>
      <c r="F195" s="305" t="s">
        <v>3138</v>
      </c>
      <c r="G195" s="179" t="s">
        <v>3143</v>
      </c>
      <c r="H195" s="173"/>
      <c r="I195" s="173"/>
      <c r="J195" s="173"/>
      <c r="K195" s="173"/>
      <c r="L195" s="173"/>
      <c r="M195" s="173"/>
      <c r="N195" s="173"/>
      <c r="O195" s="173"/>
      <c r="P195" s="173"/>
      <c r="Q195" s="173"/>
      <c r="R195" s="173"/>
      <c r="S195" s="173"/>
      <c r="T195" s="173"/>
      <c r="U195" s="173"/>
      <c r="V195" s="173"/>
      <c r="W195" s="173"/>
      <c r="X195" s="173"/>
      <c r="Y195" s="173"/>
    </row>
    <row r="196">
      <c r="A196" s="59">
        <v>195.0</v>
      </c>
      <c r="B196" s="302" t="s">
        <v>1022</v>
      </c>
      <c r="C196" s="303" t="s">
        <v>3165</v>
      </c>
      <c r="D196" s="304" t="s">
        <v>3138</v>
      </c>
      <c r="E196" s="59" t="s">
        <v>3138</v>
      </c>
      <c r="F196" s="305" t="s">
        <v>3138</v>
      </c>
      <c r="G196" s="173"/>
      <c r="H196" s="173"/>
      <c r="I196" s="173"/>
      <c r="J196" s="173"/>
      <c r="K196" s="173"/>
      <c r="L196" s="173"/>
      <c r="M196" s="173"/>
      <c r="N196" s="173"/>
      <c r="O196" s="173"/>
      <c r="P196" s="173"/>
      <c r="Q196" s="173"/>
      <c r="R196" s="173"/>
      <c r="S196" s="173"/>
      <c r="T196" s="173"/>
      <c r="U196" s="173"/>
      <c r="V196" s="173"/>
      <c r="W196" s="173"/>
      <c r="X196" s="173"/>
      <c r="Y196" s="173"/>
    </row>
    <row r="197">
      <c r="A197" s="59">
        <v>196.0</v>
      </c>
      <c r="B197" s="302" t="s">
        <v>1022</v>
      </c>
      <c r="C197" s="303" t="s">
        <v>3072</v>
      </c>
      <c r="D197" s="304" t="s">
        <v>3138</v>
      </c>
      <c r="E197" s="59" t="s">
        <v>3138</v>
      </c>
      <c r="F197" s="305" t="s">
        <v>3138</v>
      </c>
      <c r="G197" s="173"/>
      <c r="H197" s="173"/>
      <c r="I197" s="173"/>
      <c r="J197" s="173"/>
      <c r="K197" s="173"/>
      <c r="L197" s="173"/>
      <c r="M197" s="173"/>
      <c r="N197" s="173"/>
      <c r="O197" s="173"/>
      <c r="P197" s="173"/>
      <c r="Q197" s="173"/>
      <c r="R197" s="173"/>
      <c r="S197" s="173"/>
      <c r="T197" s="173"/>
      <c r="U197" s="173"/>
      <c r="V197" s="173"/>
      <c r="W197" s="173"/>
      <c r="X197" s="173"/>
      <c r="Y197" s="173"/>
    </row>
    <row r="198">
      <c r="A198" s="59">
        <v>197.0</v>
      </c>
      <c r="B198" s="302" t="s">
        <v>1022</v>
      </c>
      <c r="C198" s="303" t="s">
        <v>3166</v>
      </c>
      <c r="D198" s="304" t="s">
        <v>3138</v>
      </c>
      <c r="E198" s="59" t="s">
        <v>3138</v>
      </c>
      <c r="F198" s="305" t="s">
        <v>3138</v>
      </c>
      <c r="G198" s="173"/>
      <c r="H198" s="173"/>
      <c r="I198" s="173"/>
      <c r="J198" s="173"/>
      <c r="K198" s="173"/>
      <c r="L198" s="173"/>
      <c r="M198" s="173"/>
      <c r="N198" s="173"/>
      <c r="O198" s="173"/>
      <c r="P198" s="173"/>
      <c r="Q198" s="173"/>
      <c r="R198" s="173"/>
      <c r="S198" s="173"/>
      <c r="T198" s="173"/>
      <c r="U198" s="173"/>
      <c r="V198" s="173"/>
      <c r="W198" s="173"/>
      <c r="X198" s="173"/>
      <c r="Y198" s="173"/>
    </row>
    <row r="199">
      <c r="A199" s="59">
        <v>198.0</v>
      </c>
      <c r="B199" s="302" t="s">
        <v>1022</v>
      </c>
      <c r="C199" s="303" t="s">
        <v>3167</v>
      </c>
      <c r="D199" s="304" t="s">
        <v>3138</v>
      </c>
      <c r="E199" s="59" t="s">
        <v>3138</v>
      </c>
      <c r="F199" s="305" t="s">
        <v>3138</v>
      </c>
      <c r="G199" s="173"/>
      <c r="H199" s="173"/>
      <c r="I199" s="173"/>
      <c r="J199" s="173"/>
      <c r="K199" s="173"/>
      <c r="L199" s="173"/>
      <c r="M199" s="173"/>
      <c r="N199" s="173"/>
      <c r="O199" s="173"/>
      <c r="P199" s="173"/>
      <c r="Q199" s="173"/>
      <c r="R199" s="173"/>
      <c r="S199" s="173"/>
      <c r="T199" s="173"/>
      <c r="U199" s="173"/>
      <c r="V199" s="173"/>
      <c r="W199" s="173"/>
      <c r="X199" s="173"/>
      <c r="Y199" s="173"/>
    </row>
    <row r="200">
      <c r="A200" s="59">
        <v>199.0</v>
      </c>
      <c r="B200" s="302" t="s">
        <v>1022</v>
      </c>
      <c r="C200" s="303" t="s">
        <v>3168</v>
      </c>
      <c r="D200" s="304" t="s">
        <v>3138</v>
      </c>
      <c r="E200" s="59" t="s">
        <v>3138</v>
      </c>
      <c r="F200" s="305" t="s">
        <v>3138</v>
      </c>
      <c r="G200" s="173"/>
      <c r="H200" s="173"/>
      <c r="I200" s="173"/>
      <c r="J200" s="173"/>
      <c r="K200" s="173"/>
      <c r="L200" s="173"/>
      <c r="M200" s="173"/>
      <c r="N200" s="173"/>
      <c r="O200" s="173"/>
      <c r="P200" s="173"/>
      <c r="Q200" s="173"/>
      <c r="R200" s="173"/>
      <c r="S200" s="173"/>
      <c r="T200" s="173"/>
      <c r="U200" s="173"/>
      <c r="V200" s="173"/>
      <c r="W200" s="173"/>
      <c r="X200" s="173"/>
      <c r="Y200" s="173"/>
    </row>
    <row r="201">
      <c r="A201" s="59">
        <v>200.0</v>
      </c>
      <c r="B201" s="306" t="s">
        <v>1022</v>
      </c>
      <c r="C201" s="307" t="s">
        <v>3169</v>
      </c>
      <c r="D201" s="308" t="s">
        <v>3138</v>
      </c>
      <c r="E201" s="309" t="s">
        <v>3138</v>
      </c>
      <c r="F201" s="310" t="s">
        <v>3138</v>
      </c>
      <c r="G201" s="173"/>
      <c r="H201" s="173"/>
      <c r="I201" s="173"/>
      <c r="J201" s="173"/>
      <c r="K201" s="173"/>
      <c r="L201" s="173"/>
      <c r="M201" s="173"/>
      <c r="N201" s="173"/>
      <c r="O201" s="173"/>
      <c r="P201" s="173"/>
      <c r="Q201" s="173"/>
      <c r="R201" s="173"/>
      <c r="S201" s="173"/>
      <c r="T201" s="173"/>
      <c r="U201" s="173"/>
      <c r="V201" s="173"/>
      <c r="W201" s="173"/>
      <c r="X201" s="173"/>
      <c r="Y201" s="173"/>
    </row>
    <row r="202">
      <c r="A202" s="59">
        <v>201.0</v>
      </c>
      <c r="B202" s="321" t="s">
        <v>1050</v>
      </c>
      <c r="C202" s="322" t="s">
        <v>1052</v>
      </c>
      <c r="D202" s="308" t="s">
        <v>3140</v>
      </c>
      <c r="E202" s="309" t="s">
        <v>3140</v>
      </c>
      <c r="F202" s="310" t="s">
        <v>3140</v>
      </c>
      <c r="G202" s="173"/>
      <c r="H202" s="173"/>
      <c r="I202" s="173"/>
      <c r="J202" s="173"/>
      <c r="K202" s="173"/>
      <c r="L202" s="173"/>
      <c r="M202" s="173"/>
      <c r="N202" s="173"/>
      <c r="O202" s="173"/>
      <c r="P202" s="173"/>
      <c r="Q202" s="173"/>
      <c r="R202" s="173"/>
      <c r="S202" s="173"/>
      <c r="T202" s="173"/>
      <c r="U202" s="173"/>
      <c r="V202" s="173"/>
      <c r="W202" s="173"/>
      <c r="X202" s="173"/>
      <c r="Y202" s="173"/>
    </row>
    <row r="203">
      <c r="A203" s="173"/>
      <c r="B203" s="173"/>
      <c r="C203" s="323"/>
      <c r="D203" s="324"/>
      <c r="E203" s="173"/>
      <c r="F203" s="173"/>
      <c r="G203" s="173"/>
      <c r="H203" s="173"/>
      <c r="I203" s="173"/>
      <c r="J203" s="173"/>
      <c r="K203" s="173"/>
      <c r="L203" s="173"/>
      <c r="M203" s="173"/>
      <c r="N203" s="173"/>
      <c r="O203" s="173"/>
      <c r="P203" s="173"/>
      <c r="Q203" s="173"/>
      <c r="R203" s="173"/>
      <c r="S203" s="173"/>
      <c r="T203" s="173"/>
      <c r="U203" s="173"/>
      <c r="V203" s="173"/>
      <c r="W203" s="173"/>
      <c r="X203" s="173"/>
      <c r="Y203" s="173"/>
    </row>
    <row r="204">
      <c r="A204" s="173"/>
      <c r="B204" s="173"/>
      <c r="C204" s="323"/>
      <c r="D204" s="324"/>
      <c r="E204" s="173"/>
      <c r="F204" s="173"/>
      <c r="G204" s="173"/>
      <c r="H204" s="173"/>
      <c r="I204" s="173"/>
      <c r="J204" s="173"/>
      <c r="K204" s="173"/>
      <c r="L204" s="173"/>
      <c r="M204" s="173"/>
      <c r="N204" s="173"/>
      <c r="O204" s="173"/>
      <c r="P204" s="173"/>
      <c r="Q204" s="173"/>
      <c r="R204" s="173"/>
      <c r="S204" s="173"/>
      <c r="T204" s="173"/>
      <c r="U204" s="173"/>
      <c r="V204" s="173"/>
      <c r="W204" s="173"/>
      <c r="X204" s="173"/>
      <c r="Y204" s="173"/>
    </row>
    <row r="205">
      <c r="A205" s="173"/>
      <c r="B205" s="173"/>
      <c r="C205" s="323"/>
      <c r="D205" s="324"/>
      <c r="E205" s="173"/>
      <c r="F205" s="173"/>
      <c r="G205" s="173"/>
      <c r="H205" s="173"/>
      <c r="I205" s="173"/>
      <c r="J205" s="173"/>
      <c r="K205" s="173"/>
      <c r="L205" s="173"/>
      <c r="M205" s="173"/>
      <c r="N205" s="173"/>
      <c r="O205" s="173"/>
      <c r="P205" s="173"/>
      <c r="Q205" s="173"/>
      <c r="R205" s="173"/>
      <c r="S205" s="173"/>
      <c r="T205" s="173"/>
      <c r="U205" s="173"/>
      <c r="V205" s="173"/>
      <c r="W205" s="173"/>
      <c r="X205" s="173"/>
      <c r="Y205" s="173"/>
    </row>
    <row r="206">
      <c r="A206" s="173"/>
      <c r="B206" s="173"/>
      <c r="C206" s="323"/>
      <c r="D206" s="324"/>
      <c r="E206" s="173"/>
      <c r="F206" s="173"/>
      <c r="G206" s="173"/>
      <c r="H206" s="173"/>
      <c r="I206" s="173"/>
      <c r="J206" s="173"/>
      <c r="K206" s="173"/>
      <c r="L206" s="173"/>
      <c r="M206" s="173"/>
      <c r="N206" s="173"/>
      <c r="O206" s="173"/>
      <c r="P206" s="173"/>
      <c r="Q206" s="173"/>
      <c r="R206" s="173"/>
      <c r="S206" s="173"/>
      <c r="T206" s="173"/>
      <c r="U206" s="173"/>
      <c r="V206" s="173"/>
      <c r="W206" s="173"/>
      <c r="X206" s="173"/>
      <c r="Y206" s="173"/>
    </row>
    <row r="207">
      <c r="A207" s="173"/>
      <c r="B207" s="173"/>
      <c r="C207" s="323"/>
      <c r="D207" s="324"/>
      <c r="E207" s="173"/>
      <c r="F207" s="173"/>
      <c r="G207" s="173"/>
      <c r="H207" s="173"/>
      <c r="I207" s="173"/>
      <c r="J207" s="173"/>
      <c r="K207" s="173"/>
      <c r="L207" s="173"/>
      <c r="M207" s="173"/>
      <c r="N207" s="173"/>
      <c r="O207" s="173"/>
      <c r="P207" s="173"/>
      <c r="Q207" s="173"/>
      <c r="R207" s="173"/>
      <c r="S207" s="173"/>
      <c r="T207" s="173"/>
      <c r="U207" s="173"/>
      <c r="V207" s="173"/>
      <c r="W207" s="173"/>
      <c r="X207" s="173"/>
      <c r="Y207" s="173"/>
    </row>
    <row r="208">
      <c r="A208" s="173"/>
      <c r="B208" s="173"/>
      <c r="C208" s="323"/>
      <c r="D208" s="324"/>
      <c r="E208" s="173"/>
      <c r="F208" s="173"/>
      <c r="G208" s="173"/>
      <c r="H208" s="173"/>
      <c r="I208" s="173"/>
      <c r="J208" s="173"/>
      <c r="K208" s="173"/>
      <c r="L208" s="173"/>
      <c r="M208" s="173"/>
      <c r="N208" s="173"/>
      <c r="O208" s="173"/>
      <c r="P208" s="173"/>
      <c r="Q208" s="173"/>
      <c r="R208" s="173"/>
      <c r="S208" s="173"/>
      <c r="T208" s="173"/>
      <c r="U208" s="173"/>
      <c r="V208" s="173"/>
      <c r="W208" s="173"/>
      <c r="X208" s="173"/>
      <c r="Y208" s="173"/>
    </row>
    <row r="209">
      <c r="A209" s="173"/>
      <c r="B209" s="173"/>
      <c r="C209" s="323"/>
      <c r="D209" s="324"/>
      <c r="E209" s="173"/>
      <c r="F209" s="173"/>
      <c r="G209" s="173"/>
      <c r="H209" s="173"/>
      <c r="I209" s="173"/>
      <c r="J209" s="173"/>
      <c r="K209" s="173"/>
      <c r="L209" s="173"/>
      <c r="M209" s="173"/>
      <c r="N209" s="173"/>
      <c r="O209" s="173"/>
      <c r="P209" s="173"/>
      <c r="Q209" s="173"/>
      <c r="R209" s="173"/>
      <c r="S209" s="173"/>
      <c r="T209" s="173"/>
      <c r="U209" s="173"/>
      <c r="V209" s="173"/>
      <c r="W209" s="173"/>
      <c r="X209" s="173"/>
      <c r="Y209" s="173"/>
    </row>
    <row r="210">
      <c r="A210" s="173"/>
      <c r="B210" s="173"/>
      <c r="C210" s="323"/>
      <c r="D210" s="324"/>
      <c r="E210" s="173"/>
      <c r="F210" s="173"/>
      <c r="G210" s="173"/>
      <c r="H210" s="173"/>
      <c r="I210" s="173"/>
      <c r="J210" s="173"/>
      <c r="K210" s="173"/>
      <c r="L210" s="173"/>
      <c r="M210" s="173"/>
      <c r="N210" s="173"/>
      <c r="O210" s="173"/>
      <c r="P210" s="173"/>
      <c r="Q210" s="173"/>
      <c r="R210" s="173"/>
      <c r="S210" s="173"/>
      <c r="T210" s="173"/>
      <c r="U210" s="173"/>
      <c r="V210" s="173"/>
      <c r="W210" s="173"/>
      <c r="X210" s="173"/>
      <c r="Y210" s="173"/>
    </row>
    <row r="211">
      <c r="A211" s="173"/>
      <c r="B211" s="173"/>
      <c r="C211" s="323"/>
      <c r="D211" s="324"/>
      <c r="E211" s="173"/>
      <c r="F211" s="173"/>
      <c r="G211" s="173"/>
      <c r="H211" s="173"/>
      <c r="I211" s="173"/>
      <c r="J211" s="173"/>
      <c r="K211" s="173"/>
      <c r="L211" s="173"/>
      <c r="M211" s="173"/>
      <c r="N211" s="173"/>
      <c r="O211" s="173"/>
      <c r="P211" s="173"/>
      <c r="Q211" s="173"/>
      <c r="R211" s="173"/>
      <c r="S211" s="173"/>
      <c r="T211" s="173"/>
      <c r="U211" s="173"/>
      <c r="V211" s="173"/>
      <c r="W211" s="173"/>
      <c r="X211" s="173"/>
      <c r="Y211" s="173"/>
    </row>
    <row r="212">
      <c r="A212" s="173"/>
      <c r="B212" s="173"/>
      <c r="C212" s="323"/>
      <c r="D212" s="324"/>
      <c r="E212" s="173"/>
      <c r="F212" s="173"/>
      <c r="G212" s="173"/>
      <c r="H212" s="173"/>
      <c r="I212" s="173"/>
      <c r="J212" s="173"/>
      <c r="K212" s="173"/>
      <c r="L212" s="173"/>
      <c r="M212" s="173"/>
      <c r="N212" s="173"/>
      <c r="O212" s="173"/>
      <c r="P212" s="173"/>
      <c r="Q212" s="173"/>
      <c r="R212" s="173"/>
      <c r="S212" s="173"/>
      <c r="T212" s="173"/>
      <c r="U212" s="173"/>
      <c r="V212" s="173"/>
      <c r="W212" s="173"/>
      <c r="X212" s="173"/>
      <c r="Y212" s="173"/>
    </row>
    <row r="213">
      <c r="A213" s="173"/>
      <c r="B213" s="173"/>
      <c r="C213" s="323"/>
      <c r="D213" s="324"/>
      <c r="E213" s="173"/>
      <c r="F213" s="173"/>
      <c r="G213" s="173"/>
      <c r="H213" s="173"/>
      <c r="I213" s="173"/>
      <c r="J213" s="173"/>
      <c r="K213" s="173"/>
      <c r="L213" s="173"/>
      <c r="M213" s="173"/>
      <c r="N213" s="173"/>
      <c r="O213" s="173"/>
      <c r="P213" s="173"/>
      <c r="Q213" s="173"/>
      <c r="R213" s="173"/>
      <c r="S213" s="173"/>
      <c r="T213" s="173"/>
      <c r="U213" s="173"/>
      <c r="V213" s="173"/>
      <c r="W213" s="173"/>
      <c r="X213" s="173"/>
      <c r="Y213" s="173"/>
    </row>
    <row r="214">
      <c r="A214" s="173"/>
      <c r="B214" s="173"/>
      <c r="C214" s="323"/>
      <c r="D214" s="324"/>
      <c r="E214" s="173"/>
      <c r="F214" s="173"/>
      <c r="G214" s="173"/>
      <c r="H214" s="173"/>
      <c r="I214" s="173"/>
      <c r="J214" s="173"/>
      <c r="K214" s="173"/>
      <c r="L214" s="173"/>
      <c r="M214" s="173"/>
      <c r="N214" s="173"/>
      <c r="O214" s="173"/>
      <c r="P214" s="173"/>
      <c r="Q214" s="173"/>
      <c r="R214" s="173"/>
      <c r="S214" s="173"/>
      <c r="T214" s="173"/>
      <c r="U214" s="173"/>
      <c r="V214" s="173"/>
      <c r="W214" s="173"/>
      <c r="X214" s="173"/>
      <c r="Y214" s="173"/>
    </row>
    <row r="215">
      <c r="A215" s="173"/>
      <c r="B215" s="173"/>
      <c r="C215" s="323"/>
      <c r="D215" s="324"/>
      <c r="E215" s="173"/>
      <c r="F215" s="173"/>
      <c r="G215" s="173"/>
      <c r="H215" s="173"/>
      <c r="I215" s="173"/>
      <c r="J215" s="173"/>
      <c r="K215" s="173"/>
      <c r="L215" s="173"/>
      <c r="M215" s="173"/>
      <c r="N215" s="173"/>
      <c r="O215" s="173"/>
      <c r="P215" s="173"/>
      <c r="Q215" s="173"/>
      <c r="R215" s="173"/>
      <c r="S215" s="173"/>
      <c r="T215" s="173"/>
      <c r="U215" s="173"/>
      <c r="V215" s="173"/>
      <c r="W215" s="173"/>
      <c r="X215" s="173"/>
      <c r="Y215" s="173"/>
    </row>
    <row r="216">
      <c r="A216" s="173"/>
      <c r="B216" s="173"/>
      <c r="C216" s="323"/>
      <c r="D216" s="324"/>
      <c r="E216" s="173"/>
      <c r="F216" s="173"/>
      <c r="G216" s="173"/>
      <c r="H216" s="173"/>
      <c r="I216" s="173"/>
      <c r="J216" s="173"/>
      <c r="K216" s="173"/>
      <c r="L216" s="173"/>
      <c r="M216" s="173"/>
      <c r="N216" s="173"/>
      <c r="O216" s="173"/>
      <c r="P216" s="173"/>
      <c r="Q216" s="173"/>
      <c r="R216" s="173"/>
      <c r="S216" s="173"/>
      <c r="T216" s="173"/>
      <c r="U216" s="173"/>
      <c r="V216" s="173"/>
      <c r="W216" s="173"/>
      <c r="X216" s="173"/>
      <c r="Y216" s="173"/>
    </row>
    <row r="217">
      <c r="A217" s="173"/>
      <c r="B217" s="173"/>
      <c r="C217" s="323"/>
      <c r="D217" s="324"/>
      <c r="E217" s="173"/>
      <c r="F217" s="173"/>
      <c r="G217" s="173"/>
      <c r="H217" s="173"/>
      <c r="I217" s="173"/>
      <c r="J217" s="173"/>
      <c r="K217" s="173"/>
      <c r="L217" s="173"/>
      <c r="M217" s="173"/>
      <c r="N217" s="173"/>
      <c r="O217" s="173"/>
      <c r="P217" s="173"/>
      <c r="Q217" s="173"/>
      <c r="R217" s="173"/>
      <c r="S217" s="173"/>
      <c r="T217" s="173"/>
      <c r="U217" s="173"/>
      <c r="V217" s="173"/>
      <c r="W217" s="173"/>
      <c r="X217" s="173"/>
      <c r="Y217" s="173"/>
    </row>
    <row r="218">
      <c r="A218" s="173"/>
      <c r="B218" s="173"/>
      <c r="C218" s="323"/>
      <c r="D218" s="324"/>
      <c r="E218" s="173"/>
      <c r="F218" s="173"/>
      <c r="G218" s="173"/>
      <c r="H218" s="173"/>
      <c r="I218" s="173"/>
      <c r="J218" s="173"/>
      <c r="K218" s="173"/>
      <c r="L218" s="173"/>
      <c r="M218" s="173"/>
      <c r="N218" s="173"/>
      <c r="O218" s="173"/>
      <c r="P218" s="173"/>
      <c r="Q218" s="173"/>
      <c r="R218" s="173"/>
      <c r="S218" s="173"/>
      <c r="T218" s="173"/>
      <c r="U218" s="173"/>
      <c r="V218" s="173"/>
      <c r="W218" s="173"/>
      <c r="X218" s="173"/>
      <c r="Y218" s="173"/>
    </row>
    <row r="219">
      <c r="A219" s="173"/>
      <c r="B219" s="173"/>
      <c r="C219" s="323"/>
      <c r="D219" s="324"/>
      <c r="E219" s="173"/>
      <c r="F219" s="173"/>
      <c r="G219" s="173"/>
      <c r="H219" s="173"/>
      <c r="I219" s="173"/>
      <c r="J219" s="173"/>
      <c r="K219" s="173"/>
      <c r="L219" s="173"/>
      <c r="M219" s="173"/>
      <c r="N219" s="173"/>
      <c r="O219" s="173"/>
      <c r="P219" s="173"/>
      <c r="Q219" s="173"/>
      <c r="R219" s="173"/>
      <c r="S219" s="173"/>
      <c r="T219" s="173"/>
      <c r="U219" s="173"/>
      <c r="V219" s="173"/>
      <c r="W219" s="173"/>
      <c r="X219" s="173"/>
      <c r="Y219" s="173"/>
    </row>
    <row r="220">
      <c r="A220" s="173"/>
      <c r="B220" s="173"/>
      <c r="C220" s="323"/>
      <c r="D220" s="324"/>
      <c r="E220" s="173"/>
      <c r="F220" s="173"/>
      <c r="G220" s="173"/>
      <c r="H220" s="173"/>
      <c r="I220" s="173"/>
      <c r="J220" s="173"/>
      <c r="K220" s="173"/>
      <c r="L220" s="173"/>
      <c r="M220" s="173"/>
      <c r="N220" s="173"/>
      <c r="O220" s="173"/>
      <c r="P220" s="173"/>
      <c r="Q220" s="173"/>
      <c r="R220" s="173"/>
      <c r="S220" s="173"/>
      <c r="T220" s="173"/>
      <c r="U220" s="173"/>
      <c r="V220" s="173"/>
      <c r="W220" s="173"/>
      <c r="X220" s="173"/>
      <c r="Y220" s="173"/>
    </row>
    <row r="221">
      <c r="A221" s="173"/>
      <c r="B221" s="173"/>
      <c r="C221" s="323"/>
      <c r="D221" s="324"/>
      <c r="E221" s="173"/>
      <c r="F221" s="173"/>
      <c r="G221" s="173"/>
      <c r="H221" s="173"/>
      <c r="I221" s="173"/>
      <c r="J221" s="173"/>
      <c r="K221" s="173"/>
      <c r="L221" s="173"/>
      <c r="M221" s="173"/>
      <c r="N221" s="173"/>
      <c r="O221" s="173"/>
      <c r="P221" s="173"/>
      <c r="Q221" s="173"/>
      <c r="R221" s="173"/>
      <c r="S221" s="173"/>
      <c r="T221" s="173"/>
      <c r="U221" s="173"/>
      <c r="V221" s="173"/>
      <c r="W221" s="173"/>
      <c r="X221" s="173"/>
      <c r="Y221" s="173"/>
    </row>
    <row r="222">
      <c r="A222" s="173"/>
      <c r="B222" s="173"/>
      <c r="C222" s="323"/>
      <c r="D222" s="324"/>
      <c r="E222" s="173"/>
      <c r="F222" s="173"/>
      <c r="G222" s="173"/>
      <c r="H222" s="173"/>
      <c r="I222" s="173"/>
      <c r="J222" s="173"/>
      <c r="K222" s="173"/>
      <c r="L222" s="173"/>
      <c r="M222" s="173"/>
      <c r="N222" s="173"/>
      <c r="O222" s="173"/>
      <c r="P222" s="173"/>
      <c r="Q222" s="173"/>
      <c r="R222" s="173"/>
      <c r="S222" s="173"/>
      <c r="T222" s="173"/>
      <c r="U222" s="173"/>
      <c r="V222" s="173"/>
      <c r="W222" s="173"/>
      <c r="X222" s="173"/>
      <c r="Y222" s="173"/>
    </row>
    <row r="223">
      <c r="A223" s="173"/>
      <c r="B223" s="173"/>
      <c r="C223" s="323"/>
      <c r="D223" s="324"/>
      <c r="E223" s="173"/>
      <c r="F223" s="173"/>
      <c r="G223" s="173"/>
      <c r="H223" s="173"/>
      <c r="I223" s="173"/>
      <c r="J223" s="173"/>
      <c r="K223" s="173"/>
      <c r="L223" s="173"/>
      <c r="M223" s="173"/>
      <c r="N223" s="173"/>
      <c r="O223" s="173"/>
      <c r="P223" s="173"/>
      <c r="Q223" s="173"/>
      <c r="R223" s="173"/>
      <c r="S223" s="173"/>
      <c r="T223" s="173"/>
      <c r="U223" s="173"/>
      <c r="V223" s="173"/>
      <c r="W223" s="173"/>
      <c r="X223" s="173"/>
      <c r="Y223" s="173"/>
    </row>
    <row r="224">
      <c r="A224" s="173"/>
      <c r="B224" s="173"/>
      <c r="C224" s="323"/>
      <c r="D224" s="324"/>
      <c r="E224" s="173"/>
      <c r="F224" s="173"/>
      <c r="G224" s="173"/>
      <c r="H224" s="173"/>
      <c r="I224" s="173"/>
      <c r="J224" s="173"/>
      <c r="K224" s="173"/>
      <c r="L224" s="173"/>
      <c r="M224" s="173"/>
      <c r="N224" s="173"/>
      <c r="O224" s="173"/>
      <c r="P224" s="173"/>
      <c r="Q224" s="173"/>
      <c r="R224" s="173"/>
      <c r="S224" s="173"/>
      <c r="T224" s="173"/>
      <c r="U224" s="173"/>
      <c r="V224" s="173"/>
      <c r="W224" s="173"/>
      <c r="X224" s="173"/>
      <c r="Y224" s="173"/>
    </row>
    <row r="225">
      <c r="A225" s="173"/>
      <c r="B225" s="173"/>
      <c r="C225" s="323"/>
      <c r="D225" s="324"/>
      <c r="E225" s="173"/>
      <c r="F225" s="173"/>
      <c r="G225" s="173"/>
      <c r="H225" s="173"/>
      <c r="I225" s="173"/>
      <c r="J225" s="173"/>
      <c r="K225" s="173"/>
      <c r="L225" s="173"/>
      <c r="M225" s="173"/>
      <c r="N225" s="173"/>
      <c r="O225" s="173"/>
      <c r="P225" s="173"/>
      <c r="Q225" s="173"/>
      <c r="R225" s="173"/>
      <c r="S225" s="173"/>
      <c r="T225" s="173"/>
      <c r="U225" s="173"/>
      <c r="V225" s="173"/>
      <c r="W225" s="173"/>
      <c r="X225" s="173"/>
      <c r="Y225" s="173"/>
    </row>
    <row r="226">
      <c r="A226" s="173"/>
      <c r="B226" s="173"/>
      <c r="C226" s="323"/>
      <c r="D226" s="324"/>
      <c r="E226" s="173"/>
      <c r="F226" s="173"/>
      <c r="G226" s="173"/>
      <c r="H226" s="173"/>
      <c r="I226" s="173"/>
      <c r="J226" s="173"/>
      <c r="K226" s="173"/>
      <c r="L226" s="173"/>
      <c r="M226" s="173"/>
      <c r="N226" s="173"/>
      <c r="O226" s="173"/>
      <c r="P226" s="173"/>
      <c r="Q226" s="173"/>
      <c r="R226" s="173"/>
      <c r="S226" s="173"/>
      <c r="T226" s="173"/>
      <c r="U226" s="173"/>
      <c r="V226" s="173"/>
      <c r="W226" s="173"/>
      <c r="X226" s="173"/>
      <c r="Y226" s="173"/>
    </row>
    <row r="227">
      <c r="A227" s="173"/>
      <c r="B227" s="173"/>
      <c r="C227" s="323"/>
      <c r="D227" s="324"/>
      <c r="E227" s="173"/>
      <c r="F227" s="173"/>
      <c r="G227" s="173"/>
      <c r="H227" s="173"/>
      <c r="I227" s="173"/>
      <c r="J227" s="173"/>
      <c r="K227" s="173"/>
      <c r="L227" s="173"/>
      <c r="M227" s="173"/>
      <c r="N227" s="173"/>
      <c r="O227" s="173"/>
      <c r="P227" s="173"/>
      <c r="Q227" s="173"/>
      <c r="R227" s="173"/>
      <c r="S227" s="173"/>
      <c r="T227" s="173"/>
      <c r="U227" s="173"/>
      <c r="V227" s="173"/>
      <c r="W227" s="173"/>
      <c r="X227" s="173"/>
      <c r="Y227" s="173"/>
    </row>
    <row r="228">
      <c r="A228" s="173"/>
      <c r="B228" s="173"/>
      <c r="C228" s="323"/>
      <c r="D228" s="324"/>
      <c r="E228" s="173"/>
      <c r="F228" s="173"/>
      <c r="G228" s="173"/>
      <c r="H228" s="173"/>
      <c r="I228" s="173"/>
      <c r="J228" s="173"/>
      <c r="K228" s="173"/>
      <c r="L228" s="173"/>
      <c r="M228" s="173"/>
      <c r="N228" s="173"/>
      <c r="O228" s="173"/>
      <c r="P228" s="173"/>
      <c r="Q228" s="173"/>
      <c r="R228" s="173"/>
      <c r="S228" s="173"/>
      <c r="T228" s="173"/>
      <c r="U228" s="173"/>
      <c r="V228" s="173"/>
      <c r="W228" s="173"/>
      <c r="X228" s="173"/>
      <c r="Y228" s="173"/>
    </row>
    <row r="229">
      <c r="A229" s="173"/>
      <c r="B229" s="173"/>
      <c r="C229" s="323"/>
      <c r="D229" s="324"/>
      <c r="E229" s="173"/>
      <c r="F229" s="173"/>
      <c r="G229" s="173"/>
      <c r="H229" s="173"/>
      <c r="I229" s="173"/>
      <c r="J229" s="173"/>
      <c r="K229" s="173"/>
      <c r="L229" s="173"/>
      <c r="M229" s="173"/>
      <c r="N229" s="173"/>
      <c r="O229" s="173"/>
      <c r="P229" s="173"/>
      <c r="Q229" s="173"/>
      <c r="R229" s="173"/>
      <c r="S229" s="173"/>
      <c r="T229" s="173"/>
      <c r="U229" s="173"/>
      <c r="V229" s="173"/>
      <c r="W229" s="173"/>
      <c r="X229" s="173"/>
      <c r="Y229" s="173"/>
    </row>
    <row r="230">
      <c r="A230" s="173"/>
      <c r="B230" s="173"/>
      <c r="C230" s="323"/>
      <c r="D230" s="324"/>
      <c r="E230" s="173"/>
      <c r="F230" s="173"/>
      <c r="G230" s="173"/>
      <c r="H230" s="173"/>
      <c r="I230" s="173"/>
      <c r="J230" s="173"/>
      <c r="K230" s="173"/>
      <c r="L230" s="173"/>
      <c r="M230" s="173"/>
      <c r="N230" s="173"/>
      <c r="O230" s="173"/>
      <c r="P230" s="173"/>
      <c r="Q230" s="173"/>
      <c r="R230" s="173"/>
      <c r="S230" s="173"/>
      <c r="T230" s="173"/>
      <c r="U230" s="173"/>
      <c r="V230" s="173"/>
      <c r="W230" s="173"/>
      <c r="X230" s="173"/>
      <c r="Y230" s="173"/>
    </row>
    <row r="231">
      <c r="A231" s="173"/>
      <c r="B231" s="173"/>
      <c r="C231" s="323"/>
      <c r="D231" s="324"/>
      <c r="E231" s="173"/>
      <c r="F231" s="173"/>
      <c r="G231" s="173"/>
      <c r="H231" s="173"/>
      <c r="I231" s="173"/>
      <c r="J231" s="173"/>
      <c r="K231" s="173"/>
      <c r="L231" s="173"/>
      <c r="M231" s="173"/>
      <c r="N231" s="173"/>
      <c r="O231" s="173"/>
      <c r="P231" s="173"/>
      <c r="Q231" s="173"/>
      <c r="R231" s="173"/>
      <c r="S231" s="173"/>
      <c r="T231" s="173"/>
      <c r="U231" s="173"/>
      <c r="V231" s="173"/>
      <c r="W231" s="173"/>
      <c r="X231" s="173"/>
      <c r="Y231" s="173"/>
    </row>
    <row r="232">
      <c r="A232" s="173"/>
      <c r="B232" s="173"/>
      <c r="C232" s="323"/>
      <c r="D232" s="324"/>
      <c r="E232" s="173"/>
      <c r="F232" s="173"/>
      <c r="G232" s="173"/>
      <c r="H232" s="173"/>
      <c r="I232" s="173"/>
      <c r="J232" s="173"/>
      <c r="K232" s="173"/>
      <c r="L232" s="173"/>
      <c r="M232" s="173"/>
      <c r="N232" s="173"/>
      <c r="O232" s="173"/>
      <c r="P232" s="173"/>
      <c r="Q232" s="173"/>
      <c r="R232" s="173"/>
      <c r="S232" s="173"/>
      <c r="T232" s="173"/>
      <c r="U232" s="173"/>
      <c r="V232" s="173"/>
      <c r="W232" s="173"/>
      <c r="X232" s="173"/>
      <c r="Y232" s="173"/>
    </row>
    <row r="233">
      <c r="A233" s="173"/>
      <c r="B233" s="173"/>
      <c r="C233" s="323"/>
      <c r="D233" s="324"/>
      <c r="E233" s="173"/>
      <c r="F233" s="173"/>
      <c r="G233" s="173"/>
      <c r="H233" s="173"/>
      <c r="I233" s="173"/>
      <c r="J233" s="173"/>
      <c r="K233" s="173"/>
      <c r="L233" s="173"/>
      <c r="M233" s="173"/>
      <c r="N233" s="173"/>
      <c r="O233" s="173"/>
      <c r="P233" s="173"/>
      <c r="Q233" s="173"/>
      <c r="R233" s="173"/>
      <c r="S233" s="173"/>
      <c r="T233" s="173"/>
      <c r="U233" s="173"/>
      <c r="V233" s="173"/>
      <c r="W233" s="173"/>
      <c r="X233" s="173"/>
      <c r="Y233" s="173"/>
    </row>
    <row r="234">
      <c r="A234" s="173"/>
      <c r="B234" s="173"/>
      <c r="C234" s="323"/>
      <c r="D234" s="324"/>
      <c r="E234" s="173"/>
      <c r="F234" s="173"/>
      <c r="G234" s="173"/>
      <c r="H234" s="173"/>
      <c r="I234" s="173"/>
      <c r="J234" s="173"/>
      <c r="K234" s="173"/>
      <c r="L234" s="173"/>
      <c r="M234" s="173"/>
      <c r="N234" s="173"/>
      <c r="O234" s="173"/>
      <c r="P234" s="173"/>
      <c r="Q234" s="173"/>
      <c r="R234" s="173"/>
      <c r="S234" s="173"/>
      <c r="T234" s="173"/>
      <c r="U234" s="173"/>
      <c r="V234" s="173"/>
      <c r="W234" s="173"/>
      <c r="X234" s="173"/>
      <c r="Y234" s="173"/>
    </row>
    <row r="235">
      <c r="A235" s="173"/>
      <c r="B235" s="173"/>
      <c r="C235" s="323"/>
      <c r="D235" s="324"/>
      <c r="E235" s="173"/>
      <c r="F235" s="173"/>
      <c r="G235" s="173"/>
      <c r="H235" s="173"/>
      <c r="I235" s="173"/>
      <c r="J235" s="173"/>
      <c r="K235" s="173"/>
      <c r="L235" s="173"/>
      <c r="M235" s="173"/>
      <c r="N235" s="173"/>
      <c r="O235" s="173"/>
      <c r="P235" s="173"/>
      <c r="Q235" s="173"/>
      <c r="R235" s="173"/>
      <c r="S235" s="173"/>
      <c r="T235" s="173"/>
      <c r="U235" s="173"/>
      <c r="V235" s="173"/>
      <c r="W235" s="173"/>
      <c r="X235" s="173"/>
      <c r="Y235" s="173"/>
    </row>
    <row r="236">
      <c r="A236" s="173"/>
      <c r="B236" s="173"/>
      <c r="C236" s="323"/>
      <c r="D236" s="324"/>
      <c r="E236" s="173"/>
      <c r="F236" s="173"/>
      <c r="G236" s="173"/>
      <c r="H236" s="173"/>
      <c r="I236" s="173"/>
      <c r="J236" s="173"/>
      <c r="K236" s="173"/>
      <c r="L236" s="173"/>
      <c r="M236" s="173"/>
      <c r="N236" s="173"/>
      <c r="O236" s="173"/>
      <c r="P236" s="173"/>
      <c r="Q236" s="173"/>
      <c r="R236" s="173"/>
      <c r="S236" s="173"/>
      <c r="T236" s="173"/>
      <c r="U236" s="173"/>
      <c r="V236" s="173"/>
      <c r="W236" s="173"/>
      <c r="X236" s="173"/>
      <c r="Y236" s="173"/>
    </row>
    <row r="237">
      <c r="A237" s="173"/>
      <c r="B237" s="173"/>
      <c r="C237" s="323"/>
      <c r="D237" s="324"/>
      <c r="E237" s="173"/>
      <c r="F237" s="173"/>
      <c r="G237" s="173"/>
      <c r="H237" s="173"/>
      <c r="I237" s="173"/>
      <c r="J237" s="173"/>
      <c r="K237" s="173"/>
      <c r="L237" s="173"/>
      <c r="M237" s="173"/>
      <c r="N237" s="173"/>
      <c r="O237" s="173"/>
      <c r="P237" s="173"/>
      <c r="Q237" s="173"/>
      <c r="R237" s="173"/>
      <c r="S237" s="173"/>
      <c r="T237" s="173"/>
      <c r="U237" s="173"/>
      <c r="V237" s="173"/>
      <c r="W237" s="173"/>
      <c r="X237" s="173"/>
      <c r="Y237" s="173"/>
    </row>
    <row r="238">
      <c r="A238" s="173"/>
      <c r="B238" s="173"/>
      <c r="C238" s="323"/>
      <c r="D238" s="324"/>
      <c r="E238" s="173"/>
      <c r="F238" s="173"/>
      <c r="G238" s="173"/>
      <c r="H238" s="173"/>
      <c r="I238" s="173"/>
      <c r="J238" s="173"/>
      <c r="K238" s="173"/>
      <c r="L238" s="173"/>
      <c r="M238" s="173"/>
      <c r="N238" s="173"/>
      <c r="O238" s="173"/>
      <c r="P238" s="173"/>
      <c r="Q238" s="173"/>
      <c r="R238" s="173"/>
      <c r="S238" s="173"/>
      <c r="T238" s="173"/>
      <c r="U238" s="173"/>
      <c r="V238" s="173"/>
      <c r="W238" s="173"/>
      <c r="X238" s="173"/>
      <c r="Y238" s="173"/>
    </row>
    <row r="239">
      <c r="A239" s="173"/>
      <c r="B239" s="173"/>
      <c r="C239" s="323"/>
      <c r="D239" s="324"/>
      <c r="E239" s="173"/>
      <c r="F239" s="173"/>
      <c r="G239" s="173"/>
      <c r="H239" s="173"/>
      <c r="I239" s="173"/>
      <c r="J239" s="173"/>
      <c r="K239" s="173"/>
      <c r="L239" s="173"/>
      <c r="M239" s="173"/>
      <c r="N239" s="173"/>
      <c r="O239" s="173"/>
      <c r="P239" s="173"/>
      <c r="Q239" s="173"/>
      <c r="R239" s="173"/>
      <c r="S239" s="173"/>
      <c r="T239" s="173"/>
      <c r="U239" s="173"/>
      <c r="V239" s="173"/>
      <c r="W239" s="173"/>
      <c r="X239" s="173"/>
      <c r="Y239" s="173"/>
    </row>
    <row r="240">
      <c r="A240" s="173"/>
      <c r="B240" s="173"/>
      <c r="C240" s="323"/>
      <c r="D240" s="324"/>
      <c r="E240" s="173"/>
      <c r="F240" s="173"/>
      <c r="G240" s="173"/>
      <c r="H240" s="173"/>
      <c r="I240" s="173"/>
      <c r="J240" s="173"/>
      <c r="K240" s="173"/>
      <c r="L240" s="173"/>
      <c r="M240" s="173"/>
      <c r="N240" s="173"/>
      <c r="O240" s="173"/>
      <c r="P240" s="173"/>
      <c r="Q240" s="173"/>
      <c r="R240" s="173"/>
      <c r="S240" s="173"/>
      <c r="T240" s="173"/>
      <c r="U240" s="173"/>
      <c r="V240" s="173"/>
      <c r="W240" s="173"/>
      <c r="X240" s="173"/>
      <c r="Y240" s="173"/>
    </row>
    <row r="241">
      <c r="A241" s="173"/>
      <c r="B241" s="173"/>
      <c r="C241" s="323"/>
      <c r="D241" s="324"/>
      <c r="E241" s="173"/>
      <c r="F241" s="173"/>
      <c r="G241" s="173"/>
      <c r="H241" s="173"/>
      <c r="I241" s="173"/>
      <c r="J241" s="173"/>
      <c r="K241" s="173"/>
      <c r="L241" s="173"/>
      <c r="M241" s="173"/>
      <c r="N241" s="173"/>
      <c r="O241" s="173"/>
      <c r="P241" s="173"/>
      <c r="Q241" s="173"/>
      <c r="R241" s="173"/>
      <c r="S241" s="173"/>
      <c r="T241" s="173"/>
      <c r="U241" s="173"/>
      <c r="V241" s="173"/>
      <c r="W241" s="173"/>
      <c r="X241" s="173"/>
      <c r="Y241" s="173"/>
    </row>
    <row r="242">
      <c r="A242" s="173"/>
      <c r="B242" s="173"/>
      <c r="C242" s="323"/>
      <c r="D242" s="324"/>
      <c r="E242" s="173"/>
      <c r="F242" s="173"/>
      <c r="G242" s="173"/>
      <c r="H242" s="173"/>
      <c r="I242" s="173"/>
      <c r="J242" s="173"/>
      <c r="K242" s="173"/>
      <c r="L242" s="173"/>
      <c r="M242" s="173"/>
      <c r="N242" s="173"/>
      <c r="O242" s="173"/>
      <c r="P242" s="173"/>
      <c r="Q242" s="173"/>
      <c r="R242" s="173"/>
      <c r="S242" s="173"/>
      <c r="T242" s="173"/>
      <c r="U242" s="173"/>
      <c r="V242" s="173"/>
      <c r="W242" s="173"/>
      <c r="X242" s="173"/>
      <c r="Y242" s="173"/>
    </row>
    <row r="243">
      <c r="A243" s="173"/>
      <c r="B243" s="173"/>
      <c r="C243" s="323"/>
      <c r="D243" s="324"/>
      <c r="E243" s="173"/>
      <c r="F243" s="173"/>
      <c r="G243" s="173"/>
      <c r="H243" s="173"/>
      <c r="I243" s="173"/>
      <c r="J243" s="173"/>
      <c r="K243" s="173"/>
      <c r="L243" s="173"/>
      <c r="M243" s="173"/>
      <c r="N243" s="173"/>
      <c r="O243" s="173"/>
      <c r="P243" s="173"/>
      <c r="Q243" s="173"/>
      <c r="R243" s="173"/>
      <c r="S243" s="173"/>
      <c r="T243" s="173"/>
      <c r="U243" s="173"/>
      <c r="V243" s="173"/>
      <c r="W243" s="173"/>
      <c r="X243" s="173"/>
      <c r="Y243" s="173"/>
    </row>
    <row r="244">
      <c r="A244" s="173"/>
      <c r="B244" s="173"/>
      <c r="C244" s="323"/>
      <c r="D244" s="324"/>
      <c r="E244" s="173"/>
      <c r="F244" s="173"/>
      <c r="G244" s="173"/>
      <c r="H244" s="173"/>
      <c r="I244" s="173"/>
      <c r="J244" s="173"/>
      <c r="K244" s="173"/>
      <c r="L244" s="173"/>
      <c r="M244" s="173"/>
      <c r="N244" s="173"/>
      <c r="O244" s="173"/>
      <c r="P244" s="173"/>
      <c r="Q244" s="173"/>
      <c r="R244" s="173"/>
      <c r="S244" s="173"/>
      <c r="T244" s="173"/>
      <c r="U244" s="173"/>
      <c r="V244" s="173"/>
      <c r="W244" s="173"/>
      <c r="X244" s="173"/>
      <c r="Y244" s="173"/>
    </row>
    <row r="245">
      <c r="A245" s="173"/>
      <c r="B245" s="173"/>
      <c r="C245" s="323"/>
      <c r="D245" s="324"/>
      <c r="E245" s="173"/>
      <c r="F245" s="173"/>
      <c r="G245" s="173"/>
      <c r="H245" s="173"/>
      <c r="I245" s="173"/>
      <c r="J245" s="173"/>
      <c r="K245" s="173"/>
      <c r="L245" s="173"/>
      <c r="M245" s="173"/>
      <c r="N245" s="173"/>
      <c r="O245" s="173"/>
      <c r="P245" s="173"/>
      <c r="Q245" s="173"/>
      <c r="R245" s="173"/>
      <c r="S245" s="173"/>
      <c r="T245" s="173"/>
      <c r="U245" s="173"/>
      <c r="V245" s="173"/>
      <c r="W245" s="173"/>
      <c r="X245" s="173"/>
      <c r="Y245" s="173"/>
    </row>
    <row r="246">
      <c r="A246" s="173"/>
      <c r="B246" s="173"/>
      <c r="C246" s="323"/>
      <c r="D246" s="324"/>
      <c r="E246" s="173"/>
      <c r="F246" s="173"/>
      <c r="G246" s="173"/>
      <c r="H246" s="173"/>
      <c r="I246" s="173"/>
      <c r="J246" s="173"/>
      <c r="K246" s="173"/>
      <c r="L246" s="173"/>
      <c r="M246" s="173"/>
      <c r="N246" s="173"/>
      <c r="O246" s="173"/>
      <c r="P246" s="173"/>
      <c r="Q246" s="173"/>
      <c r="R246" s="173"/>
      <c r="S246" s="173"/>
      <c r="T246" s="173"/>
      <c r="U246" s="173"/>
      <c r="V246" s="173"/>
      <c r="W246" s="173"/>
      <c r="X246" s="173"/>
      <c r="Y246" s="173"/>
    </row>
    <row r="247">
      <c r="A247" s="173"/>
      <c r="B247" s="173"/>
      <c r="C247" s="323"/>
      <c r="D247" s="324"/>
      <c r="E247" s="173"/>
      <c r="F247" s="173"/>
      <c r="G247" s="173"/>
      <c r="H247" s="173"/>
      <c r="I247" s="173"/>
      <c r="J247" s="173"/>
      <c r="K247" s="173"/>
      <c r="L247" s="173"/>
      <c r="M247" s="173"/>
      <c r="N247" s="173"/>
      <c r="O247" s="173"/>
      <c r="P247" s="173"/>
      <c r="Q247" s="173"/>
      <c r="R247" s="173"/>
      <c r="S247" s="173"/>
      <c r="T247" s="173"/>
      <c r="U247" s="173"/>
      <c r="V247" s="173"/>
      <c r="W247" s="173"/>
      <c r="X247" s="173"/>
      <c r="Y247" s="173"/>
    </row>
    <row r="248">
      <c r="A248" s="173"/>
      <c r="B248" s="173"/>
      <c r="C248" s="323"/>
      <c r="D248" s="324"/>
      <c r="E248" s="173"/>
      <c r="F248" s="173"/>
      <c r="G248" s="173"/>
      <c r="H248" s="173"/>
      <c r="I248" s="173"/>
      <c r="J248" s="173"/>
      <c r="K248" s="173"/>
      <c r="L248" s="173"/>
      <c r="M248" s="173"/>
      <c r="N248" s="173"/>
      <c r="O248" s="173"/>
      <c r="P248" s="173"/>
      <c r="Q248" s="173"/>
      <c r="R248" s="173"/>
      <c r="S248" s="173"/>
      <c r="T248" s="173"/>
      <c r="U248" s="173"/>
      <c r="V248" s="173"/>
      <c r="W248" s="173"/>
      <c r="X248" s="173"/>
      <c r="Y248" s="173"/>
    </row>
    <row r="249">
      <c r="A249" s="173"/>
      <c r="B249" s="173"/>
      <c r="C249" s="323"/>
      <c r="D249" s="324"/>
      <c r="E249" s="173"/>
      <c r="F249" s="173"/>
      <c r="G249" s="173"/>
      <c r="H249" s="173"/>
      <c r="I249" s="173"/>
      <c r="J249" s="173"/>
      <c r="K249" s="173"/>
      <c r="L249" s="173"/>
      <c r="M249" s="173"/>
      <c r="N249" s="173"/>
      <c r="O249" s="173"/>
      <c r="P249" s="173"/>
      <c r="Q249" s="173"/>
      <c r="R249" s="173"/>
      <c r="S249" s="173"/>
      <c r="T249" s="173"/>
      <c r="U249" s="173"/>
      <c r="V249" s="173"/>
      <c r="W249" s="173"/>
      <c r="X249" s="173"/>
      <c r="Y249" s="173"/>
    </row>
    <row r="250">
      <c r="A250" s="173"/>
      <c r="B250" s="173"/>
      <c r="C250" s="323"/>
      <c r="D250" s="324"/>
      <c r="E250" s="173"/>
      <c r="F250" s="173"/>
      <c r="G250" s="173"/>
      <c r="H250" s="173"/>
      <c r="I250" s="173"/>
      <c r="J250" s="173"/>
      <c r="K250" s="173"/>
      <c r="L250" s="173"/>
      <c r="M250" s="173"/>
      <c r="N250" s="173"/>
      <c r="O250" s="173"/>
      <c r="P250" s="173"/>
      <c r="Q250" s="173"/>
      <c r="R250" s="173"/>
      <c r="S250" s="173"/>
      <c r="T250" s="173"/>
      <c r="U250" s="173"/>
      <c r="V250" s="173"/>
      <c r="W250" s="173"/>
      <c r="X250" s="173"/>
      <c r="Y250" s="173"/>
    </row>
    <row r="251">
      <c r="A251" s="173"/>
      <c r="B251" s="173"/>
      <c r="C251" s="323"/>
      <c r="D251" s="324"/>
      <c r="E251" s="173"/>
      <c r="F251" s="173"/>
      <c r="G251" s="173"/>
      <c r="H251" s="173"/>
      <c r="I251" s="173"/>
      <c r="J251" s="173"/>
      <c r="K251" s="173"/>
      <c r="L251" s="173"/>
      <c r="M251" s="173"/>
      <c r="N251" s="173"/>
      <c r="O251" s="173"/>
      <c r="P251" s="173"/>
      <c r="Q251" s="173"/>
      <c r="R251" s="173"/>
      <c r="S251" s="173"/>
      <c r="T251" s="173"/>
      <c r="U251" s="173"/>
      <c r="V251" s="173"/>
      <c r="W251" s="173"/>
      <c r="X251" s="173"/>
      <c r="Y251" s="173"/>
    </row>
    <row r="252">
      <c r="A252" s="173"/>
      <c r="B252" s="173"/>
      <c r="C252" s="323"/>
      <c r="D252" s="324"/>
      <c r="E252" s="173"/>
      <c r="F252" s="173"/>
      <c r="G252" s="173"/>
      <c r="H252" s="173"/>
      <c r="I252" s="173"/>
      <c r="J252" s="173"/>
      <c r="K252" s="173"/>
      <c r="L252" s="173"/>
      <c r="M252" s="173"/>
      <c r="N252" s="173"/>
      <c r="O252" s="173"/>
      <c r="P252" s="173"/>
      <c r="Q252" s="173"/>
      <c r="R252" s="173"/>
      <c r="S252" s="173"/>
      <c r="T252" s="173"/>
      <c r="U252" s="173"/>
      <c r="V252" s="173"/>
      <c r="W252" s="173"/>
      <c r="X252" s="173"/>
      <c r="Y252" s="173"/>
    </row>
    <row r="253">
      <c r="A253" s="173"/>
      <c r="B253" s="173"/>
      <c r="C253" s="323"/>
      <c r="D253" s="324"/>
      <c r="E253" s="173"/>
      <c r="F253" s="173"/>
      <c r="G253" s="173"/>
      <c r="H253" s="173"/>
      <c r="I253" s="173"/>
      <c r="J253" s="173"/>
      <c r="K253" s="173"/>
      <c r="L253" s="173"/>
      <c r="M253" s="173"/>
      <c r="N253" s="173"/>
      <c r="O253" s="173"/>
      <c r="P253" s="173"/>
      <c r="Q253" s="173"/>
      <c r="R253" s="173"/>
      <c r="S253" s="173"/>
      <c r="T253" s="173"/>
      <c r="U253" s="173"/>
      <c r="V253" s="173"/>
      <c r="W253" s="173"/>
      <c r="X253" s="173"/>
      <c r="Y253" s="173"/>
    </row>
    <row r="254">
      <c r="A254" s="173"/>
      <c r="B254" s="173"/>
      <c r="C254" s="323"/>
      <c r="D254" s="324"/>
      <c r="E254" s="173"/>
      <c r="F254" s="173"/>
      <c r="G254" s="173"/>
      <c r="H254" s="173"/>
      <c r="I254" s="173"/>
      <c r="J254" s="173"/>
      <c r="K254" s="173"/>
      <c r="L254" s="173"/>
      <c r="M254" s="173"/>
      <c r="N254" s="173"/>
      <c r="O254" s="173"/>
      <c r="P254" s="173"/>
      <c r="Q254" s="173"/>
      <c r="R254" s="173"/>
      <c r="S254" s="173"/>
      <c r="T254" s="173"/>
      <c r="U254" s="173"/>
      <c r="V254" s="173"/>
      <c r="W254" s="173"/>
      <c r="X254" s="173"/>
      <c r="Y254" s="173"/>
    </row>
    <row r="255">
      <c r="A255" s="173"/>
      <c r="B255" s="173"/>
      <c r="C255" s="323"/>
      <c r="D255" s="324"/>
      <c r="E255" s="173"/>
      <c r="F255" s="173"/>
      <c r="G255" s="173"/>
      <c r="H255" s="173"/>
      <c r="I255" s="173"/>
      <c r="J255" s="173"/>
      <c r="K255" s="173"/>
      <c r="L255" s="173"/>
      <c r="M255" s="173"/>
      <c r="N255" s="173"/>
      <c r="O255" s="173"/>
      <c r="P255" s="173"/>
      <c r="Q255" s="173"/>
      <c r="R255" s="173"/>
      <c r="S255" s="173"/>
      <c r="T255" s="173"/>
      <c r="U255" s="173"/>
      <c r="V255" s="173"/>
      <c r="W255" s="173"/>
      <c r="X255" s="173"/>
      <c r="Y255" s="173"/>
    </row>
    <row r="256">
      <c r="A256" s="173"/>
      <c r="B256" s="173"/>
      <c r="C256" s="323"/>
      <c r="D256" s="324"/>
      <c r="E256" s="173"/>
      <c r="F256" s="173"/>
      <c r="G256" s="173"/>
      <c r="H256" s="173"/>
      <c r="I256" s="173"/>
      <c r="J256" s="173"/>
      <c r="K256" s="173"/>
      <c r="L256" s="173"/>
      <c r="M256" s="173"/>
      <c r="N256" s="173"/>
      <c r="O256" s="173"/>
      <c r="P256" s="173"/>
      <c r="Q256" s="173"/>
      <c r="R256" s="173"/>
      <c r="S256" s="173"/>
      <c r="T256" s="173"/>
      <c r="U256" s="173"/>
      <c r="V256" s="173"/>
      <c r="W256" s="173"/>
      <c r="X256" s="173"/>
      <c r="Y256" s="173"/>
    </row>
    <row r="257">
      <c r="A257" s="173"/>
      <c r="B257" s="173"/>
      <c r="C257" s="323"/>
      <c r="D257" s="324"/>
      <c r="E257" s="173"/>
      <c r="F257" s="173"/>
      <c r="G257" s="173"/>
      <c r="H257" s="173"/>
      <c r="I257" s="173"/>
      <c r="J257" s="173"/>
      <c r="K257" s="173"/>
      <c r="L257" s="173"/>
      <c r="M257" s="173"/>
      <c r="N257" s="173"/>
      <c r="O257" s="173"/>
      <c r="P257" s="173"/>
      <c r="Q257" s="173"/>
      <c r="R257" s="173"/>
      <c r="S257" s="173"/>
      <c r="T257" s="173"/>
      <c r="U257" s="173"/>
      <c r="V257" s="173"/>
      <c r="W257" s="173"/>
      <c r="X257" s="173"/>
      <c r="Y257" s="173"/>
    </row>
    <row r="258">
      <c r="A258" s="173"/>
      <c r="B258" s="173"/>
      <c r="C258" s="323"/>
      <c r="D258" s="324"/>
      <c r="E258" s="173"/>
      <c r="F258" s="173"/>
      <c r="G258" s="173"/>
      <c r="H258" s="173"/>
      <c r="I258" s="173"/>
      <c r="J258" s="173"/>
      <c r="K258" s="173"/>
      <c r="L258" s="173"/>
      <c r="M258" s="173"/>
      <c r="N258" s="173"/>
      <c r="O258" s="173"/>
      <c r="P258" s="173"/>
      <c r="Q258" s="173"/>
      <c r="R258" s="173"/>
      <c r="S258" s="173"/>
      <c r="T258" s="173"/>
      <c r="U258" s="173"/>
      <c r="V258" s="173"/>
      <c r="W258" s="173"/>
      <c r="X258" s="173"/>
      <c r="Y258" s="173"/>
    </row>
    <row r="259">
      <c r="A259" s="173"/>
      <c r="B259" s="173"/>
      <c r="C259" s="323"/>
      <c r="D259" s="324"/>
      <c r="E259" s="173"/>
      <c r="F259" s="173"/>
      <c r="G259" s="173"/>
      <c r="H259" s="173"/>
      <c r="I259" s="173"/>
      <c r="J259" s="173"/>
      <c r="K259" s="173"/>
      <c r="L259" s="173"/>
      <c r="M259" s="173"/>
      <c r="N259" s="173"/>
      <c r="O259" s="173"/>
      <c r="P259" s="173"/>
      <c r="Q259" s="173"/>
      <c r="R259" s="173"/>
      <c r="S259" s="173"/>
      <c r="T259" s="173"/>
      <c r="U259" s="173"/>
      <c r="V259" s="173"/>
      <c r="W259" s="173"/>
      <c r="X259" s="173"/>
      <c r="Y259" s="173"/>
    </row>
    <row r="260">
      <c r="A260" s="173"/>
      <c r="B260" s="173"/>
      <c r="C260" s="323"/>
      <c r="D260" s="324"/>
      <c r="E260" s="173"/>
      <c r="F260" s="173"/>
      <c r="G260" s="173"/>
      <c r="H260" s="173"/>
      <c r="I260" s="173"/>
      <c r="J260" s="173"/>
      <c r="K260" s="173"/>
      <c r="L260" s="173"/>
      <c r="M260" s="173"/>
      <c r="N260" s="173"/>
      <c r="O260" s="173"/>
      <c r="P260" s="173"/>
      <c r="Q260" s="173"/>
      <c r="R260" s="173"/>
      <c r="S260" s="173"/>
      <c r="T260" s="173"/>
      <c r="U260" s="173"/>
      <c r="V260" s="173"/>
      <c r="W260" s="173"/>
      <c r="X260" s="173"/>
      <c r="Y260" s="173"/>
    </row>
    <row r="261">
      <c r="A261" s="173"/>
      <c r="B261" s="173"/>
      <c r="C261" s="323"/>
      <c r="D261" s="324"/>
      <c r="E261" s="173"/>
      <c r="F261" s="173"/>
      <c r="G261" s="173"/>
      <c r="H261" s="173"/>
      <c r="I261" s="173"/>
      <c r="J261" s="173"/>
      <c r="K261" s="173"/>
      <c r="L261" s="173"/>
      <c r="M261" s="173"/>
      <c r="N261" s="173"/>
      <c r="O261" s="173"/>
      <c r="P261" s="173"/>
      <c r="Q261" s="173"/>
      <c r="R261" s="173"/>
      <c r="S261" s="173"/>
      <c r="T261" s="173"/>
      <c r="U261" s="173"/>
      <c r="V261" s="173"/>
      <c r="W261" s="173"/>
      <c r="X261" s="173"/>
      <c r="Y261" s="173"/>
    </row>
    <row r="262">
      <c r="A262" s="173"/>
      <c r="B262" s="173"/>
      <c r="C262" s="323"/>
      <c r="D262" s="324"/>
      <c r="E262" s="173"/>
      <c r="F262" s="173"/>
      <c r="G262" s="173"/>
      <c r="H262" s="173"/>
      <c r="I262" s="173"/>
      <c r="J262" s="173"/>
      <c r="K262" s="173"/>
      <c r="L262" s="173"/>
      <c r="M262" s="173"/>
      <c r="N262" s="173"/>
      <c r="O262" s="173"/>
      <c r="P262" s="173"/>
      <c r="Q262" s="173"/>
      <c r="R262" s="173"/>
      <c r="S262" s="173"/>
      <c r="T262" s="173"/>
      <c r="U262" s="173"/>
      <c r="V262" s="173"/>
      <c r="W262" s="173"/>
      <c r="X262" s="173"/>
      <c r="Y262" s="173"/>
    </row>
    <row r="263">
      <c r="A263" s="173"/>
      <c r="B263" s="173"/>
      <c r="C263" s="323"/>
      <c r="D263" s="324"/>
      <c r="E263" s="173"/>
      <c r="F263" s="173"/>
      <c r="G263" s="173"/>
      <c r="H263" s="173"/>
      <c r="I263" s="173"/>
      <c r="J263" s="173"/>
      <c r="K263" s="173"/>
      <c r="L263" s="173"/>
      <c r="M263" s="173"/>
      <c r="N263" s="173"/>
      <c r="O263" s="173"/>
      <c r="P263" s="173"/>
      <c r="Q263" s="173"/>
      <c r="R263" s="173"/>
      <c r="S263" s="173"/>
      <c r="T263" s="173"/>
      <c r="U263" s="173"/>
      <c r="V263" s="173"/>
      <c r="W263" s="173"/>
      <c r="X263" s="173"/>
      <c r="Y263" s="173"/>
    </row>
    <row r="264">
      <c r="A264" s="173"/>
      <c r="B264" s="173"/>
      <c r="C264" s="323"/>
      <c r="D264" s="324"/>
      <c r="E264" s="173"/>
      <c r="F264" s="173"/>
      <c r="G264" s="173"/>
      <c r="H264" s="173"/>
      <c r="I264" s="173"/>
      <c r="J264" s="173"/>
      <c r="K264" s="173"/>
      <c r="L264" s="173"/>
      <c r="M264" s="173"/>
      <c r="N264" s="173"/>
      <c r="O264" s="173"/>
      <c r="P264" s="173"/>
      <c r="Q264" s="173"/>
      <c r="R264" s="173"/>
      <c r="S264" s="173"/>
      <c r="T264" s="173"/>
      <c r="U264" s="173"/>
      <c r="V264" s="173"/>
      <c r="W264" s="173"/>
      <c r="X264" s="173"/>
      <c r="Y264" s="173"/>
    </row>
    <row r="265">
      <c r="A265" s="173"/>
      <c r="B265" s="173"/>
      <c r="C265" s="323"/>
      <c r="D265" s="324"/>
      <c r="E265" s="173"/>
      <c r="F265" s="173"/>
      <c r="G265" s="173"/>
      <c r="H265" s="173"/>
      <c r="I265" s="173"/>
      <c r="J265" s="173"/>
      <c r="K265" s="173"/>
      <c r="L265" s="173"/>
      <c r="M265" s="173"/>
      <c r="N265" s="173"/>
      <c r="O265" s="173"/>
      <c r="P265" s="173"/>
      <c r="Q265" s="173"/>
      <c r="R265" s="173"/>
      <c r="S265" s="173"/>
      <c r="T265" s="173"/>
      <c r="U265" s="173"/>
      <c r="V265" s="173"/>
      <c r="W265" s="173"/>
      <c r="X265" s="173"/>
      <c r="Y265" s="173"/>
    </row>
    <row r="266">
      <c r="A266" s="173"/>
      <c r="B266" s="173"/>
      <c r="C266" s="323"/>
      <c r="D266" s="324"/>
      <c r="E266" s="173"/>
      <c r="F266" s="173"/>
      <c r="G266" s="173"/>
      <c r="H266" s="173"/>
      <c r="I266" s="173"/>
      <c r="J266" s="173"/>
      <c r="K266" s="173"/>
      <c r="L266" s="173"/>
      <c r="M266" s="173"/>
      <c r="N266" s="173"/>
      <c r="O266" s="173"/>
      <c r="P266" s="173"/>
      <c r="Q266" s="173"/>
      <c r="R266" s="173"/>
      <c r="S266" s="173"/>
      <c r="T266" s="173"/>
      <c r="U266" s="173"/>
      <c r="V266" s="173"/>
      <c r="W266" s="173"/>
      <c r="X266" s="173"/>
      <c r="Y266" s="173"/>
    </row>
    <row r="267">
      <c r="A267" s="173"/>
      <c r="B267" s="173"/>
      <c r="C267" s="323"/>
      <c r="D267" s="324"/>
      <c r="E267" s="173"/>
      <c r="F267" s="173"/>
      <c r="G267" s="173"/>
      <c r="H267" s="173"/>
      <c r="I267" s="173"/>
      <c r="J267" s="173"/>
      <c r="K267" s="173"/>
      <c r="L267" s="173"/>
      <c r="M267" s="173"/>
      <c r="N267" s="173"/>
      <c r="O267" s="173"/>
      <c r="P267" s="173"/>
      <c r="Q267" s="173"/>
      <c r="R267" s="173"/>
      <c r="S267" s="173"/>
      <c r="T267" s="173"/>
      <c r="U267" s="173"/>
      <c r="V267" s="173"/>
      <c r="W267" s="173"/>
      <c r="X267" s="173"/>
      <c r="Y267" s="173"/>
    </row>
    <row r="268">
      <c r="A268" s="173"/>
      <c r="B268" s="173"/>
      <c r="C268" s="323"/>
      <c r="D268" s="324"/>
      <c r="E268" s="173"/>
      <c r="F268" s="173"/>
      <c r="G268" s="173"/>
      <c r="H268" s="173"/>
      <c r="I268" s="173"/>
      <c r="J268" s="173"/>
      <c r="K268" s="173"/>
      <c r="L268" s="173"/>
      <c r="M268" s="173"/>
      <c r="N268" s="173"/>
      <c r="O268" s="173"/>
      <c r="P268" s="173"/>
      <c r="Q268" s="173"/>
      <c r="R268" s="173"/>
      <c r="S268" s="173"/>
      <c r="T268" s="173"/>
      <c r="U268" s="173"/>
      <c r="V268" s="173"/>
      <c r="W268" s="173"/>
      <c r="X268" s="173"/>
      <c r="Y268" s="173"/>
    </row>
    <row r="269">
      <c r="A269" s="173"/>
      <c r="B269" s="173"/>
      <c r="C269" s="323"/>
      <c r="D269" s="324"/>
      <c r="E269" s="173"/>
      <c r="F269" s="173"/>
      <c r="G269" s="173"/>
      <c r="H269" s="173"/>
      <c r="I269" s="173"/>
      <c r="J269" s="173"/>
      <c r="K269" s="173"/>
      <c r="L269" s="173"/>
      <c r="M269" s="173"/>
      <c r="N269" s="173"/>
      <c r="O269" s="173"/>
      <c r="P269" s="173"/>
      <c r="Q269" s="173"/>
      <c r="R269" s="173"/>
      <c r="S269" s="173"/>
      <c r="T269" s="173"/>
      <c r="U269" s="173"/>
      <c r="V269" s="173"/>
      <c r="W269" s="173"/>
      <c r="X269" s="173"/>
      <c r="Y269" s="173"/>
    </row>
    <row r="270">
      <c r="A270" s="173"/>
      <c r="B270" s="173"/>
      <c r="C270" s="323"/>
      <c r="D270" s="324"/>
      <c r="E270" s="173"/>
      <c r="F270" s="173"/>
      <c r="G270" s="173"/>
      <c r="H270" s="173"/>
      <c r="I270" s="173"/>
      <c r="J270" s="173"/>
      <c r="K270" s="173"/>
      <c r="L270" s="173"/>
      <c r="M270" s="173"/>
      <c r="N270" s="173"/>
      <c r="O270" s="173"/>
      <c r="P270" s="173"/>
      <c r="Q270" s="173"/>
      <c r="R270" s="173"/>
      <c r="S270" s="173"/>
      <c r="T270" s="173"/>
      <c r="U270" s="173"/>
      <c r="V270" s="173"/>
      <c r="W270" s="173"/>
      <c r="X270" s="173"/>
      <c r="Y270" s="173"/>
    </row>
    <row r="271">
      <c r="A271" s="173"/>
      <c r="B271" s="173"/>
      <c r="C271" s="323"/>
      <c r="D271" s="324"/>
      <c r="E271" s="173"/>
      <c r="F271" s="173"/>
      <c r="G271" s="173"/>
      <c r="H271" s="173"/>
      <c r="I271" s="173"/>
      <c r="J271" s="173"/>
      <c r="K271" s="173"/>
      <c r="L271" s="173"/>
      <c r="M271" s="173"/>
      <c r="N271" s="173"/>
      <c r="O271" s="173"/>
      <c r="P271" s="173"/>
      <c r="Q271" s="173"/>
      <c r="R271" s="173"/>
      <c r="S271" s="173"/>
      <c r="T271" s="173"/>
      <c r="U271" s="173"/>
      <c r="V271" s="173"/>
      <c r="W271" s="173"/>
      <c r="X271" s="173"/>
      <c r="Y271" s="173"/>
    </row>
    <row r="272">
      <c r="A272" s="173"/>
      <c r="B272" s="173"/>
      <c r="C272" s="323"/>
      <c r="D272" s="324"/>
      <c r="E272" s="173"/>
      <c r="F272" s="173"/>
      <c r="G272" s="173"/>
      <c r="H272" s="173"/>
      <c r="I272" s="173"/>
      <c r="J272" s="173"/>
      <c r="K272" s="173"/>
      <c r="L272" s="173"/>
      <c r="M272" s="173"/>
      <c r="N272" s="173"/>
      <c r="O272" s="173"/>
      <c r="P272" s="173"/>
      <c r="Q272" s="173"/>
      <c r="R272" s="173"/>
      <c r="S272" s="173"/>
      <c r="T272" s="173"/>
      <c r="U272" s="173"/>
      <c r="V272" s="173"/>
      <c r="W272" s="173"/>
      <c r="X272" s="173"/>
      <c r="Y272" s="173"/>
    </row>
    <row r="273">
      <c r="A273" s="173"/>
      <c r="B273" s="173"/>
      <c r="C273" s="323"/>
      <c r="D273" s="324"/>
      <c r="E273" s="173"/>
      <c r="F273" s="173"/>
      <c r="G273" s="173"/>
      <c r="H273" s="173"/>
      <c r="I273" s="173"/>
      <c r="J273" s="173"/>
      <c r="K273" s="173"/>
      <c r="L273" s="173"/>
      <c r="M273" s="173"/>
      <c r="N273" s="173"/>
      <c r="O273" s="173"/>
      <c r="P273" s="173"/>
      <c r="Q273" s="173"/>
      <c r="R273" s="173"/>
      <c r="S273" s="173"/>
      <c r="T273" s="173"/>
      <c r="U273" s="173"/>
      <c r="V273" s="173"/>
      <c r="W273" s="173"/>
      <c r="X273" s="173"/>
      <c r="Y273" s="173"/>
    </row>
    <row r="274">
      <c r="A274" s="173"/>
      <c r="B274" s="173"/>
      <c r="C274" s="323"/>
      <c r="D274" s="324"/>
      <c r="E274" s="173"/>
      <c r="F274" s="173"/>
      <c r="G274" s="173"/>
      <c r="H274" s="173"/>
      <c r="I274" s="173"/>
      <c r="J274" s="173"/>
      <c r="K274" s="173"/>
      <c r="L274" s="173"/>
      <c r="M274" s="173"/>
      <c r="N274" s="173"/>
      <c r="O274" s="173"/>
      <c r="P274" s="173"/>
      <c r="Q274" s="173"/>
      <c r="R274" s="173"/>
      <c r="S274" s="173"/>
      <c r="T274" s="173"/>
      <c r="U274" s="173"/>
      <c r="V274" s="173"/>
      <c r="W274" s="173"/>
      <c r="X274" s="173"/>
      <c r="Y274" s="173"/>
    </row>
    <row r="275">
      <c r="A275" s="173"/>
      <c r="B275" s="173"/>
      <c r="C275" s="323"/>
      <c r="D275" s="324"/>
      <c r="E275" s="173"/>
      <c r="F275" s="173"/>
      <c r="G275" s="173"/>
      <c r="H275" s="173"/>
      <c r="I275" s="173"/>
      <c r="J275" s="173"/>
      <c r="K275" s="173"/>
      <c r="L275" s="173"/>
      <c r="M275" s="173"/>
      <c r="N275" s="173"/>
      <c r="O275" s="173"/>
      <c r="P275" s="173"/>
      <c r="Q275" s="173"/>
      <c r="R275" s="173"/>
      <c r="S275" s="173"/>
      <c r="T275" s="173"/>
      <c r="U275" s="173"/>
      <c r="V275" s="173"/>
      <c r="W275" s="173"/>
      <c r="X275" s="173"/>
      <c r="Y275" s="173"/>
    </row>
    <row r="276">
      <c r="A276" s="173"/>
      <c r="B276" s="173"/>
      <c r="C276" s="323"/>
      <c r="D276" s="324"/>
      <c r="E276" s="173"/>
      <c r="F276" s="173"/>
      <c r="G276" s="173"/>
      <c r="H276" s="173"/>
      <c r="I276" s="173"/>
      <c r="J276" s="173"/>
      <c r="K276" s="173"/>
      <c r="L276" s="173"/>
      <c r="M276" s="173"/>
      <c r="N276" s="173"/>
      <c r="O276" s="173"/>
      <c r="P276" s="173"/>
      <c r="Q276" s="173"/>
      <c r="R276" s="173"/>
      <c r="S276" s="173"/>
      <c r="T276" s="173"/>
      <c r="U276" s="173"/>
      <c r="V276" s="173"/>
      <c r="W276" s="173"/>
      <c r="X276" s="173"/>
      <c r="Y276" s="173"/>
    </row>
    <row r="277">
      <c r="A277" s="173"/>
      <c r="B277" s="173"/>
      <c r="C277" s="323"/>
      <c r="D277" s="324"/>
      <c r="E277" s="173"/>
      <c r="F277" s="173"/>
      <c r="G277" s="173"/>
      <c r="H277" s="173"/>
      <c r="I277" s="173"/>
      <c r="J277" s="173"/>
      <c r="K277" s="173"/>
      <c r="L277" s="173"/>
      <c r="M277" s="173"/>
      <c r="N277" s="173"/>
      <c r="O277" s="173"/>
      <c r="P277" s="173"/>
      <c r="Q277" s="173"/>
      <c r="R277" s="173"/>
      <c r="S277" s="173"/>
      <c r="T277" s="173"/>
      <c r="U277" s="173"/>
      <c r="V277" s="173"/>
      <c r="W277" s="173"/>
      <c r="X277" s="173"/>
      <c r="Y277" s="173"/>
    </row>
    <row r="278">
      <c r="A278" s="173"/>
      <c r="B278" s="173"/>
      <c r="C278" s="323"/>
      <c r="D278" s="324"/>
      <c r="E278" s="173"/>
      <c r="F278" s="173"/>
      <c r="G278" s="173"/>
      <c r="H278" s="173"/>
      <c r="I278" s="173"/>
      <c r="J278" s="173"/>
      <c r="K278" s="173"/>
      <c r="L278" s="173"/>
      <c r="M278" s="173"/>
      <c r="N278" s="173"/>
      <c r="O278" s="173"/>
      <c r="P278" s="173"/>
      <c r="Q278" s="173"/>
      <c r="R278" s="173"/>
      <c r="S278" s="173"/>
      <c r="T278" s="173"/>
      <c r="U278" s="173"/>
      <c r="V278" s="173"/>
      <c r="W278" s="173"/>
      <c r="X278" s="173"/>
      <c r="Y278" s="173"/>
    </row>
    <row r="279">
      <c r="A279" s="173"/>
      <c r="B279" s="173"/>
      <c r="C279" s="323"/>
      <c r="D279" s="324"/>
      <c r="E279" s="173"/>
      <c r="F279" s="173"/>
      <c r="G279" s="173"/>
      <c r="H279" s="173"/>
      <c r="I279" s="173"/>
      <c r="J279" s="173"/>
      <c r="K279" s="173"/>
      <c r="L279" s="173"/>
      <c r="M279" s="173"/>
      <c r="N279" s="173"/>
      <c r="O279" s="173"/>
      <c r="P279" s="173"/>
      <c r="Q279" s="173"/>
      <c r="R279" s="173"/>
      <c r="S279" s="173"/>
      <c r="T279" s="173"/>
      <c r="U279" s="173"/>
      <c r="V279" s="173"/>
      <c r="W279" s="173"/>
      <c r="X279" s="173"/>
      <c r="Y279" s="173"/>
    </row>
    <row r="280">
      <c r="A280" s="173"/>
      <c r="B280" s="173"/>
      <c r="C280" s="323"/>
      <c r="D280" s="324"/>
      <c r="E280" s="173"/>
      <c r="F280" s="173"/>
      <c r="G280" s="173"/>
      <c r="H280" s="173"/>
      <c r="I280" s="173"/>
      <c r="J280" s="173"/>
      <c r="K280" s="173"/>
      <c r="L280" s="173"/>
      <c r="M280" s="173"/>
      <c r="N280" s="173"/>
      <c r="O280" s="173"/>
      <c r="P280" s="173"/>
      <c r="Q280" s="173"/>
      <c r="R280" s="173"/>
      <c r="S280" s="173"/>
      <c r="T280" s="173"/>
      <c r="U280" s="173"/>
      <c r="V280" s="173"/>
      <c r="W280" s="173"/>
      <c r="X280" s="173"/>
      <c r="Y280" s="173"/>
    </row>
    <row r="281">
      <c r="A281" s="173"/>
      <c r="B281" s="173"/>
      <c r="C281" s="323"/>
      <c r="D281" s="324"/>
      <c r="E281" s="173"/>
      <c r="F281" s="173"/>
      <c r="G281" s="173"/>
      <c r="H281" s="173"/>
      <c r="I281" s="173"/>
      <c r="J281" s="173"/>
      <c r="K281" s="173"/>
      <c r="L281" s="173"/>
      <c r="M281" s="173"/>
      <c r="N281" s="173"/>
      <c r="O281" s="173"/>
      <c r="P281" s="173"/>
      <c r="Q281" s="173"/>
      <c r="R281" s="173"/>
      <c r="S281" s="173"/>
      <c r="T281" s="173"/>
      <c r="U281" s="173"/>
      <c r="V281" s="173"/>
      <c r="W281" s="173"/>
      <c r="X281" s="173"/>
      <c r="Y281" s="173"/>
    </row>
    <row r="282">
      <c r="A282" s="173"/>
      <c r="B282" s="173"/>
      <c r="C282" s="323"/>
      <c r="D282" s="324"/>
      <c r="E282" s="173"/>
      <c r="F282" s="173"/>
      <c r="G282" s="173"/>
      <c r="H282" s="173"/>
      <c r="I282" s="173"/>
      <c r="J282" s="173"/>
      <c r="K282" s="173"/>
      <c r="L282" s="173"/>
      <c r="M282" s="173"/>
      <c r="N282" s="173"/>
      <c r="O282" s="173"/>
      <c r="P282" s="173"/>
      <c r="Q282" s="173"/>
      <c r="R282" s="173"/>
      <c r="S282" s="173"/>
      <c r="T282" s="173"/>
      <c r="U282" s="173"/>
      <c r="V282" s="173"/>
      <c r="W282" s="173"/>
      <c r="X282" s="173"/>
      <c r="Y282" s="173"/>
    </row>
    <row r="283">
      <c r="A283" s="173"/>
      <c r="B283" s="173"/>
      <c r="C283" s="323"/>
      <c r="D283" s="324"/>
      <c r="E283" s="173"/>
      <c r="F283" s="173"/>
      <c r="G283" s="173"/>
      <c r="H283" s="173"/>
      <c r="I283" s="173"/>
      <c r="J283" s="173"/>
      <c r="K283" s="173"/>
      <c r="L283" s="173"/>
      <c r="M283" s="173"/>
      <c r="N283" s="173"/>
      <c r="O283" s="173"/>
      <c r="P283" s="173"/>
      <c r="Q283" s="173"/>
      <c r="R283" s="173"/>
      <c r="S283" s="173"/>
      <c r="T283" s="173"/>
      <c r="U283" s="173"/>
      <c r="V283" s="173"/>
      <c r="W283" s="173"/>
      <c r="X283" s="173"/>
      <c r="Y283" s="173"/>
    </row>
    <row r="284">
      <c r="A284" s="173"/>
      <c r="B284" s="173"/>
      <c r="C284" s="323"/>
      <c r="D284" s="324"/>
      <c r="E284" s="173"/>
      <c r="F284" s="173"/>
      <c r="G284" s="173"/>
      <c r="H284" s="173"/>
      <c r="I284" s="173"/>
      <c r="J284" s="173"/>
      <c r="K284" s="173"/>
      <c r="L284" s="173"/>
      <c r="M284" s="173"/>
      <c r="N284" s="173"/>
      <c r="O284" s="173"/>
      <c r="P284" s="173"/>
      <c r="Q284" s="173"/>
      <c r="R284" s="173"/>
      <c r="S284" s="173"/>
      <c r="T284" s="173"/>
      <c r="U284" s="173"/>
      <c r="V284" s="173"/>
      <c r="W284" s="173"/>
      <c r="X284" s="173"/>
      <c r="Y284" s="173"/>
    </row>
    <row r="285">
      <c r="A285" s="173"/>
      <c r="B285" s="173"/>
      <c r="C285" s="323"/>
      <c r="D285" s="324"/>
      <c r="E285" s="173"/>
      <c r="F285" s="173"/>
      <c r="G285" s="173"/>
      <c r="H285" s="173"/>
      <c r="I285" s="173"/>
      <c r="J285" s="173"/>
      <c r="K285" s="173"/>
      <c r="L285" s="173"/>
      <c r="M285" s="173"/>
      <c r="N285" s="173"/>
      <c r="O285" s="173"/>
      <c r="P285" s="173"/>
      <c r="Q285" s="173"/>
      <c r="R285" s="173"/>
      <c r="S285" s="173"/>
      <c r="T285" s="173"/>
      <c r="U285" s="173"/>
      <c r="V285" s="173"/>
      <c r="W285" s="173"/>
      <c r="X285" s="173"/>
      <c r="Y285" s="173"/>
    </row>
    <row r="286">
      <c r="A286" s="173"/>
      <c r="B286" s="173"/>
      <c r="C286" s="323"/>
      <c r="D286" s="324"/>
      <c r="E286" s="173"/>
      <c r="F286" s="173"/>
      <c r="G286" s="173"/>
      <c r="H286" s="173"/>
      <c r="I286" s="173"/>
      <c r="J286" s="173"/>
      <c r="K286" s="173"/>
      <c r="L286" s="173"/>
      <c r="M286" s="173"/>
      <c r="N286" s="173"/>
      <c r="O286" s="173"/>
      <c r="P286" s="173"/>
      <c r="Q286" s="173"/>
      <c r="R286" s="173"/>
      <c r="S286" s="173"/>
      <c r="T286" s="173"/>
      <c r="U286" s="173"/>
      <c r="V286" s="173"/>
      <c r="W286" s="173"/>
      <c r="X286" s="173"/>
      <c r="Y286" s="173"/>
    </row>
    <row r="287">
      <c r="A287" s="173"/>
      <c r="B287" s="173"/>
      <c r="C287" s="323"/>
      <c r="D287" s="324"/>
      <c r="E287" s="173"/>
      <c r="F287" s="173"/>
      <c r="G287" s="173"/>
      <c r="H287" s="173"/>
      <c r="I287" s="173"/>
      <c r="J287" s="173"/>
      <c r="K287" s="173"/>
      <c r="L287" s="173"/>
      <c r="M287" s="173"/>
      <c r="N287" s="173"/>
      <c r="O287" s="173"/>
      <c r="P287" s="173"/>
      <c r="Q287" s="173"/>
      <c r="R287" s="173"/>
      <c r="S287" s="173"/>
      <c r="T287" s="173"/>
      <c r="U287" s="173"/>
      <c r="V287" s="173"/>
      <c r="W287" s="173"/>
      <c r="X287" s="173"/>
      <c r="Y287" s="173"/>
    </row>
    <row r="288">
      <c r="A288" s="173"/>
      <c r="B288" s="173"/>
      <c r="C288" s="323"/>
      <c r="D288" s="324"/>
      <c r="E288" s="173"/>
      <c r="F288" s="173"/>
      <c r="G288" s="173"/>
      <c r="H288" s="173"/>
      <c r="I288" s="173"/>
      <c r="J288" s="173"/>
      <c r="K288" s="173"/>
      <c r="L288" s="173"/>
      <c r="M288" s="173"/>
      <c r="N288" s="173"/>
      <c r="O288" s="173"/>
      <c r="P288" s="173"/>
      <c r="Q288" s="173"/>
      <c r="R288" s="173"/>
      <c r="S288" s="173"/>
      <c r="T288" s="173"/>
      <c r="U288" s="173"/>
      <c r="V288" s="173"/>
      <c r="W288" s="173"/>
      <c r="X288" s="173"/>
      <c r="Y288" s="173"/>
    </row>
    <row r="289">
      <c r="A289" s="173"/>
      <c r="B289" s="173"/>
      <c r="C289" s="323"/>
      <c r="D289" s="324"/>
      <c r="E289" s="173"/>
      <c r="F289" s="173"/>
      <c r="G289" s="173"/>
      <c r="H289" s="173"/>
      <c r="I289" s="173"/>
      <c r="J289" s="173"/>
      <c r="K289" s="173"/>
      <c r="L289" s="173"/>
      <c r="M289" s="173"/>
      <c r="N289" s="173"/>
      <c r="O289" s="173"/>
      <c r="P289" s="173"/>
      <c r="Q289" s="173"/>
      <c r="R289" s="173"/>
      <c r="S289" s="173"/>
      <c r="T289" s="173"/>
      <c r="U289" s="173"/>
      <c r="V289" s="173"/>
      <c r="W289" s="173"/>
      <c r="X289" s="173"/>
      <c r="Y289" s="173"/>
    </row>
    <row r="290">
      <c r="A290" s="173"/>
      <c r="B290" s="173"/>
      <c r="C290" s="323"/>
      <c r="D290" s="324"/>
      <c r="E290" s="173"/>
      <c r="F290" s="173"/>
      <c r="G290" s="173"/>
      <c r="H290" s="173"/>
      <c r="I290" s="173"/>
      <c r="J290" s="173"/>
      <c r="K290" s="173"/>
      <c r="L290" s="173"/>
      <c r="M290" s="173"/>
      <c r="N290" s="173"/>
      <c r="O290" s="173"/>
      <c r="P290" s="173"/>
      <c r="Q290" s="173"/>
      <c r="R290" s="173"/>
      <c r="S290" s="173"/>
      <c r="T290" s="173"/>
      <c r="U290" s="173"/>
      <c r="V290" s="173"/>
      <c r="W290" s="173"/>
      <c r="X290" s="173"/>
      <c r="Y290" s="173"/>
    </row>
    <row r="291">
      <c r="A291" s="173"/>
      <c r="B291" s="173"/>
      <c r="C291" s="323"/>
      <c r="D291" s="324"/>
      <c r="E291" s="173"/>
      <c r="F291" s="173"/>
      <c r="G291" s="173"/>
      <c r="H291" s="173"/>
      <c r="I291" s="173"/>
      <c r="J291" s="173"/>
      <c r="K291" s="173"/>
      <c r="L291" s="173"/>
      <c r="M291" s="173"/>
      <c r="N291" s="173"/>
      <c r="O291" s="173"/>
      <c r="P291" s="173"/>
      <c r="Q291" s="173"/>
      <c r="R291" s="173"/>
      <c r="S291" s="173"/>
      <c r="T291" s="173"/>
      <c r="U291" s="173"/>
      <c r="V291" s="173"/>
      <c r="W291" s="173"/>
      <c r="X291" s="173"/>
      <c r="Y291" s="173"/>
    </row>
    <row r="292">
      <c r="A292" s="173"/>
      <c r="B292" s="173"/>
      <c r="C292" s="323"/>
      <c r="D292" s="324"/>
      <c r="E292" s="173"/>
      <c r="F292" s="173"/>
      <c r="G292" s="173"/>
      <c r="H292" s="173"/>
      <c r="I292" s="173"/>
      <c r="J292" s="173"/>
      <c r="K292" s="173"/>
      <c r="L292" s="173"/>
      <c r="M292" s="173"/>
      <c r="N292" s="173"/>
      <c r="O292" s="173"/>
      <c r="P292" s="173"/>
      <c r="Q292" s="173"/>
      <c r="R292" s="173"/>
      <c r="S292" s="173"/>
      <c r="T292" s="173"/>
      <c r="U292" s="173"/>
      <c r="V292" s="173"/>
      <c r="W292" s="173"/>
      <c r="X292" s="173"/>
      <c r="Y292" s="173"/>
    </row>
    <row r="293">
      <c r="A293" s="173"/>
      <c r="B293" s="173"/>
      <c r="C293" s="323"/>
      <c r="D293" s="324"/>
      <c r="E293" s="173"/>
      <c r="F293" s="173"/>
      <c r="G293" s="173"/>
      <c r="H293" s="173"/>
      <c r="I293" s="173"/>
      <c r="J293" s="173"/>
      <c r="K293" s="173"/>
      <c r="L293" s="173"/>
      <c r="M293" s="173"/>
      <c r="N293" s="173"/>
      <c r="O293" s="173"/>
      <c r="P293" s="173"/>
      <c r="Q293" s="173"/>
      <c r="R293" s="173"/>
      <c r="S293" s="173"/>
      <c r="T293" s="173"/>
      <c r="U293" s="173"/>
      <c r="V293" s="173"/>
      <c r="W293" s="173"/>
      <c r="X293" s="173"/>
      <c r="Y293" s="173"/>
    </row>
    <row r="294">
      <c r="A294" s="173"/>
      <c r="B294" s="173"/>
      <c r="C294" s="323"/>
      <c r="D294" s="324"/>
      <c r="E294" s="173"/>
      <c r="F294" s="173"/>
      <c r="G294" s="173"/>
      <c r="H294" s="173"/>
      <c r="I294" s="173"/>
      <c r="J294" s="173"/>
      <c r="K294" s="173"/>
      <c r="L294" s="173"/>
      <c r="M294" s="173"/>
      <c r="N294" s="173"/>
      <c r="O294" s="173"/>
      <c r="P294" s="173"/>
      <c r="Q294" s="173"/>
      <c r="R294" s="173"/>
      <c r="S294" s="173"/>
      <c r="T294" s="173"/>
      <c r="U294" s="173"/>
      <c r="V294" s="173"/>
      <c r="W294" s="173"/>
      <c r="X294" s="173"/>
      <c r="Y294" s="173"/>
    </row>
    <row r="295">
      <c r="A295" s="173"/>
      <c r="B295" s="173"/>
      <c r="C295" s="323"/>
      <c r="D295" s="324"/>
      <c r="E295" s="173"/>
      <c r="F295" s="173"/>
      <c r="G295" s="173"/>
      <c r="H295" s="173"/>
      <c r="I295" s="173"/>
      <c r="J295" s="173"/>
      <c r="K295" s="173"/>
      <c r="L295" s="173"/>
      <c r="M295" s="173"/>
      <c r="N295" s="173"/>
      <c r="O295" s="173"/>
      <c r="P295" s="173"/>
      <c r="Q295" s="173"/>
      <c r="R295" s="173"/>
      <c r="S295" s="173"/>
      <c r="T295" s="173"/>
      <c r="U295" s="173"/>
      <c r="V295" s="173"/>
      <c r="W295" s="173"/>
      <c r="X295" s="173"/>
      <c r="Y295" s="173"/>
    </row>
    <row r="296">
      <c r="A296" s="173"/>
      <c r="B296" s="173"/>
      <c r="C296" s="323"/>
      <c r="D296" s="324"/>
      <c r="E296" s="173"/>
      <c r="F296" s="173"/>
      <c r="G296" s="173"/>
      <c r="H296" s="173"/>
      <c r="I296" s="173"/>
      <c r="J296" s="173"/>
      <c r="K296" s="173"/>
      <c r="L296" s="173"/>
      <c r="M296" s="173"/>
      <c r="N296" s="173"/>
      <c r="O296" s="173"/>
      <c r="P296" s="173"/>
      <c r="Q296" s="173"/>
      <c r="R296" s="173"/>
      <c r="S296" s="173"/>
      <c r="T296" s="173"/>
      <c r="U296" s="173"/>
      <c r="V296" s="173"/>
      <c r="W296" s="173"/>
      <c r="X296" s="173"/>
      <c r="Y296" s="173"/>
    </row>
    <row r="297">
      <c r="A297" s="173"/>
      <c r="B297" s="173"/>
      <c r="C297" s="323"/>
      <c r="D297" s="324"/>
      <c r="E297" s="173"/>
      <c r="F297" s="173"/>
      <c r="G297" s="173"/>
      <c r="H297" s="173"/>
      <c r="I297" s="173"/>
      <c r="J297" s="173"/>
      <c r="K297" s="173"/>
      <c r="L297" s="173"/>
      <c r="M297" s="173"/>
      <c r="N297" s="173"/>
      <c r="O297" s="173"/>
      <c r="P297" s="173"/>
      <c r="Q297" s="173"/>
      <c r="R297" s="173"/>
      <c r="S297" s="173"/>
      <c r="T297" s="173"/>
      <c r="U297" s="173"/>
      <c r="V297" s="173"/>
      <c r="W297" s="173"/>
      <c r="X297" s="173"/>
      <c r="Y297" s="173"/>
    </row>
    <row r="298">
      <c r="A298" s="173"/>
      <c r="B298" s="173"/>
      <c r="C298" s="323"/>
      <c r="D298" s="324"/>
      <c r="E298" s="173"/>
      <c r="F298" s="173"/>
      <c r="G298" s="173"/>
      <c r="H298" s="173"/>
      <c r="I298" s="173"/>
      <c r="J298" s="173"/>
      <c r="K298" s="173"/>
      <c r="L298" s="173"/>
      <c r="M298" s="173"/>
      <c r="N298" s="173"/>
      <c r="O298" s="173"/>
      <c r="P298" s="173"/>
      <c r="Q298" s="173"/>
      <c r="R298" s="173"/>
      <c r="S298" s="173"/>
      <c r="T298" s="173"/>
      <c r="U298" s="173"/>
      <c r="V298" s="173"/>
      <c r="W298" s="173"/>
      <c r="X298" s="173"/>
      <c r="Y298" s="173"/>
    </row>
    <row r="299">
      <c r="A299" s="173"/>
      <c r="B299" s="173"/>
      <c r="C299" s="323"/>
      <c r="D299" s="324"/>
      <c r="E299" s="173"/>
      <c r="F299" s="173"/>
      <c r="G299" s="173"/>
      <c r="H299" s="173"/>
      <c r="I299" s="173"/>
      <c r="J299" s="173"/>
      <c r="K299" s="173"/>
      <c r="L299" s="173"/>
      <c r="M299" s="173"/>
      <c r="N299" s="173"/>
      <c r="O299" s="173"/>
      <c r="P299" s="173"/>
      <c r="Q299" s="173"/>
      <c r="R299" s="173"/>
      <c r="S299" s="173"/>
      <c r="T299" s="173"/>
      <c r="U299" s="173"/>
      <c r="V299" s="173"/>
      <c r="W299" s="173"/>
      <c r="X299" s="173"/>
      <c r="Y299" s="173"/>
    </row>
    <row r="300">
      <c r="A300" s="173"/>
      <c r="B300" s="173"/>
      <c r="C300" s="323"/>
      <c r="D300" s="324"/>
      <c r="E300" s="173"/>
      <c r="F300" s="173"/>
      <c r="G300" s="173"/>
      <c r="H300" s="173"/>
      <c r="I300" s="173"/>
      <c r="J300" s="173"/>
      <c r="K300" s="173"/>
      <c r="L300" s="173"/>
      <c r="M300" s="173"/>
      <c r="N300" s="173"/>
      <c r="O300" s="173"/>
      <c r="P300" s="173"/>
      <c r="Q300" s="173"/>
      <c r="R300" s="173"/>
      <c r="S300" s="173"/>
      <c r="T300" s="173"/>
      <c r="U300" s="173"/>
      <c r="V300" s="173"/>
      <c r="W300" s="173"/>
      <c r="X300" s="173"/>
      <c r="Y300" s="173"/>
    </row>
    <row r="301">
      <c r="A301" s="173"/>
      <c r="B301" s="173"/>
      <c r="C301" s="323"/>
      <c r="D301" s="324"/>
      <c r="E301" s="173"/>
      <c r="F301" s="173"/>
      <c r="G301" s="173"/>
      <c r="H301" s="173"/>
      <c r="I301" s="173"/>
      <c r="J301" s="173"/>
      <c r="K301" s="173"/>
      <c r="L301" s="173"/>
      <c r="M301" s="173"/>
      <c r="N301" s="173"/>
      <c r="O301" s="173"/>
      <c r="P301" s="173"/>
      <c r="Q301" s="173"/>
      <c r="R301" s="173"/>
      <c r="S301" s="173"/>
      <c r="T301" s="173"/>
      <c r="U301" s="173"/>
      <c r="V301" s="173"/>
      <c r="W301" s="173"/>
      <c r="X301" s="173"/>
      <c r="Y301" s="173"/>
    </row>
    <row r="302">
      <c r="A302" s="173"/>
      <c r="B302" s="173"/>
      <c r="C302" s="323"/>
      <c r="D302" s="324"/>
      <c r="E302" s="173"/>
      <c r="F302" s="173"/>
      <c r="G302" s="173"/>
      <c r="H302" s="173"/>
      <c r="I302" s="173"/>
      <c r="J302" s="173"/>
      <c r="K302" s="173"/>
      <c r="L302" s="173"/>
      <c r="M302" s="173"/>
      <c r="N302" s="173"/>
      <c r="O302" s="173"/>
      <c r="P302" s="173"/>
      <c r="Q302" s="173"/>
      <c r="R302" s="173"/>
      <c r="S302" s="173"/>
      <c r="T302" s="173"/>
      <c r="U302" s="173"/>
      <c r="V302" s="173"/>
      <c r="W302" s="173"/>
      <c r="X302" s="173"/>
      <c r="Y302" s="173"/>
    </row>
    <row r="303">
      <c r="A303" s="173"/>
      <c r="B303" s="173"/>
      <c r="C303" s="323"/>
      <c r="D303" s="324"/>
      <c r="E303" s="173"/>
      <c r="F303" s="173"/>
      <c r="G303" s="173"/>
      <c r="H303" s="173"/>
      <c r="I303" s="173"/>
      <c r="J303" s="173"/>
      <c r="K303" s="173"/>
      <c r="L303" s="173"/>
      <c r="M303" s="173"/>
      <c r="N303" s="173"/>
      <c r="O303" s="173"/>
      <c r="P303" s="173"/>
      <c r="Q303" s="173"/>
      <c r="R303" s="173"/>
      <c r="S303" s="173"/>
      <c r="T303" s="173"/>
      <c r="U303" s="173"/>
      <c r="V303" s="173"/>
      <c r="W303" s="173"/>
      <c r="X303" s="173"/>
      <c r="Y303" s="173"/>
    </row>
    <row r="304">
      <c r="A304" s="173"/>
      <c r="B304" s="173"/>
      <c r="C304" s="323"/>
      <c r="D304" s="324"/>
      <c r="E304" s="173"/>
      <c r="F304" s="173"/>
      <c r="G304" s="173"/>
      <c r="H304" s="173"/>
      <c r="I304" s="173"/>
      <c r="J304" s="173"/>
      <c r="K304" s="173"/>
      <c r="L304" s="173"/>
      <c r="M304" s="173"/>
      <c r="N304" s="173"/>
      <c r="O304" s="173"/>
      <c r="P304" s="173"/>
      <c r="Q304" s="173"/>
      <c r="R304" s="173"/>
      <c r="S304" s="173"/>
      <c r="T304" s="173"/>
      <c r="U304" s="173"/>
      <c r="V304" s="173"/>
      <c r="W304" s="173"/>
      <c r="X304" s="173"/>
      <c r="Y304" s="173"/>
    </row>
    <row r="305">
      <c r="A305" s="173"/>
      <c r="B305" s="173"/>
      <c r="C305" s="323"/>
      <c r="D305" s="324"/>
      <c r="E305" s="173"/>
      <c r="F305" s="173"/>
      <c r="G305" s="173"/>
      <c r="H305" s="173"/>
      <c r="I305" s="173"/>
      <c r="J305" s="173"/>
      <c r="K305" s="173"/>
      <c r="L305" s="173"/>
      <c r="M305" s="173"/>
      <c r="N305" s="173"/>
      <c r="O305" s="173"/>
      <c r="P305" s="173"/>
      <c r="Q305" s="173"/>
      <c r="R305" s="173"/>
      <c r="S305" s="173"/>
      <c r="T305" s="173"/>
      <c r="U305" s="173"/>
      <c r="V305" s="173"/>
      <c r="W305" s="173"/>
      <c r="X305" s="173"/>
      <c r="Y305" s="173"/>
    </row>
    <row r="306">
      <c r="A306" s="173"/>
      <c r="B306" s="173"/>
      <c r="C306" s="323"/>
      <c r="D306" s="324"/>
      <c r="E306" s="173"/>
      <c r="F306" s="173"/>
      <c r="G306" s="173"/>
      <c r="H306" s="173"/>
      <c r="I306" s="173"/>
      <c r="J306" s="173"/>
      <c r="K306" s="173"/>
      <c r="L306" s="173"/>
      <c r="M306" s="173"/>
      <c r="N306" s="173"/>
      <c r="O306" s="173"/>
      <c r="P306" s="173"/>
      <c r="Q306" s="173"/>
      <c r="R306" s="173"/>
      <c r="S306" s="173"/>
      <c r="T306" s="173"/>
      <c r="U306" s="173"/>
      <c r="V306" s="173"/>
      <c r="W306" s="173"/>
      <c r="X306" s="173"/>
      <c r="Y306" s="173"/>
    </row>
    <row r="307">
      <c r="A307" s="173"/>
      <c r="B307" s="173"/>
      <c r="C307" s="323"/>
      <c r="D307" s="324"/>
      <c r="E307" s="173"/>
      <c r="F307" s="173"/>
      <c r="G307" s="173"/>
      <c r="H307" s="173"/>
      <c r="I307" s="173"/>
      <c r="J307" s="173"/>
      <c r="K307" s="173"/>
      <c r="L307" s="173"/>
      <c r="M307" s="173"/>
      <c r="N307" s="173"/>
      <c r="O307" s="173"/>
      <c r="P307" s="173"/>
      <c r="Q307" s="173"/>
      <c r="R307" s="173"/>
      <c r="S307" s="173"/>
      <c r="T307" s="173"/>
      <c r="U307" s="173"/>
      <c r="V307" s="173"/>
      <c r="W307" s="173"/>
      <c r="X307" s="173"/>
      <c r="Y307" s="173"/>
    </row>
    <row r="308">
      <c r="A308" s="173"/>
      <c r="B308" s="173"/>
      <c r="C308" s="323"/>
      <c r="D308" s="324"/>
      <c r="E308" s="173"/>
      <c r="F308" s="173"/>
      <c r="G308" s="173"/>
      <c r="H308" s="173"/>
      <c r="I308" s="173"/>
      <c r="J308" s="173"/>
      <c r="K308" s="173"/>
      <c r="L308" s="173"/>
      <c r="M308" s="173"/>
      <c r="N308" s="173"/>
      <c r="O308" s="173"/>
      <c r="P308" s="173"/>
      <c r="Q308" s="173"/>
      <c r="R308" s="173"/>
      <c r="S308" s="173"/>
      <c r="T308" s="173"/>
      <c r="U308" s="173"/>
      <c r="V308" s="173"/>
      <c r="W308" s="173"/>
      <c r="X308" s="173"/>
      <c r="Y308" s="173"/>
    </row>
    <row r="309">
      <c r="A309" s="173"/>
      <c r="B309" s="173"/>
      <c r="C309" s="323"/>
      <c r="D309" s="324"/>
      <c r="E309" s="173"/>
      <c r="F309" s="173"/>
      <c r="G309" s="173"/>
      <c r="H309" s="173"/>
      <c r="I309" s="173"/>
      <c r="J309" s="173"/>
      <c r="K309" s="173"/>
      <c r="L309" s="173"/>
      <c r="M309" s="173"/>
      <c r="N309" s="173"/>
      <c r="O309" s="173"/>
      <c r="P309" s="173"/>
      <c r="Q309" s="173"/>
      <c r="R309" s="173"/>
      <c r="S309" s="173"/>
      <c r="T309" s="173"/>
      <c r="U309" s="173"/>
      <c r="V309" s="173"/>
      <c r="W309" s="173"/>
      <c r="X309" s="173"/>
      <c r="Y309" s="173"/>
    </row>
    <row r="310">
      <c r="A310" s="173"/>
      <c r="B310" s="173"/>
      <c r="C310" s="323"/>
      <c r="D310" s="324"/>
      <c r="E310" s="173"/>
      <c r="F310" s="173"/>
      <c r="G310" s="173"/>
      <c r="H310" s="173"/>
      <c r="I310" s="173"/>
      <c r="J310" s="173"/>
      <c r="K310" s="173"/>
      <c r="L310" s="173"/>
      <c r="M310" s="173"/>
      <c r="N310" s="173"/>
      <c r="O310" s="173"/>
      <c r="P310" s="173"/>
      <c r="Q310" s="173"/>
      <c r="R310" s="173"/>
      <c r="S310" s="173"/>
      <c r="T310" s="173"/>
      <c r="U310" s="173"/>
      <c r="V310" s="173"/>
      <c r="W310" s="173"/>
      <c r="X310" s="173"/>
      <c r="Y310" s="173"/>
    </row>
    <row r="311">
      <c r="A311" s="173"/>
      <c r="B311" s="173"/>
      <c r="C311" s="323"/>
      <c r="D311" s="324"/>
      <c r="E311" s="173"/>
      <c r="F311" s="173"/>
      <c r="G311" s="173"/>
      <c r="H311" s="173"/>
      <c r="I311" s="173"/>
      <c r="J311" s="173"/>
      <c r="K311" s="173"/>
      <c r="L311" s="173"/>
      <c r="M311" s="173"/>
      <c r="N311" s="173"/>
      <c r="O311" s="173"/>
      <c r="P311" s="173"/>
      <c r="Q311" s="173"/>
      <c r="R311" s="173"/>
      <c r="S311" s="173"/>
      <c r="T311" s="173"/>
      <c r="U311" s="173"/>
      <c r="V311" s="173"/>
      <c r="W311" s="173"/>
      <c r="X311" s="173"/>
      <c r="Y311" s="173"/>
    </row>
    <row r="312">
      <c r="A312" s="173"/>
      <c r="B312" s="173"/>
      <c r="C312" s="323"/>
      <c r="D312" s="324"/>
      <c r="E312" s="173"/>
      <c r="F312" s="173"/>
      <c r="G312" s="173"/>
      <c r="H312" s="173"/>
      <c r="I312" s="173"/>
      <c r="J312" s="173"/>
      <c r="K312" s="173"/>
      <c r="L312" s="173"/>
      <c r="M312" s="173"/>
      <c r="N312" s="173"/>
      <c r="O312" s="173"/>
      <c r="P312" s="173"/>
      <c r="Q312" s="173"/>
      <c r="R312" s="173"/>
      <c r="S312" s="173"/>
      <c r="T312" s="173"/>
      <c r="U312" s="173"/>
      <c r="V312" s="173"/>
      <c r="W312" s="173"/>
      <c r="X312" s="173"/>
      <c r="Y312" s="173"/>
    </row>
    <row r="313">
      <c r="A313" s="173"/>
      <c r="B313" s="173"/>
      <c r="C313" s="323"/>
      <c r="D313" s="324"/>
      <c r="E313" s="173"/>
      <c r="F313" s="173"/>
      <c r="G313" s="173"/>
      <c r="H313" s="173"/>
      <c r="I313" s="173"/>
      <c r="J313" s="173"/>
      <c r="K313" s="173"/>
      <c r="L313" s="173"/>
      <c r="M313" s="173"/>
      <c r="N313" s="173"/>
      <c r="O313" s="173"/>
      <c r="P313" s="173"/>
      <c r="Q313" s="173"/>
      <c r="R313" s="173"/>
      <c r="S313" s="173"/>
      <c r="T313" s="173"/>
      <c r="U313" s="173"/>
      <c r="V313" s="173"/>
      <c r="W313" s="173"/>
      <c r="X313" s="173"/>
      <c r="Y313" s="173"/>
    </row>
    <row r="314">
      <c r="A314" s="173"/>
      <c r="B314" s="173"/>
      <c r="C314" s="323"/>
      <c r="D314" s="324"/>
      <c r="E314" s="173"/>
      <c r="F314" s="173"/>
      <c r="G314" s="173"/>
      <c r="H314" s="173"/>
      <c r="I314" s="173"/>
      <c r="J314" s="173"/>
      <c r="K314" s="173"/>
      <c r="L314" s="173"/>
      <c r="M314" s="173"/>
      <c r="N314" s="173"/>
      <c r="O314" s="173"/>
      <c r="P314" s="173"/>
      <c r="Q314" s="173"/>
      <c r="R314" s="173"/>
      <c r="S314" s="173"/>
      <c r="T314" s="173"/>
      <c r="U314" s="173"/>
      <c r="V314" s="173"/>
      <c r="W314" s="173"/>
      <c r="X314" s="173"/>
      <c r="Y314" s="173"/>
    </row>
    <row r="315">
      <c r="A315" s="173"/>
      <c r="B315" s="173"/>
      <c r="C315" s="323"/>
      <c r="D315" s="324"/>
      <c r="E315" s="173"/>
      <c r="F315" s="173"/>
      <c r="G315" s="173"/>
      <c r="H315" s="173"/>
      <c r="I315" s="173"/>
      <c r="J315" s="173"/>
      <c r="K315" s="173"/>
      <c r="L315" s="173"/>
      <c r="M315" s="173"/>
      <c r="N315" s="173"/>
      <c r="O315" s="173"/>
      <c r="P315" s="173"/>
      <c r="Q315" s="173"/>
      <c r="R315" s="173"/>
      <c r="S315" s="173"/>
      <c r="T315" s="173"/>
      <c r="U315" s="173"/>
      <c r="V315" s="173"/>
      <c r="W315" s="173"/>
      <c r="X315" s="173"/>
      <c r="Y315" s="173"/>
    </row>
    <row r="316">
      <c r="A316" s="173"/>
      <c r="B316" s="173"/>
      <c r="C316" s="323"/>
      <c r="D316" s="324"/>
      <c r="E316" s="173"/>
      <c r="F316" s="173"/>
      <c r="G316" s="173"/>
      <c r="H316" s="173"/>
      <c r="I316" s="173"/>
      <c r="J316" s="173"/>
      <c r="K316" s="173"/>
      <c r="L316" s="173"/>
      <c r="M316" s="173"/>
      <c r="N316" s="173"/>
      <c r="O316" s="173"/>
      <c r="P316" s="173"/>
      <c r="Q316" s="173"/>
      <c r="R316" s="173"/>
      <c r="S316" s="173"/>
      <c r="T316" s="173"/>
      <c r="U316" s="173"/>
      <c r="V316" s="173"/>
      <c r="W316" s="173"/>
      <c r="X316" s="173"/>
      <c r="Y316" s="173"/>
    </row>
    <row r="317">
      <c r="A317" s="173"/>
      <c r="B317" s="173"/>
      <c r="C317" s="323"/>
      <c r="D317" s="324"/>
      <c r="E317" s="173"/>
      <c r="F317" s="173"/>
      <c r="G317" s="173"/>
      <c r="H317" s="173"/>
      <c r="I317" s="173"/>
      <c r="J317" s="173"/>
      <c r="K317" s="173"/>
      <c r="L317" s="173"/>
      <c r="M317" s="173"/>
      <c r="N317" s="173"/>
      <c r="O317" s="173"/>
      <c r="P317" s="173"/>
      <c r="Q317" s="173"/>
      <c r="R317" s="173"/>
      <c r="S317" s="173"/>
      <c r="T317" s="173"/>
      <c r="U317" s="173"/>
      <c r="V317" s="173"/>
      <c r="W317" s="173"/>
      <c r="X317" s="173"/>
      <c r="Y317" s="173"/>
    </row>
    <row r="318">
      <c r="A318" s="173"/>
      <c r="B318" s="173"/>
      <c r="C318" s="323"/>
      <c r="D318" s="324"/>
      <c r="E318" s="173"/>
      <c r="F318" s="173"/>
      <c r="G318" s="173"/>
      <c r="H318" s="173"/>
      <c r="I318" s="173"/>
      <c r="J318" s="173"/>
      <c r="K318" s="173"/>
      <c r="L318" s="173"/>
      <c r="M318" s="173"/>
      <c r="N318" s="173"/>
      <c r="O318" s="173"/>
      <c r="P318" s="173"/>
      <c r="Q318" s="173"/>
      <c r="R318" s="173"/>
      <c r="S318" s="173"/>
      <c r="T318" s="173"/>
      <c r="U318" s="173"/>
      <c r="V318" s="173"/>
      <c r="W318" s="173"/>
      <c r="X318" s="173"/>
      <c r="Y318" s="173"/>
    </row>
    <row r="319">
      <c r="A319" s="173"/>
      <c r="B319" s="173"/>
      <c r="C319" s="323"/>
      <c r="D319" s="324"/>
      <c r="E319" s="173"/>
      <c r="F319" s="173"/>
      <c r="G319" s="173"/>
      <c r="H319" s="173"/>
      <c r="I319" s="173"/>
      <c r="J319" s="173"/>
      <c r="K319" s="173"/>
      <c r="L319" s="173"/>
      <c r="M319" s="173"/>
      <c r="N319" s="173"/>
      <c r="O319" s="173"/>
      <c r="P319" s="173"/>
      <c r="Q319" s="173"/>
      <c r="R319" s="173"/>
      <c r="S319" s="173"/>
      <c r="T319" s="173"/>
      <c r="U319" s="173"/>
      <c r="V319" s="173"/>
      <c r="W319" s="173"/>
      <c r="X319" s="173"/>
      <c r="Y319" s="173"/>
    </row>
    <row r="320">
      <c r="A320" s="173"/>
      <c r="B320" s="173"/>
      <c r="C320" s="323"/>
      <c r="D320" s="324"/>
      <c r="E320" s="173"/>
      <c r="F320" s="173"/>
      <c r="G320" s="173"/>
      <c r="H320" s="173"/>
      <c r="I320" s="173"/>
      <c r="J320" s="173"/>
      <c r="K320" s="173"/>
      <c r="L320" s="173"/>
      <c r="M320" s="173"/>
      <c r="N320" s="173"/>
      <c r="O320" s="173"/>
      <c r="P320" s="173"/>
      <c r="Q320" s="173"/>
      <c r="R320" s="173"/>
      <c r="S320" s="173"/>
      <c r="T320" s="173"/>
      <c r="U320" s="173"/>
      <c r="V320" s="173"/>
      <c r="W320" s="173"/>
      <c r="X320" s="173"/>
      <c r="Y320" s="173"/>
    </row>
    <row r="321">
      <c r="A321" s="173"/>
      <c r="B321" s="173"/>
      <c r="C321" s="323"/>
      <c r="D321" s="324"/>
      <c r="E321" s="173"/>
      <c r="F321" s="173"/>
      <c r="G321" s="173"/>
      <c r="H321" s="173"/>
      <c r="I321" s="173"/>
      <c r="J321" s="173"/>
      <c r="K321" s="173"/>
      <c r="L321" s="173"/>
      <c r="M321" s="173"/>
      <c r="N321" s="173"/>
      <c r="O321" s="173"/>
      <c r="P321" s="173"/>
      <c r="Q321" s="173"/>
      <c r="R321" s="173"/>
      <c r="S321" s="173"/>
      <c r="T321" s="173"/>
      <c r="U321" s="173"/>
      <c r="V321" s="173"/>
      <c r="W321" s="173"/>
      <c r="X321" s="173"/>
      <c r="Y321" s="173"/>
    </row>
    <row r="322">
      <c r="A322" s="173"/>
      <c r="B322" s="173"/>
      <c r="C322" s="323"/>
      <c r="D322" s="324"/>
      <c r="E322" s="173"/>
      <c r="F322" s="173"/>
      <c r="G322" s="173"/>
      <c r="H322" s="173"/>
      <c r="I322" s="173"/>
      <c r="J322" s="173"/>
      <c r="K322" s="173"/>
      <c r="L322" s="173"/>
      <c r="M322" s="173"/>
      <c r="N322" s="173"/>
      <c r="O322" s="173"/>
      <c r="P322" s="173"/>
      <c r="Q322" s="173"/>
      <c r="R322" s="173"/>
      <c r="S322" s="173"/>
      <c r="T322" s="173"/>
      <c r="U322" s="173"/>
      <c r="V322" s="173"/>
      <c r="W322" s="173"/>
      <c r="X322" s="173"/>
      <c r="Y322" s="173"/>
    </row>
    <row r="323">
      <c r="A323" s="173"/>
      <c r="B323" s="173"/>
      <c r="C323" s="323"/>
      <c r="D323" s="324"/>
      <c r="E323" s="173"/>
      <c r="F323" s="173"/>
      <c r="G323" s="173"/>
      <c r="H323" s="173"/>
      <c r="I323" s="173"/>
      <c r="J323" s="173"/>
      <c r="K323" s="173"/>
      <c r="L323" s="173"/>
      <c r="M323" s="173"/>
      <c r="N323" s="173"/>
      <c r="O323" s="173"/>
      <c r="P323" s="173"/>
      <c r="Q323" s="173"/>
      <c r="R323" s="173"/>
      <c r="S323" s="173"/>
      <c r="T323" s="173"/>
      <c r="U323" s="173"/>
      <c r="V323" s="173"/>
      <c r="W323" s="173"/>
      <c r="X323" s="173"/>
      <c r="Y323" s="173"/>
    </row>
    <row r="324">
      <c r="A324" s="173"/>
      <c r="B324" s="173"/>
      <c r="C324" s="323"/>
      <c r="D324" s="324"/>
      <c r="E324" s="173"/>
      <c r="F324" s="173"/>
      <c r="G324" s="173"/>
      <c r="H324" s="173"/>
      <c r="I324" s="173"/>
      <c r="J324" s="173"/>
      <c r="K324" s="173"/>
      <c r="L324" s="173"/>
      <c r="M324" s="173"/>
      <c r="N324" s="173"/>
      <c r="O324" s="173"/>
      <c r="P324" s="173"/>
      <c r="Q324" s="173"/>
      <c r="R324" s="173"/>
      <c r="S324" s="173"/>
      <c r="T324" s="173"/>
      <c r="U324" s="173"/>
      <c r="V324" s="173"/>
      <c r="W324" s="173"/>
      <c r="X324" s="173"/>
      <c r="Y324" s="173"/>
    </row>
    <row r="325">
      <c r="A325" s="173"/>
      <c r="B325" s="173"/>
      <c r="C325" s="323"/>
      <c r="D325" s="324"/>
      <c r="E325" s="173"/>
      <c r="F325" s="173"/>
      <c r="G325" s="173"/>
      <c r="H325" s="173"/>
      <c r="I325" s="173"/>
      <c r="J325" s="173"/>
      <c r="K325" s="173"/>
      <c r="L325" s="173"/>
      <c r="M325" s="173"/>
      <c r="N325" s="173"/>
      <c r="O325" s="173"/>
      <c r="P325" s="173"/>
      <c r="Q325" s="173"/>
      <c r="R325" s="173"/>
      <c r="S325" s="173"/>
      <c r="T325" s="173"/>
      <c r="U325" s="173"/>
      <c r="V325" s="173"/>
      <c r="W325" s="173"/>
      <c r="X325" s="173"/>
      <c r="Y325" s="173"/>
    </row>
    <row r="326">
      <c r="A326" s="173"/>
      <c r="B326" s="173"/>
      <c r="C326" s="323"/>
      <c r="D326" s="324"/>
      <c r="E326" s="173"/>
      <c r="F326" s="173"/>
      <c r="G326" s="173"/>
      <c r="H326" s="173"/>
      <c r="I326" s="173"/>
      <c r="J326" s="173"/>
      <c r="K326" s="173"/>
      <c r="L326" s="173"/>
      <c r="M326" s="173"/>
      <c r="N326" s="173"/>
      <c r="O326" s="173"/>
      <c r="P326" s="173"/>
      <c r="Q326" s="173"/>
      <c r="R326" s="173"/>
      <c r="S326" s="173"/>
      <c r="T326" s="173"/>
      <c r="U326" s="173"/>
      <c r="V326" s="173"/>
      <c r="W326" s="173"/>
      <c r="X326" s="173"/>
      <c r="Y326" s="173"/>
    </row>
    <row r="327">
      <c r="A327" s="173"/>
      <c r="B327" s="173"/>
      <c r="C327" s="323"/>
      <c r="D327" s="324"/>
      <c r="E327" s="173"/>
      <c r="F327" s="173"/>
      <c r="G327" s="173"/>
      <c r="H327" s="173"/>
      <c r="I327" s="173"/>
      <c r="J327" s="173"/>
      <c r="K327" s="173"/>
      <c r="L327" s="173"/>
      <c r="M327" s="173"/>
      <c r="N327" s="173"/>
      <c r="O327" s="173"/>
      <c r="P327" s="173"/>
      <c r="Q327" s="173"/>
      <c r="R327" s="173"/>
      <c r="S327" s="173"/>
      <c r="T327" s="173"/>
      <c r="U327" s="173"/>
      <c r="V327" s="173"/>
      <c r="W327" s="173"/>
      <c r="X327" s="173"/>
      <c r="Y327" s="173"/>
    </row>
    <row r="328">
      <c r="A328" s="173"/>
      <c r="B328" s="173"/>
      <c r="C328" s="323"/>
      <c r="D328" s="324"/>
      <c r="E328" s="173"/>
      <c r="F328" s="173"/>
      <c r="G328" s="173"/>
      <c r="H328" s="173"/>
      <c r="I328" s="173"/>
      <c r="J328" s="173"/>
      <c r="K328" s="173"/>
      <c r="L328" s="173"/>
      <c r="M328" s="173"/>
      <c r="N328" s="173"/>
      <c r="O328" s="173"/>
      <c r="P328" s="173"/>
      <c r="Q328" s="173"/>
      <c r="R328" s="173"/>
      <c r="S328" s="173"/>
      <c r="T328" s="173"/>
      <c r="U328" s="173"/>
      <c r="V328" s="173"/>
      <c r="W328" s="173"/>
      <c r="X328" s="173"/>
      <c r="Y328" s="173"/>
    </row>
    <row r="329">
      <c r="A329" s="173"/>
      <c r="B329" s="173"/>
      <c r="C329" s="323"/>
      <c r="D329" s="324"/>
      <c r="E329" s="173"/>
      <c r="F329" s="173"/>
      <c r="G329" s="173"/>
      <c r="H329" s="173"/>
      <c r="I329" s="173"/>
      <c r="J329" s="173"/>
      <c r="K329" s="173"/>
      <c r="L329" s="173"/>
      <c r="M329" s="173"/>
      <c r="N329" s="173"/>
      <c r="O329" s="173"/>
      <c r="P329" s="173"/>
      <c r="Q329" s="173"/>
      <c r="R329" s="173"/>
      <c r="S329" s="173"/>
      <c r="T329" s="173"/>
      <c r="U329" s="173"/>
      <c r="V329" s="173"/>
      <c r="W329" s="173"/>
      <c r="X329" s="173"/>
      <c r="Y329" s="173"/>
    </row>
    <row r="330">
      <c r="A330" s="173"/>
      <c r="B330" s="173"/>
      <c r="C330" s="323"/>
      <c r="D330" s="324"/>
      <c r="E330" s="173"/>
      <c r="F330" s="173"/>
      <c r="G330" s="173"/>
      <c r="H330" s="173"/>
      <c r="I330" s="173"/>
      <c r="J330" s="173"/>
      <c r="K330" s="173"/>
      <c r="L330" s="173"/>
      <c r="M330" s="173"/>
      <c r="N330" s="173"/>
      <c r="O330" s="173"/>
      <c r="P330" s="173"/>
      <c r="Q330" s="173"/>
      <c r="R330" s="173"/>
      <c r="S330" s="173"/>
      <c r="T330" s="173"/>
      <c r="U330" s="173"/>
      <c r="V330" s="173"/>
      <c r="W330" s="173"/>
      <c r="X330" s="173"/>
      <c r="Y330" s="173"/>
    </row>
    <row r="331">
      <c r="A331" s="173"/>
      <c r="B331" s="173"/>
      <c r="C331" s="323"/>
      <c r="D331" s="324"/>
      <c r="E331" s="173"/>
      <c r="F331" s="173"/>
      <c r="G331" s="173"/>
      <c r="H331" s="173"/>
      <c r="I331" s="173"/>
      <c r="J331" s="173"/>
      <c r="K331" s="173"/>
      <c r="L331" s="173"/>
      <c r="M331" s="173"/>
      <c r="N331" s="173"/>
      <c r="O331" s="173"/>
      <c r="P331" s="173"/>
      <c r="Q331" s="173"/>
      <c r="R331" s="173"/>
      <c r="S331" s="173"/>
      <c r="T331" s="173"/>
      <c r="U331" s="173"/>
      <c r="V331" s="173"/>
      <c r="W331" s="173"/>
      <c r="X331" s="173"/>
      <c r="Y331" s="173"/>
    </row>
    <row r="332">
      <c r="A332" s="173"/>
      <c r="B332" s="173"/>
      <c r="C332" s="323"/>
      <c r="D332" s="324"/>
      <c r="E332" s="173"/>
      <c r="F332" s="173"/>
      <c r="G332" s="173"/>
      <c r="H332" s="173"/>
      <c r="I332" s="173"/>
      <c r="J332" s="173"/>
      <c r="K332" s="173"/>
      <c r="L332" s="173"/>
      <c r="M332" s="173"/>
      <c r="N332" s="173"/>
      <c r="O332" s="173"/>
      <c r="P332" s="173"/>
      <c r="Q332" s="173"/>
      <c r="R332" s="173"/>
      <c r="S332" s="173"/>
      <c r="T332" s="173"/>
      <c r="U332" s="173"/>
      <c r="V332" s="173"/>
      <c r="W332" s="173"/>
      <c r="X332" s="173"/>
      <c r="Y332" s="173"/>
    </row>
    <row r="333">
      <c r="A333" s="173"/>
      <c r="B333" s="173"/>
      <c r="C333" s="323"/>
      <c r="D333" s="324"/>
      <c r="E333" s="173"/>
      <c r="F333" s="173"/>
      <c r="G333" s="173"/>
      <c r="H333" s="173"/>
      <c r="I333" s="173"/>
      <c r="J333" s="173"/>
      <c r="K333" s="173"/>
      <c r="L333" s="173"/>
      <c r="M333" s="173"/>
      <c r="N333" s="173"/>
      <c r="O333" s="173"/>
      <c r="P333" s="173"/>
      <c r="Q333" s="173"/>
      <c r="R333" s="173"/>
      <c r="S333" s="173"/>
      <c r="T333" s="173"/>
      <c r="U333" s="173"/>
      <c r="V333" s="173"/>
      <c r="W333" s="173"/>
      <c r="X333" s="173"/>
      <c r="Y333" s="173"/>
    </row>
    <row r="334">
      <c r="A334" s="173"/>
      <c r="B334" s="173"/>
      <c r="C334" s="323"/>
      <c r="D334" s="324"/>
      <c r="E334" s="173"/>
      <c r="F334" s="173"/>
      <c r="G334" s="173"/>
      <c r="H334" s="173"/>
      <c r="I334" s="173"/>
      <c r="J334" s="173"/>
      <c r="K334" s="173"/>
      <c r="L334" s="173"/>
      <c r="M334" s="173"/>
      <c r="N334" s="173"/>
      <c r="O334" s="173"/>
      <c r="P334" s="173"/>
      <c r="Q334" s="173"/>
      <c r="R334" s="173"/>
      <c r="S334" s="173"/>
      <c r="T334" s="173"/>
      <c r="U334" s="173"/>
      <c r="V334" s="173"/>
      <c r="W334" s="173"/>
      <c r="X334" s="173"/>
      <c r="Y334" s="173"/>
    </row>
    <row r="335">
      <c r="A335" s="173"/>
      <c r="B335" s="173"/>
      <c r="C335" s="323"/>
      <c r="D335" s="324"/>
      <c r="E335" s="173"/>
      <c r="F335" s="173"/>
      <c r="G335" s="173"/>
      <c r="H335" s="173"/>
      <c r="I335" s="173"/>
      <c r="J335" s="173"/>
      <c r="K335" s="173"/>
      <c r="L335" s="173"/>
      <c r="M335" s="173"/>
      <c r="N335" s="173"/>
      <c r="O335" s="173"/>
      <c r="P335" s="173"/>
      <c r="Q335" s="173"/>
      <c r="R335" s="173"/>
      <c r="S335" s="173"/>
      <c r="T335" s="173"/>
      <c r="U335" s="173"/>
      <c r="V335" s="173"/>
      <c r="W335" s="173"/>
      <c r="X335" s="173"/>
      <c r="Y335" s="173"/>
    </row>
    <row r="336">
      <c r="A336" s="173"/>
      <c r="B336" s="173"/>
      <c r="C336" s="323"/>
      <c r="D336" s="324"/>
      <c r="E336" s="173"/>
      <c r="F336" s="173"/>
      <c r="G336" s="173"/>
      <c r="H336" s="173"/>
      <c r="I336" s="173"/>
      <c r="J336" s="173"/>
      <c r="K336" s="173"/>
      <c r="L336" s="173"/>
      <c r="M336" s="173"/>
      <c r="N336" s="173"/>
      <c r="O336" s="173"/>
      <c r="P336" s="173"/>
      <c r="Q336" s="173"/>
      <c r="R336" s="173"/>
      <c r="S336" s="173"/>
      <c r="T336" s="173"/>
      <c r="U336" s="173"/>
      <c r="V336" s="173"/>
      <c r="W336" s="173"/>
      <c r="X336" s="173"/>
      <c r="Y336" s="173"/>
    </row>
    <row r="337">
      <c r="A337" s="173"/>
      <c r="B337" s="173"/>
      <c r="C337" s="323"/>
      <c r="D337" s="324"/>
      <c r="E337" s="173"/>
      <c r="F337" s="173"/>
      <c r="G337" s="173"/>
      <c r="H337" s="173"/>
      <c r="I337" s="173"/>
      <c r="J337" s="173"/>
      <c r="K337" s="173"/>
      <c r="L337" s="173"/>
      <c r="M337" s="173"/>
      <c r="N337" s="173"/>
      <c r="O337" s="173"/>
      <c r="P337" s="173"/>
      <c r="Q337" s="173"/>
      <c r="R337" s="173"/>
      <c r="S337" s="173"/>
      <c r="T337" s="173"/>
      <c r="U337" s="173"/>
      <c r="V337" s="173"/>
      <c r="W337" s="173"/>
      <c r="X337" s="173"/>
      <c r="Y337" s="173"/>
    </row>
    <row r="338">
      <c r="A338" s="173"/>
      <c r="B338" s="173"/>
      <c r="C338" s="323"/>
      <c r="D338" s="324"/>
      <c r="E338" s="173"/>
      <c r="F338" s="173"/>
      <c r="G338" s="173"/>
      <c r="H338" s="173"/>
      <c r="I338" s="173"/>
      <c r="J338" s="173"/>
      <c r="K338" s="173"/>
      <c r="L338" s="173"/>
      <c r="M338" s="173"/>
      <c r="N338" s="173"/>
      <c r="O338" s="173"/>
      <c r="P338" s="173"/>
      <c r="Q338" s="173"/>
      <c r="R338" s="173"/>
      <c r="S338" s="173"/>
      <c r="T338" s="173"/>
      <c r="U338" s="173"/>
      <c r="V338" s="173"/>
      <c r="W338" s="173"/>
      <c r="X338" s="173"/>
      <c r="Y338" s="173"/>
    </row>
    <row r="339">
      <c r="A339" s="173"/>
      <c r="B339" s="173"/>
      <c r="C339" s="323"/>
      <c r="D339" s="324"/>
      <c r="E339" s="173"/>
      <c r="F339" s="173"/>
      <c r="G339" s="173"/>
      <c r="H339" s="173"/>
      <c r="I339" s="173"/>
      <c r="J339" s="173"/>
      <c r="K339" s="173"/>
      <c r="L339" s="173"/>
      <c r="M339" s="173"/>
      <c r="N339" s="173"/>
      <c r="O339" s="173"/>
      <c r="P339" s="173"/>
      <c r="Q339" s="173"/>
      <c r="R339" s="173"/>
      <c r="S339" s="173"/>
      <c r="T339" s="173"/>
      <c r="U339" s="173"/>
      <c r="V339" s="173"/>
      <c r="W339" s="173"/>
      <c r="X339" s="173"/>
      <c r="Y339" s="173"/>
    </row>
    <row r="340">
      <c r="A340" s="173"/>
      <c r="B340" s="173"/>
      <c r="C340" s="323"/>
      <c r="D340" s="324"/>
      <c r="E340" s="173"/>
      <c r="F340" s="173"/>
      <c r="G340" s="173"/>
      <c r="H340" s="173"/>
      <c r="I340" s="173"/>
      <c r="J340" s="173"/>
      <c r="K340" s="173"/>
      <c r="L340" s="173"/>
      <c r="M340" s="173"/>
      <c r="N340" s="173"/>
      <c r="O340" s="173"/>
      <c r="P340" s="173"/>
      <c r="Q340" s="173"/>
      <c r="R340" s="173"/>
      <c r="S340" s="173"/>
      <c r="T340" s="173"/>
      <c r="U340" s="173"/>
      <c r="V340" s="173"/>
      <c r="W340" s="173"/>
      <c r="X340" s="173"/>
      <c r="Y340" s="173"/>
    </row>
    <row r="341">
      <c r="A341" s="173"/>
      <c r="B341" s="173"/>
      <c r="C341" s="323"/>
      <c r="D341" s="324"/>
      <c r="E341" s="173"/>
      <c r="F341" s="173"/>
      <c r="G341" s="173"/>
      <c r="H341" s="173"/>
      <c r="I341" s="173"/>
      <c r="J341" s="173"/>
      <c r="K341" s="173"/>
      <c r="L341" s="173"/>
      <c r="M341" s="173"/>
      <c r="N341" s="173"/>
      <c r="O341" s="173"/>
      <c r="P341" s="173"/>
      <c r="Q341" s="173"/>
      <c r="R341" s="173"/>
      <c r="S341" s="173"/>
      <c r="T341" s="173"/>
      <c r="U341" s="173"/>
      <c r="V341" s="173"/>
      <c r="W341" s="173"/>
      <c r="X341" s="173"/>
      <c r="Y341" s="173"/>
    </row>
    <row r="342">
      <c r="A342" s="173"/>
      <c r="B342" s="173"/>
      <c r="C342" s="323"/>
      <c r="D342" s="324"/>
      <c r="E342" s="173"/>
      <c r="F342" s="173"/>
      <c r="G342" s="173"/>
      <c r="H342" s="173"/>
      <c r="I342" s="173"/>
      <c r="J342" s="173"/>
      <c r="K342" s="173"/>
      <c r="L342" s="173"/>
      <c r="M342" s="173"/>
      <c r="N342" s="173"/>
      <c r="O342" s="173"/>
      <c r="P342" s="173"/>
      <c r="Q342" s="173"/>
      <c r="R342" s="173"/>
      <c r="S342" s="173"/>
      <c r="T342" s="173"/>
      <c r="U342" s="173"/>
      <c r="V342" s="173"/>
      <c r="W342" s="173"/>
      <c r="X342" s="173"/>
      <c r="Y342" s="173"/>
    </row>
    <row r="343">
      <c r="A343" s="173"/>
      <c r="B343" s="173"/>
      <c r="C343" s="323"/>
      <c r="D343" s="324"/>
      <c r="E343" s="173"/>
      <c r="F343" s="173"/>
      <c r="G343" s="173"/>
      <c r="H343" s="173"/>
      <c r="I343" s="173"/>
      <c r="J343" s="173"/>
      <c r="K343" s="173"/>
      <c r="L343" s="173"/>
      <c r="M343" s="173"/>
      <c r="N343" s="173"/>
      <c r="O343" s="173"/>
      <c r="P343" s="173"/>
      <c r="Q343" s="173"/>
      <c r="R343" s="173"/>
      <c r="S343" s="173"/>
      <c r="T343" s="173"/>
      <c r="U343" s="173"/>
      <c r="V343" s="173"/>
      <c r="W343" s="173"/>
      <c r="X343" s="173"/>
      <c r="Y343" s="173"/>
    </row>
    <row r="344">
      <c r="A344" s="173"/>
      <c r="B344" s="173"/>
      <c r="C344" s="323"/>
      <c r="D344" s="324"/>
      <c r="E344" s="173"/>
      <c r="F344" s="173"/>
      <c r="G344" s="173"/>
      <c r="H344" s="173"/>
      <c r="I344" s="173"/>
      <c r="J344" s="173"/>
      <c r="K344" s="173"/>
      <c r="L344" s="173"/>
      <c r="M344" s="173"/>
      <c r="N344" s="173"/>
      <c r="O344" s="173"/>
      <c r="P344" s="173"/>
      <c r="Q344" s="173"/>
      <c r="R344" s="173"/>
      <c r="S344" s="173"/>
      <c r="T344" s="173"/>
      <c r="U344" s="173"/>
      <c r="V344" s="173"/>
      <c r="W344" s="173"/>
      <c r="X344" s="173"/>
      <c r="Y344" s="173"/>
    </row>
    <row r="345">
      <c r="A345" s="173"/>
      <c r="B345" s="173"/>
      <c r="C345" s="323"/>
      <c r="D345" s="324"/>
      <c r="E345" s="173"/>
      <c r="F345" s="173"/>
      <c r="G345" s="173"/>
      <c r="H345" s="173"/>
      <c r="I345" s="173"/>
      <c r="J345" s="173"/>
      <c r="K345" s="173"/>
      <c r="L345" s="173"/>
      <c r="M345" s="173"/>
      <c r="N345" s="173"/>
      <c r="O345" s="173"/>
      <c r="P345" s="173"/>
      <c r="Q345" s="173"/>
      <c r="R345" s="173"/>
      <c r="S345" s="173"/>
      <c r="T345" s="173"/>
      <c r="U345" s="173"/>
      <c r="V345" s="173"/>
      <c r="W345" s="173"/>
      <c r="X345" s="173"/>
      <c r="Y345" s="173"/>
    </row>
    <row r="346">
      <c r="A346" s="173"/>
      <c r="B346" s="173"/>
      <c r="C346" s="323"/>
      <c r="D346" s="324"/>
      <c r="E346" s="173"/>
      <c r="F346" s="173"/>
      <c r="G346" s="173"/>
      <c r="H346" s="173"/>
      <c r="I346" s="173"/>
      <c r="J346" s="173"/>
      <c r="K346" s="173"/>
      <c r="L346" s="173"/>
      <c r="M346" s="173"/>
      <c r="N346" s="173"/>
      <c r="O346" s="173"/>
      <c r="P346" s="173"/>
      <c r="Q346" s="173"/>
      <c r="R346" s="173"/>
      <c r="S346" s="173"/>
      <c r="T346" s="173"/>
      <c r="U346" s="173"/>
      <c r="V346" s="173"/>
      <c r="W346" s="173"/>
      <c r="X346" s="173"/>
      <c r="Y346" s="173"/>
    </row>
    <row r="347">
      <c r="A347" s="173"/>
      <c r="B347" s="173"/>
      <c r="C347" s="323"/>
      <c r="D347" s="324"/>
      <c r="E347" s="173"/>
      <c r="F347" s="173"/>
      <c r="G347" s="173"/>
      <c r="H347" s="173"/>
      <c r="I347" s="173"/>
      <c r="J347" s="173"/>
      <c r="K347" s="173"/>
      <c r="L347" s="173"/>
      <c r="M347" s="173"/>
      <c r="N347" s="173"/>
      <c r="O347" s="173"/>
      <c r="P347" s="173"/>
      <c r="Q347" s="173"/>
      <c r="R347" s="173"/>
      <c r="S347" s="173"/>
      <c r="T347" s="173"/>
      <c r="U347" s="173"/>
      <c r="V347" s="173"/>
      <c r="W347" s="173"/>
      <c r="X347" s="173"/>
      <c r="Y347" s="173"/>
    </row>
    <row r="348">
      <c r="A348" s="173"/>
      <c r="B348" s="173"/>
      <c r="C348" s="323"/>
      <c r="D348" s="324"/>
      <c r="E348" s="173"/>
      <c r="F348" s="173"/>
      <c r="G348" s="173"/>
      <c r="H348" s="173"/>
      <c r="I348" s="173"/>
      <c r="J348" s="173"/>
      <c r="K348" s="173"/>
      <c r="L348" s="173"/>
      <c r="M348" s="173"/>
      <c r="N348" s="173"/>
      <c r="O348" s="173"/>
      <c r="P348" s="173"/>
      <c r="Q348" s="173"/>
      <c r="R348" s="173"/>
      <c r="S348" s="173"/>
      <c r="T348" s="173"/>
      <c r="U348" s="173"/>
      <c r="V348" s="173"/>
      <c r="W348" s="173"/>
      <c r="X348" s="173"/>
      <c r="Y348" s="173"/>
    </row>
    <row r="349">
      <c r="A349" s="173"/>
      <c r="B349" s="173"/>
      <c r="C349" s="323"/>
      <c r="D349" s="324"/>
      <c r="E349" s="173"/>
      <c r="F349" s="173"/>
      <c r="G349" s="173"/>
      <c r="H349" s="173"/>
      <c r="I349" s="173"/>
      <c r="J349" s="173"/>
      <c r="K349" s="173"/>
      <c r="L349" s="173"/>
      <c r="M349" s="173"/>
      <c r="N349" s="173"/>
      <c r="O349" s="173"/>
      <c r="P349" s="173"/>
      <c r="Q349" s="173"/>
      <c r="R349" s="173"/>
      <c r="S349" s="173"/>
      <c r="T349" s="173"/>
      <c r="U349" s="173"/>
      <c r="V349" s="173"/>
      <c r="W349" s="173"/>
      <c r="X349" s="173"/>
      <c r="Y349" s="173"/>
    </row>
    <row r="350">
      <c r="A350" s="173"/>
      <c r="B350" s="173"/>
      <c r="C350" s="323"/>
      <c r="D350" s="324"/>
      <c r="E350" s="173"/>
      <c r="F350" s="173"/>
      <c r="G350" s="173"/>
      <c r="H350" s="173"/>
      <c r="I350" s="173"/>
      <c r="J350" s="173"/>
      <c r="K350" s="173"/>
      <c r="L350" s="173"/>
      <c r="M350" s="173"/>
      <c r="N350" s="173"/>
      <c r="O350" s="173"/>
      <c r="P350" s="173"/>
      <c r="Q350" s="173"/>
      <c r="R350" s="173"/>
      <c r="S350" s="173"/>
      <c r="T350" s="173"/>
      <c r="U350" s="173"/>
      <c r="V350" s="173"/>
      <c r="W350" s="173"/>
      <c r="X350" s="173"/>
      <c r="Y350" s="173"/>
    </row>
    <row r="351">
      <c r="A351" s="173"/>
      <c r="B351" s="173"/>
      <c r="C351" s="323"/>
      <c r="D351" s="324"/>
      <c r="E351" s="173"/>
      <c r="F351" s="173"/>
      <c r="G351" s="173"/>
      <c r="H351" s="173"/>
      <c r="I351" s="173"/>
      <c r="J351" s="173"/>
      <c r="K351" s="173"/>
      <c r="L351" s="173"/>
      <c r="M351" s="173"/>
      <c r="N351" s="173"/>
      <c r="O351" s="173"/>
      <c r="P351" s="173"/>
      <c r="Q351" s="173"/>
      <c r="R351" s="173"/>
      <c r="S351" s="173"/>
      <c r="T351" s="173"/>
      <c r="U351" s="173"/>
      <c r="V351" s="173"/>
      <c r="W351" s="173"/>
      <c r="X351" s="173"/>
      <c r="Y351" s="173"/>
    </row>
    <row r="352">
      <c r="A352" s="173"/>
      <c r="B352" s="173"/>
      <c r="C352" s="323"/>
      <c r="D352" s="324"/>
      <c r="E352" s="173"/>
      <c r="F352" s="173"/>
      <c r="G352" s="173"/>
      <c r="H352" s="173"/>
      <c r="I352" s="173"/>
      <c r="J352" s="173"/>
      <c r="K352" s="173"/>
      <c r="L352" s="173"/>
      <c r="M352" s="173"/>
      <c r="N352" s="173"/>
      <c r="O352" s="173"/>
      <c r="P352" s="173"/>
      <c r="Q352" s="173"/>
      <c r="R352" s="173"/>
      <c r="S352" s="173"/>
      <c r="T352" s="173"/>
      <c r="U352" s="173"/>
      <c r="V352" s="173"/>
      <c r="W352" s="173"/>
      <c r="X352" s="173"/>
      <c r="Y352" s="173"/>
    </row>
    <row r="353">
      <c r="A353" s="173"/>
      <c r="B353" s="173"/>
      <c r="C353" s="323"/>
      <c r="D353" s="324"/>
      <c r="E353" s="173"/>
      <c r="F353" s="173"/>
      <c r="G353" s="173"/>
      <c r="H353" s="173"/>
      <c r="I353" s="173"/>
      <c r="J353" s="173"/>
      <c r="K353" s="173"/>
      <c r="L353" s="173"/>
      <c r="M353" s="173"/>
      <c r="N353" s="173"/>
      <c r="O353" s="173"/>
      <c r="P353" s="173"/>
      <c r="Q353" s="173"/>
      <c r="R353" s="173"/>
      <c r="S353" s="173"/>
      <c r="T353" s="173"/>
      <c r="U353" s="173"/>
      <c r="V353" s="173"/>
      <c r="W353" s="173"/>
      <c r="X353" s="173"/>
      <c r="Y353" s="173"/>
    </row>
    <row r="354">
      <c r="A354" s="173"/>
      <c r="B354" s="173"/>
      <c r="C354" s="323"/>
      <c r="D354" s="324"/>
      <c r="E354" s="173"/>
      <c r="F354" s="173"/>
      <c r="G354" s="173"/>
      <c r="H354" s="173"/>
      <c r="I354" s="173"/>
      <c r="J354" s="173"/>
      <c r="K354" s="173"/>
      <c r="L354" s="173"/>
      <c r="M354" s="173"/>
      <c r="N354" s="173"/>
      <c r="O354" s="173"/>
      <c r="P354" s="173"/>
      <c r="Q354" s="173"/>
      <c r="R354" s="173"/>
      <c r="S354" s="173"/>
      <c r="T354" s="173"/>
      <c r="U354" s="173"/>
      <c r="V354" s="173"/>
      <c r="W354" s="173"/>
      <c r="X354" s="173"/>
      <c r="Y354" s="173"/>
    </row>
    <row r="355">
      <c r="A355" s="173"/>
      <c r="B355" s="173"/>
      <c r="C355" s="323"/>
      <c r="D355" s="324"/>
      <c r="E355" s="173"/>
      <c r="F355" s="173"/>
      <c r="G355" s="173"/>
      <c r="H355" s="173"/>
      <c r="I355" s="173"/>
      <c r="J355" s="173"/>
      <c r="K355" s="173"/>
      <c r="L355" s="173"/>
      <c r="M355" s="173"/>
      <c r="N355" s="173"/>
      <c r="O355" s="173"/>
      <c r="P355" s="173"/>
      <c r="Q355" s="173"/>
      <c r="R355" s="173"/>
      <c r="S355" s="173"/>
      <c r="T355" s="173"/>
      <c r="U355" s="173"/>
      <c r="V355" s="173"/>
      <c r="W355" s="173"/>
      <c r="X355" s="173"/>
      <c r="Y355" s="173"/>
    </row>
    <row r="356">
      <c r="A356" s="173"/>
      <c r="B356" s="173"/>
      <c r="C356" s="323"/>
      <c r="D356" s="324"/>
      <c r="E356" s="173"/>
      <c r="F356" s="173"/>
      <c r="G356" s="173"/>
      <c r="H356" s="173"/>
      <c r="I356" s="173"/>
      <c r="J356" s="173"/>
      <c r="K356" s="173"/>
      <c r="L356" s="173"/>
      <c r="M356" s="173"/>
      <c r="N356" s="173"/>
      <c r="O356" s="173"/>
      <c r="P356" s="173"/>
      <c r="Q356" s="173"/>
      <c r="R356" s="173"/>
      <c r="S356" s="173"/>
      <c r="T356" s="173"/>
      <c r="U356" s="173"/>
      <c r="V356" s="173"/>
      <c r="W356" s="173"/>
      <c r="X356" s="173"/>
      <c r="Y356" s="173"/>
    </row>
    <row r="357">
      <c r="A357" s="173"/>
      <c r="B357" s="173"/>
      <c r="C357" s="323"/>
      <c r="D357" s="324"/>
      <c r="E357" s="173"/>
      <c r="F357" s="173"/>
      <c r="G357" s="173"/>
      <c r="H357" s="173"/>
      <c r="I357" s="173"/>
      <c r="J357" s="173"/>
      <c r="K357" s="173"/>
      <c r="L357" s="173"/>
      <c r="M357" s="173"/>
      <c r="N357" s="173"/>
      <c r="O357" s="173"/>
      <c r="P357" s="173"/>
      <c r="Q357" s="173"/>
      <c r="R357" s="173"/>
      <c r="S357" s="173"/>
      <c r="T357" s="173"/>
      <c r="U357" s="173"/>
      <c r="V357" s="173"/>
      <c r="W357" s="173"/>
      <c r="X357" s="173"/>
      <c r="Y357" s="173"/>
    </row>
    <row r="358">
      <c r="A358" s="173"/>
      <c r="B358" s="173"/>
      <c r="C358" s="323"/>
      <c r="D358" s="324"/>
      <c r="E358" s="173"/>
      <c r="F358" s="173"/>
      <c r="G358" s="173"/>
      <c r="H358" s="173"/>
      <c r="I358" s="173"/>
      <c r="J358" s="173"/>
      <c r="K358" s="173"/>
      <c r="L358" s="173"/>
      <c r="M358" s="173"/>
      <c r="N358" s="173"/>
      <c r="O358" s="173"/>
      <c r="P358" s="173"/>
      <c r="Q358" s="173"/>
      <c r="R358" s="173"/>
      <c r="S358" s="173"/>
      <c r="T358" s="173"/>
      <c r="U358" s="173"/>
      <c r="V358" s="173"/>
      <c r="W358" s="173"/>
      <c r="X358" s="173"/>
      <c r="Y358" s="173"/>
    </row>
    <row r="359">
      <c r="A359" s="173"/>
      <c r="B359" s="173"/>
      <c r="C359" s="323"/>
      <c r="D359" s="324"/>
      <c r="E359" s="173"/>
      <c r="F359" s="173"/>
      <c r="G359" s="173"/>
      <c r="H359" s="173"/>
      <c r="I359" s="173"/>
      <c r="J359" s="173"/>
      <c r="K359" s="173"/>
      <c r="L359" s="173"/>
      <c r="M359" s="173"/>
      <c r="N359" s="173"/>
      <c r="O359" s="173"/>
      <c r="P359" s="173"/>
      <c r="Q359" s="173"/>
      <c r="R359" s="173"/>
      <c r="S359" s="173"/>
      <c r="T359" s="173"/>
      <c r="U359" s="173"/>
      <c r="V359" s="173"/>
      <c r="W359" s="173"/>
      <c r="X359" s="173"/>
      <c r="Y359" s="173"/>
    </row>
    <row r="360">
      <c r="A360" s="173"/>
      <c r="B360" s="173"/>
      <c r="C360" s="323"/>
      <c r="D360" s="324"/>
      <c r="E360" s="173"/>
      <c r="F360" s="173"/>
      <c r="G360" s="173"/>
      <c r="H360" s="173"/>
      <c r="I360" s="173"/>
      <c r="J360" s="173"/>
      <c r="K360" s="173"/>
      <c r="L360" s="173"/>
      <c r="M360" s="173"/>
      <c r="N360" s="173"/>
      <c r="O360" s="173"/>
      <c r="P360" s="173"/>
      <c r="Q360" s="173"/>
      <c r="R360" s="173"/>
      <c r="S360" s="173"/>
      <c r="T360" s="173"/>
      <c r="U360" s="173"/>
      <c r="V360" s="173"/>
      <c r="W360" s="173"/>
      <c r="X360" s="173"/>
      <c r="Y360" s="173"/>
    </row>
    <row r="361">
      <c r="A361" s="173"/>
      <c r="B361" s="173"/>
      <c r="C361" s="323"/>
      <c r="D361" s="324"/>
      <c r="E361" s="173"/>
      <c r="F361" s="173"/>
      <c r="G361" s="173"/>
      <c r="H361" s="173"/>
      <c r="I361" s="173"/>
      <c r="J361" s="173"/>
      <c r="K361" s="173"/>
      <c r="L361" s="173"/>
      <c r="M361" s="173"/>
      <c r="N361" s="173"/>
      <c r="O361" s="173"/>
      <c r="P361" s="173"/>
      <c r="Q361" s="173"/>
      <c r="R361" s="173"/>
      <c r="S361" s="173"/>
      <c r="T361" s="173"/>
      <c r="U361" s="173"/>
      <c r="V361" s="173"/>
      <c r="W361" s="173"/>
      <c r="X361" s="173"/>
      <c r="Y361" s="173"/>
    </row>
    <row r="362">
      <c r="A362" s="173"/>
      <c r="B362" s="173"/>
      <c r="C362" s="323"/>
      <c r="D362" s="324"/>
      <c r="E362" s="173"/>
      <c r="F362" s="173"/>
      <c r="G362" s="173"/>
      <c r="H362" s="173"/>
      <c r="I362" s="173"/>
      <c r="J362" s="173"/>
      <c r="K362" s="173"/>
      <c r="L362" s="173"/>
      <c r="M362" s="173"/>
      <c r="N362" s="173"/>
      <c r="O362" s="173"/>
      <c r="P362" s="173"/>
      <c r="Q362" s="173"/>
      <c r="R362" s="173"/>
      <c r="S362" s="173"/>
      <c r="T362" s="173"/>
      <c r="U362" s="173"/>
      <c r="V362" s="173"/>
      <c r="W362" s="173"/>
      <c r="X362" s="173"/>
      <c r="Y362" s="173"/>
    </row>
    <row r="363">
      <c r="A363" s="173"/>
      <c r="B363" s="173"/>
      <c r="C363" s="323"/>
      <c r="D363" s="324"/>
      <c r="E363" s="173"/>
      <c r="F363" s="173"/>
      <c r="G363" s="173"/>
      <c r="H363" s="173"/>
      <c r="I363" s="173"/>
      <c r="J363" s="173"/>
      <c r="K363" s="173"/>
      <c r="L363" s="173"/>
      <c r="M363" s="173"/>
      <c r="N363" s="173"/>
      <c r="O363" s="173"/>
      <c r="P363" s="173"/>
      <c r="Q363" s="173"/>
      <c r="R363" s="173"/>
      <c r="S363" s="173"/>
      <c r="T363" s="173"/>
      <c r="U363" s="173"/>
      <c r="V363" s="173"/>
      <c r="W363" s="173"/>
      <c r="X363" s="173"/>
      <c r="Y363" s="173"/>
    </row>
    <row r="364">
      <c r="A364" s="173"/>
      <c r="B364" s="173"/>
      <c r="C364" s="323"/>
      <c r="D364" s="324"/>
      <c r="E364" s="173"/>
      <c r="F364" s="173"/>
      <c r="G364" s="173"/>
      <c r="H364" s="173"/>
      <c r="I364" s="173"/>
      <c r="J364" s="173"/>
      <c r="K364" s="173"/>
      <c r="L364" s="173"/>
      <c r="M364" s="173"/>
      <c r="N364" s="173"/>
      <c r="O364" s="173"/>
      <c r="P364" s="173"/>
      <c r="Q364" s="173"/>
      <c r="R364" s="173"/>
      <c r="S364" s="173"/>
      <c r="T364" s="173"/>
      <c r="U364" s="173"/>
      <c r="V364" s="173"/>
      <c r="W364" s="173"/>
      <c r="X364" s="173"/>
      <c r="Y364" s="173"/>
    </row>
    <row r="365">
      <c r="A365" s="173"/>
      <c r="B365" s="173"/>
      <c r="C365" s="323"/>
      <c r="D365" s="324"/>
      <c r="E365" s="173"/>
      <c r="F365" s="173"/>
      <c r="G365" s="173"/>
      <c r="H365" s="173"/>
      <c r="I365" s="173"/>
      <c r="J365" s="173"/>
      <c r="K365" s="173"/>
      <c r="L365" s="173"/>
      <c r="M365" s="173"/>
      <c r="N365" s="173"/>
      <c r="O365" s="173"/>
      <c r="P365" s="173"/>
      <c r="Q365" s="173"/>
      <c r="R365" s="173"/>
      <c r="S365" s="173"/>
      <c r="T365" s="173"/>
      <c r="U365" s="173"/>
      <c r="V365" s="173"/>
      <c r="W365" s="173"/>
      <c r="X365" s="173"/>
      <c r="Y365" s="173"/>
    </row>
    <row r="366">
      <c r="A366" s="173"/>
      <c r="B366" s="173"/>
      <c r="C366" s="323"/>
      <c r="D366" s="324"/>
      <c r="E366" s="173"/>
      <c r="F366" s="173"/>
      <c r="G366" s="173"/>
      <c r="H366" s="173"/>
      <c r="I366" s="173"/>
      <c r="J366" s="173"/>
      <c r="K366" s="173"/>
      <c r="L366" s="173"/>
      <c r="M366" s="173"/>
      <c r="N366" s="173"/>
      <c r="O366" s="173"/>
      <c r="P366" s="173"/>
      <c r="Q366" s="173"/>
      <c r="R366" s="173"/>
      <c r="S366" s="173"/>
      <c r="T366" s="173"/>
      <c r="U366" s="173"/>
      <c r="V366" s="173"/>
      <c r="W366" s="173"/>
      <c r="X366" s="173"/>
      <c r="Y366" s="173"/>
    </row>
    <row r="367">
      <c r="A367" s="173"/>
      <c r="B367" s="173"/>
      <c r="C367" s="323"/>
      <c r="D367" s="324"/>
      <c r="E367" s="173"/>
      <c r="F367" s="173"/>
      <c r="G367" s="173"/>
      <c r="H367" s="173"/>
      <c r="I367" s="173"/>
      <c r="J367" s="173"/>
      <c r="K367" s="173"/>
      <c r="L367" s="173"/>
      <c r="M367" s="173"/>
      <c r="N367" s="173"/>
      <c r="O367" s="173"/>
      <c r="P367" s="173"/>
      <c r="Q367" s="173"/>
      <c r="R367" s="173"/>
      <c r="S367" s="173"/>
      <c r="T367" s="173"/>
      <c r="U367" s="173"/>
      <c r="V367" s="173"/>
      <c r="W367" s="173"/>
      <c r="X367" s="173"/>
      <c r="Y367" s="173"/>
    </row>
    <row r="368">
      <c r="A368" s="173"/>
      <c r="B368" s="173"/>
      <c r="C368" s="323"/>
      <c r="D368" s="324"/>
      <c r="E368" s="173"/>
      <c r="F368" s="173"/>
      <c r="G368" s="173"/>
      <c r="H368" s="173"/>
      <c r="I368" s="173"/>
      <c r="J368" s="173"/>
      <c r="K368" s="173"/>
      <c r="L368" s="173"/>
      <c r="M368" s="173"/>
      <c r="N368" s="173"/>
      <c r="O368" s="173"/>
      <c r="P368" s="173"/>
      <c r="Q368" s="173"/>
      <c r="R368" s="173"/>
      <c r="S368" s="173"/>
      <c r="T368" s="173"/>
      <c r="U368" s="173"/>
      <c r="V368" s="173"/>
      <c r="W368" s="173"/>
      <c r="X368" s="173"/>
      <c r="Y368" s="173"/>
    </row>
    <row r="369">
      <c r="A369" s="173"/>
      <c r="B369" s="173"/>
      <c r="C369" s="323"/>
      <c r="D369" s="324"/>
      <c r="E369" s="173"/>
      <c r="F369" s="173"/>
      <c r="G369" s="173"/>
      <c r="H369" s="173"/>
      <c r="I369" s="173"/>
      <c r="J369" s="173"/>
      <c r="K369" s="173"/>
      <c r="L369" s="173"/>
      <c r="M369" s="173"/>
      <c r="N369" s="173"/>
      <c r="O369" s="173"/>
      <c r="P369" s="173"/>
      <c r="Q369" s="173"/>
      <c r="R369" s="173"/>
      <c r="S369" s="173"/>
      <c r="T369" s="173"/>
      <c r="U369" s="173"/>
      <c r="V369" s="173"/>
      <c r="W369" s="173"/>
      <c r="X369" s="173"/>
      <c r="Y369" s="173"/>
    </row>
    <row r="370">
      <c r="A370" s="173"/>
      <c r="B370" s="173"/>
      <c r="C370" s="323"/>
      <c r="D370" s="324"/>
      <c r="E370" s="173"/>
      <c r="F370" s="173"/>
      <c r="G370" s="173"/>
      <c r="H370" s="173"/>
      <c r="I370" s="173"/>
      <c r="J370" s="173"/>
      <c r="K370" s="173"/>
      <c r="L370" s="173"/>
      <c r="M370" s="173"/>
      <c r="N370" s="173"/>
      <c r="O370" s="173"/>
      <c r="P370" s="173"/>
      <c r="Q370" s="173"/>
      <c r="R370" s="173"/>
      <c r="S370" s="173"/>
      <c r="T370" s="173"/>
      <c r="U370" s="173"/>
      <c r="V370" s="173"/>
      <c r="W370" s="173"/>
      <c r="X370" s="173"/>
      <c r="Y370" s="173"/>
    </row>
    <row r="371">
      <c r="A371" s="173"/>
      <c r="B371" s="173"/>
      <c r="C371" s="323"/>
      <c r="D371" s="324"/>
      <c r="E371" s="173"/>
      <c r="F371" s="173"/>
      <c r="G371" s="173"/>
      <c r="H371" s="173"/>
      <c r="I371" s="173"/>
      <c r="J371" s="173"/>
      <c r="K371" s="173"/>
      <c r="L371" s="173"/>
      <c r="M371" s="173"/>
      <c r="N371" s="173"/>
      <c r="O371" s="173"/>
      <c r="P371" s="173"/>
      <c r="Q371" s="173"/>
      <c r="R371" s="173"/>
      <c r="S371" s="173"/>
      <c r="T371" s="173"/>
      <c r="U371" s="173"/>
      <c r="V371" s="173"/>
      <c r="W371" s="173"/>
      <c r="X371" s="173"/>
      <c r="Y371" s="173"/>
    </row>
    <row r="372">
      <c r="A372" s="173"/>
      <c r="B372" s="173"/>
      <c r="C372" s="323"/>
      <c r="D372" s="324"/>
      <c r="E372" s="173"/>
      <c r="F372" s="173"/>
      <c r="G372" s="173"/>
      <c r="H372" s="173"/>
      <c r="I372" s="173"/>
      <c r="J372" s="173"/>
      <c r="K372" s="173"/>
      <c r="L372" s="173"/>
      <c r="M372" s="173"/>
      <c r="N372" s="173"/>
      <c r="O372" s="173"/>
      <c r="P372" s="173"/>
      <c r="Q372" s="173"/>
      <c r="R372" s="173"/>
      <c r="S372" s="173"/>
      <c r="T372" s="173"/>
      <c r="U372" s="173"/>
      <c r="V372" s="173"/>
      <c r="W372" s="173"/>
      <c r="X372" s="173"/>
      <c r="Y372" s="173"/>
    </row>
    <row r="373">
      <c r="A373" s="173"/>
      <c r="B373" s="173"/>
      <c r="C373" s="323"/>
      <c r="D373" s="324"/>
      <c r="E373" s="173"/>
      <c r="F373" s="173"/>
      <c r="G373" s="173"/>
      <c r="H373" s="173"/>
      <c r="I373" s="173"/>
      <c r="J373" s="173"/>
      <c r="K373" s="173"/>
      <c r="L373" s="173"/>
      <c r="M373" s="173"/>
      <c r="N373" s="173"/>
      <c r="O373" s="173"/>
      <c r="P373" s="173"/>
      <c r="Q373" s="173"/>
      <c r="R373" s="173"/>
      <c r="S373" s="173"/>
      <c r="T373" s="173"/>
      <c r="U373" s="173"/>
      <c r="V373" s="173"/>
      <c r="W373" s="173"/>
      <c r="X373" s="173"/>
      <c r="Y373" s="173"/>
    </row>
    <row r="374">
      <c r="A374" s="173"/>
      <c r="B374" s="173"/>
      <c r="C374" s="323"/>
      <c r="D374" s="324"/>
      <c r="E374" s="173"/>
      <c r="F374" s="173"/>
      <c r="G374" s="173"/>
      <c r="H374" s="173"/>
      <c r="I374" s="173"/>
      <c r="J374" s="173"/>
      <c r="K374" s="173"/>
      <c r="L374" s="173"/>
      <c r="M374" s="173"/>
      <c r="N374" s="173"/>
      <c r="O374" s="173"/>
      <c r="P374" s="173"/>
      <c r="Q374" s="173"/>
      <c r="R374" s="173"/>
      <c r="S374" s="173"/>
      <c r="T374" s="173"/>
      <c r="U374" s="173"/>
      <c r="V374" s="173"/>
      <c r="W374" s="173"/>
      <c r="X374" s="173"/>
      <c r="Y374" s="173"/>
    </row>
    <row r="375">
      <c r="A375" s="173"/>
      <c r="B375" s="173"/>
      <c r="C375" s="323"/>
      <c r="D375" s="324"/>
      <c r="E375" s="173"/>
      <c r="F375" s="173"/>
      <c r="G375" s="173"/>
      <c r="H375" s="173"/>
      <c r="I375" s="173"/>
      <c r="J375" s="173"/>
      <c r="K375" s="173"/>
      <c r="L375" s="173"/>
      <c r="M375" s="173"/>
      <c r="N375" s="173"/>
      <c r="O375" s="173"/>
      <c r="P375" s="173"/>
      <c r="Q375" s="173"/>
      <c r="R375" s="173"/>
      <c r="S375" s="173"/>
      <c r="T375" s="173"/>
      <c r="U375" s="173"/>
      <c r="V375" s="173"/>
      <c r="W375" s="173"/>
      <c r="X375" s="173"/>
      <c r="Y375" s="173"/>
    </row>
    <row r="376">
      <c r="A376" s="173"/>
      <c r="B376" s="173"/>
      <c r="C376" s="323"/>
      <c r="D376" s="324"/>
      <c r="E376" s="173"/>
      <c r="F376" s="173"/>
      <c r="G376" s="173"/>
      <c r="H376" s="173"/>
      <c r="I376" s="173"/>
      <c r="J376" s="173"/>
      <c r="K376" s="173"/>
      <c r="L376" s="173"/>
      <c r="M376" s="173"/>
      <c r="N376" s="173"/>
      <c r="O376" s="173"/>
      <c r="P376" s="173"/>
      <c r="Q376" s="173"/>
      <c r="R376" s="173"/>
      <c r="S376" s="173"/>
      <c r="T376" s="173"/>
      <c r="U376" s="173"/>
      <c r="V376" s="173"/>
      <c r="W376" s="173"/>
      <c r="X376" s="173"/>
      <c r="Y376" s="173"/>
    </row>
    <row r="377">
      <c r="A377" s="173"/>
      <c r="B377" s="173"/>
      <c r="C377" s="323"/>
      <c r="D377" s="324"/>
      <c r="E377" s="173"/>
      <c r="F377" s="173"/>
      <c r="G377" s="173"/>
      <c r="H377" s="173"/>
      <c r="I377" s="173"/>
      <c r="J377" s="173"/>
      <c r="K377" s="173"/>
      <c r="L377" s="173"/>
      <c r="M377" s="173"/>
      <c r="N377" s="173"/>
      <c r="O377" s="173"/>
      <c r="P377" s="173"/>
      <c r="Q377" s="173"/>
      <c r="R377" s="173"/>
      <c r="S377" s="173"/>
      <c r="T377" s="173"/>
      <c r="U377" s="173"/>
      <c r="V377" s="173"/>
      <c r="W377" s="173"/>
      <c r="X377" s="173"/>
      <c r="Y377" s="173"/>
    </row>
    <row r="378">
      <c r="A378" s="173"/>
      <c r="B378" s="173"/>
      <c r="C378" s="323"/>
      <c r="D378" s="324"/>
      <c r="E378" s="173"/>
      <c r="F378" s="173"/>
      <c r="G378" s="173"/>
      <c r="H378" s="173"/>
      <c r="I378" s="173"/>
      <c r="J378" s="173"/>
      <c r="K378" s="173"/>
      <c r="L378" s="173"/>
      <c r="M378" s="173"/>
      <c r="N378" s="173"/>
      <c r="O378" s="173"/>
      <c r="P378" s="173"/>
      <c r="Q378" s="173"/>
      <c r="R378" s="173"/>
      <c r="S378" s="173"/>
      <c r="T378" s="173"/>
      <c r="U378" s="173"/>
      <c r="V378" s="173"/>
      <c r="W378" s="173"/>
      <c r="X378" s="173"/>
      <c r="Y378" s="173"/>
    </row>
    <row r="379">
      <c r="A379" s="173"/>
      <c r="B379" s="173"/>
      <c r="C379" s="323"/>
      <c r="D379" s="324"/>
      <c r="E379" s="173"/>
      <c r="F379" s="173"/>
      <c r="G379" s="173"/>
      <c r="H379" s="173"/>
      <c r="I379" s="173"/>
      <c r="J379" s="173"/>
      <c r="K379" s="173"/>
      <c r="L379" s="173"/>
      <c r="M379" s="173"/>
      <c r="N379" s="173"/>
      <c r="O379" s="173"/>
      <c r="P379" s="173"/>
      <c r="Q379" s="173"/>
      <c r="R379" s="173"/>
      <c r="S379" s="173"/>
      <c r="T379" s="173"/>
      <c r="U379" s="173"/>
      <c r="V379" s="173"/>
      <c r="W379" s="173"/>
      <c r="X379" s="173"/>
      <c r="Y379" s="173"/>
    </row>
    <row r="380">
      <c r="A380" s="173"/>
      <c r="B380" s="173"/>
      <c r="C380" s="323"/>
      <c r="D380" s="324"/>
      <c r="E380" s="173"/>
      <c r="F380" s="173"/>
      <c r="G380" s="173"/>
      <c r="H380" s="173"/>
      <c r="I380" s="173"/>
      <c r="J380" s="173"/>
      <c r="K380" s="173"/>
      <c r="L380" s="173"/>
      <c r="M380" s="173"/>
      <c r="N380" s="173"/>
      <c r="O380" s="173"/>
      <c r="P380" s="173"/>
      <c r="Q380" s="173"/>
      <c r="R380" s="173"/>
      <c r="S380" s="173"/>
      <c r="T380" s="173"/>
      <c r="U380" s="173"/>
      <c r="V380" s="173"/>
      <c r="W380" s="173"/>
      <c r="X380" s="173"/>
      <c r="Y380" s="173"/>
    </row>
    <row r="381">
      <c r="A381" s="173"/>
      <c r="B381" s="173"/>
      <c r="C381" s="323"/>
      <c r="D381" s="324"/>
      <c r="E381" s="173"/>
      <c r="F381" s="173"/>
      <c r="G381" s="173"/>
      <c r="H381" s="173"/>
      <c r="I381" s="173"/>
      <c r="J381" s="173"/>
      <c r="K381" s="173"/>
      <c r="L381" s="173"/>
      <c r="M381" s="173"/>
      <c r="N381" s="173"/>
      <c r="O381" s="173"/>
      <c r="P381" s="173"/>
      <c r="Q381" s="173"/>
      <c r="R381" s="173"/>
      <c r="S381" s="173"/>
      <c r="T381" s="173"/>
      <c r="U381" s="173"/>
      <c r="V381" s="173"/>
      <c r="W381" s="173"/>
      <c r="X381" s="173"/>
      <c r="Y381" s="173"/>
    </row>
    <row r="382">
      <c r="A382" s="173"/>
      <c r="B382" s="173"/>
      <c r="C382" s="323"/>
      <c r="D382" s="324"/>
      <c r="E382" s="173"/>
      <c r="F382" s="173"/>
      <c r="G382" s="173"/>
      <c r="H382" s="173"/>
      <c r="I382" s="173"/>
      <c r="J382" s="173"/>
      <c r="K382" s="173"/>
      <c r="L382" s="173"/>
      <c r="M382" s="173"/>
      <c r="N382" s="173"/>
      <c r="O382" s="173"/>
      <c r="P382" s="173"/>
      <c r="Q382" s="173"/>
      <c r="R382" s="173"/>
      <c r="S382" s="173"/>
      <c r="T382" s="173"/>
      <c r="U382" s="173"/>
      <c r="V382" s="173"/>
      <c r="W382" s="173"/>
      <c r="X382" s="173"/>
      <c r="Y382" s="173"/>
    </row>
    <row r="383">
      <c r="A383" s="173"/>
      <c r="B383" s="173"/>
      <c r="C383" s="323"/>
      <c r="D383" s="324"/>
      <c r="E383" s="173"/>
      <c r="F383" s="173"/>
      <c r="G383" s="173"/>
      <c r="H383" s="173"/>
      <c r="I383" s="173"/>
      <c r="J383" s="173"/>
      <c r="K383" s="173"/>
      <c r="L383" s="173"/>
      <c r="M383" s="173"/>
      <c r="N383" s="173"/>
      <c r="O383" s="173"/>
      <c r="P383" s="173"/>
      <c r="Q383" s="173"/>
      <c r="R383" s="173"/>
      <c r="S383" s="173"/>
      <c r="T383" s="173"/>
      <c r="U383" s="173"/>
      <c r="V383" s="173"/>
      <c r="W383" s="173"/>
      <c r="X383" s="173"/>
      <c r="Y383" s="173"/>
    </row>
    <row r="384">
      <c r="A384" s="173"/>
      <c r="B384" s="173"/>
      <c r="C384" s="323"/>
      <c r="D384" s="324"/>
      <c r="E384" s="173"/>
      <c r="F384" s="173"/>
      <c r="G384" s="173"/>
      <c r="H384" s="173"/>
      <c r="I384" s="173"/>
      <c r="J384" s="173"/>
      <c r="K384" s="173"/>
      <c r="L384" s="173"/>
      <c r="M384" s="173"/>
      <c r="N384" s="173"/>
      <c r="O384" s="173"/>
      <c r="P384" s="173"/>
      <c r="Q384" s="173"/>
      <c r="R384" s="173"/>
      <c r="S384" s="173"/>
      <c r="T384" s="173"/>
      <c r="U384" s="173"/>
      <c r="V384" s="173"/>
      <c r="W384" s="173"/>
      <c r="X384" s="173"/>
      <c r="Y384" s="173"/>
    </row>
    <row r="385">
      <c r="A385" s="173"/>
      <c r="B385" s="173"/>
      <c r="C385" s="323"/>
      <c r="D385" s="324"/>
      <c r="E385" s="173"/>
      <c r="F385" s="173"/>
      <c r="G385" s="173"/>
      <c r="H385" s="173"/>
      <c r="I385" s="173"/>
      <c r="J385" s="173"/>
      <c r="K385" s="173"/>
      <c r="L385" s="173"/>
      <c r="M385" s="173"/>
      <c r="N385" s="173"/>
      <c r="O385" s="173"/>
      <c r="P385" s="173"/>
      <c r="Q385" s="173"/>
      <c r="R385" s="173"/>
      <c r="S385" s="173"/>
      <c r="T385" s="173"/>
      <c r="U385" s="173"/>
      <c r="V385" s="173"/>
      <c r="W385" s="173"/>
      <c r="X385" s="173"/>
      <c r="Y385" s="173"/>
    </row>
    <row r="386">
      <c r="A386" s="173"/>
      <c r="B386" s="173"/>
      <c r="C386" s="323"/>
      <c r="D386" s="324"/>
      <c r="E386" s="173"/>
      <c r="F386" s="173"/>
      <c r="G386" s="173"/>
      <c r="H386" s="173"/>
      <c r="I386" s="173"/>
      <c r="J386" s="173"/>
      <c r="K386" s="173"/>
      <c r="L386" s="173"/>
      <c r="M386" s="173"/>
      <c r="N386" s="173"/>
      <c r="O386" s="173"/>
      <c r="P386" s="173"/>
      <c r="Q386" s="173"/>
      <c r="R386" s="173"/>
      <c r="S386" s="173"/>
      <c r="T386" s="173"/>
      <c r="U386" s="173"/>
      <c r="V386" s="173"/>
      <c r="W386" s="173"/>
      <c r="X386" s="173"/>
      <c r="Y386" s="173"/>
    </row>
    <row r="387">
      <c r="A387" s="173"/>
      <c r="B387" s="173"/>
      <c r="C387" s="323"/>
      <c r="D387" s="324"/>
      <c r="E387" s="173"/>
      <c r="F387" s="173"/>
      <c r="G387" s="173"/>
      <c r="H387" s="173"/>
      <c r="I387" s="173"/>
      <c r="J387" s="173"/>
      <c r="K387" s="173"/>
      <c r="L387" s="173"/>
      <c r="M387" s="173"/>
      <c r="N387" s="173"/>
      <c r="O387" s="173"/>
      <c r="P387" s="173"/>
      <c r="Q387" s="173"/>
      <c r="R387" s="173"/>
      <c r="S387" s="173"/>
      <c r="T387" s="173"/>
      <c r="U387" s="173"/>
      <c r="V387" s="173"/>
      <c r="W387" s="173"/>
      <c r="X387" s="173"/>
      <c r="Y387" s="173"/>
    </row>
    <row r="388">
      <c r="A388" s="173"/>
      <c r="B388" s="173"/>
      <c r="C388" s="323"/>
      <c r="D388" s="324"/>
      <c r="E388" s="173"/>
      <c r="F388" s="173"/>
      <c r="G388" s="173"/>
      <c r="H388" s="173"/>
      <c r="I388" s="173"/>
      <c r="J388" s="173"/>
      <c r="K388" s="173"/>
      <c r="L388" s="173"/>
      <c r="M388" s="173"/>
      <c r="N388" s="173"/>
      <c r="O388" s="173"/>
      <c r="P388" s="173"/>
      <c r="Q388" s="173"/>
      <c r="R388" s="173"/>
      <c r="S388" s="173"/>
      <c r="T388" s="173"/>
      <c r="U388" s="173"/>
      <c r="V388" s="173"/>
      <c r="W388" s="173"/>
      <c r="X388" s="173"/>
      <c r="Y388" s="173"/>
    </row>
    <row r="389">
      <c r="A389" s="173"/>
      <c r="B389" s="173"/>
      <c r="C389" s="323"/>
      <c r="D389" s="324"/>
      <c r="E389" s="173"/>
      <c r="F389" s="173"/>
      <c r="G389" s="173"/>
      <c r="H389" s="173"/>
      <c r="I389" s="173"/>
      <c r="J389" s="173"/>
      <c r="K389" s="173"/>
      <c r="L389" s="173"/>
      <c r="M389" s="173"/>
      <c r="N389" s="173"/>
      <c r="O389" s="173"/>
      <c r="P389" s="173"/>
      <c r="Q389" s="173"/>
      <c r="R389" s="173"/>
      <c r="S389" s="173"/>
      <c r="T389" s="173"/>
      <c r="U389" s="173"/>
      <c r="V389" s="173"/>
      <c r="W389" s="173"/>
      <c r="X389" s="173"/>
      <c r="Y389" s="173"/>
    </row>
    <row r="390">
      <c r="A390" s="173"/>
      <c r="B390" s="173"/>
      <c r="C390" s="323"/>
      <c r="D390" s="324"/>
      <c r="E390" s="173"/>
      <c r="F390" s="173"/>
      <c r="G390" s="173"/>
      <c r="H390" s="173"/>
      <c r="I390" s="173"/>
      <c r="J390" s="173"/>
      <c r="K390" s="173"/>
      <c r="L390" s="173"/>
      <c r="M390" s="173"/>
      <c r="N390" s="173"/>
      <c r="O390" s="173"/>
      <c r="P390" s="173"/>
      <c r="Q390" s="173"/>
      <c r="R390" s="173"/>
      <c r="S390" s="173"/>
      <c r="T390" s="173"/>
      <c r="U390" s="173"/>
      <c r="V390" s="173"/>
      <c r="W390" s="173"/>
      <c r="X390" s="173"/>
      <c r="Y390" s="173"/>
    </row>
    <row r="391">
      <c r="A391" s="173"/>
      <c r="B391" s="173"/>
      <c r="C391" s="323"/>
      <c r="D391" s="324"/>
      <c r="E391" s="173"/>
      <c r="F391" s="173"/>
      <c r="G391" s="173"/>
      <c r="H391" s="173"/>
      <c r="I391" s="173"/>
      <c r="J391" s="173"/>
      <c r="K391" s="173"/>
      <c r="L391" s="173"/>
      <c r="M391" s="173"/>
      <c r="N391" s="173"/>
      <c r="O391" s="173"/>
      <c r="P391" s="173"/>
      <c r="Q391" s="173"/>
      <c r="R391" s="173"/>
      <c r="S391" s="173"/>
      <c r="T391" s="173"/>
      <c r="U391" s="173"/>
      <c r="V391" s="173"/>
      <c r="W391" s="173"/>
      <c r="X391" s="173"/>
      <c r="Y391" s="173"/>
    </row>
    <row r="392">
      <c r="A392" s="173"/>
      <c r="B392" s="173"/>
      <c r="C392" s="323"/>
      <c r="D392" s="324"/>
      <c r="E392" s="173"/>
      <c r="F392" s="173"/>
      <c r="G392" s="173"/>
      <c r="H392" s="173"/>
      <c r="I392" s="173"/>
      <c r="J392" s="173"/>
      <c r="K392" s="173"/>
      <c r="L392" s="173"/>
      <c r="M392" s="173"/>
      <c r="N392" s="173"/>
      <c r="O392" s="173"/>
      <c r="P392" s="173"/>
      <c r="Q392" s="173"/>
      <c r="R392" s="173"/>
      <c r="S392" s="173"/>
      <c r="T392" s="173"/>
      <c r="U392" s="173"/>
      <c r="V392" s="173"/>
      <c r="W392" s="173"/>
      <c r="X392" s="173"/>
      <c r="Y392" s="173"/>
    </row>
    <row r="393">
      <c r="A393" s="173"/>
      <c r="B393" s="173"/>
      <c r="C393" s="323"/>
      <c r="D393" s="324"/>
      <c r="E393" s="173"/>
      <c r="F393" s="173"/>
      <c r="G393" s="173"/>
      <c r="H393" s="173"/>
      <c r="I393" s="173"/>
      <c r="J393" s="173"/>
      <c r="K393" s="173"/>
      <c r="L393" s="173"/>
      <c r="M393" s="173"/>
      <c r="N393" s="173"/>
      <c r="O393" s="173"/>
      <c r="P393" s="173"/>
      <c r="Q393" s="173"/>
      <c r="R393" s="173"/>
      <c r="S393" s="173"/>
      <c r="T393" s="173"/>
      <c r="U393" s="173"/>
      <c r="V393" s="173"/>
      <c r="W393" s="173"/>
      <c r="X393" s="173"/>
      <c r="Y393" s="173"/>
    </row>
    <row r="394">
      <c r="A394" s="173"/>
      <c r="B394" s="173"/>
      <c r="C394" s="323"/>
      <c r="D394" s="324"/>
      <c r="E394" s="173"/>
      <c r="F394" s="173"/>
      <c r="G394" s="173"/>
      <c r="H394" s="173"/>
      <c r="I394" s="173"/>
      <c r="J394" s="173"/>
      <c r="K394" s="173"/>
      <c r="L394" s="173"/>
      <c r="M394" s="173"/>
      <c r="N394" s="173"/>
      <c r="O394" s="173"/>
      <c r="P394" s="173"/>
      <c r="Q394" s="173"/>
      <c r="R394" s="173"/>
      <c r="S394" s="173"/>
      <c r="T394" s="173"/>
      <c r="U394" s="173"/>
      <c r="V394" s="173"/>
      <c r="W394" s="173"/>
      <c r="X394" s="173"/>
      <c r="Y394" s="173"/>
    </row>
    <row r="395">
      <c r="A395" s="173"/>
      <c r="B395" s="173"/>
      <c r="C395" s="323"/>
      <c r="D395" s="324"/>
      <c r="E395" s="173"/>
      <c r="F395" s="173"/>
      <c r="G395" s="173"/>
      <c r="H395" s="173"/>
      <c r="I395" s="173"/>
      <c r="J395" s="173"/>
      <c r="K395" s="173"/>
      <c r="L395" s="173"/>
      <c r="M395" s="173"/>
      <c r="N395" s="173"/>
      <c r="O395" s="173"/>
      <c r="P395" s="173"/>
      <c r="Q395" s="173"/>
      <c r="R395" s="173"/>
      <c r="S395" s="173"/>
      <c r="T395" s="173"/>
      <c r="U395" s="173"/>
      <c r="V395" s="173"/>
      <c r="W395" s="173"/>
      <c r="X395" s="173"/>
      <c r="Y395" s="173"/>
    </row>
    <row r="396">
      <c r="A396" s="173"/>
      <c r="B396" s="173"/>
      <c r="C396" s="323"/>
      <c r="D396" s="324"/>
      <c r="E396" s="173"/>
      <c r="F396" s="173"/>
      <c r="G396" s="173"/>
      <c r="H396" s="173"/>
      <c r="I396" s="173"/>
      <c r="J396" s="173"/>
      <c r="K396" s="173"/>
      <c r="L396" s="173"/>
      <c r="M396" s="173"/>
      <c r="N396" s="173"/>
      <c r="O396" s="173"/>
      <c r="P396" s="173"/>
      <c r="Q396" s="173"/>
      <c r="R396" s="173"/>
      <c r="S396" s="173"/>
      <c r="T396" s="173"/>
      <c r="U396" s="173"/>
      <c r="V396" s="173"/>
      <c r="W396" s="173"/>
      <c r="X396" s="173"/>
      <c r="Y396" s="173"/>
    </row>
    <row r="397">
      <c r="A397" s="173"/>
      <c r="B397" s="173"/>
      <c r="C397" s="323"/>
      <c r="D397" s="324"/>
      <c r="E397" s="173"/>
      <c r="F397" s="173"/>
      <c r="G397" s="173"/>
      <c r="H397" s="173"/>
      <c r="I397" s="173"/>
      <c r="J397" s="173"/>
      <c r="K397" s="173"/>
      <c r="L397" s="173"/>
      <c r="M397" s="173"/>
      <c r="N397" s="173"/>
      <c r="O397" s="173"/>
      <c r="P397" s="173"/>
      <c r="Q397" s="173"/>
      <c r="R397" s="173"/>
      <c r="S397" s="173"/>
      <c r="T397" s="173"/>
      <c r="U397" s="173"/>
      <c r="V397" s="173"/>
      <c r="W397" s="173"/>
      <c r="X397" s="173"/>
      <c r="Y397" s="173"/>
    </row>
    <row r="398">
      <c r="A398" s="173"/>
      <c r="B398" s="173"/>
      <c r="C398" s="323"/>
      <c r="D398" s="324"/>
      <c r="E398" s="173"/>
      <c r="F398" s="173"/>
      <c r="G398" s="173"/>
      <c r="H398" s="173"/>
      <c r="I398" s="173"/>
      <c r="J398" s="173"/>
      <c r="K398" s="173"/>
      <c r="L398" s="173"/>
      <c r="M398" s="173"/>
      <c r="N398" s="173"/>
      <c r="O398" s="173"/>
      <c r="P398" s="173"/>
      <c r="Q398" s="173"/>
      <c r="R398" s="173"/>
      <c r="S398" s="173"/>
      <c r="T398" s="173"/>
      <c r="U398" s="173"/>
      <c r="V398" s="173"/>
      <c r="W398" s="173"/>
      <c r="X398" s="173"/>
      <c r="Y398" s="173"/>
    </row>
    <row r="399">
      <c r="A399" s="173"/>
      <c r="B399" s="173"/>
      <c r="C399" s="323"/>
      <c r="D399" s="324"/>
      <c r="E399" s="173"/>
      <c r="F399" s="173"/>
      <c r="G399" s="173"/>
      <c r="H399" s="173"/>
      <c r="I399" s="173"/>
      <c r="J399" s="173"/>
      <c r="K399" s="173"/>
      <c r="L399" s="173"/>
      <c r="M399" s="173"/>
      <c r="N399" s="173"/>
      <c r="O399" s="173"/>
      <c r="P399" s="173"/>
      <c r="Q399" s="173"/>
      <c r="R399" s="173"/>
      <c r="S399" s="173"/>
      <c r="T399" s="173"/>
      <c r="U399" s="173"/>
      <c r="V399" s="173"/>
      <c r="W399" s="173"/>
      <c r="X399" s="173"/>
      <c r="Y399" s="173"/>
    </row>
    <row r="400">
      <c r="A400" s="173"/>
      <c r="B400" s="173"/>
      <c r="C400" s="323"/>
      <c r="D400" s="324"/>
      <c r="E400" s="173"/>
      <c r="F400" s="173"/>
      <c r="G400" s="173"/>
      <c r="H400" s="173"/>
      <c r="I400" s="173"/>
      <c r="J400" s="173"/>
      <c r="K400" s="173"/>
      <c r="L400" s="173"/>
      <c r="M400" s="173"/>
      <c r="N400" s="173"/>
      <c r="O400" s="173"/>
      <c r="P400" s="173"/>
      <c r="Q400" s="173"/>
      <c r="R400" s="173"/>
      <c r="S400" s="173"/>
      <c r="T400" s="173"/>
      <c r="U400" s="173"/>
      <c r="V400" s="173"/>
      <c r="W400" s="173"/>
      <c r="X400" s="173"/>
      <c r="Y400" s="173"/>
    </row>
    <row r="401">
      <c r="A401" s="173"/>
      <c r="B401" s="173"/>
      <c r="C401" s="323"/>
      <c r="D401" s="324"/>
      <c r="E401" s="173"/>
      <c r="F401" s="173"/>
      <c r="G401" s="173"/>
      <c r="H401" s="173"/>
      <c r="I401" s="173"/>
      <c r="J401" s="173"/>
      <c r="K401" s="173"/>
      <c r="L401" s="173"/>
      <c r="M401" s="173"/>
      <c r="N401" s="173"/>
      <c r="O401" s="173"/>
      <c r="P401" s="173"/>
      <c r="Q401" s="173"/>
      <c r="R401" s="173"/>
      <c r="S401" s="173"/>
      <c r="T401" s="173"/>
      <c r="U401" s="173"/>
      <c r="V401" s="173"/>
      <c r="W401" s="173"/>
      <c r="X401" s="173"/>
      <c r="Y401" s="173"/>
    </row>
    <row r="402">
      <c r="A402" s="173"/>
      <c r="B402" s="173"/>
      <c r="C402" s="323"/>
      <c r="D402" s="324"/>
      <c r="E402" s="173"/>
      <c r="F402" s="173"/>
      <c r="G402" s="173"/>
      <c r="H402" s="173"/>
      <c r="I402" s="173"/>
      <c r="J402" s="173"/>
      <c r="K402" s="173"/>
      <c r="L402" s="173"/>
      <c r="M402" s="173"/>
      <c r="N402" s="173"/>
      <c r="O402" s="173"/>
      <c r="P402" s="173"/>
      <c r="Q402" s="173"/>
      <c r="R402" s="173"/>
      <c r="S402" s="173"/>
      <c r="T402" s="173"/>
      <c r="U402" s="173"/>
      <c r="V402" s="173"/>
      <c r="W402" s="173"/>
      <c r="X402" s="173"/>
      <c r="Y402" s="173"/>
    </row>
    <row r="403">
      <c r="A403" s="173"/>
      <c r="B403" s="173"/>
      <c r="C403" s="323"/>
      <c r="D403" s="324"/>
      <c r="E403" s="173"/>
      <c r="F403" s="173"/>
      <c r="G403" s="173"/>
      <c r="H403" s="173"/>
      <c r="I403" s="173"/>
      <c r="J403" s="173"/>
      <c r="K403" s="173"/>
      <c r="L403" s="173"/>
      <c r="M403" s="173"/>
      <c r="N403" s="173"/>
      <c r="O403" s="173"/>
      <c r="P403" s="173"/>
      <c r="Q403" s="173"/>
      <c r="R403" s="173"/>
      <c r="S403" s="173"/>
      <c r="T403" s="173"/>
      <c r="U403" s="173"/>
      <c r="V403" s="173"/>
      <c r="W403" s="173"/>
      <c r="X403" s="173"/>
      <c r="Y403" s="173"/>
    </row>
    <row r="404">
      <c r="A404" s="173"/>
      <c r="B404" s="173"/>
      <c r="C404" s="323"/>
      <c r="D404" s="324"/>
      <c r="E404" s="173"/>
      <c r="F404" s="173"/>
      <c r="G404" s="173"/>
      <c r="H404" s="173"/>
      <c r="I404" s="173"/>
      <c r="J404" s="173"/>
      <c r="K404" s="173"/>
      <c r="L404" s="173"/>
      <c r="M404" s="173"/>
      <c r="N404" s="173"/>
      <c r="O404" s="173"/>
      <c r="P404" s="173"/>
      <c r="Q404" s="173"/>
      <c r="R404" s="173"/>
      <c r="S404" s="173"/>
      <c r="T404" s="173"/>
      <c r="U404" s="173"/>
      <c r="V404" s="173"/>
      <c r="W404" s="173"/>
      <c r="X404" s="173"/>
      <c r="Y404" s="173"/>
    </row>
    <row r="405">
      <c r="A405" s="173"/>
      <c r="B405" s="173"/>
      <c r="C405" s="323"/>
      <c r="D405" s="324"/>
      <c r="E405" s="173"/>
      <c r="F405" s="173"/>
      <c r="G405" s="173"/>
      <c r="H405" s="173"/>
      <c r="I405" s="173"/>
      <c r="J405" s="173"/>
      <c r="K405" s="173"/>
      <c r="L405" s="173"/>
      <c r="M405" s="173"/>
      <c r="N405" s="173"/>
      <c r="O405" s="173"/>
      <c r="P405" s="173"/>
      <c r="Q405" s="173"/>
      <c r="R405" s="173"/>
      <c r="S405" s="173"/>
      <c r="T405" s="173"/>
      <c r="U405" s="173"/>
      <c r="V405" s="173"/>
      <c r="W405" s="173"/>
      <c r="X405" s="173"/>
      <c r="Y405" s="173"/>
    </row>
    <row r="406">
      <c r="A406" s="173"/>
      <c r="B406" s="173"/>
      <c r="C406" s="323"/>
      <c r="D406" s="324"/>
      <c r="E406" s="173"/>
      <c r="F406" s="173"/>
      <c r="G406" s="173"/>
      <c r="H406" s="173"/>
      <c r="I406" s="173"/>
      <c r="J406" s="173"/>
      <c r="K406" s="173"/>
      <c r="L406" s="173"/>
      <c r="M406" s="173"/>
      <c r="N406" s="173"/>
      <c r="O406" s="173"/>
      <c r="P406" s="173"/>
      <c r="Q406" s="173"/>
      <c r="R406" s="173"/>
      <c r="S406" s="173"/>
      <c r="T406" s="173"/>
      <c r="U406" s="173"/>
      <c r="V406" s="173"/>
      <c r="W406" s="173"/>
      <c r="X406" s="173"/>
      <c r="Y406" s="173"/>
    </row>
    <row r="407">
      <c r="A407" s="173"/>
      <c r="B407" s="173"/>
      <c r="C407" s="323"/>
      <c r="D407" s="324"/>
      <c r="E407" s="173"/>
      <c r="F407" s="173"/>
      <c r="G407" s="173"/>
      <c r="H407" s="173"/>
      <c r="I407" s="173"/>
      <c r="J407" s="173"/>
      <c r="K407" s="173"/>
      <c r="L407" s="173"/>
      <c r="M407" s="173"/>
      <c r="N407" s="173"/>
      <c r="O407" s="173"/>
      <c r="P407" s="173"/>
      <c r="Q407" s="173"/>
      <c r="R407" s="173"/>
      <c r="S407" s="173"/>
      <c r="T407" s="173"/>
      <c r="U407" s="173"/>
      <c r="V407" s="173"/>
      <c r="W407" s="173"/>
      <c r="X407" s="173"/>
      <c r="Y407" s="173"/>
    </row>
    <row r="408">
      <c r="A408" s="173"/>
      <c r="B408" s="173"/>
      <c r="C408" s="323"/>
      <c r="D408" s="324"/>
      <c r="E408" s="173"/>
      <c r="F408" s="173"/>
      <c r="G408" s="173"/>
      <c r="H408" s="173"/>
      <c r="I408" s="173"/>
      <c r="J408" s="173"/>
      <c r="K408" s="173"/>
      <c r="L408" s="173"/>
      <c r="M408" s="173"/>
      <c r="N408" s="173"/>
      <c r="O408" s="173"/>
      <c r="P408" s="173"/>
      <c r="Q408" s="173"/>
      <c r="R408" s="173"/>
      <c r="S408" s="173"/>
      <c r="T408" s="173"/>
      <c r="U408" s="173"/>
      <c r="V408" s="173"/>
      <c r="W408" s="173"/>
      <c r="X408" s="173"/>
      <c r="Y408" s="173"/>
    </row>
    <row r="409">
      <c r="A409" s="173"/>
      <c r="B409" s="173"/>
      <c r="C409" s="323"/>
      <c r="D409" s="324"/>
      <c r="E409" s="173"/>
      <c r="F409" s="173"/>
      <c r="G409" s="173"/>
      <c r="H409" s="173"/>
      <c r="I409" s="173"/>
      <c r="J409" s="173"/>
      <c r="K409" s="173"/>
      <c r="L409" s="173"/>
      <c r="M409" s="173"/>
      <c r="N409" s="173"/>
      <c r="O409" s="173"/>
      <c r="P409" s="173"/>
      <c r="Q409" s="173"/>
      <c r="R409" s="173"/>
      <c r="S409" s="173"/>
      <c r="T409" s="173"/>
      <c r="U409" s="173"/>
      <c r="V409" s="173"/>
      <c r="W409" s="173"/>
      <c r="X409" s="173"/>
      <c r="Y409" s="173"/>
    </row>
    <row r="410">
      <c r="A410" s="173"/>
      <c r="B410" s="173"/>
      <c r="C410" s="323"/>
      <c r="D410" s="324"/>
      <c r="E410" s="173"/>
      <c r="F410" s="173"/>
      <c r="G410" s="173"/>
      <c r="H410" s="173"/>
      <c r="I410" s="173"/>
      <c r="J410" s="173"/>
      <c r="K410" s="173"/>
      <c r="L410" s="173"/>
      <c r="M410" s="173"/>
      <c r="N410" s="173"/>
      <c r="O410" s="173"/>
      <c r="P410" s="173"/>
      <c r="Q410" s="173"/>
      <c r="R410" s="173"/>
      <c r="S410" s="173"/>
      <c r="T410" s="173"/>
      <c r="U410" s="173"/>
      <c r="V410" s="173"/>
      <c r="W410" s="173"/>
      <c r="X410" s="173"/>
      <c r="Y410" s="173"/>
    </row>
    <row r="411">
      <c r="A411" s="173"/>
      <c r="B411" s="173"/>
      <c r="C411" s="323"/>
      <c r="D411" s="324"/>
      <c r="E411" s="173"/>
      <c r="F411" s="173"/>
      <c r="G411" s="173"/>
      <c r="H411" s="173"/>
      <c r="I411" s="173"/>
      <c r="J411" s="173"/>
      <c r="K411" s="173"/>
      <c r="L411" s="173"/>
      <c r="M411" s="173"/>
      <c r="N411" s="173"/>
      <c r="O411" s="173"/>
      <c r="P411" s="173"/>
      <c r="Q411" s="173"/>
      <c r="R411" s="173"/>
      <c r="S411" s="173"/>
      <c r="T411" s="173"/>
      <c r="U411" s="173"/>
      <c r="V411" s="173"/>
      <c r="W411" s="173"/>
      <c r="X411" s="173"/>
      <c r="Y411" s="173"/>
    </row>
    <row r="412">
      <c r="A412" s="173"/>
      <c r="B412" s="173"/>
      <c r="C412" s="323"/>
      <c r="D412" s="324"/>
      <c r="E412" s="173"/>
      <c r="F412" s="173"/>
      <c r="G412" s="173"/>
      <c r="H412" s="173"/>
      <c r="I412" s="173"/>
      <c r="J412" s="173"/>
      <c r="K412" s="173"/>
      <c r="L412" s="173"/>
      <c r="M412" s="173"/>
      <c r="N412" s="173"/>
      <c r="O412" s="173"/>
      <c r="P412" s="173"/>
      <c r="Q412" s="173"/>
      <c r="R412" s="173"/>
      <c r="S412" s="173"/>
      <c r="T412" s="173"/>
      <c r="U412" s="173"/>
      <c r="V412" s="173"/>
      <c r="W412" s="173"/>
      <c r="X412" s="173"/>
      <c r="Y412" s="173"/>
    </row>
    <row r="413">
      <c r="A413" s="173"/>
      <c r="B413" s="173"/>
      <c r="C413" s="323"/>
      <c r="D413" s="324"/>
      <c r="E413" s="173"/>
      <c r="F413" s="173"/>
      <c r="G413" s="173"/>
      <c r="H413" s="173"/>
      <c r="I413" s="173"/>
      <c r="J413" s="173"/>
      <c r="K413" s="173"/>
      <c r="L413" s="173"/>
      <c r="M413" s="173"/>
      <c r="N413" s="173"/>
      <c r="O413" s="173"/>
      <c r="P413" s="173"/>
      <c r="Q413" s="173"/>
      <c r="R413" s="173"/>
      <c r="S413" s="173"/>
      <c r="T413" s="173"/>
      <c r="U413" s="173"/>
      <c r="V413" s="173"/>
      <c r="W413" s="173"/>
      <c r="X413" s="173"/>
      <c r="Y413" s="173"/>
    </row>
    <row r="414">
      <c r="A414" s="173"/>
      <c r="B414" s="173"/>
      <c r="C414" s="323"/>
      <c r="D414" s="324"/>
      <c r="E414" s="173"/>
      <c r="F414" s="173"/>
      <c r="G414" s="173"/>
      <c r="H414" s="173"/>
      <c r="I414" s="173"/>
      <c r="J414" s="173"/>
      <c r="K414" s="173"/>
      <c r="L414" s="173"/>
      <c r="M414" s="173"/>
      <c r="N414" s="173"/>
      <c r="O414" s="173"/>
      <c r="P414" s="173"/>
      <c r="Q414" s="173"/>
      <c r="R414" s="173"/>
      <c r="S414" s="173"/>
      <c r="T414" s="173"/>
      <c r="U414" s="173"/>
      <c r="V414" s="173"/>
      <c r="W414" s="173"/>
      <c r="X414" s="173"/>
      <c r="Y414" s="173"/>
    </row>
    <row r="415">
      <c r="A415" s="173"/>
      <c r="B415" s="173"/>
      <c r="C415" s="323"/>
      <c r="D415" s="324"/>
      <c r="E415" s="173"/>
      <c r="F415" s="173"/>
      <c r="G415" s="173"/>
      <c r="H415" s="173"/>
      <c r="I415" s="173"/>
      <c r="J415" s="173"/>
      <c r="K415" s="173"/>
      <c r="L415" s="173"/>
      <c r="M415" s="173"/>
      <c r="N415" s="173"/>
      <c r="O415" s="173"/>
      <c r="P415" s="173"/>
      <c r="Q415" s="173"/>
      <c r="R415" s="173"/>
      <c r="S415" s="173"/>
      <c r="T415" s="173"/>
      <c r="U415" s="173"/>
      <c r="V415" s="173"/>
      <c r="W415" s="173"/>
      <c r="X415" s="173"/>
      <c r="Y415" s="173"/>
    </row>
    <row r="416">
      <c r="A416" s="173"/>
      <c r="B416" s="173"/>
      <c r="C416" s="323"/>
      <c r="D416" s="324"/>
      <c r="E416" s="173"/>
      <c r="F416" s="173"/>
      <c r="G416" s="173"/>
      <c r="H416" s="173"/>
      <c r="I416" s="173"/>
      <c r="J416" s="173"/>
      <c r="K416" s="173"/>
      <c r="L416" s="173"/>
      <c r="M416" s="173"/>
      <c r="N416" s="173"/>
      <c r="O416" s="173"/>
      <c r="P416" s="173"/>
      <c r="Q416" s="173"/>
      <c r="R416" s="173"/>
      <c r="S416" s="173"/>
      <c r="T416" s="173"/>
      <c r="U416" s="173"/>
      <c r="V416" s="173"/>
      <c r="W416" s="173"/>
      <c r="X416" s="173"/>
      <c r="Y416" s="173"/>
    </row>
    <row r="417">
      <c r="A417" s="173"/>
      <c r="B417" s="173"/>
      <c r="C417" s="323"/>
      <c r="D417" s="324"/>
      <c r="E417" s="173"/>
      <c r="F417" s="173"/>
      <c r="G417" s="173"/>
      <c r="H417" s="173"/>
      <c r="I417" s="173"/>
      <c r="J417" s="173"/>
      <c r="K417" s="173"/>
      <c r="L417" s="173"/>
      <c r="M417" s="173"/>
      <c r="N417" s="173"/>
      <c r="O417" s="173"/>
      <c r="P417" s="173"/>
      <c r="Q417" s="173"/>
      <c r="R417" s="173"/>
      <c r="S417" s="173"/>
      <c r="T417" s="173"/>
      <c r="U417" s="173"/>
      <c r="V417" s="173"/>
      <c r="W417" s="173"/>
      <c r="X417" s="173"/>
      <c r="Y417" s="173"/>
    </row>
    <row r="418">
      <c r="A418" s="173"/>
      <c r="B418" s="173"/>
      <c r="C418" s="323"/>
      <c r="D418" s="324"/>
      <c r="E418" s="173"/>
      <c r="F418" s="173"/>
      <c r="G418" s="173"/>
      <c r="H418" s="173"/>
      <c r="I418" s="173"/>
      <c r="J418" s="173"/>
      <c r="K418" s="173"/>
      <c r="L418" s="173"/>
      <c r="M418" s="173"/>
      <c r="N418" s="173"/>
      <c r="O418" s="173"/>
      <c r="P418" s="173"/>
      <c r="Q418" s="173"/>
      <c r="R418" s="173"/>
      <c r="S418" s="173"/>
      <c r="T418" s="173"/>
      <c r="U418" s="173"/>
      <c r="V418" s="173"/>
      <c r="W418" s="173"/>
      <c r="X418" s="173"/>
      <c r="Y418" s="173"/>
    </row>
    <row r="419">
      <c r="A419" s="173"/>
      <c r="B419" s="173"/>
      <c r="C419" s="323"/>
      <c r="D419" s="324"/>
      <c r="E419" s="173"/>
      <c r="F419" s="173"/>
      <c r="G419" s="173"/>
      <c r="H419" s="173"/>
      <c r="I419" s="173"/>
      <c r="J419" s="173"/>
      <c r="K419" s="173"/>
      <c r="L419" s="173"/>
      <c r="M419" s="173"/>
      <c r="N419" s="173"/>
      <c r="O419" s="173"/>
      <c r="P419" s="173"/>
      <c r="Q419" s="173"/>
      <c r="R419" s="173"/>
      <c r="S419" s="173"/>
      <c r="T419" s="173"/>
      <c r="U419" s="173"/>
      <c r="V419" s="173"/>
      <c r="W419" s="173"/>
      <c r="X419" s="173"/>
      <c r="Y419" s="173"/>
    </row>
    <row r="420">
      <c r="A420" s="173"/>
      <c r="B420" s="173"/>
      <c r="C420" s="323"/>
      <c r="D420" s="324"/>
      <c r="E420" s="173"/>
      <c r="F420" s="173"/>
      <c r="G420" s="173"/>
      <c r="H420" s="173"/>
      <c r="I420" s="173"/>
      <c r="J420" s="173"/>
      <c r="K420" s="173"/>
      <c r="L420" s="173"/>
      <c r="M420" s="173"/>
      <c r="N420" s="173"/>
      <c r="O420" s="173"/>
      <c r="P420" s="173"/>
      <c r="Q420" s="173"/>
      <c r="R420" s="173"/>
      <c r="S420" s="173"/>
      <c r="T420" s="173"/>
      <c r="U420" s="173"/>
      <c r="V420" s="173"/>
      <c r="W420" s="173"/>
      <c r="X420" s="173"/>
      <c r="Y420" s="173"/>
    </row>
    <row r="421">
      <c r="A421" s="173"/>
      <c r="B421" s="173"/>
      <c r="C421" s="323"/>
      <c r="D421" s="324"/>
      <c r="E421" s="173"/>
      <c r="F421" s="173"/>
      <c r="G421" s="173"/>
      <c r="H421" s="173"/>
      <c r="I421" s="173"/>
      <c r="J421" s="173"/>
      <c r="K421" s="173"/>
      <c r="L421" s="173"/>
      <c r="M421" s="173"/>
      <c r="N421" s="173"/>
      <c r="O421" s="173"/>
      <c r="P421" s="173"/>
      <c r="Q421" s="173"/>
      <c r="R421" s="173"/>
      <c r="S421" s="173"/>
      <c r="T421" s="173"/>
      <c r="U421" s="173"/>
      <c r="V421" s="173"/>
      <c r="W421" s="173"/>
      <c r="X421" s="173"/>
      <c r="Y421" s="173"/>
    </row>
    <row r="422">
      <c r="A422" s="173"/>
      <c r="B422" s="173"/>
      <c r="C422" s="323"/>
      <c r="D422" s="324"/>
      <c r="E422" s="173"/>
      <c r="F422" s="173"/>
      <c r="G422" s="173"/>
      <c r="H422" s="173"/>
      <c r="I422" s="173"/>
      <c r="J422" s="173"/>
      <c r="K422" s="173"/>
      <c r="L422" s="173"/>
      <c r="M422" s="173"/>
      <c r="N422" s="173"/>
      <c r="O422" s="173"/>
      <c r="P422" s="173"/>
      <c r="Q422" s="173"/>
      <c r="R422" s="173"/>
      <c r="S422" s="173"/>
      <c r="T422" s="173"/>
      <c r="U422" s="173"/>
      <c r="V422" s="173"/>
      <c r="W422" s="173"/>
      <c r="X422" s="173"/>
      <c r="Y422" s="173"/>
    </row>
    <row r="423">
      <c r="A423" s="173"/>
      <c r="B423" s="173"/>
      <c r="C423" s="323"/>
      <c r="D423" s="324"/>
      <c r="E423" s="173"/>
      <c r="F423" s="173"/>
      <c r="G423" s="173"/>
      <c r="H423" s="173"/>
      <c r="I423" s="173"/>
      <c r="J423" s="173"/>
      <c r="K423" s="173"/>
      <c r="L423" s="173"/>
      <c r="M423" s="173"/>
      <c r="N423" s="173"/>
      <c r="O423" s="173"/>
      <c r="P423" s="173"/>
      <c r="Q423" s="173"/>
      <c r="R423" s="173"/>
      <c r="S423" s="173"/>
      <c r="T423" s="173"/>
      <c r="U423" s="173"/>
      <c r="V423" s="173"/>
      <c r="W423" s="173"/>
      <c r="X423" s="173"/>
      <c r="Y423" s="173"/>
    </row>
    <row r="424">
      <c r="A424" s="173"/>
      <c r="B424" s="173"/>
      <c r="C424" s="323"/>
      <c r="D424" s="324"/>
      <c r="E424" s="173"/>
      <c r="F424" s="173"/>
      <c r="G424" s="173"/>
      <c r="H424" s="173"/>
      <c r="I424" s="173"/>
      <c r="J424" s="173"/>
      <c r="K424" s="173"/>
      <c r="L424" s="173"/>
      <c r="M424" s="173"/>
      <c r="N424" s="173"/>
      <c r="O424" s="173"/>
      <c r="P424" s="173"/>
      <c r="Q424" s="173"/>
      <c r="R424" s="173"/>
      <c r="S424" s="173"/>
      <c r="T424" s="173"/>
      <c r="U424" s="173"/>
      <c r="V424" s="173"/>
      <c r="W424" s="173"/>
      <c r="X424" s="173"/>
      <c r="Y424" s="173"/>
    </row>
    <row r="425">
      <c r="A425" s="173"/>
      <c r="B425" s="173"/>
      <c r="C425" s="323"/>
      <c r="D425" s="324"/>
      <c r="E425" s="173"/>
      <c r="F425" s="173"/>
      <c r="G425" s="173"/>
      <c r="H425" s="173"/>
      <c r="I425" s="173"/>
      <c r="J425" s="173"/>
      <c r="K425" s="173"/>
      <c r="L425" s="173"/>
      <c r="M425" s="173"/>
      <c r="N425" s="173"/>
      <c r="O425" s="173"/>
      <c r="P425" s="173"/>
      <c r="Q425" s="173"/>
      <c r="R425" s="173"/>
      <c r="S425" s="173"/>
      <c r="T425" s="173"/>
      <c r="U425" s="173"/>
      <c r="V425" s="173"/>
      <c r="W425" s="173"/>
      <c r="X425" s="173"/>
      <c r="Y425" s="173"/>
    </row>
    <row r="426">
      <c r="A426" s="173"/>
      <c r="B426" s="173"/>
      <c r="C426" s="323"/>
      <c r="D426" s="324"/>
      <c r="E426" s="173"/>
      <c r="F426" s="173"/>
      <c r="G426" s="173"/>
      <c r="H426" s="173"/>
      <c r="I426" s="173"/>
      <c r="J426" s="173"/>
      <c r="K426" s="173"/>
      <c r="L426" s="173"/>
      <c r="M426" s="173"/>
      <c r="N426" s="173"/>
      <c r="O426" s="173"/>
      <c r="P426" s="173"/>
      <c r="Q426" s="173"/>
      <c r="R426" s="173"/>
      <c r="S426" s="173"/>
      <c r="T426" s="173"/>
      <c r="U426" s="173"/>
      <c r="V426" s="173"/>
      <c r="W426" s="173"/>
      <c r="X426" s="173"/>
      <c r="Y426" s="173"/>
    </row>
    <row r="427">
      <c r="A427" s="173"/>
      <c r="B427" s="173"/>
      <c r="C427" s="323"/>
      <c r="D427" s="324"/>
      <c r="E427" s="173"/>
      <c r="F427" s="173"/>
      <c r="G427" s="173"/>
      <c r="H427" s="173"/>
      <c r="I427" s="173"/>
      <c r="J427" s="173"/>
      <c r="K427" s="173"/>
      <c r="L427" s="173"/>
      <c r="M427" s="173"/>
      <c r="N427" s="173"/>
      <c r="O427" s="173"/>
      <c r="P427" s="173"/>
      <c r="Q427" s="173"/>
      <c r="R427" s="173"/>
      <c r="S427" s="173"/>
      <c r="T427" s="173"/>
      <c r="U427" s="173"/>
      <c r="V427" s="173"/>
      <c r="W427" s="173"/>
      <c r="X427" s="173"/>
      <c r="Y427" s="173"/>
    </row>
    <row r="428">
      <c r="A428" s="173"/>
      <c r="B428" s="173"/>
      <c r="C428" s="323"/>
      <c r="D428" s="324"/>
      <c r="E428" s="173"/>
      <c r="F428" s="173"/>
      <c r="G428" s="173"/>
      <c r="H428" s="173"/>
      <c r="I428" s="173"/>
      <c r="J428" s="173"/>
      <c r="K428" s="173"/>
      <c r="L428" s="173"/>
      <c r="M428" s="173"/>
      <c r="N428" s="173"/>
      <c r="O428" s="173"/>
      <c r="P428" s="173"/>
      <c r="Q428" s="173"/>
      <c r="R428" s="173"/>
      <c r="S428" s="173"/>
      <c r="T428" s="173"/>
      <c r="U428" s="173"/>
      <c r="V428" s="173"/>
      <c r="W428" s="173"/>
      <c r="X428" s="173"/>
      <c r="Y428" s="173"/>
    </row>
    <row r="429">
      <c r="A429" s="173"/>
      <c r="B429" s="173"/>
      <c r="C429" s="323"/>
      <c r="D429" s="324"/>
      <c r="E429" s="173"/>
      <c r="F429" s="173"/>
      <c r="G429" s="173"/>
      <c r="H429" s="173"/>
      <c r="I429" s="173"/>
      <c r="J429" s="173"/>
      <c r="K429" s="173"/>
      <c r="L429" s="173"/>
      <c r="M429" s="173"/>
      <c r="N429" s="173"/>
      <c r="O429" s="173"/>
      <c r="P429" s="173"/>
      <c r="Q429" s="173"/>
      <c r="R429" s="173"/>
      <c r="S429" s="173"/>
      <c r="T429" s="173"/>
      <c r="U429" s="173"/>
      <c r="V429" s="173"/>
      <c r="W429" s="173"/>
      <c r="X429" s="173"/>
      <c r="Y429" s="173"/>
    </row>
    <row r="430">
      <c r="A430" s="173"/>
      <c r="B430" s="173"/>
      <c r="C430" s="323"/>
      <c r="D430" s="324"/>
      <c r="E430" s="173"/>
      <c r="F430" s="173"/>
      <c r="G430" s="173"/>
      <c r="H430" s="173"/>
      <c r="I430" s="173"/>
      <c r="J430" s="173"/>
      <c r="K430" s="173"/>
      <c r="L430" s="173"/>
      <c r="M430" s="173"/>
      <c r="N430" s="173"/>
      <c r="O430" s="173"/>
      <c r="P430" s="173"/>
      <c r="Q430" s="173"/>
      <c r="R430" s="173"/>
      <c r="S430" s="173"/>
      <c r="T430" s="173"/>
      <c r="U430" s="173"/>
      <c r="V430" s="173"/>
      <c r="W430" s="173"/>
      <c r="X430" s="173"/>
      <c r="Y430" s="173"/>
    </row>
    <row r="431">
      <c r="A431" s="173"/>
      <c r="B431" s="173"/>
      <c r="C431" s="323"/>
      <c r="D431" s="324"/>
      <c r="E431" s="173"/>
      <c r="F431" s="173"/>
      <c r="G431" s="173"/>
      <c r="H431" s="173"/>
      <c r="I431" s="173"/>
      <c r="J431" s="173"/>
      <c r="K431" s="173"/>
      <c r="L431" s="173"/>
      <c r="M431" s="173"/>
      <c r="N431" s="173"/>
      <c r="O431" s="173"/>
      <c r="P431" s="173"/>
      <c r="Q431" s="173"/>
      <c r="R431" s="173"/>
      <c r="S431" s="173"/>
      <c r="T431" s="173"/>
      <c r="U431" s="173"/>
      <c r="V431" s="173"/>
      <c r="W431" s="173"/>
      <c r="X431" s="173"/>
      <c r="Y431" s="173"/>
    </row>
    <row r="432">
      <c r="A432" s="173"/>
      <c r="B432" s="173"/>
      <c r="C432" s="323"/>
      <c r="D432" s="324"/>
      <c r="E432" s="173"/>
      <c r="F432" s="173"/>
      <c r="G432" s="173"/>
      <c r="H432" s="173"/>
      <c r="I432" s="173"/>
      <c r="J432" s="173"/>
      <c r="K432" s="173"/>
      <c r="L432" s="173"/>
      <c r="M432" s="173"/>
      <c r="N432" s="173"/>
      <c r="O432" s="173"/>
      <c r="P432" s="173"/>
      <c r="Q432" s="173"/>
      <c r="R432" s="173"/>
      <c r="S432" s="173"/>
      <c r="T432" s="173"/>
      <c r="U432" s="173"/>
      <c r="V432" s="173"/>
      <c r="W432" s="173"/>
      <c r="X432" s="173"/>
      <c r="Y432" s="173"/>
    </row>
    <row r="433">
      <c r="A433" s="173"/>
      <c r="B433" s="173"/>
      <c r="C433" s="323"/>
      <c r="D433" s="324"/>
      <c r="E433" s="173"/>
      <c r="F433" s="173"/>
      <c r="G433" s="173"/>
      <c r="H433" s="173"/>
      <c r="I433" s="173"/>
      <c r="J433" s="173"/>
      <c r="K433" s="173"/>
      <c r="L433" s="173"/>
      <c r="M433" s="173"/>
      <c r="N433" s="173"/>
      <c r="O433" s="173"/>
      <c r="P433" s="173"/>
      <c r="Q433" s="173"/>
      <c r="R433" s="173"/>
      <c r="S433" s="173"/>
      <c r="T433" s="173"/>
      <c r="U433" s="173"/>
      <c r="V433" s="173"/>
      <c r="W433" s="173"/>
      <c r="X433" s="173"/>
      <c r="Y433" s="173"/>
    </row>
    <row r="434">
      <c r="A434" s="173"/>
      <c r="B434" s="173"/>
      <c r="C434" s="323"/>
      <c r="D434" s="324"/>
      <c r="E434" s="173"/>
      <c r="F434" s="173"/>
      <c r="G434" s="173"/>
      <c r="H434" s="173"/>
      <c r="I434" s="173"/>
      <c r="J434" s="173"/>
      <c r="K434" s="173"/>
      <c r="L434" s="173"/>
      <c r="M434" s="173"/>
      <c r="N434" s="173"/>
      <c r="O434" s="173"/>
      <c r="P434" s="173"/>
      <c r="Q434" s="173"/>
      <c r="R434" s="173"/>
      <c r="S434" s="173"/>
      <c r="T434" s="173"/>
      <c r="U434" s="173"/>
      <c r="V434" s="173"/>
      <c r="W434" s="173"/>
      <c r="X434" s="173"/>
      <c r="Y434" s="173"/>
    </row>
    <row r="435">
      <c r="A435" s="173"/>
      <c r="B435" s="173"/>
      <c r="C435" s="323"/>
      <c r="D435" s="324"/>
      <c r="E435" s="173"/>
      <c r="F435" s="173"/>
      <c r="G435" s="173"/>
      <c r="H435" s="173"/>
      <c r="I435" s="173"/>
      <c r="J435" s="173"/>
      <c r="K435" s="173"/>
      <c r="L435" s="173"/>
      <c r="M435" s="173"/>
      <c r="N435" s="173"/>
      <c r="O435" s="173"/>
      <c r="P435" s="173"/>
      <c r="Q435" s="173"/>
      <c r="R435" s="173"/>
      <c r="S435" s="173"/>
      <c r="T435" s="173"/>
      <c r="U435" s="173"/>
      <c r="V435" s="173"/>
      <c r="W435" s="173"/>
      <c r="X435" s="173"/>
      <c r="Y435" s="173"/>
    </row>
    <row r="436">
      <c r="A436" s="173"/>
      <c r="B436" s="173"/>
      <c r="C436" s="323"/>
      <c r="D436" s="324"/>
      <c r="E436" s="173"/>
      <c r="F436" s="173"/>
      <c r="G436" s="173"/>
      <c r="H436" s="173"/>
      <c r="I436" s="173"/>
      <c r="J436" s="173"/>
      <c r="K436" s="173"/>
      <c r="L436" s="173"/>
      <c r="M436" s="173"/>
      <c r="N436" s="173"/>
      <c r="O436" s="173"/>
      <c r="P436" s="173"/>
      <c r="Q436" s="173"/>
      <c r="R436" s="173"/>
      <c r="S436" s="173"/>
      <c r="T436" s="173"/>
      <c r="U436" s="173"/>
      <c r="V436" s="173"/>
      <c r="W436" s="173"/>
      <c r="X436" s="173"/>
      <c r="Y436" s="173"/>
    </row>
    <row r="437">
      <c r="A437" s="173"/>
      <c r="B437" s="173"/>
      <c r="C437" s="323"/>
      <c r="D437" s="324"/>
      <c r="E437" s="173"/>
      <c r="F437" s="173"/>
      <c r="G437" s="173"/>
      <c r="H437" s="173"/>
      <c r="I437" s="173"/>
      <c r="J437" s="173"/>
      <c r="K437" s="173"/>
      <c r="L437" s="173"/>
      <c r="M437" s="173"/>
      <c r="N437" s="173"/>
      <c r="O437" s="173"/>
      <c r="P437" s="173"/>
      <c r="Q437" s="173"/>
      <c r="R437" s="173"/>
      <c r="S437" s="173"/>
      <c r="T437" s="173"/>
      <c r="U437" s="173"/>
      <c r="V437" s="173"/>
      <c r="W437" s="173"/>
      <c r="X437" s="173"/>
      <c r="Y437" s="173"/>
    </row>
    <row r="438">
      <c r="A438" s="173"/>
      <c r="B438" s="173"/>
      <c r="C438" s="323"/>
      <c r="D438" s="324"/>
      <c r="E438" s="173"/>
      <c r="F438" s="173"/>
      <c r="G438" s="173"/>
      <c r="H438" s="173"/>
      <c r="I438" s="173"/>
      <c r="J438" s="173"/>
      <c r="K438" s="173"/>
      <c r="L438" s="173"/>
      <c r="M438" s="173"/>
      <c r="N438" s="173"/>
      <c r="O438" s="173"/>
      <c r="P438" s="173"/>
      <c r="Q438" s="173"/>
      <c r="R438" s="173"/>
      <c r="S438" s="173"/>
      <c r="T438" s="173"/>
      <c r="U438" s="173"/>
      <c r="V438" s="173"/>
      <c r="W438" s="173"/>
      <c r="X438" s="173"/>
      <c r="Y438" s="173"/>
    </row>
    <row r="439">
      <c r="A439" s="173"/>
      <c r="B439" s="173"/>
      <c r="C439" s="323"/>
      <c r="D439" s="324"/>
      <c r="E439" s="173"/>
      <c r="F439" s="173"/>
      <c r="G439" s="173"/>
      <c r="H439" s="173"/>
      <c r="I439" s="173"/>
      <c r="J439" s="173"/>
      <c r="K439" s="173"/>
      <c r="L439" s="173"/>
      <c r="M439" s="173"/>
      <c r="N439" s="173"/>
      <c r="O439" s="173"/>
      <c r="P439" s="173"/>
      <c r="Q439" s="173"/>
      <c r="R439" s="173"/>
      <c r="S439" s="173"/>
      <c r="T439" s="173"/>
      <c r="U439" s="173"/>
      <c r="V439" s="173"/>
      <c r="W439" s="173"/>
      <c r="X439" s="173"/>
      <c r="Y439" s="173"/>
    </row>
    <row r="440">
      <c r="A440" s="173"/>
      <c r="B440" s="173"/>
      <c r="C440" s="323"/>
      <c r="D440" s="324"/>
      <c r="E440" s="173"/>
      <c r="F440" s="173"/>
      <c r="G440" s="173"/>
      <c r="H440" s="173"/>
      <c r="I440" s="173"/>
      <c r="J440" s="173"/>
      <c r="K440" s="173"/>
      <c r="L440" s="173"/>
      <c r="M440" s="173"/>
      <c r="N440" s="173"/>
      <c r="O440" s="173"/>
      <c r="P440" s="173"/>
      <c r="Q440" s="173"/>
      <c r="R440" s="173"/>
      <c r="S440" s="173"/>
      <c r="T440" s="173"/>
      <c r="U440" s="173"/>
      <c r="V440" s="173"/>
      <c r="W440" s="173"/>
      <c r="X440" s="173"/>
      <c r="Y440" s="173"/>
    </row>
    <row r="441">
      <c r="A441" s="173"/>
      <c r="B441" s="173"/>
      <c r="C441" s="323"/>
      <c r="D441" s="324"/>
      <c r="E441" s="173"/>
      <c r="F441" s="173"/>
      <c r="G441" s="173"/>
      <c r="H441" s="173"/>
      <c r="I441" s="173"/>
      <c r="J441" s="173"/>
      <c r="K441" s="173"/>
      <c r="L441" s="173"/>
      <c r="M441" s="173"/>
      <c r="N441" s="173"/>
      <c r="O441" s="173"/>
      <c r="P441" s="173"/>
      <c r="Q441" s="173"/>
      <c r="R441" s="173"/>
      <c r="S441" s="173"/>
      <c r="T441" s="173"/>
      <c r="U441" s="173"/>
      <c r="V441" s="173"/>
      <c r="W441" s="173"/>
      <c r="X441" s="173"/>
      <c r="Y441" s="173"/>
    </row>
    <row r="442">
      <c r="A442" s="173"/>
      <c r="B442" s="173"/>
      <c r="C442" s="323"/>
      <c r="D442" s="324"/>
      <c r="E442" s="173"/>
      <c r="F442" s="173"/>
      <c r="G442" s="173"/>
      <c r="H442" s="173"/>
      <c r="I442" s="173"/>
      <c r="J442" s="173"/>
      <c r="K442" s="173"/>
      <c r="L442" s="173"/>
      <c r="M442" s="173"/>
      <c r="N442" s="173"/>
      <c r="O442" s="173"/>
      <c r="P442" s="173"/>
      <c r="Q442" s="173"/>
      <c r="R442" s="173"/>
      <c r="S442" s="173"/>
      <c r="T442" s="173"/>
      <c r="U442" s="173"/>
      <c r="V442" s="173"/>
      <c r="W442" s="173"/>
      <c r="X442" s="173"/>
      <c r="Y442" s="173"/>
    </row>
    <row r="443">
      <c r="A443" s="173"/>
      <c r="B443" s="173"/>
      <c r="C443" s="323"/>
      <c r="D443" s="324"/>
      <c r="E443" s="173"/>
      <c r="F443" s="173"/>
      <c r="G443" s="173"/>
      <c r="H443" s="173"/>
      <c r="I443" s="173"/>
      <c r="J443" s="173"/>
      <c r="K443" s="173"/>
      <c r="L443" s="173"/>
      <c r="M443" s="173"/>
      <c r="N443" s="173"/>
      <c r="O443" s="173"/>
      <c r="P443" s="173"/>
      <c r="Q443" s="173"/>
      <c r="R443" s="173"/>
      <c r="S443" s="173"/>
      <c r="T443" s="173"/>
      <c r="U443" s="173"/>
      <c r="V443" s="173"/>
      <c r="W443" s="173"/>
      <c r="X443" s="173"/>
      <c r="Y443" s="173"/>
    </row>
    <row r="444">
      <c r="A444" s="173"/>
      <c r="B444" s="173"/>
      <c r="C444" s="323"/>
      <c r="D444" s="324"/>
      <c r="E444" s="173"/>
      <c r="F444" s="173"/>
      <c r="G444" s="173"/>
      <c r="H444" s="173"/>
      <c r="I444" s="173"/>
      <c r="J444" s="173"/>
      <c r="K444" s="173"/>
      <c r="L444" s="173"/>
      <c r="M444" s="173"/>
      <c r="N444" s="173"/>
      <c r="O444" s="173"/>
      <c r="P444" s="173"/>
      <c r="Q444" s="173"/>
      <c r="R444" s="173"/>
      <c r="S444" s="173"/>
      <c r="T444" s="173"/>
      <c r="U444" s="173"/>
      <c r="V444" s="173"/>
      <c r="W444" s="173"/>
      <c r="X444" s="173"/>
      <c r="Y444" s="173"/>
    </row>
    <row r="445">
      <c r="A445" s="173"/>
      <c r="B445" s="173"/>
      <c r="C445" s="323"/>
      <c r="D445" s="324"/>
      <c r="E445" s="173"/>
      <c r="F445" s="173"/>
      <c r="G445" s="173"/>
      <c r="H445" s="173"/>
      <c r="I445" s="173"/>
      <c r="J445" s="173"/>
      <c r="K445" s="173"/>
      <c r="L445" s="173"/>
      <c r="M445" s="173"/>
      <c r="N445" s="173"/>
      <c r="O445" s="173"/>
      <c r="P445" s="173"/>
      <c r="Q445" s="173"/>
      <c r="R445" s="173"/>
      <c r="S445" s="173"/>
      <c r="T445" s="173"/>
      <c r="U445" s="173"/>
      <c r="V445" s="173"/>
      <c r="W445" s="173"/>
      <c r="X445" s="173"/>
      <c r="Y445" s="173"/>
    </row>
    <row r="446">
      <c r="A446" s="173"/>
      <c r="B446" s="173"/>
      <c r="C446" s="323"/>
      <c r="D446" s="324"/>
      <c r="E446" s="173"/>
      <c r="F446" s="173"/>
      <c r="G446" s="173"/>
      <c r="H446" s="173"/>
      <c r="I446" s="173"/>
      <c r="J446" s="173"/>
      <c r="K446" s="173"/>
      <c r="L446" s="173"/>
      <c r="M446" s="173"/>
      <c r="N446" s="173"/>
      <c r="O446" s="173"/>
      <c r="P446" s="173"/>
      <c r="Q446" s="173"/>
      <c r="R446" s="173"/>
      <c r="S446" s="173"/>
      <c r="T446" s="173"/>
      <c r="U446" s="173"/>
      <c r="V446" s="173"/>
      <c r="W446" s="173"/>
      <c r="X446" s="173"/>
      <c r="Y446" s="173"/>
    </row>
    <row r="447">
      <c r="A447" s="173"/>
      <c r="B447" s="173"/>
      <c r="C447" s="323"/>
      <c r="D447" s="324"/>
      <c r="E447" s="173"/>
      <c r="F447" s="173"/>
      <c r="G447" s="173"/>
      <c r="H447" s="173"/>
      <c r="I447" s="173"/>
      <c r="J447" s="173"/>
      <c r="K447" s="173"/>
      <c r="L447" s="173"/>
      <c r="M447" s="173"/>
      <c r="N447" s="173"/>
      <c r="O447" s="173"/>
      <c r="P447" s="173"/>
      <c r="Q447" s="173"/>
      <c r="R447" s="173"/>
      <c r="S447" s="173"/>
      <c r="T447" s="173"/>
      <c r="U447" s="173"/>
      <c r="V447" s="173"/>
      <c r="W447" s="173"/>
      <c r="X447" s="173"/>
      <c r="Y447" s="173"/>
    </row>
    <row r="448">
      <c r="A448" s="173"/>
      <c r="B448" s="173"/>
      <c r="C448" s="323"/>
      <c r="D448" s="324"/>
      <c r="E448" s="173"/>
      <c r="F448" s="173"/>
      <c r="G448" s="173"/>
      <c r="H448" s="173"/>
      <c r="I448" s="173"/>
      <c r="J448" s="173"/>
      <c r="K448" s="173"/>
      <c r="L448" s="173"/>
      <c r="M448" s="173"/>
      <c r="N448" s="173"/>
      <c r="O448" s="173"/>
      <c r="P448" s="173"/>
      <c r="Q448" s="173"/>
      <c r="R448" s="173"/>
      <c r="S448" s="173"/>
      <c r="T448" s="173"/>
      <c r="U448" s="173"/>
      <c r="V448" s="173"/>
      <c r="W448" s="173"/>
      <c r="X448" s="173"/>
      <c r="Y448" s="173"/>
    </row>
    <row r="449">
      <c r="A449" s="173"/>
      <c r="B449" s="173"/>
      <c r="C449" s="323"/>
      <c r="D449" s="324"/>
      <c r="E449" s="173"/>
      <c r="F449" s="173"/>
      <c r="G449" s="173"/>
      <c r="H449" s="173"/>
      <c r="I449" s="173"/>
      <c r="J449" s="173"/>
      <c r="K449" s="173"/>
      <c r="L449" s="173"/>
      <c r="M449" s="173"/>
      <c r="N449" s="173"/>
      <c r="O449" s="173"/>
      <c r="P449" s="173"/>
      <c r="Q449" s="173"/>
      <c r="R449" s="173"/>
      <c r="S449" s="173"/>
      <c r="T449" s="173"/>
      <c r="U449" s="173"/>
      <c r="V449" s="173"/>
      <c r="W449" s="173"/>
      <c r="X449" s="173"/>
      <c r="Y449" s="173"/>
    </row>
    <row r="450">
      <c r="A450" s="173"/>
      <c r="B450" s="173"/>
      <c r="C450" s="323"/>
      <c r="D450" s="324"/>
      <c r="E450" s="173"/>
      <c r="F450" s="173"/>
      <c r="G450" s="173"/>
      <c r="H450" s="173"/>
      <c r="I450" s="173"/>
      <c r="J450" s="173"/>
      <c r="K450" s="173"/>
      <c r="L450" s="173"/>
      <c r="M450" s="173"/>
      <c r="N450" s="173"/>
      <c r="O450" s="173"/>
      <c r="P450" s="173"/>
      <c r="Q450" s="173"/>
      <c r="R450" s="173"/>
      <c r="S450" s="173"/>
      <c r="T450" s="173"/>
      <c r="U450" s="173"/>
      <c r="V450" s="173"/>
      <c r="W450" s="173"/>
      <c r="X450" s="173"/>
      <c r="Y450" s="173"/>
    </row>
    <row r="451">
      <c r="A451" s="173"/>
      <c r="B451" s="173"/>
      <c r="C451" s="323"/>
      <c r="D451" s="324"/>
      <c r="E451" s="173"/>
      <c r="F451" s="173"/>
      <c r="G451" s="173"/>
      <c r="H451" s="173"/>
      <c r="I451" s="173"/>
      <c r="J451" s="173"/>
      <c r="K451" s="173"/>
      <c r="L451" s="173"/>
      <c r="M451" s="173"/>
      <c r="N451" s="173"/>
      <c r="O451" s="173"/>
      <c r="P451" s="173"/>
      <c r="Q451" s="173"/>
      <c r="R451" s="173"/>
      <c r="S451" s="173"/>
      <c r="T451" s="173"/>
      <c r="U451" s="173"/>
      <c r="V451" s="173"/>
      <c r="W451" s="173"/>
      <c r="X451" s="173"/>
      <c r="Y451" s="173"/>
    </row>
    <row r="452">
      <c r="A452" s="173"/>
      <c r="B452" s="173"/>
      <c r="C452" s="323"/>
      <c r="D452" s="324"/>
      <c r="E452" s="173"/>
      <c r="F452" s="173"/>
      <c r="G452" s="173"/>
      <c r="H452" s="173"/>
      <c r="I452" s="173"/>
      <c r="J452" s="173"/>
      <c r="K452" s="173"/>
      <c r="L452" s="173"/>
      <c r="M452" s="173"/>
      <c r="N452" s="173"/>
      <c r="O452" s="173"/>
      <c r="P452" s="173"/>
      <c r="Q452" s="173"/>
      <c r="R452" s="173"/>
      <c r="S452" s="173"/>
      <c r="T452" s="173"/>
      <c r="U452" s="173"/>
      <c r="V452" s="173"/>
      <c r="W452" s="173"/>
      <c r="X452" s="173"/>
      <c r="Y452" s="173"/>
    </row>
    <row r="453">
      <c r="A453" s="173"/>
      <c r="B453" s="173"/>
      <c r="C453" s="323"/>
      <c r="D453" s="324"/>
      <c r="E453" s="173"/>
      <c r="F453" s="173"/>
      <c r="G453" s="173"/>
      <c r="H453" s="173"/>
      <c r="I453" s="173"/>
      <c r="J453" s="173"/>
      <c r="K453" s="173"/>
      <c r="L453" s="173"/>
      <c r="M453" s="173"/>
      <c r="N453" s="173"/>
      <c r="O453" s="173"/>
      <c r="P453" s="173"/>
      <c r="Q453" s="173"/>
      <c r="R453" s="173"/>
      <c r="S453" s="173"/>
      <c r="T453" s="173"/>
      <c r="U453" s="173"/>
      <c r="V453" s="173"/>
      <c r="W453" s="173"/>
      <c r="X453" s="173"/>
      <c r="Y453" s="173"/>
    </row>
    <row r="454">
      <c r="A454" s="173"/>
      <c r="B454" s="173"/>
      <c r="C454" s="323"/>
      <c r="D454" s="324"/>
      <c r="E454" s="173"/>
      <c r="F454" s="173"/>
      <c r="G454" s="173"/>
      <c r="H454" s="173"/>
      <c r="I454" s="173"/>
      <c r="J454" s="173"/>
      <c r="K454" s="173"/>
      <c r="L454" s="173"/>
      <c r="M454" s="173"/>
      <c r="N454" s="173"/>
      <c r="O454" s="173"/>
      <c r="P454" s="173"/>
      <c r="Q454" s="173"/>
      <c r="R454" s="173"/>
      <c r="S454" s="173"/>
      <c r="T454" s="173"/>
      <c r="U454" s="173"/>
      <c r="V454" s="173"/>
      <c r="W454" s="173"/>
      <c r="X454" s="173"/>
      <c r="Y454" s="173"/>
    </row>
    <row r="455">
      <c r="A455" s="173"/>
      <c r="B455" s="173"/>
      <c r="C455" s="323"/>
      <c r="D455" s="324"/>
      <c r="E455" s="173"/>
      <c r="F455" s="173"/>
      <c r="G455" s="173"/>
      <c r="H455" s="173"/>
      <c r="I455" s="173"/>
      <c r="J455" s="173"/>
      <c r="K455" s="173"/>
      <c r="L455" s="173"/>
      <c r="M455" s="173"/>
      <c r="N455" s="173"/>
      <c r="O455" s="173"/>
      <c r="P455" s="173"/>
      <c r="Q455" s="173"/>
      <c r="R455" s="173"/>
      <c r="S455" s="173"/>
      <c r="T455" s="173"/>
      <c r="U455" s="173"/>
      <c r="V455" s="173"/>
      <c r="W455" s="173"/>
      <c r="X455" s="173"/>
      <c r="Y455" s="173"/>
    </row>
    <row r="456">
      <c r="A456" s="173"/>
      <c r="B456" s="173"/>
      <c r="C456" s="323"/>
      <c r="D456" s="324"/>
      <c r="E456" s="173"/>
      <c r="F456" s="173"/>
      <c r="G456" s="173"/>
      <c r="H456" s="173"/>
      <c r="I456" s="173"/>
      <c r="J456" s="173"/>
      <c r="K456" s="173"/>
      <c r="L456" s="173"/>
      <c r="M456" s="173"/>
      <c r="N456" s="173"/>
      <c r="O456" s="173"/>
      <c r="P456" s="173"/>
      <c r="Q456" s="173"/>
      <c r="R456" s="173"/>
      <c r="S456" s="173"/>
      <c r="T456" s="173"/>
      <c r="U456" s="173"/>
      <c r="V456" s="173"/>
      <c r="W456" s="173"/>
      <c r="X456" s="173"/>
      <c r="Y456" s="173"/>
    </row>
    <row r="457">
      <c r="A457" s="173"/>
      <c r="B457" s="173"/>
      <c r="C457" s="323"/>
      <c r="D457" s="324"/>
      <c r="E457" s="173"/>
      <c r="F457" s="173"/>
      <c r="G457" s="173"/>
      <c r="H457" s="173"/>
      <c r="I457" s="173"/>
      <c r="J457" s="173"/>
      <c r="K457" s="173"/>
      <c r="L457" s="173"/>
      <c r="M457" s="173"/>
      <c r="N457" s="173"/>
      <c r="O457" s="173"/>
      <c r="P457" s="173"/>
      <c r="Q457" s="173"/>
      <c r="R457" s="173"/>
      <c r="S457" s="173"/>
      <c r="T457" s="173"/>
      <c r="U457" s="173"/>
      <c r="V457" s="173"/>
      <c r="W457" s="173"/>
      <c r="X457" s="173"/>
      <c r="Y457" s="173"/>
    </row>
    <row r="458">
      <c r="A458" s="173"/>
      <c r="B458" s="173"/>
      <c r="C458" s="323"/>
      <c r="D458" s="324"/>
      <c r="E458" s="173"/>
      <c r="F458" s="173"/>
      <c r="G458" s="173"/>
      <c r="H458" s="173"/>
      <c r="I458" s="173"/>
      <c r="J458" s="173"/>
      <c r="K458" s="173"/>
      <c r="L458" s="173"/>
      <c r="M458" s="173"/>
      <c r="N458" s="173"/>
      <c r="O458" s="173"/>
      <c r="P458" s="173"/>
      <c r="Q458" s="173"/>
      <c r="R458" s="173"/>
      <c r="S458" s="173"/>
      <c r="T458" s="173"/>
      <c r="U458" s="173"/>
      <c r="V458" s="173"/>
      <c r="W458" s="173"/>
      <c r="X458" s="173"/>
      <c r="Y458" s="173"/>
    </row>
    <row r="459">
      <c r="A459" s="173"/>
      <c r="B459" s="173"/>
      <c r="C459" s="323"/>
      <c r="D459" s="324"/>
      <c r="E459" s="173"/>
      <c r="F459" s="173"/>
      <c r="G459" s="173"/>
      <c r="H459" s="173"/>
      <c r="I459" s="173"/>
      <c r="J459" s="173"/>
      <c r="K459" s="173"/>
      <c r="L459" s="173"/>
      <c r="M459" s="173"/>
      <c r="N459" s="173"/>
      <c r="O459" s="173"/>
      <c r="P459" s="173"/>
      <c r="Q459" s="173"/>
      <c r="R459" s="173"/>
      <c r="S459" s="173"/>
      <c r="T459" s="173"/>
      <c r="U459" s="173"/>
      <c r="V459" s="173"/>
      <c r="W459" s="173"/>
      <c r="X459" s="173"/>
      <c r="Y459" s="173"/>
    </row>
    <row r="460">
      <c r="A460" s="173"/>
      <c r="B460" s="173"/>
      <c r="C460" s="323"/>
      <c r="D460" s="324"/>
      <c r="E460" s="173"/>
      <c r="F460" s="173"/>
      <c r="G460" s="173"/>
      <c r="H460" s="173"/>
      <c r="I460" s="173"/>
      <c r="J460" s="173"/>
      <c r="K460" s="173"/>
      <c r="L460" s="173"/>
      <c r="M460" s="173"/>
      <c r="N460" s="173"/>
      <c r="O460" s="173"/>
      <c r="P460" s="173"/>
      <c r="Q460" s="173"/>
      <c r="R460" s="173"/>
      <c r="S460" s="173"/>
      <c r="T460" s="173"/>
      <c r="U460" s="173"/>
      <c r="V460" s="173"/>
      <c r="W460" s="173"/>
      <c r="X460" s="173"/>
      <c r="Y460" s="173"/>
    </row>
    <row r="461">
      <c r="A461" s="173"/>
      <c r="B461" s="173"/>
      <c r="C461" s="323"/>
      <c r="D461" s="324"/>
      <c r="E461" s="173"/>
      <c r="F461" s="173"/>
      <c r="G461" s="173"/>
      <c r="H461" s="173"/>
      <c r="I461" s="173"/>
      <c r="J461" s="173"/>
      <c r="K461" s="173"/>
      <c r="L461" s="173"/>
      <c r="M461" s="173"/>
      <c r="N461" s="173"/>
      <c r="O461" s="173"/>
      <c r="P461" s="173"/>
      <c r="Q461" s="173"/>
      <c r="R461" s="173"/>
      <c r="S461" s="173"/>
      <c r="T461" s="173"/>
      <c r="U461" s="173"/>
      <c r="V461" s="173"/>
      <c r="W461" s="173"/>
      <c r="X461" s="173"/>
      <c r="Y461" s="173"/>
    </row>
    <row r="462">
      <c r="A462" s="173"/>
      <c r="B462" s="173"/>
      <c r="C462" s="323"/>
      <c r="D462" s="324"/>
      <c r="E462" s="173"/>
      <c r="F462" s="173"/>
      <c r="G462" s="173"/>
      <c r="H462" s="173"/>
      <c r="I462" s="173"/>
      <c r="J462" s="173"/>
      <c r="K462" s="173"/>
      <c r="L462" s="173"/>
      <c r="M462" s="173"/>
      <c r="N462" s="173"/>
      <c r="O462" s="173"/>
      <c r="P462" s="173"/>
      <c r="Q462" s="173"/>
      <c r="R462" s="173"/>
      <c r="S462" s="173"/>
      <c r="T462" s="173"/>
      <c r="U462" s="173"/>
      <c r="V462" s="173"/>
      <c r="W462" s="173"/>
      <c r="X462" s="173"/>
      <c r="Y462" s="173"/>
    </row>
    <row r="463">
      <c r="A463" s="173"/>
      <c r="B463" s="173"/>
      <c r="C463" s="323"/>
      <c r="D463" s="324"/>
      <c r="E463" s="173"/>
      <c r="F463" s="173"/>
      <c r="G463" s="173"/>
      <c r="H463" s="173"/>
      <c r="I463" s="173"/>
      <c r="J463" s="173"/>
      <c r="K463" s="173"/>
      <c r="L463" s="173"/>
      <c r="M463" s="173"/>
      <c r="N463" s="173"/>
      <c r="O463" s="173"/>
      <c r="P463" s="173"/>
      <c r="Q463" s="173"/>
      <c r="R463" s="173"/>
      <c r="S463" s="173"/>
      <c r="T463" s="173"/>
      <c r="U463" s="173"/>
      <c r="V463" s="173"/>
      <c r="W463" s="173"/>
      <c r="X463" s="173"/>
      <c r="Y463" s="173"/>
    </row>
    <row r="464">
      <c r="A464" s="173"/>
      <c r="B464" s="173"/>
      <c r="C464" s="323"/>
      <c r="D464" s="324"/>
      <c r="E464" s="173"/>
      <c r="F464" s="173"/>
      <c r="G464" s="173"/>
      <c r="H464" s="173"/>
      <c r="I464" s="173"/>
      <c r="J464" s="173"/>
      <c r="K464" s="173"/>
      <c r="L464" s="173"/>
      <c r="M464" s="173"/>
      <c r="N464" s="173"/>
      <c r="O464" s="173"/>
      <c r="P464" s="173"/>
      <c r="Q464" s="173"/>
      <c r="R464" s="173"/>
      <c r="S464" s="173"/>
      <c r="T464" s="173"/>
      <c r="U464" s="173"/>
      <c r="V464" s="173"/>
      <c r="W464" s="173"/>
      <c r="X464" s="173"/>
      <c r="Y464" s="173"/>
    </row>
    <row r="465">
      <c r="A465" s="173"/>
      <c r="B465" s="173"/>
      <c r="C465" s="323"/>
      <c r="D465" s="324"/>
      <c r="E465" s="173"/>
      <c r="F465" s="173"/>
      <c r="G465" s="173"/>
      <c r="H465" s="173"/>
      <c r="I465" s="173"/>
      <c r="J465" s="173"/>
      <c r="K465" s="173"/>
      <c r="L465" s="173"/>
      <c r="M465" s="173"/>
      <c r="N465" s="173"/>
      <c r="O465" s="173"/>
      <c r="P465" s="173"/>
      <c r="Q465" s="173"/>
      <c r="R465" s="173"/>
      <c r="S465" s="173"/>
      <c r="T465" s="173"/>
      <c r="U465" s="173"/>
      <c r="V465" s="173"/>
      <c r="W465" s="173"/>
      <c r="X465" s="173"/>
      <c r="Y465" s="173"/>
    </row>
    <row r="466">
      <c r="A466" s="173"/>
      <c r="B466" s="173"/>
      <c r="C466" s="323"/>
      <c r="D466" s="324"/>
      <c r="E466" s="173"/>
      <c r="F466" s="173"/>
      <c r="G466" s="173"/>
      <c r="H466" s="173"/>
      <c r="I466" s="173"/>
      <c r="J466" s="173"/>
      <c r="K466" s="173"/>
      <c r="L466" s="173"/>
      <c r="M466" s="173"/>
      <c r="N466" s="173"/>
      <c r="O466" s="173"/>
      <c r="P466" s="173"/>
      <c r="Q466" s="173"/>
      <c r="R466" s="173"/>
      <c r="S466" s="173"/>
      <c r="T466" s="173"/>
      <c r="U466" s="173"/>
      <c r="V466" s="173"/>
      <c r="W466" s="173"/>
      <c r="X466" s="173"/>
      <c r="Y466" s="173"/>
    </row>
    <row r="467">
      <c r="A467" s="173"/>
      <c r="B467" s="173"/>
      <c r="C467" s="323"/>
      <c r="D467" s="324"/>
      <c r="E467" s="173"/>
      <c r="F467" s="173"/>
      <c r="G467" s="173"/>
      <c r="H467" s="173"/>
      <c r="I467" s="173"/>
      <c r="J467" s="173"/>
      <c r="K467" s="173"/>
      <c r="L467" s="173"/>
      <c r="M467" s="173"/>
      <c r="N467" s="173"/>
      <c r="O467" s="173"/>
      <c r="P467" s="173"/>
      <c r="Q467" s="173"/>
      <c r="R467" s="173"/>
      <c r="S467" s="173"/>
      <c r="T467" s="173"/>
      <c r="U467" s="173"/>
      <c r="V467" s="173"/>
      <c r="W467" s="173"/>
      <c r="X467" s="173"/>
      <c r="Y467" s="173"/>
    </row>
    <row r="468">
      <c r="A468" s="173"/>
      <c r="B468" s="173"/>
      <c r="C468" s="323"/>
      <c r="D468" s="324"/>
      <c r="E468" s="173"/>
      <c r="F468" s="173"/>
      <c r="G468" s="173"/>
      <c r="H468" s="173"/>
      <c r="I468" s="173"/>
      <c r="J468" s="173"/>
      <c r="K468" s="173"/>
      <c r="L468" s="173"/>
      <c r="M468" s="173"/>
      <c r="N468" s="173"/>
      <c r="O468" s="173"/>
      <c r="P468" s="173"/>
      <c r="Q468" s="173"/>
      <c r="R468" s="173"/>
      <c r="S468" s="173"/>
      <c r="T468" s="173"/>
      <c r="U468" s="173"/>
      <c r="V468" s="173"/>
      <c r="W468" s="173"/>
      <c r="X468" s="173"/>
      <c r="Y468" s="173"/>
    </row>
    <row r="469">
      <c r="A469" s="173"/>
      <c r="B469" s="173"/>
      <c r="C469" s="323"/>
      <c r="D469" s="324"/>
      <c r="E469" s="173"/>
      <c r="F469" s="173"/>
      <c r="G469" s="173"/>
      <c r="H469" s="173"/>
      <c r="I469" s="173"/>
      <c r="J469" s="173"/>
      <c r="K469" s="173"/>
      <c r="L469" s="173"/>
      <c r="M469" s="173"/>
      <c r="N469" s="173"/>
      <c r="O469" s="173"/>
      <c r="P469" s="173"/>
      <c r="Q469" s="173"/>
      <c r="R469" s="173"/>
      <c r="S469" s="173"/>
      <c r="T469" s="173"/>
      <c r="U469" s="173"/>
      <c r="V469" s="173"/>
      <c r="W469" s="173"/>
      <c r="X469" s="173"/>
      <c r="Y469" s="173"/>
    </row>
    <row r="470">
      <c r="A470" s="173"/>
      <c r="B470" s="173"/>
      <c r="C470" s="323"/>
      <c r="D470" s="324"/>
      <c r="E470" s="173"/>
      <c r="F470" s="173"/>
      <c r="G470" s="173"/>
      <c r="H470" s="173"/>
      <c r="I470" s="173"/>
      <c r="J470" s="173"/>
      <c r="K470" s="173"/>
      <c r="L470" s="173"/>
      <c r="M470" s="173"/>
      <c r="N470" s="173"/>
      <c r="O470" s="173"/>
      <c r="P470" s="173"/>
      <c r="Q470" s="173"/>
      <c r="R470" s="173"/>
      <c r="S470" s="173"/>
      <c r="T470" s="173"/>
      <c r="U470" s="173"/>
      <c r="V470" s="173"/>
      <c r="W470" s="173"/>
      <c r="X470" s="173"/>
      <c r="Y470" s="173"/>
    </row>
    <row r="471">
      <c r="A471" s="173"/>
      <c r="B471" s="173"/>
      <c r="C471" s="323"/>
      <c r="D471" s="324"/>
      <c r="E471" s="173"/>
      <c r="F471" s="173"/>
      <c r="G471" s="173"/>
      <c r="H471" s="173"/>
      <c r="I471" s="173"/>
      <c r="J471" s="173"/>
      <c r="K471" s="173"/>
      <c r="L471" s="173"/>
      <c r="M471" s="173"/>
      <c r="N471" s="173"/>
      <c r="O471" s="173"/>
      <c r="P471" s="173"/>
      <c r="Q471" s="173"/>
      <c r="R471" s="173"/>
      <c r="S471" s="173"/>
      <c r="T471" s="173"/>
      <c r="U471" s="173"/>
      <c r="V471" s="173"/>
      <c r="W471" s="173"/>
      <c r="X471" s="173"/>
      <c r="Y471" s="173"/>
    </row>
    <row r="472">
      <c r="A472" s="173"/>
      <c r="B472" s="173"/>
      <c r="C472" s="323"/>
      <c r="D472" s="324"/>
      <c r="E472" s="173"/>
      <c r="F472" s="173"/>
      <c r="G472" s="173"/>
      <c r="H472" s="173"/>
      <c r="I472" s="173"/>
      <c r="J472" s="173"/>
      <c r="K472" s="173"/>
      <c r="L472" s="173"/>
      <c r="M472" s="173"/>
      <c r="N472" s="173"/>
      <c r="O472" s="173"/>
      <c r="P472" s="173"/>
      <c r="Q472" s="173"/>
      <c r="R472" s="173"/>
      <c r="S472" s="173"/>
      <c r="T472" s="173"/>
      <c r="U472" s="173"/>
      <c r="V472" s="173"/>
      <c r="W472" s="173"/>
      <c r="X472" s="173"/>
      <c r="Y472" s="173"/>
    </row>
    <row r="473">
      <c r="A473" s="173"/>
      <c r="B473" s="173"/>
      <c r="C473" s="323"/>
      <c r="D473" s="324"/>
      <c r="E473" s="173"/>
      <c r="F473" s="173"/>
      <c r="G473" s="173"/>
      <c r="H473" s="173"/>
      <c r="I473" s="173"/>
      <c r="J473" s="173"/>
      <c r="K473" s="173"/>
      <c r="L473" s="173"/>
      <c r="M473" s="173"/>
      <c r="N473" s="173"/>
      <c r="O473" s="173"/>
      <c r="P473" s="173"/>
      <c r="Q473" s="173"/>
      <c r="R473" s="173"/>
      <c r="S473" s="173"/>
      <c r="T473" s="173"/>
      <c r="U473" s="173"/>
      <c r="V473" s="173"/>
      <c r="W473" s="173"/>
      <c r="X473" s="173"/>
      <c r="Y473" s="173"/>
    </row>
    <row r="474">
      <c r="A474" s="173"/>
      <c r="B474" s="173"/>
      <c r="C474" s="323"/>
      <c r="D474" s="324"/>
      <c r="E474" s="173"/>
      <c r="F474" s="173"/>
      <c r="G474" s="173"/>
      <c r="H474" s="173"/>
      <c r="I474" s="173"/>
      <c r="J474" s="173"/>
      <c r="K474" s="173"/>
      <c r="L474" s="173"/>
      <c r="M474" s="173"/>
      <c r="N474" s="173"/>
      <c r="O474" s="173"/>
      <c r="P474" s="173"/>
      <c r="Q474" s="173"/>
      <c r="R474" s="173"/>
      <c r="S474" s="173"/>
      <c r="T474" s="173"/>
      <c r="U474" s="173"/>
      <c r="V474" s="173"/>
      <c r="W474" s="173"/>
      <c r="X474" s="173"/>
      <c r="Y474" s="173"/>
    </row>
    <row r="475">
      <c r="A475" s="173"/>
      <c r="B475" s="173"/>
      <c r="C475" s="323"/>
      <c r="D475" s="324"/>
      <c r="E475" s="173"/>
      <c r="F475" s="173"/>
      <c r="G475" s="173"/>
      <c r="H475" s="173"/>
      <c r="I475" s="173"/>
      <c r="J475" s="173"/>
      <c r="K475" s="173"/>
      <c r="L475" s="173"/>
      <c r="M475" s="173"/>
      <c r="N475" s="173"/>
      <c r="O475" s="173"/>
      <c r="P475" s="173"/>
      <c r="Q475" s="173"/>
      <c r="R475" s="173"/>
      <c r="S475" s="173"/>
      <c r="T475" s="173"/>
      <c r="U475" s="173"/>
      <c r="V475" s="173"/>
      <c r="W475" s="173"/>
      <c r="X475" s="173"/>
      <c r="Y475" s="173"/>
    </row>
    <row r="476">
      <c r="A476" s="173"/>
      <c r="B476" s="173"/>
      <c r="C476" s="323"/>
      <c r="D476" s="324"/>
      <c r="E476" s="173"/>
      <c r="F476" s="173"/>
      <c r="G476" s="173"/>
      <c r="H476" s="173"/>
      <c r="I476" s="173"/>
      <c r="J476" s="173"/>
      <c r="K476" s="173"/>
      <c r="L476" s="173"/>
      <c r="M476" s="173"/>
      <c r="N476" s="173"/>
      <c r="O476" s="173"/>
      <c r="P476" s="173"/>
      <c r="Q476" s="173"/>
      <c r="R476" s="173"/>
      <c r="S476" s="173"/>
      <c r="T476" s="173"/>
      <c r="U476" s="173"/>
      <c r="V476" s="173"/>
      <c r="W476" s="173"/>
      <c r="X476" s="173"/>
      <c r="Y476" s="173"/>
    </row>
    <row r="477">
      <c r="A477" s="173"/>
      <c r="B477" s="173"/>
      <c r="C477" s="323"/>
      <c r="D477" s="324"/>
      <c r="E477" s="173"/>
      <c r="F477" s="173"/>
      <c r="G477" s="173"/>
      <c r="H477" s="173"/>
      <c r="I477" s="173"/>
      <c r="J477" s="173"/>
      <c r="K477" s="173"/>
      <c r="L477" s="173"/>
      <c r="M477" s="173"/>
      <c r="N477" s="173"/>
      <c r="O477" s="173"/>
      <c r="P477" s="173"/>
      <c r="Q477" s="173"/>
      <c r="R477" s="173"/>
      <c r="S477" s="173"/>
      <c r="T477" s="173"/>
      <c r="U477" s="173"/>
      <c r="V477" s="173"/>
      <c r="W477" s="173"/>
      <c r="X477" s="173"/>
      <c r="Y477" s="173"/>
    </row>
    <row r="478">
      <c r="A478" s="173"/>
      <c r="B478" s="173"/>
      <c r="C478" s="323"/>
      <c r="D478" s="324"/>
      <c r="E478" s="173"/>
      <c r="F478" s="173"/>
      <c r="G478" s="173"/>
      <c r="H478" s="173"/>
      <c r="I478" s="173"/>
      <c r="J478" s="173"/>
      <c r="K478" s="173"/>
      <c r="L478" s="173"/>
      <c r="M478" s="173"/>
      <c r="N478" s="173"/>
      <c r="O478" s="173"/>
      <c r="P478" s="173"/>
      <c r="Q478" s="173"/>
      <c r="R478" s="173"/>
      <c r="S478" s="173"/>
      <c r="T478" s="173"/>
      <c r="U478" s="173"/>
      <c r="V478" s="173"/>
      <c r="W478" s="173"/>
      <c r="X478" s="173"/>
      <c r="Y478" s="173"/>
    </row>
    <row r="479">
      <c r="A479" s="173"/>
      <c r="B479" s="173"/>
      <c r="C479" s="323"/>
      <c r="D479" s="324"/>
      <c r="E479" s="173"/>
      <c r="F479" s="173"/>
      <c r="G479" s="173"/>
      <c r="H479" s="173"/>
      <c r="I479" s="173"/>
      <c r="J479" s="173"/>
      <c r="K479" s="173"/>
      <c r="L479" s="173"/>
      <c r="M479" s="173"/>
      <c r="N479" s="173"/>
      <c r="O479" s="173"/>
      <c r="P479" s="173"/>
      <c r="Q479" s="173"/>
      <c r="R479" s="173"/>
      <c r="S479" s="173"/>
      <c r="T479" s="173"/>
      <c r="U479" s="173"/>
      <c r="V479" s="173"/>
      <c r="W479" s="173"/>
      <c r="X479" s="173"/>
      <c r="Y479" s="173"/>
    </row>
    <row r="480">
      <c r="A480" s="173"/>
      <c r="B480" s="173"/>
      <c r="C480" s="323"/>
      <c r="D480" s="324"/>
      <c r="E480" s="173"/>
      <c r="F480" s="173"/>
      <c r="G480" s="173"/>
      <c r="H480" s="173"/>
      <c r="I480" s="173"/>
      <c r="J480" s="173"/>
      <c r="K480" s="173"/>
      <c r="L480" s="173"/>
      <c r="M480" s="173"/>
      <c r="N480" s="173"/>
      <c r="O480" s="173"/>
      <c r="P480" s="173"/>
      <c r="Q480" s="173"/>
      <c r="R480" s="173"/>
      <c r="S480" s="173"/>
      <c r="T480" s="173"/>
      <c r="U480" s="173"/>
      <c r="V480" s="173"/>
      <c r="W480" s="173"/>
      <c r="X480" s="173"/>
      <c r="Y480" s="173"/>
    </row>
    <row r="481">
      <c r="A481" s="173"/>
      <c r="B481" s="173"/>
      <c r="C481" s="323"/>
      <c r="D481" s="324"/>
      <c r="E481" s="173"/>
      <c r="F481" s="173"/>
      <c r="G481" s="173"/>
      <c r="H481" s="173"/>
      <c r="I481" s="173"/>
      <c r="J481" s="173"/>
      <c r="K481" s="173"/>
      <c r="L481" s="173"/>
      <c r="M481" s="173"/>
      <c r="N481" s="173"/>
      <c r="O481" s="173"/>
      <c r="P481" s="173"/>
      <c r="Q481" s="173"/>
      <c r="R481" s="173"/>
      <c r="S481" s="173"/>
      <c r="T481" s="173"/>
      <c r="U481" s="173"/>
      <c r="V481" s="173"/>
      <c r="W481" s="173"/>
      <c r="X481" s="173"/>
      <c r="Y481" s="173"/>
    </row>
    <row r="482">
      <c r="A482" s="173"/>
      <c r="B482" s="173"/>
      <c r="C482" s="323"/>
      <c r="D482" s="324"/>
      <c r="E482" s="173"/>
      <c r="F482" s="173"/>
      <c r="G482" s="173"/>
      <c r="H482" s="173"/>
      <c r="I482" s="173"/>
      <c r="J482" s="173"/>
      <c r="K482" s="173"/>
      <c r="L482" s="173"/>
      <c r="M482" s="173"/>
      <c r="N482" s="173"/>
      <c r="O482" s="173"/>
      <c r="P482" s="173"/>
      <c r="Q482" s="173"/>
      <c r="R482" s="173"/>
      <c r="S482" s="173"/>
      <c r="T482" s="173"/>
      <c r="U482" s="173"/>
      <c r="V482" s="173"/>
      <c r="W482" s="173"/>
      <c r="X482" s="173"/>
      <c r="Y482" s="173"/>
    </row>
    <row r="483">
      <c r="A483" s="173"/>
      <c r="B483" s="173"/>
      <c r="C483" s="323"/>
      <c r="D483" s="324"/>
      <c r="E483" s="173"/>
      <c r="F483" s="173"/>
      <c r="G483" s="173"/>
      <c r="H483" s="173"/>
      <c r="I483" s="173"/>
      <c r="J483" s="173"/>
      <c r="K483" s="173"/>
      <c r="L483" s="173"/>
      <c r="M483" s="173"/>
      <c r="N483" s="173"/>
      <c r="O483" s="173"/>
      <c r="P483" s="173"/>
      <c r="Q483" s="173"/>
      <c r="R483" s="173"/>
      <c r="S483" s="173"/>
      <c r="T483" s="173"/>
      <c r="U483" s="173"/>
      <c r="V483" s="173"/>
      <c r="W483" s="173"/>
      <c r="X483" s="173"/>
      <c r="Y483" s="173"/>
    </row>
    <row r="484">
      <c r="A484" s="173"/>
      <c r="B484" s="173"/>
      <c r="C484" s="323"/>
      <c r="D484" s="324"/>
      <c r="E484" s="173"/>
      <c r="F484" s="173"/>
      <c r="G484" s="173"/>
      <c r="H484" s="173"/>
      <c r="I484" s="173"/>
      <c r="J484" s="173"/>
      <c r="K484" s="173"/>
      <c r="L484" s="173"/>
      <c r="M484" s="173"/>
      <c r="N484" s="173"/>
      <c r="O484" s="173"/>
      <c r="P484" s="173"/>
      <c r="Q484" s="173"/>
      <c r="R484" s="173"/>
      <c r="S484" s="173"/>
      <c r="T484" s="173"/>
      <c r="U484" s="173"/>
      <c r="V484" s="173"/>
      <c r="W484" s="173"/>
      <c r="X484" s="173"/>
      <c r="Y484" s="173"/>
    </row>
    <row r="485">
      <c r="A485" s="173"/>
      <c r="B485" s="173"/>
      <c r="C485" s="323"/>
      <c r="D485" s="324"/>
      <c r="E485" s="173"/>
      <c r="F485" s="173"/>
      <c r="G485" s="173"/>
      <c r="H485" s="173"/>
      <c r="I485" s="173"/>
      <c r="J485" s="173"/>
      <c r="K485" s="173"/>
      <c r="L485" s="173"/>
      <c r="M485" s="173"/>
      <c r="N485" s="173"/>
      <c r="O485" s="173"/>
      <c r="P485" s="173"/>
      <c r="Q485" s="173"/>
      <c r="R485" s="173"/>
      <c r="S485" s="173"/>
      <c r="T485" s="173"/>
      <c r="U485" s="173"/>
      <c r="V485" s="173"/>
      <c r="W485" s="173"/>
      <c r="X485" s="173"/>
      <c r="Y485" s="173"/>
    </row>
    <row r="486">
      <c r="A486" s="173"/>
      <c r="B486" s="173"/>
      <c r="C486" s="323"/>
      <c r="D486" s="324"/>
      <c r="E486" s="173"/>
      <c r="F486" s="173"/>
      <c r="G486" s="173"/>
      <c r="H486" s="173"/>
      <c r="I486" s="173"/>
      <c r="J486" s="173"/>
      <c r="K486" s="173"/>
      <c r="L486" s="173"/>
      <c r="M486" s="173"/>
      <c r="N486" s="173"/>
      <c r="O486" s="173"/>
      <c r="P486" s="173"/>
      <c r="Q486" s="173"/>
      <c r="R486" s="173"/>
      <c r="S486" s="173"/>
      <c r="T486" s="173"/>
      <c r="U486" s="173"/>
      <c r="V486" s="173"/>
      <c r="W486" s="173"/>
      <c r="X486" s="173"/>
      <c r="Y486" s="173"/>
    </row>
    <row r="487">
      <c r="A487" s="173"/>
      <c r="B487" s="173"/>
      <c r="C487" s="323"/>
      <c r="D487" s="324"/>
      <c r="E487" s="173"/>
      <c r="F487" s="173"/>
      <c r="G487" s="173"/>
      <c r="H487" s="173"/>
      <c r="I487" s="173"/>
      <c r="J487" s="173"/>
      <c r="K487" s="173"/>
      <c r="L487" s="173"/>
      <c r="M487" s="173"/>
      <c r="N487" s="173"/>
      <c r="O487" s="173"/>
      <c r="P487" s="173"/>
      <c r="Q487" s="173"/>
      <c r="R487" s="173"/>
      <c r="S487" s="173"/>
      <c r="T487" s="173"/>
      <c r="U487" s="173"/>
      <c r="V487" s="173"/>
      <c r="W487" s="173"/>
      <c r="X487" s="173"/>
      <c r="Y487" s="173"/>
    </row>
    <row r="488">
      <c r="A488" s="173"/>
      <c r="B488" s="173"/>
      <c r="C488" s="323"/>
      <c r="D488" s="324"/>
      <c r="E488" s="173"/>
      <c r="F488" s="173"/>
      <c r="G488" s="173"/>
      <c r="H488" s="173"/>
      <c r="I488" s="173"/>
      <c r="J488" s="173"/>
      <c r="K488" s="173"/>
      <c r="L488" s="173"/>
      <c r="M488" s="173"/>
      <c r="N488" s="173"/>
      <c r="O488" s="173"/>
      <c r="P488" s="173"/>
      <c r="Q488" s="173"/>
      <c r="R488" s="173"/>
      <c r="S488" s="173"/>
      <c r="T488" s="173"/>
      <c r="U488" s="173"/>
      <c r="V488" s="173"/>
      <c r="W488" s="173"/>
      <c r="X488" s="173"/>
      <c r="Y488" s="173"/>
    </row>
    <row r="489">
      <c r="A489" s="173"/>
      <c r="B489" s="173"/>
      <c r="C489" s="323"/>
      <c r="D489" s="324"/>
      <c r="E489" s="173"/>
      <c r="F489" s="173"/>
      <c r="G489" s="173"/>
      <c r="H489" s="173"/>
      <c r="I489" s="173"/>
      <c r="J489" s="173"/>
      <c r="K489" s="173"/>
      <c r="L489" s="173"/>
      <c r="M489" s="173"/>
      <c r="N489" s="173"/>
      <c r="O489" s="173"/>
      <c r="P489" s="173"/>
      <c r="Q489" s="173"/>
      <c r="R489" s="173"/>
      <c r="S489" s="173"/>
      <c r="T489" s="173"/>
      <c r="U489" s="173"/>
      <c r="V489" s="173"/>
      <c r="W489" s="173"/>
      <c r="X489" s="173"/>
      <c r="Y489" s="173"/>
    </row>
    <row r="490">
      <c r="A490" s="173"/>
      <c r="B490" s="173"/>
      <c r="C490" s="323"/>
      <c r="D490" s="324"/>
      <c r="E490" s="173"/>
      <c r="F490" s="173"/>
      <c r="G490" s="173"/>
      <c r="H490" s="173"/>
      <c r="I490" s="173"/>
      <c r="J490" s="173"/>
      <c r="K490" s="173"/>
      <c r="L490" s="173"/>
      <c r="M490" s="173"/>
      <c r="N490" s="173"/>
      <c r="O490" s="173"/>
      <c r="P490" s="173"/>
      <c r="Q490" s="173"/>
      <c r="R490" s="173"/>
      <c r="S490" s="173"/>
      <c r="T490" s="173"/>
      <c r="U490" s="173"/>
      <c r="V490" s="173"/>
      <c r="W490" s="173"/>
      <c r="X490" s="173"/>
      <c r="Y490" s="173"/>
    </row>
    <row r="491">
      <c r="A491" s="173"/>
      <c r="B491" s="173"/>
      <c r="C491" s="323"/>
      <c r="D491" s="324"/>
      <c r="E491" s="173"/>
      <c r="F491" s="173"/>
      <c r="G491" s="173"/>
      <c r="H491" s="173"/>
      <c r="I491" s="173"/>
      <c r="J491" s="173"/>
      <c r="K491" s="173"/>
      <c r="L491" s="173"/>
      <c r="M491" s="173"/>
      <c r="N491" s="173"/>
      <c r="O491" s="173"/>
      <c r="P491" s="173"/>
      <c r="Q491" s="173"/>
      <c r="R491" s="173"/>
      <c r="S491" s="173"/>
      <c r="T491" s="173"/>
      <c r="U491" s="173"/>
      <c r="V491" s="173"/>
      <c r="W491" s="173"/>
      <c r="X491" s="173"/>
      <c r="Y491" s="173"/>
    </row>
    <row r="492">
      <c r="A492" s="173"/>
      <c r="B492" s="173"/>
      <c r="C492" s="323"/>
      <c r="D492" s="324"/>
      <c r="E492" s="173"/>
      <c r="F492" s="173"/>
      <c r="G492" s="173"/>
      <c r="H492" s="173"/>
      <c r="I492" s="173"/>
      <c r="J492" s="173"/>
      <c r="K492" s="173"/>
      <c r="L492" s="173"/>
      <c r="M492" s="173"/>
      <c r="N492" s="173"/>
      <c r="O492" s="173"/>
      <c r="P492" s="173"/>
      <c r="Q492" s="173"/>
      <c r="R492" s="173"/>
      <c r="S492" s="173"/>
      <c r="T492" s="173"/>
      <c r="U492" s="173"/>
      <c r="V492" s="173"/>
      <c r="W492" s="173"/>
      <c r="X492" s="173"/>
      <c r="Y492" s="173"/>
    </row>
    <row r="493">
      <c r="A493" s="173"/>
      <c r="B493" s="173"/>
      <c r="C493" s="323"/>
      <c r="D493" s="324"/>
      <c r="E493" s="173"/>
      <c r="F493" s="173"/>
      <c r="G493" s="173"/>
      <c r="H493" s="173"/>
      <c r="I493" s="173"/>
      <c r="J493" s="173"/>
      <c r="K493" s="173"/>
      <c r="L493" s="173"/>
      <c r="M493" s="173"/>
      <c r="N493" s="173"/>
      <c r="O493" s="173"/>
      <c r="P493" s="173"/>
      <c r="Q493" s="173"/>
      <c r="R493" s="173"/>
      <c r="S493" s="173"/>
      <c r="T493" s="173"/>
      <c r="U493" s="173"/>
      <c r="V493" s="173"/>
      <c r="W493" s="173"/>
      <c r="X493" s="173"/>
      <c r="Y493" s="173"/>
    </row>
    <row r="494">
      <c r="A494" s="173"/>
      <c r="B494" s="173"/>
      <c r="C494" s="323"/>
      <c r="D494" s="324"/>
      <c r="E494" s="173"/>
      <c r="F494" s="173"/>
      <c r="G494" s="173"/>
      <c r="H494" s="173"/>
      <c r="I494" s="173"/>
      <c r="J494" s="173"/>
      <c r="K494" s="173"/>
      <c r="L494" s="173"/>
      <c r="M494" s="173"/>
      <c r="N494" s="173"/>
      <c r="O494" s="173"/>
      <c r="P494" s="173"/>
      <c r="Q494" s="173"/>
      <c r="R494" s="173"/>
      <c r="S494" s="173"/>
      <c r="T494" s="173"/>
      <c r="U494" s="173"/>
      <c r="V494" s="173"/>
      <c r="W494" s="173"/>
      <c r="X494" s="173"/>
      <c r="Y494" s="173"/>
    </row>
    <row r="495">
      <c r="A495" s="173"/>
      <c r="B495" s="173"/>
      <c r="C495" s="323"/>
      <c r="D495" s="324"/>
      <c r="E495" s="173"/>
      <c r="F495" s="173"/>
      <c r="G495" s="173"/>
      <c r="H495" s="173"/>
      <c r="I495" s="173"/>
      <c r="J495" s="173"/>
      <c r="K495" s="173"/>
      <c r="L495" s="173"/>
      <c r="M495" s="173"/>
      <c r="N495" s="173"/>
      <c r="O495" s="173"/>
      <c r="P495" s="173"/>
      <c r="Q495" s="173"/>
      <c r="R495" s="173"/>
      <c r="S495" s="173"/>
      <c r="T495" s="173"/>
      <c r="U495" s="173"/>
      <c r="V495" s="173"/>
      <c r="W495" s="173"/>
      <c r="X495" s="173"/>
      <c r="Y495" s="173"/>
    </row>
    <row r="496">
      <c r="A496" s="173"/>
      <c r="B496" s="173"/>
      <c r="C496" s="323"/>
      <c r="D496" s="324"/>
      <c r="E496" s="173"/>
      <c r="F496" s="173"/>
      <c r="G496" s="173"/>
      <c r="H496" s="173"/>
      <c r="I496" s="173"/>
      <c r="J496" s="173"/>
      <c r="K496" s="173"/>
      <c r="L496" s="173"/>
      <c r="M496" s="173"/>
      <c r="N496" s="173"/>
      <c r="O496" s="173"/>
      <c r="P496" s="173"/>
      <c r="Q496" s="173"/>
      <c r="R496" s="173"/>
      <c r="S496" s="173"/>
      <c r="T496" s="173"/>
      <c r="U496" s="173"/>
      <c r="V496" s="173"/>
      <c r="W496" s="173"/>
      <c r="X496" s="173"/>
      <c r="Y496" s="173"/>
    </row>
    <row r="497">
      <c r="A497" s="173"/>
      <c r="B497" s="173"/>
      <c r="C497" s="323"/>
      <c r="D497" s="324"/>
      <c r="E497" s="173"/>
      <c r="F497" s="173"/>
      <c r="G497" s="173"/>
      <c r="H497" s="173"/>
      <c r="I497" s="173"/>
      <c r="J497" s="173"/>
      <c r="K497" s="173"/>
      <c r="L497" s="173"/>
      <c r="M497" s="173"/>
      <c r="N497" s="173"/>
      <c r="O497" s="173"/>
      <c r="P497" s="173"/>
      <c r="Q497" s="173"/>
      <c r="R497" s="173"/>
      <c r="S497" s="173"/>
      <c r="T497" s="173"/>
      <c r="U497" s="173"/>
      <c r="V497" s="173"/>
      <c r="W497" s="173"/>
      <c r="X497" s="173"/>
      <c r="Y497" s="173"/>
    </row>
    <row r="498">
      <c r="A498" s="173"/>
      <c r="B498" s="173"/>
      <c r="C498" s="323"/>
      <c r="D498" s="324"/>
      <c r="E498" s="173"/>
      <c r="F498" s="173"/>
      <c r="G498" s="173"/>
      <c r="H498" s="173"/>
      <c r="I498" s="173"/>
      <c r="J498" s="173"/>
      <c r="K498" s="173"/>
      <c r="L498" s="173"/>
      <c r="M498" s="173"/>
      <c r="N498" s="173"/>
      <c r="O498" s="173"/>
      <c r="P498" s="173"/>
      <c r="Q498" s="173"/>
      <c r="R498" s="173"/>
      <c r="S498" s="173"/>
      <c r="T498" s="173"/>
      <c r="U498" s="173"/>
      <c r="V498" s="173"/>
      <c r="W498" s="173"/>
      <c r="X498" s="173"/>
      <c r="Y498" s="173"/>
    </row>
    <row r="499">
      <c r="A499" s="173"/>
      <c r="B499" s="173"/>
      <c r="C499" s="323"/>
      <c r="D499" s="324"/>
      <c r="E499" s="173"/>
      <c r="F499" s="173"/>
      <c r="G499" s="173"/>
      <c r="H499" s="173"/>
      <c r="I499" s="173"/>
      <c r="J499" s="173"/>
      <c r="K499" s="173"/>
      <c r="L499" s="173"/>
      <c r="M499" s="173"/>
      <c r="N499" s="173"/>
      <c r="O499" s="173"/>
      <c r="P499" s="173"/>
      <c r="Q499" s="173"/>
      <c r="R499" s="173"/>
      <c r="S499" s="173"/>
      <c r="T499" s="173"/>
      <c r="U499" s="173"/>
      <c r="V499" s="173"/>
      <c r="W499" s="173"/>
      <c r="X499" s="173"/>
      <c r="Y499" s="173"/>
    </row>
    <row r="500">
      <c r="A500" s="173"/>
      <c r="B500" s="173"/>
      <c r="C500" s="323"/>
      <c r="D500" s="324"/>
      <c r="E500" s="173"/>
      <c r="F500" s="173"/>
      <c r="G500" s="173"/>
      <c r="H500" s="173"/>
      <c r="I500" s="173"/>
      <c r="J500" s="173"/>
      <c r="K500" s="173"/>
      <c r="L500" s="173"/>
      <c r="M500" s="173"/>
      <c r="N500" s="173"/>
      <c r="O500" s="173"/>
      <c r="P500" s="173"/>
      <c r="Q500" s="173"/>
      <c r="R500" s="173"/>
      <c r="S500" s="173"/>
      <c r="T500" s="173"/>
      <c r="U500" s="173"/>
      <c r="V500" s="173"/>
      <c r="W500" s="173"/>
      <c r="X500" s="173"/>
      <c r="Y500" s="173"/>
    </row>
    <row r="501">
      <c r="A501" s="173"/>
      <c r="B501" s="173"/>
      <c r="C501" s="323"/>
      <c r="D501" s="324"/>
      <c r="E501" s="173"/>
      <c r="F501" s="173"/>
      <c r="G501" s="173"/>
      <c r="H501" s="173"/>
      <c r="I501" s="173"/>
      <c r="J501" s="173"/>
      <c r="K501" s="173"/>
      <c r="L501" s="173"/>
      <c r="M501" s="173"/>
      <c r="N501" s="173"/>
      <c r="O501" s="173"/>
      <c r="P501" s="173"/>
      <c r="Q501" s="173"/>
      <c r="R501" s="173"/>
      <c r="S501" s="173"/>
      <c r="T501" s="173"/>
      <c r="U501" s="173"/>
      <c r="V501" s="173"/>
      <c r="W501" s="173"/>
      <c r="X501" s="173"/>
      <c r="Y501" s="173"/>
    </row>
    <row r="502">
      <c r="A502" s="173"/>
      <c r="B502" s="173"/>
      <c r="C502" s="323"/>
      <c r="D502" s="324"/>
      <c r="E502" s="173"/>
      <c r="F502" s="173"/>
      <c r="G502" s="173"/>
      <c r="H502" s="173"/>
      <c r="I502" s="173"/>
      <c r="J502" s="173"/>
      <c r="K502" s="173"/>
      <c r="L502" s="173"/>
      <c r="M502" s="173"/>
      <c r="N502" s="173"/>
      <c r="O502" s="173"/>
      <c r="P502" s="173"/>
      <c r="Q502" s="173"/>
      <c r="R502" s="173"/>
      <c r="S502" s="173"/>
      <c r="T502" s="173"/>
      <c r="U502" s="173"/>
      <c r="V502" s="173"/>
      <c r="W502" s="173"/>
      <c r="X502" s="173"/>
      <c r="Y502" s="173"/>
    </row>
    <row r="503">
      <c r="A503" s="173"/>
      <c r="B503" s="173"/>
      <c r="C503" s="323"/>
      <c r="D503" s="324"/>
      <c r="E503" s="173"/>
      <c r="F503" s="173"/>
      <c r="G503" s="173"/>
      <c r="H503" s="173"/>
      <c r="I503" s="173"/>
      <c r="J503" s="173"/>
      <c r="K503" s="173"/>
      <c r="L503" s="173"/>
      <c r="M503" s="173"/>
      <c r="N503" s="173"/>
      <c r="O503" s="173"/>
      <c r="P503" s="173"/>
      <c r="Q503" s="173"/>
      <c r="R503" s="173"/>
      <c r="S503" s="173"/>
      <c r="T503" s="173"/>
      <c r="U503" s="173"/>
      <c r="V503" s="173"/>
      <c r="W503" s="173"/>
      <c r="X503" s="173"/>
      <c r="Y503" s="173"/>
    </row>
    <row r="504">
      <c r="A504" s="173"/>
      <c r="B504" s="173"/>
      <c r="C504" s="323"/>
      <c r="D504" s="324"/>
      <c r="E504" s="173"/>
      <c r="F504" s="173"/>
      <c r="G504" s="173"/>
      <c r="H504" s="173"/>
      <c r="I504" s="173"/>
      <c r="J504" s="173"/>
      <c r="K504" s="173"/>
      <c r="L504" s="173"/>
      <c r="M504" s="173"/>
      <c r="N504" s="173"/>
      <c r="O504" s="173"/>
      <c r="P504" s="173"/>
      <c r="Q504" s="173"/>
      <c r="R504" s="173"/>
      <c r="S504" s="173"/>
      <c r="T504" s="173"/>
      <c r="U504" s="173"/>
      <c r="V504" s="173"/>
      <c r="W504" s="173"/>
      <c r="X504" s="173"/>
      <c r="Y504" s="173"/>
    </row>
    <row r="505">
      <c r="A505" s="173"/>
      <c r="B505" s="173"/>
      <c r="C505" s="323"/>
      <c r="D505" s="324"/>
      <c r="E505" s="173"/>
      <c r="F505" s="173"/>
      <c r="G505" s="173"/>
      <c r="H505" s="173"/>
      <c r="I505" s="173"/>
      <c r="J505" s="173"/>
      <c r="K505" s="173"/>
      <c r="L505" s="173"/>
      <c r="M505" s="173"/>
      <c r="N505" s="173"/>
      <c r="O505" s="173"/>
      <c r="P505" s="173"/>
      <c r="Q505" s="173"/>
      <c r="R505" s="173"/>
      <c r="S505" s="173"/>
      <c r="T505" s="173"/>
      <c r="U505" s="173"/>
      <c r="V505" s="173"/>
      <c r="W505" s="173"/>
      <c r="X505" s="173"/>
      <c r="Y505" s="173"/>
    </row>
    <row r="506">
      <c r="A506" s="173"/>
      <c r="B506" s="173"/>
      <c r="C506" s="323"/>
      <c r="D506" s="324"/>
      <c r="E506" s="173"/>
      <c r="F506" s="173"/>
      <c r="G506" s="173"/>
      <c r="H506" s="173"/>
      <c r="I506" s="173"/>
      <c r="J506" s="173"/>
      <c r="K506" s="173"/>
      <c r="L506" s="173"/>
      <c r="M506" s="173"/>
      <c r="N506" s="173"/>
      <c r="O506" s="173"/>
      <c r="P506" s="173"/>
      <c r="Q506" s="173"/>
      <c r="R506" s="173"/>
      <c r="S506" s="173"/>
      <c r="T506" s="173"/>
      <c r="U506" s="173"/>
      <c r="V506" s="173"/>
      <c r="W506" s="173"/>
      <c r="X506" s="173"/>
      <c r="Y506" s="173"/>
    </row>
    <row r="507">
      <c r="A507" s="173"/>
      <c r="B507" s="173"/>
      <c r="C507" s="323"/>
      <c r="D507" s="324"/>
      <c r="E507" s="173"/>
      <c r="F507" s="173"/>
      <c r="G507" s="173"/>
      <c r="H507" s="173"/>
      <c r="I507" s="173"/>
      <c r="J507" s="173"/>
      <c r="K507" s="173"/>
      <c r="L507" s="173"/>
      <c r="M507" s="173"/>
      <c r="N507" s="173"/>
      <c r="O507" s="173"/>
      <c r="P507" s="173"/>
      <c r="Q507" s="173"/>
      <c r="R507" s="173"/>
      <c r="S507" s="173"/>
      <c r="T507" s="173"/>
      <c r="U507" s="173"/>
      <c r="V507" s="173"/>
      <c r="W507" s="173"/>
      <c r="X507" s="173"/>
      <c r="Y507" s="173"/>
    </row>
    <row r="508">
      <c r="A508" s="173"/>
      <c r="B508" s="173"/>
      <c r="C508" s="323"/>
      <c r="D508" s="324"/>
      <c r="E508" s="173"/>
      <c r="F508" s="173"/>
      <c r="G508" s="173"/>
      <c r="H508" s="173"/>
      <c r="I508" s="173"/>
      <c r="J508" s="173"/>
      <c r="K508" s="173"/>
      <c r="L508" s="173"/>
      <c r="M508" s="173"/>
      <c r="N508" s="173"/>
      <c r="O508" s="173"/>
      <c r="P508" s="173"/>
      <c r="Q508" s="173"/>
      <c r="R508" s="173"/>
      <c r="S508" s="173"/>
      <c r="T508" s="173"/>
      <c r="U508" s="173"/>
      <c r="V508" s="173"/>
      <c r="W508" s="173"/>
      <c r="X508" s="173"/>
      <c r="Y508" s="173"/>
    </row>
    <row r="509">
      <c r="A509" s="173"/>
      <c r="B509" s="173"/>
      <c r="C509" s="323"/>
      <c r="D509" s="324"/>
      <c r="E509" s="173"/>
      <c r="F509" s="173"/>
      <c r="G509" s="173"/>
      <c r="H509" s="173"/>
      <c r="I509" s="173"/>
      <c r="J509" s="173"/>
      <c r="K509" s="173"/>
      <c r="L509" s="173"/>
      <c r="M509" s="173"/>
      <c r="N509" s="173"/>
      <c r="O509" s="173"/>
      <c r="P509" s="173"/>
      <c r="Q509" s="173"/>
      <c r="R509" s="173"/>
      <c r="S509" s="173"/>
      <c r="T509" s="173"/>
      <c r="U509" s="173"/>
      <c r="V509" s="173"/>
      <c r="W509" s="173"/>
      <c r="X509" s="173"/>
      <c r="Y509" s="173"/>
    </row>
    <row r="510">
      <c r="A510" s="173"/>
      <c r="B510" s="173"/>
      <c r="C510" s="323"/>
      <c r="D510" s="324"/>
      <c r="E510" s="173"/>
      <c r="F510" s="173"/>
      <c r="G510" s="173"/>
      <c r="H510" s="173"/>
      <c r="I510" s="173"/>
      <c r="J510" s="173"/>
      <c r="K510" s="173"/>
      <c r="L510" s="173"/>
      <c r="M510" s="173"/>
      <c r="N510" s="173"/>
      <c r="O510" s="173"/>
      <c r="P510" s="173"/>
      <c r="Q510" s="173"/>
      <c r="R510" s="173"/>
      <c r="S510" s="173"/>
      <c r="T510" s="173"/>
      <c r="U510" s="173"/>
      <c r="V510" s="173"/>
      <c r="W510" s="173"/>
      <c r="X510" s="173"/>
      <c r="Y510" s="173"/>
    </row>
    <row r="511">
      <c r="A511" s="173"/>
      <c r="B511" s="173"/>
      <c r="C511" s="323"/>
      <c r="D511" s="324"/>
      <c r="E511" s="173"/>
      <c r="F511" s="173"/>
      <c r="G511" s="173"/>
      <c r="H511" s="173"/>
      <c r="I511" s="173"/>
      <c r="J511" s="173"/>
      <c r="K511" s="173"/>
      <c r="L511" s="173"/>
      <c r="M511" s="173"/>
      <c r="N511" s="173"/>
      <c r="O511" s="173"/>
      <c r="P511" s="173"/>
      <c r="Q511" s="173"/>
      <c r="R511" s="173"/>
      <c r="S511" s="173"/>
      <c r="T511" s="173"/>
      <c r="U511" s="173"/>
      <c r="V511" s="173"/>
      <c r="W511" s="173"/>
      <c r="X511" s="173"/>
      <c r="Y511" s="173"/>
    </row>
    <row r="512">
      <c r="A512" s="173"/>
      <c r="B512" s="173"/>
      <c r="C512" s="323"/>
      <c r="D512" s="324"/>
      <c r="E512" s="173"/>
      <c r="F512" s="173"/>
      <c r="G512" s="173"/>
      <c r="H512" s="173"/>
      <c r="I512" s="173"/>
      <c r="J512" s="173"/>
      <c r="K512" s="173"/>
      <c r="L512" s="173"/>
      <c r="M512" s="173"/>
      <c r="N512" s="173"/>
      <c r="O512" s="173"/>
      <c r="P512" s="173"/>
      <c r="Q512" s="173"/>
      <c r="R512" s="173"/>
      <c r="S512" s="173"/>
      <c r="T512" s="173"/>
      <c r="U512" s="173"/>
      <c r="V512" s="173"/>
      <c r="W512" s="173"/>
      <c r="X512" s="173"/>
      <c r="Y512" s="173"/>
    </row>
    <row r="513">
      <c r="A513" s="173"/>
      <c r="B513" s="173"/>
      <c r="C513" s="323"/>
      <c r="D513" s="324"/>
      <c r="E513" s="173"/>
      <c r="F513" s="173"/>
      <c r="G513" s="173"/>
      <c r="H513" s="173"/>
      <c r="I513" s="173"/>
      <c r="J513" s="173"/>
      <c r="K513" s="173"/>
      <c r="L513" s="173"/>
      <c r="M513" s="173"/>
      <c r="N513" s="173"/>
      <c r="O513" s="173"/>
      <c r="P513" s="173"/>
      <c r="Q513" s="173"/>
      <c r="R513" s="173"/>
      <c r="S513" s="173"/>
      <c r="T513" s="173"/>
      <c r="U513" s="173"/>
      <c r="V513" s="173"/>
      <c r="W513" s="173"/>
      <c r="X513" s="173"/>
      <c r="Y513" s="173"/>
    </row>
    <row r="514">
      <c r="A514" s="173"/>
      <c r="B514" s="173"/>
      <c r="C514" s="323"/>
      <c r="D514" s="324"/>
      <c r="E514" s="173"/>
      <c r="F514" s="173"/>
      <c r="G514" s="173"/>
      <c r="H514" s="173"/>
      <c r="I514" s="173"/>
      <c r="J514" s="173"/>
      <c r="K514" s="173"/>
      <c r="L514" s="173"/>
      <c r="M514" s="173"/>
      <c r="N514" s="173"/>
      <c r="O514" s="173"/>
      <c r="P514" s="173"/>
      <c r="Q514" s="173"/>
      <c r="R514" s="173"/>
      <c r="S514" s="173"/>
      <c r="T514" s="173"/>
      <c r="U514" s="173"/>
      <c r="V514" s="173"/>
      <c r="W514" s="173"/>
      <c r="X514" s="173"/>
      <c r="Y514" s="173"/>
    </row>
    <row r="515">
      <c r="A515" s="173"/>
      <c r="B515" s="173"/>
      <c r="C515" s="323"/>
      <c r="D515" s="324"/>
      <c r="E515" s="173"/>
      <c r="F515" s="173"/>
      <c r="G515" s="173"/>
      <c r="H515" s="173"/>
      <c r="I515" s="173"/>
      <c r="J515" s="173"/>
      <c r="K515" s="173"/>
      <c r="L515" s="173"/>
      <c r="M515" s="173"/>
      <c r="N515" s="173"/>
      <c r="O515" s="173"/>
      <c r="P515" s="173"/>
      <c r="Q515" s="173"/>
      <c r="R515" s="173"/>
      <c r="S515" s="173"/>
      <c r="T515" s="173"/>
      <c r="U515" s="173"/>
      <c r="V515" s="173"/>
      <c r="W515" s="173"/>
      <c r="X515" s="173"/>
      <c r="Y515" s="173"/>
    </row>
    <row r="516">
      <c r="A516" s="173"/>
      <c r="B516" s="173"/>
      <c r="C516" s="323"/>
      <c r="D516" s="324"/>
      <c r="E516" s="173"/>
      <c r="F516" s="173"/>
      <c r="G516" s="173"/>
      <c r="H516" s="173"/>
      <c r="I516" s="173"/>
      <c r="J516" s="173"/>
      <c r="K516" s="173"/>
      <c r="L516" s="173"/>
      <c r="M516" s="173"/>
      <c r="N516" s="173"/>
      <c r="O516" s="173"/>
      <c r="P516" s="173"/>
      <c r="Q516" s="173"/>
      <c r="R516" s="173"/>
      <c r="S516" s="173"/>
      <c r="T516" s="173"/>
      <c r="U516" s="173"/>
      <c r="V516" s="173"/>
      <c r="W516" s="173"/>
      <c r="X516" s="173"/>
      <c r="Y516" s="173"/>
    </row>
    <row r="517">
      <c r="A517" s="173"/>
      <c r="B517" s="173"/>
      <c r="C517" s="323"/>
      <c r="D517" s="324"/>
      <c r="E517" s="173"/>
      <c r="F517" s="173"/>
      <c r="G517" s="173"/>
      <c r="H517" s="173"/>
      <c r="I517" s="173"/>
      <c r="J517" s="173"/>
      <c r="K517" s="173"/>
      <c r="L517" s="173"/>
      <c r="M517" s="173"/>
      <c r="N517" s="173"/>
      <c r="O517" s="173"/>
      <c r="P517" s="173"/>
      <c r="Q517" s="173"/>
      <c r="R517" s="173"/>
      <c r="S517" s="173"/>
      <c r="T517" s="173"/>
      <c r="U517" s="173"/>
      <c r="V517" s="173"/>
      <c r="W517" s="173"/>
      <c r="X517" s="173"/>
      <c r="Y517" s="173"/>
    </row>
    <row r="518">
      <c r="A518" s="173"/>
      <c r="B518" s="173"/>
      <c r="C518" s="323"/>
      <c r="D518" s="324"/>
      <c r="E518" s="173"/>
      <c r="F518" s="173"/>
      <c r="G518" s="173"/>
      <c r="H518" s="173"/>
      <c r="I518" s="173"/>
      <c r="J518" s="173"/>
      <c r="K518" s="173"/>
      <c r="L518" s="173"/>
      <c r="M518" s="173"/>
      <c r="N518" s="173"/>
      <c r="O518" s="173"/>
      <c r="P518" s="173"/>
      <c r="Q518" s="173"/>
      <c r="R518" s="173"/>
      <c r="S518" s="173"/>
      <c r="T518" s="173"/>
      <c r="U518" s="173"/>
      <c r="V518" s="173"/>
      <c r="W518" s="173"/>
      <c r="X518" s="173"/>
      <c r="Y518" s="173"/>
    </row>
    <row r="519">
      <c r="A519" s="173"/>
      <c r="B519" s="173"/>
      <c r="C519" s="323"/>
      <c r="D519" s="324"/>
      <c r="E519" s="173"/>
      <c r="F519" s="173"/>
      <c r="G519" s="173"/>
      <c r="H519" s="173"/>
      <c r="I519" s="173"/>
      <c r="J519" s="173"/>
      <c r="K519" s="173"/>
      <c r="L519" s="173"/>
      <c r="M519" s="173"/>
      <c r="N519" s="173"/>
      <c r="O519" s="173"/>
      <c r="P519" s="173"/>
      <c r="Q519" s="173"/>
      <c r="R519" s="173"/>
      <c r="S519" s="173"/>
      <c r="T519" s="173"/>
      <c r="U519" s="173"/>
      <c r="V519" s="173"/>
      <c r="W519" s="173"/>
      <c r="X519" s="173"/>
      <c r="Y519" s="173"/>
    </row>
    <row r="520">
      <c r="A520" s="173"/>
      <c r="B520" s="173"/>
      <c r="C520" s="323"/>
      <c r="D520" s="324"/>
      <c r="E520" s="173"/>
      <c r="F520" s="173"/>
      <c r="G520" s="173"/>
      <c r="H520" s="173"/>
      <c r="I520" s="173"/>
      <c r="J520" s="173"/>
      <c r="K520" s="173"/>
      <c r="L520" s="173"/>
      <c r="M520" s="173"/>
      <c r="N520" s="173"/>
      <c r="O520" s="173"/>
      <c r="P520" s="173"/>
      <c r="Q520" s="173"/>
      <c r="R520" s="173"/>
      <c r="S520" s="173"/>
      <c r="T520" s="173"/>
      <c r="U520" s="173"/>
      <c r="V520" s="173"/>
      <c r="W520" s="173"/>
      <c r="X520" s="173"/>
      <c r="Y520" s="173"/>
    </row>
    <row r="521">
      <c r="A521" s="173"/>
      <c r="B521" s="173"/>
      <c r="C521" s="323"/>
      <c r="D521" s="324"/>
      <c r="E521" s="173"/>
      <c r="F521" s="173"/>
      <c r="G521" s="173"/>
      <c r="H521" s="173"/>
      <c r="I521" s="173"/>
      <c r="J521" s="173"/>
      <c r="K521" s="173"/>
      <c r="L521" s="173"/>
      <c r="M521" s="173"/>
      <c r="N521" s="173"/>
      <c r="O521" s="173"/>
      <c r="P521" s="173"/>
      <c r="Q521" s="173"/>
      <c r="R521" s="173"/>
      <c r="S521" s="173"/>
      <c r="T521" s="173"/>
      <c r="U521" s="173"/>
      <c r="V521" s="173"/>
      <c r="W521" s="173"/>
      <c r="X521" s="173"/>
      <c r="Y521" s="173"/>
    </row>
    <row r="522">
      <c r="A522" s="173"/>
      <c r="B522" s="173"/>
      <c r="C522" s="323"/>
      <c r="D522" s="324"/>
      <c r="E522" s="173"/>
      <c r="F522" s="173"/>
      <c r="G522" s="173"/>
      <c r="H522" s="173"/>
      <c r="I522" s="173"/>
      <c r="J522" s="173"/>
      <c r="K522" s="173"/>
      <c r="L522" s="173"/>
      <c r="M522" s="173"/>
      <c r="N522" s="173"/>
      <c r="O522" s="173"/>
      <c r="P522" s="173"/>
      <c r="Q522" s="173"/>
      <c r="R522" s="173"/>
      <c r="S522" s="173"/>
      <c r="T522" s="173"/>
      <c r="U522" s="173"/>
      <c r="V522" s="173"/>
      <c r="W522" s="173"/>
      <c r="X522" s="173"/>
      <c r="Y522" s="173"/>
    </row>
    <row r="523">
      <c r="A523" s="173"/>
      <c r="B523" s="173"/>
      <c r="C523" s="323"/>
      <c r="D523" s="324"/>
      <c r="E523" s="173"/>
      <c r="F523" s="173"/>
      <c r="G523" s="173"/>
      <c r="H523" s="173"/>
      <c r="I523" s="173"/>
      <c r="J523" s="173"/>
      <c r="K523" s="173"/>
      <c r="L523" s="173"/>
      <c r="M523" s="173"/>
      <c r="N523" s="173"/>
      <c r="O523" s="173"/>
      <c r="P523" s="173"/>
      <c r="Q523" s="173"/>
      <c r="R523" s="173"/>
      <c r="S523" s="173"/>
      <c r="T523" s="173"/>
      <c r="U523" s="173"/>
      <c r="V523" s="173"/>
      <c r="W523" s="173"/>
      <c r="X523" s="173"/>
      <c r="Y523" s="173"/>
    </row>
    <row r="524">
      <c r="A524" s="173"/>
      <c r="B524" s="173"/>
      <c r="C524" s="323"/>
      <c r="D524" s="324"/>
      <c r="E524" s="173"/>
      <c r="F524" s="173"/>
      <c r="G524" s="173"/>
      <c r="H524" s="173"/>
      <c r="I524" s="173"/>
      <c r="J524" s="173"/>
      <c r="K524" s="173"/>
      <c r="L524" s="173"/>
      <c r="M524" s="173"/>
      <c r="N524" s="173"/>
      <c r="O524" s="173"/>
      <c r="P524" s="173"/>
      <c r="Q524" s="173"/>
      <c r="R524" s="173"/>
      <c r="S524" s="173"/>
      <c r="T524" s="173"/>
      <c r="U524" s="173"/>
      <c r="V524" s="173"/>
      <c r="W524" s="173"/>
      <c r="X524" s="173"/>
      <c r="Y524" s="173"/>
    </row>
    <row r="525">
      <c r="A525" s="173"/>
      <c r="B525" s="173"/>
      <c r="C525" s="323"/>
      <c r="D525" s="324"/>
      <c r="E525" s="173"/>
      <c r="F525" s="173"/>
      <c r="G525" s="173"/>
      <c r="H525" s="173"/>
      <c r="I525" s="173"/>
      <c r="J525" s="173"/>
      <c r="K525" s="173"/>
      <c r="L525" s="173"/>
      <c r="M525" s="173"/>
      <c r="N525" s="173"/>
      <c r="O525" s="173"/>
      <c r="P525" s="173"/>
      <c r="Q525" s="173"/>
      <c r="R525" s="173"/>
      <c r="S525" s="173"/>
      <c r="T525" s="173"/>
      <c r="U525" s="173"/>
      <c r="V525" s="173"/>
      <c r="W525" s="173"/>
      <c r="X525" s="173"/>
      <c r="Y525" s="173"/>
    </row>
    <row r="526">
      <c r="A526" s="173"/>
      <c r="B526" s="173"/>
      <c r="C526" s="323"/>
      <c r="D526" s="324"/>
      <c r="E526" s="173"/>
      <c r="F526" s="173"/>
      <c r="G526" s="173"/>
      <c r="H526" s="173"/>
      <c r="I526" s="173"/>
      <c r="J526" s="173"/>
      <c r="K526" s="173"/>
      <c r="L526" s="173"/>
      <c r="M526" s="173"/>
      <c r="N526" s="173"/>
      <c r="O526" s="173"/>
      <c r="P526" s="173"/>
      <c r="Q526" s="173"/>
      <c r="R526" s="173"/>
      <c r="S526" s="173"/>
      <c r="T526" s="173"/>
      <c r="U526" s="173"/>
      <c r="V526" s="173"/>
      <c r="W526" s="173"/>
      <c r="X526" s="173"/>
      <c r="Y526" s="173"/>
    </row>
    <row r="527">
      <c r="A527" s="173"/>
      <c r="B527" s="173"/>
      <c r="C527" s="323"/>
      <c r="D527" s="324"/>
      <c r="E527" s="173"/>
      <c r="F527" s="173"/>
      <c r="G527" s="173"/>
      <c r="H527" s="173"/>
      <c r="I527" s="173"/>
      <c r="J527" s="173"/>
      <c r="K527" s="173"/>
      <c r="L527" s="173"/>
      <c r="M527" s="173"/>
      <c r="N527" s="173"/>
      <c r="O527" s="173"/>
      <c r="P527" s="173"/>
      <c r="Q527" s="173"/>
      <c r="R527" s="173"/>
      <c r="S527" s="173"/>
      <c r="T527" s="173"/>
      <c r="U527" s="173"/>
      <c r="V527" s="173"/>
      <c r="W527" s="173"/>
      <c r="X527" s="173"/>
      <c r="Y527" s="173"/>
    </row>
    <row r="528">
      <c r="A528" s="173"/>
      <c r="B528" s="173"/>
      <c r="C528" s="323"/>
      <c r="D528" s="324"/>
      <c r="E528" s="173"/>
      <c r="F528" s="173"/>
      <c r="G528" s="173"/>
      <c r="H528" s="173"/>
      <c r="I528" s="173"/>
      <c r="J528" s="173"/>
      <c r="K528" s="173"/>
      <c r="L528" s="173"/>
      <c r="M528" s="173"/>
      <c r="N528" s="173"/>
      <c r="O528" s="173"/>
      <c r="P528" s="173"/>
      <c r="Q528" s="173"/>
      <c r="R528" s="173"/>
      <c r="S528" s="173"/>
      <c r="T528" s="173"/>
      <c r="U528" s="173"/>
      <c r="V528" s="173"/>
      <c r="W528" s="173"/>
      <c r="X528" s="173"/>
      <c r="Y528" s="173"/>
    </row>
    <row r="529">
      <c r="A529" s="173"/>
      <c r="B529" s="173"/>
      <c r="C529" s="323"/>
      <c r="D529" s="324"/>
      <c r="E529" s="173"/>
      <c r="F529" s="173"/>
      <c r="G529" s="173"/>
      <c r="H529" s="173"/>
      <c r="I529" s="173"/>
      <c r="J529" s="173"/>
      <c r="K529" s="173"/>
      <c r="L529" s="173"/>
      <c r="M529" s="173"/>
      <c r="N529" s="173"/>
      <c r="O529" s="173"/>
      <c r="P529" s="173"/>
      <c r="Q529" s="173"/>
      <c r="R529" s="173"/>
      <c r="S529" s="173"/>
      <c r="T529" s="173"/>
      <c r="U529" s="173"/>
      <c r="V529" s="173"/>
      <c r="W529" s="173"/>
      <c r="X529" s="173"/>
      <c r="Y529" s="173"/>
    </row>
    <row r="530">
      <c r="A530" s="173"/>
      <c r="B530" s="173"/>
      <c r="C530" s="323"/>
      <c r="D530" s="324"/>
      <c r="E530" s="173"/>
      <c r="F530" s="173"/>
      <c r="G530" s="173"/>
      <c r="H530" s="173"/>
      <c r="I530" s="173"/>
      <c r="J530" s="173"/>
      <c r="K530" s="173"/>
      <c r="L530" s="173"/>
      <c r="M530" s="173"/>
      <c r="N530" s="173"/>
      <c r="O530" s="173"/>
      <c r="P530" s="173"/>
      <c r="Q530" s="173"/>
      <c r="R530" s="173"/>
      <c r="S530" s="173"/>
      <c r="T530" s="173"/>
      <c r="U530" s="173"/>
      <c r="V530" s="173"/>
      <c r="W530" s="173"/>
      <c r="X530" s="173"/>
      <c r="Y530" s="173"/>
    </row>
    <row r="531">
      <c r="A531" s="173"/>
      <c r="B531" s="173"/>
      <c r="C531" s="323"/>
      <c r="D531" s="324"/>
      <c r="E531" s="173"/>
      <c r="F531" s="173"/>
      <c r="G531" s="173"/>
      <c r="H531" s="173"/>
      <c r="I531" s="173"/>
      <c r="J531" s="173"/>
      <c r="K531" s="173"/>
      <c r="L531" s="173"/>
      <c r="M531" s="173"/>
      <c r="N531" s="173"/>
      <c r="O531" s="173"/>
      <c r="P531" s="173"/>
      <c r="Q531" s="173"/>
      <c r="R531" s="173"/>
      <c r="S531" s="173"/>
      <c r="T531" s="173"/>
      <c r="U531" s="173"/>
      <c r="V531" s="173"/>
      <c r="W531" s="173"/>
      <c r="X531" s="173"/>
      <c r="Y531" s="173"/>
    </row>
    <row r="532">
      <c r="A532" s="173"/>
      <c r="B532" s="173"/>
      <c r="C532" s="323"/>
      <c r="D532" s="324"/>
      <c r="E532" s="173"/>
      <c r="F532" s="173"/>
      <c r="G532" s="173"/>
      <c r="H532" s="173"/>
      <c r="I532" s="173"/>
      <c r="J532" s="173"/>
      <c r="K532" s="173"/>
      <c r="L532" s="173"/>
      <c r="M532" s="173"/>
      <c r="N532" s="173"/>
      <c r="O532" s="173"/>
      <c r="P532" s="173"/>
      <c r="Q532" s="173"/>
      <c r="R532" s="173"/>
      <c r="S532" s="173"/>
      <c r="T532" s="173"/>
      <c r="U532" s="173"/>
      <c r="V532" s="173"/>
      <c r="W532" s="173"/>
      <c r="X532" s="173"/>
      <c r="Y532" s="173"/>
    </row>
    <row r="533">
      <c r="A533" s="173"/>
      <c r="B533" s="173"/>
      <c r="C533" s="323"/>
      <c r="D533" s="324"/>
      <c r="E533" s="173"/>
      <c r="F533" s="173"/>
      <c r="G533" s="173"/>
      <c r="H533" s="173"/>
      <c r="I533" s="173"/>
      <c r="J533" s="173"/>
      <c r="K533" s="173"/>
      <c r="L533" s="173"/>
      <c r="M533" s="173"/>
      <c r="N533" s="173"/>
      <c r="O533" s="173"/>
      <c r="P533" s="173"/>
      <c r="Q533" s="173"/>
      <c r="R533" s="173"/>
      <c r="S533" s="173"/>
      <c r="T533" s="173"/>
      <c r="U533" s="173"/>
      <c r="V533" s="173"/>
      <c r="W533" s="173"/>
      <c r="X533" s="173"/>
      <c r="Y533" s="173"/>
    </row>
    <row r="534">
      <c r="A534" s="173"/>
      <c r="B534" s="173"/>
      <c r="C534" s="323"/>
      <c r="D534" s="324"/>
      <c r="E534" s="173"/>
      <c r="F534" s="173"/>
      <c r="G534" s="173"/>
      <c r="H534" s="173"/>
      <c r="I534" s="173"/>
      <c r="J534" s="173"/>
      <c r="K534" s="173"/>
      <c r="L534" s="173"/>
      <c r="M534" s="173"/>
      <c r="N534" s="173"/>
      <c r="O534" s="173"/>
      <c r="P534" s="173"/>
      <c r="Q534" s="173"/>
      <c r="R534" s="173"/>
      <c r="S534" s="173"/>
      <c r="T534" s="173"/>
      <c r="U534" s="173"/>
      <c r="V534" s="173"/>
      <c r="W534" s="173"/>
      <c r="X534" s="173"/>
      <c r="Y534" s="173"/>
    </row>
    <row r="535">
      <c r="A535" s="173"/>
      <c r="B535" s="173"/>
      <c r="C535" s="323"/>
      <c r="D535" s="324"/>
      <c r="E535" s="173"/>
      <c r="F535" s="173"/>
      <c r="G535" s="173"/>
      <c r="H535" s="173"/>
      <c r="I535" s="173"/>
      <c r="J535" s="173"/>
      <c r="K535" s="173"/>
      <c r="L535" s="173"/>
      <c r="M535" s="173"/>
      <c r="N535" s="173"/>
      <c r="O535" s="173"/>
      <c r="P535" s="173"/>
      <c r="Q535" s="173"/>
      <c r="R535" s="173"/>
      <c r="S535" s="173"/>
      <c r="T535" s="173"/>
      <c r="U535" s="173"/>
      <c r="V535" s="173"/>
      <c r="W535" s="173"/>
      <c r="X535" s="173"/>
      <c r="Y535" s="173"/>
    </row>
    <row r="536">
      <c r="A536" s="173"/>
      <c r="B536" s="173"/>
      <c r="C536" s="323"/>
      <c r="D536" s="324"/>
      <c r="E536" s="173"/>
      <c r="F536" s="173"/>
      <c r="G536" s="173"/>
      <c r="H536" s="173"/>
      <c r="I536" s="173"/>
      <c r="J536" s="173"/>
      <c r="K536" s="173"/>
      <c r="L536" s="173"/>
      <c r="M536" s="173"/>
      <c r="N536" s="173"/>
      <c r="O536" s="173"/>
      <c r="P536" s="173"/>
      <c r="Q536" s="173"/>
      <c r="R536" s="173"/>
      <c r="S536" s="173"/>
      <c r="T536" s="173"/>
      <c r="U536" s="173"/>
      <c r="V536" s="173"/>
      <c r="W536" s="173"/>
      <c r="X536" s="173"/>
      <c r="Y536" s="173"/>
    </row>
    <row r="537">
      <c r="A537" s="173"/>
      <c r="B537" s="173"/>
      <c r="C537" s="323"/>
      <c r="D537" s="324"/>
      <c r="E537" s="173"/>
      <c r="F537" s="173"/>
      <c r="G537" s="173"/>
      <c r="H537" s="173"/>
      <c r="I537" s="173"/>
      <c r="J537" s="173"/>
      <c r="K537" s="173"/>
      <c r="L537" s="173"/>
      <c r="M537" s="173"/>
      <c r="N537" s="173"/>
      <c r="O537" s="173"/>
      <c r="P537" s="173"/>
      <c r="Q537" s="173"/>
      <c r="R537" s="173"/>
      <c r="S537" s="173"/>
      <c r="T537" s="173"/>
      <c r="U537" s="173"/>
      <c r="V537" s="173"/>
      <c r="W537" s="173"/>
      <c r="X537" s="173"/>
      <c r="Y537" s="173"/>
    </row>
    <row r="538">
      <c r="A538" s="173"/>
      <c r="B538" s="173"/>
      <c r="C538" s="323"/>
      <c r="D538" s="324"/>
      <c r="E538" s="173"/>
      <c r="F538" s="173"/>
      <c r="G538" s="173"/>
      <c r="H538" s="173"/>
      <c r="I538" s="173"/>
      <c r="J538" s="173"/>
      <c r="K538" s="173"/>
      <c r="L538" s="173"/>
      <c r="M538" s="173"/>
      <c r="N538" s="173"/>
      <c r="O538" s="173"/>
      <c r="P538" s="173"/>
      <c r="Q538" s="173"/>
      <c r="R538" s="173"/>
      <c r="S538" s="173"/>
      <c r="T538" s="173"/>
      <c r="U538" s="173"/>
      <c r="V538" s="173"/>
      <c r="W538" s="173"/>
      <c r="X538" s="173"/>
      <c r="Y538" s="173"/>
    </row>
    <row r="539">
      <c r="A539" s="173"/>
      <c r="B539" s="173"/>
      <c r="C539" s="323"/>
      <c r="D539" s="324"/>
      <c r="E539" s="173"/>
      <c r="F539" s="173"/>
      <c r="G539" s="173"/>
      <c r="H539" s="173"/>
      <c r="I539" s="173"/>
      <c r="J539" s="173"/>
      <c r="K539" s="173"/>
      <c r="L539" s="173"/>
      <c r="M539" s="173"/>
      <c r="N539" s="173"/>
      <c r="O539" s="173"/>
      <c r="P539" s="173"/>
      <c r="Q539" s="173"/>
      <c r="R539" s="173"/>
      <c r="S539" s="173"/>
      <c r="T539" s="173"/>
      <c r="U539" s="173"/>
      <c r="V539" s="173"/>
      <c r="W539" s="173"/>
      <c r="X539" s="173"/>
      <c r="Y539" s="173"/>
    </row>
    <row r="540">
      <c r="A540" s="173"/>
      <c r="B540" s="173"/>
      <c r="C540" s="323"/>
      <c r="D540" s="324"/>
      <c r="E540" s="173"/>
      <c r="F540" s="173"/>
      <c r="G540" s="173"/>
      <c r="H540" s="173"/>
      <c r="I540" s="173"/>
      <c r="J540" s="173"/>
      <c r="K540" s="173"/>
      <c r="L540" s="173"/>
      <c r="M540" s="173"/>
      <c r="N540" s="173"/>
      <c r="O540" s="173"/>
      <c r="P540" s="173"/>
      <c r="Q540" s="173"/>
      <c r="R540" s="173"/>
      <c r="S540" s="173"/>
      <c r="T540" s="173"/>
      <c r="U540" s="173"/>
      <c r="V540" s="173"/>
      <c r="W540" s="173"/>
      <c r="X540" s="173"/>
      <c r="Y540" s="173"/>
    </row>
    <row r="541">
      <c r="A541" s="173"/>
      <c r="B541" s="173"/>
      <c r="C541" s="323"/>
      <c r="D541" s="324"/>
      <c r="E541" s="173"/>
      <c r="F541" s="173"/>
      <c r="G541" s="173"/>
      <c r="H541" s="173"/>
      <c r="I541" s="173"/>
      <c r="J541" s="173"/>
      <c r="K541" s="173"/>
      <c r="L541" s="173"/>
      <c r="M541" s="173"/>
      <c r="N541" s="173"/>
      <c r="O541" s="173"/>
      <c r="P541" s="173"/>
      <c r="Q541" s="173"/>
      <c r="R541" s="173"/>
      <c r="S541" s="173"/>
      <c r="T541" s="173"/>
      <c r="U541" s="173"/>
      <c r="V541" s="173"/>
      <c r="W541" s="173"/>
      <c r="X541" s="173"/>
      <c r="Y541" s="173"/>
    </row>
    <row r="542">
      <c r="A542" s="173"/>
      <c r="B542" s="173"/>
      <c r="C542" s="323"/>
      <c r="D542" s="324"/>
      <c r="E542" s="173"/>
      <c r="F542" s="173"/>
      <c r="G542" s="173"/>
      <c r="H542" s="173"/>
      <c r="I542" s="173"/>
      <c r="J542" s="173"/>
      <c r="K542" s="173"/>
      <c r="L542" s="173"/>
      <c r="M542" s="173"/>
      <c r="N542" s="173"/>
      <c r="O542" s="173"/>
      <c r="P542" s="173"/>
      <c r="Q542" s="173"/>
      <c r="R542" s="173"/>
      <c r="S542" s="173"/>
      <c r="T542" s="173"/>
      <c r="U542" s="173"/>
      <c r="V542" s="173"/>
      <c r="W542" s="173"/>
      <c r="X542" s="173"/>
      <c r="Y542" s="173"/>
    </row>
    <row r="543">
      <c r="A543" s="173"/>
      <c r="B543" s="173"/>
      <c r="C543" s="323"/>
      <c r="D543" s="324"/>
      <c r="E543" s="173"/>
      <c r="F543" s="173"/>
      <c r="G543" s="173"/>
      <c r="H543" s="173"/>
      <c r="I543" s="173"/>
      <c r="J543" s="173"/>
      <c r="K543" s="173"/>
      <c r="L543" s="173"/>
      <c r="M543" s="173"/>
      <c r="N543" s="173"/>
      <c r="O543" s="173"/>
      <c r="P543" s="173"/>
      <c r="Q543" s="173"/>
      <c r="R543" s="173"/>
      <c r="S543" s="173"/>
      <c r="T543" s="173"/>
      <c r="U543" s="173"/>
      <c r="V543" s="173"/>
      <c r="W543" s="173"/>
      <c r="X543" s="173"/>
      <c r="Y543" s="173"/>
    </row>
    <row r="544">
      <c r="A544" s="173"/>
      <c r="B544" s="173"/>
      <c r="C544" s="323"/>
      <c r="D544" s="324"/>
      <c r="E544" s="173"/>
      <c r="F544" s="173"/>
      <c r="G544" s="173"/>
      <c r="H544" s="173"/>
      <c r="I544" s="173"/>
      <c r="J544" s="173"/>
      <c r="K544" s="173"/>
      <c r="L544" s="173"/>
      <c r="M544" s="173"/>
      <c r="N544" s="173"/>
      <c r="O544" s="173"/>
      <c r="P544" s="173"/>
      <c r="Q544" s="173"/>
      <c r="R544" s="173"/>
      <c r="S544" s="173"/>
      <c r="T544" s="173"/>
      <c r="U544" s="173"/>
      <c r="V544" s="173"/>
      <c r="W544" s="173"/>
      <c r="X544" s="173"/>
      <c r="Y544" s="173"/>
    </row>
    <row r="545">
      <c r="A545" s="173"/>
      <c r="B545" s="173"/>
      <c r="C545" s="323"/>
      <c r="D545" s="324"/>
      <c r="E545" s="173"/>
      <c r="F545" s="173"/>
      <c r="G545" s="173"/>
      <c r="H545" s="173"/>
      <c r="I545" s="173"/>
      <c r="J545" s="173"/>
      <c r="K545" s="173"/>
      <c r="L545" s="173"/>
      <c r="M545" s="173"/>
      <c r="N545" s="173"/>
      <c r="O545" s="173"/>
      <c r="P545" s="173"/>
      <c r="Q545" s="173"/>
      <c r="R545" s="173"/>
      <c r="S545" s="173"/>
      <c r="T545" s="173"/>
      <c r="U545" s="173"/>
      <c r="V545" s="173"/>
      <c r="W545" s="173"/>
      <c r="X545" s="173"/>
      <c r="Y545" s="173"/>
    </row>
    <row r="546">
      <c r="A546" s="173"/>
      <c r="B546" s="173"/>
      <c r="C546" s="323"/>
      <c r="D546" s="324"/>
      <c r="E546" s="173"/>
      <c r="F546" s="173"/>
      <c r="G546" s="173"/>
      <c r="H546" s="173"/>
      <c r="I546" s="173"/>
      <c r="J546" s="173"/>
      <c r="K546" s="173"/>
      <c r="L546" s="173"/>
      <c r="M546" s="173"/>
      <c r="N546" s="173"/>
      <c r="O546" s="173"/>
      <c r="P546" s="173"/>
      <c r="Q546" s="173"/>
      <c r="R546" s="173"/>
      <c r="S546" s="173"/>
      <c r="T546" s="173"/>
      <c r="U546" s="173"/>
      <c r="V546" s="173"/>
      <c r="W546" s="173"/>
      <c r="X546" s="173"/>
      <c r="Y546" s="173"/>
    </row>
    <row r="547">
      <c r="A547" s="173"/>
      <c r="B547" s="173"/>
      <c r="C547" s="323"/>
      <c r="D547" s="324"/>
      <c r="E547" s="173"/>
      <c r="F547" s="173"/>
      <c r="G547" s="173"/>
      <c r="H547" s="173"/>
      <c r="I547" s="173"/>
      <c r="J547" s="173"/>
      <c r="K547" s="173"/>
      <c r="L547" s="173"/>
      <c r="M547" s="173"/>
      <c r="N547" s="173"/>
      <c r="O547" s="173"/>
      <c r="P547" s="173"/>
      <c r="Q547" s="173"/>
      <c r="R547" s="173"/>
      <c r="S547" s="173"/>
      <c r="T547" s="173"/>
      <c r="U547" s="173"/>
      <c r="V547" s="173"/>
      <c r="W547" s="173"/>
      <c r="X547" s="173"/>
      <c r="Y547" s="173"/>
    </row>
    <row r="548">
      <c r="A548" s="173"/>
      <c r="B548" s="173"/>
      <c r="C548" s="323"/>
      <c r="D548" s="324"/>
      <c r="E548" s="173"/>
      <c r="F548" s="173"/>
      <c r="G548" s="173"/>
      <c r="H548" s="173"/>
      <c r="I548" s="173"/>
      <c r="J548" s="173"/>
      <c r="K548" s="173"/>
      <c r="L548" s="173"/>
      <c r="M548" s="173"/>
      <c r="N548" s="173"/>
      <c r="O548" s="173"/>
      <c r="P548" s="173"/>
      <c r="Q548" s="173"/>
      <c r="R548" s="173"/>
      <c r="S548" s="173"/>
      <c r="T548" s="173"/>
      <c r="U548" s="173"/>
      <c r="V548" s="173"/>
      <c r="W548" s="173"/>
      <c r="X548" s="173"/>
      <c r="Y548" s="173"/>
    </row>
    <row r="549">
      <c r="A549" s="173"/>
      <c r="B549" s="173"/>
      <c r="C549" s="323"/>
      <c r="D549" s="324"/>
      <c r="E549" s="173"/>
      <c r="F549" s="173"/>
      <c r="G549" s="173"/>
      <c r="H549" s="173"/>
      <c r="I549" s="173"/>
      <c r="J549" s="173"/>
      <c r="K549" s="173"/>
      <c r="L549" s="173"/>
      <c r="M549" s="173"/>
      <c r="N549" s="173"/>
      <c r="O549" s="173"/>
      <c r="P549" s="173"/>
      <c r="Q549" s="173"/>
      <c r="R549" s="173"/>
      <c r="S549" s="173"/>
      <c r="T549" s="173"/>
      <c r="U549" s="173"/>
      <c r="V549" s="173"/>
      <c r="W549" s="173"/>
      <c r="X549" s="173"/>
      <c r="Y549" s="173"/>
    </row>
    <row r="550">
      <c r="A550" s="173"/>
      <c r="B550" s="173"/>
      <c r="C550" s="323"/>
      <c r="D550" s="324"/>
      <c r="E550" s="173"/>
      <c r="F550" s="173"/>
      <c r="G550" s="173"/>
      <c r="H550" s="173"/>
      <c r="I550" s="173"/>
      <c r="J550" s="173"/>
      <c r="K550" s="173"/>
      <c r="L550" s="173"/>
      <c r="M550" s="173"/>
      <c r="N550" s="173"/>
      <c r="O550" s="173"/>
      <c r="P550" s="173"/>
      <c r="Q550" s="173"/>
      <c r="R550" s="173"/>
      <c r="S550" s="173"/>
      <c r="T550" s="173"/>
      <c r="U550" s="173"/>
      <c r="V550" s="173"/>
      <c r="W550" s="173"/>
      <c r="X550" s="173"/>
      <c r="Y550" s="173"/>
    </row>
    <row r="551">
      <c r="A551" s="173"/>
      <c r="B551" s="173"/>
      <c r="C551" s="323"/>
      <c r="D551" s="324"/>
      <c r="E551" s="173"/>
      <c r="F551" s="173"/>
      <c r="G551" s="173"/>
      <c r="H551" s="173"/>
      <c r="I551" s="173"/>
      <c r="J551" s="173"/>
      <c r="K551" s="173"/>
      <c r="L551" s="173"/>
      <c r="M551" s="173"/>
      <c r="N551" s="173"/>
      <c r="O551" s="173"/>
      <c r="P551" s="173"/>
      <c r="Q551" s="173"/>
      <c r="R551" s="173"/>
      <c r="S551" s="173"/>
      <c r="T551" s="173"/>
      <c r="U551" s="173"/>
      <c r="V551" s="173"/>
      <c r="W551" s="173"/>
      <c r="X551" s="173"/>
      <c r="Y551" s="173"/>
    </row>
    <row r="552">
      <c r="A552" s="173"/>
      <c r="B552" s="173"/>
      <c r="C552" s="323"/>
      <c r="D552" s="324"/>
      <c r="E552" s="173"/>
      <c r="F552" s="173"/>
      <c r="G552" s="173"/>
      <c r="H552" s="173"/>
      <c r="I552" s="173"/>
      <c r="J552" s="173"/>
      <c r="K552" s="173"/>
      <c r="L552" s="173"/>
      <c r="M552" s="173"/>
      <c r="N552" s="173"/>
      <c r="O552" s="173"/>
      <c r="P552" s="173"/>
      <c r="Q552" s="173"/>
      <c r="R552" s="173"/>
      <c r="S552" s="173"/>
      <c r="T552" s="173"/>
      <c r="U552" s="173"/>
      <c r="V552" s="173"/>
      <c r="W552" s="173"/>
      <c r="X552" s="173"/>
      <c r="Y552" s="173"/>
    </row>
    <row r="553">
      <c r="A553" s="173"/>
      <c r="B553" s="173"/>
      <c r="C553" s="323"/>
      <c r="D553" s="324"/>
      <c r="E553" s="173"/>
      <c r="F553" s="173"/>
      <c r="G553" s="173"/>
      <c r="H553" s="173"/>
      <c r="I553" s="173"/>
      <c r="J553" s="173"/>
      <c r="K553" s="173"/>
      <c r="L553" s="173"/>
      <c r="M553" s="173"/>
      <c r="N553" s="173"/>
      <c r="O553" s="173"/>
      <c r="P553" s="173"/>
      <c r="Q553" s="173"/>
      <c r="R553" s="173"/>
      <c r="S553" s="173"/>
      <c r="T553" s="173"/>
      <c r="U553" s="173"/>
      <c r="V553" s="173"/>
      <c r="W553" s="173"/>
      <c r="X553" s="173"/>
      <c r="Y553" s="173"/>
    </row>
    <row r="554">
      <c r="A554" s="173"/>
      <c r="B554" s="173"/>
      <c r="C554" s="323"/>
      <c r="D554" s="324"/>
      <c r="E554" s="173"/>
      <c r="F554" s="173"/>
      <c r="G554" s="173"/>
      <c r="H554" s="173"/>
      <c r="I554" s="173"/>
      <c r="J554" s="173"/>
      <c r="K554" s="173"/>
      <c r="L554" s="173"/>
      <c r="M554" s="173"/>
      <c r="N554" s="173"/>
      <c r="O554" s="173"/>
      <c r="P554" s="173"/>
      <c r="Q554" s="173"/>
      <c r="R554" s="173"/>
      <c r="S554" s="173"/>
      <c r="T554" s="173"/>
      <c r="U554" s="173"/>
      <c r="V554" s="173"/>
      <c r="W554" s="173"/>
      <c r="X554" s="173"/>
      <c r="Y554" s="173"/>
    </row>
    <row r="555">
      <c r="A555" s="173"/>
      <c r="B555" s="173"/>
      <c r="C555" s="323"/>
      <c r="D555" s="324"/>
      <c r="E555" s="173"/>
      <c r="F555" s="173"/>
      <c r="G555" s="173"/>
      <c r="H555" s="173"/>
      <c r="I555" s="173"/>
      <c r="J555" s="173"/>
      <c r="K555" s="173"/>
      <c r="L555" s="173"/>
      <c r="M555" s="173"/>
      <c r="N555" s="173"/>
      <c r="O555" s="173"/>
      <c r="P555" s="173"/>
      <c r="Q555" s="173"/>
      <c r="R555" s="173"/>
      <c r="S555" s="173"/>
      <c r="T555" s="173"/>
      <c r="U555" s="173"/>
      <c r="V555" s="173"/>
      <c r="W555" s="173"/>
      <c r="X555" s="173"/>
      <c r="Y555" s="173"/>
    </row>
    <row r="556">
      <c r="A556" s="173"/>
      <c r="B556" s="173"/>
      <c r="C556" s="323"/>
      <c r="D556" s="324"/>
      <c r="E556" s="173"/>
      <c r="F556" s="173"/>
      <c r="G556" s="173"/>
      <c r="H556" s="173"/>
      <c r="I556" s="173"/>
      <c r="J556" s="173"/>
      <c r="K556" s="173"/>
      <c r="L556" s="173"/>
      <c r="M556" s="173"/>
      <c r="N556" s="173"/>
      <c r="O556" s="173"/>
      <c r="P556" s="173"/>
      <c r="Q556" s="173"/>
      <c r="R556" s="173"/>
      <c r="S556" s="173"/>
      <c r="T556" s="173"/>
      <c r="U556" s="173"/>
      <c r="V556" s="173"/>
      <c r="W556" s="173"/>
      <c r="X556" s="173"/>
      <c r="Y556" s="173"/>
    </row>
    <row r="557">
      <c r="A557" s="173"/>
      <c r="B557" s="173"/>
      <c r="C557" s="323"/>
      <c r="D557" s="324"/>
      <c r="E557" s="173"/>
      <c r="F557" s="173"/>
      <c r="G557" s="173"/>
      <c r="H557" s="173"/>
      <c r="I557" s="173"/>
      <c r="J557" s="173"/>
      <c r="K557" s="173"/>
      <c r="L557" s="173"/>
      <c r="M557" s="173"/>
      <c r="N557" s="173"/>
      <c r="O557" s="173"/>
      <c r="P557" s="173"/>
      <c r="Q557" s="173"/>
      <c r="R557" s="173"/>
      <c r="S557" s="173"/>
      <c r="T557" s="173"/>
      <c r="U557" s="173"/>
      <c r="V557" s="173"/>
      <c r="W557" s="173"/>
      <c r="X557" s="173"/>
      <c r="Y557" s="173"/>
    </row>
    <row r="558">
      <c r="A558" s="173"/>
      <c r="B558" s="173"/>
      <c r="C558" s="323"/>
      <c r="D558" s="324"/>
      <c r="E558" s="173"/>
      <c r="F558" s="173"/>
      <c r="G558" s="173"/>
      <c r="H558" s="173"/>
      <c r="I558" s="173"/>
      <c r="J558" s="173"/>
      <c r="K558" s="173"/>
      <c r="L558" s="173"/>
      <c r="M558" s="173"/>
      <c r="N558" s="173"/>
      <c r="O558" s="173"/>
      <c r="P558" s="173"/>
      <c r="Q558" s="173"/>
      <c r="R558" s="173"/>
      <c r="S558" s="173"/>
      <c r="T558" s="173"/>
      <c r="U558" s="173"/>
      <c r="V558" s="173"/>
      <c r="W558" s="173"/>
      <c r="X558" s="173"/>
      <c r="Y558" s="173"/>
    </row>
    <row r="559">
      <c r="A559" s="173"/>
      <c r="B559" s="173"/>
      <c r="C559" s="323"/>
      <c r="D559" s="324"/>
      <c r="E559" s="173"/>
      <c r="F559" s="173"/>
      <c r="G559" s="173"/>
      <c r="H559" s="173"/>
      <c r="I559" s="173"/>
      <c r="J559" s="173"/>
      <c r="K559" s="173"/>
      <c r="L559" s="173"/>
      <c r="M559" s="173"/>
      <c r="N559" s="173"/>
      <c r="O559" s="173"/>
      <c r="P559" s="173"/>
      <c r="Q559" s="173"/>
      <c r="R559" s="173"/>
      <c r="S559" s="173"/>
      <c r="T559" s="173"/>
      <c r="U559" s="173"/>
      <c r="V559" s="173"/>
      <c r="W559" s="173"/>
      <c r="X559" s="173"/>
      <c r="Y559" s="173"/>
    </row>
    <row r="560">
      <c r="A560" s="173"/>
      <c r="B560" s="173"/>
      <c r="C560" s="323"/>
      <c r="D560" s="324"/>
      <c r="E560" s="173"/>
      <c r="F560" s="173"/>
      <c r="G560" s="173"/>
      <c r="H560" s="173"/>
      <c r="I560" s="173"/>
      <c r="J560" s="173"/>
      <c r="K560" s="173"/>
      <c r="L560" s="173"/>
      <c r="M560" s="173"/>
      <c r="N560" s="173"/>
      <c r="O560" s="173"/>
      <c r="P560" s="173"/>
      <c r="Q560" s="173"/>
      <c r="R560" s="173"/>
      <c r="S560" s="173"/>
      <c r="T560" s="173"/>
      <c r="U560" s="173"/>
      <c r="V560" s="173"/>
      <c r="W560" s="173"/>
      <c r="X560" s="173"/>
      <c r="Y560" s="173"/>
    </row>
    <row r="561">
      <c r="A561" s="173"/>
      <c r="B561" s="173"/>
      <c r="C561" s="323"/>
      <c r="D561" s="324"/>
      <c r="E561" s="173"/>
      <c r="F561" s="173"/>
      <c r="G561" s="173"/>
      <c r="H561" s="173"/>
      <c r="I561" s="173"/>
      <c r="J561" s="173"/>
      <c r="K561" s="173"/>
      <c r="L561" s="173"/>
      <c r="M561" s="173"/>
      <c r="N561" s="173"/>
      <c r="O561" s="173"/>
      <c r="P561" s="173"/>
      <c r="Q561" s="173"/>
      <c r="R561" s="173"/>
      <c r="S561" s="173"/>
      <c r="T561" s="173"/>
      <c r="U561" s="173"/>
      <c r="V561" s="173"/>
      <c r="W561" s="173"/>
      <c r="X561" s="173"/>
      <c r="Y561" s="173"/>
    </row>
    <row r="562">
      <c r="A562" s="173"/>
      <c r="B562" s="173"/>
      <c r="C562" s="323"/>
      <c r="D562" s="324"/>
      <c r="E562" s="173"/>
      <c r="F562" s="173"/>
      <c r="G562" s="173"/>
      <c r="H562" s="173"/>
      <c r="I562" s="173"/>
      <c r="J562" s="173"/>
      <c r="K562" s="173"/>
      <c r="L562" s="173"/>
      <c r="M562" s="173"/>
      <c r="N562" s="173"/>
      <c r="O562" s="173"/>
      <c r="P562" s="173"/>
      <c r="Q562" s="173"/>
      <c r="R562" s="173"/>
      <c r="S562" s="173"/>
      <c r="T562" s="173"/>
      <c r="U562" s="173"/>
      <c r="V562" s="173"/>
      <c r="W562" s="173"/>
      <c r="X562" s="173"/>
      <c r="Y562" s="173"/>
    </row>
    <row r="563">
      <c r="A563" s="173"/>
      <c r="B563" s="173"/>
      <c r="C563" s="323"/>
      <c r="D563" s="324"/>
      <c r="E563" s="173"/>
      <c r="F563" s="173"/>
      <c r="G563" s="173"/>
      <c r="H563" s="173"/>
      <c r="I563" s="173"/>
      <c r="J563" s="173"/>
      <c r="K563" s="173"/>
      <c r="L563" s="173"/>
      <c r="M563" s="173"/>
      <c r="N563" s="173"/>
      <c r="O563" s="173"/>
      <c r="P563" s="173"/>
      <c r="Q563" s="173"/>
      <c r="R563" s="173"/>
      <c r="S563" s="173"/>
      <c r="T563" s="173"/>
      <c r="U563" s="173"/>
      <c r="V563" s="173"/>
      <c r="W563" s="173"/>
      <c r="X563" s="173"/>
      <c r="Y563" s="173"/>
    </row>
    <row r="564">
      <c r="A564" s="173"/>
      <c r="B564" s="173"/>
      <c r="C564" s="323"/>
      <c r="D564" s="324"/>
      <c r="E564" s="173"/>
      <c r="F564" s="173"/>
      <c r="G564" s="173"/>
      <c r="H564" s="173"/>
      <c r="I564" s="173"/>
      <c r="J564" s="173"/>
      <c r="K564" s="173"/>
      <c r="L564" s="173"/>
      <c r="M564" s="173"/>
      <c r="N564" s="173"/>
      <c r="O564" s="173"/>
      <c r="P564" s="173"/>
      <c r="Q564" s="173"/>
      <c r="R564" s="173"/>
      <c r="S564" s="173"/>
      <c r="T564" s="173"/>
      <c r="U564" s="173"/>
      <c r="V564" s="173"/>
      <c r="W564" s="173"/>
      <c r="X564" s="173"/>
      <c r="Y564" s="173"/>
    </row>
    <row r="565">
      <c r="A565" s="173"/>
      <c r="B565" s="173"/>
      <c r="C565" s="323"/>
      <c r="D565" s="324"/>
      <c r="E565" s="173"/>
      <c r="F565" s="173"/>
      <c r="G565" s="173"/>
      <c r="H565" s="173"/>
      <c r="I565" s="173"/>
      <c r="J565" s="173"/>
      <c r="K565" s="173"/>
      <c r="L565" s="173"/>
      <c r="M565" s="173"/>
      <c r="N565" s="173"/>
      <c r="O565" s="173"/>
      <c r="P565" s="173"/>
      <c r="Q565" s="173"/>
      <c r="R565" s="173"/>
      <c r="S565" s="173"/>
      <c r="T565" s="173"/>
      <c r="U565" s="173"/>
      <c r="V565" s="173"/>
      <c r="W565" s="173"/>
      <c r="X565" s="173"/>
      <c r="Y565" s="173"/>
    </row>
    <row r="566">
      <c r="A566" s="173"/>
      <c r="B566" s="173"/>
      <c r="C566" s="323"/>
      <c r="D566" s="324"/>
      <c r="E566" s="173"/>
      <c r="F566" s="173"/>
      <c r="G566" s="173"/>
      <c r="H566" s="173"/>
      <c r="I566" s="173"/>
      <c r="J566" s="173"/>
      <c r="K566" s="173"/>
      <c r="L566" s="173"/>
      <c r="M566" s="173"/>
      <c r="N566" s="173"/>
      <c r="O566" s="173"/>
      <c r="P566" s="173"/>
      <c r="Q566" s="173"/>
      <c r="R566" s="173"/>
      <c r="S566" s="173"/>
      <c r="T566" s="173"/>
      <c r="U566" s="173"/>
      <c r="V566" s="173"/>
      <c r="W566" s="173"/>
      <c r="X566" s="173"/>
      <c r="Y566" s="173"/>
    </row>
    <row r="567">
      <c r="A567" s="173"/>
      <c r="B567" s="173"/>
      <c r="C567" s="323"/>
      <c r="D567" s="324"/>
      <c r="E567" s="173"/>
      <c r="F567" s="173"/>
      <c r="G567" s="173"/>
      <c r="H567" s="173"/>
      <c r="I567" s="173"/>
      <c r="J567" s="173"/>
      <c r="K567" s="173"/>
      <c r="L567" s="173"/>
      <c r="M567" s="173"/>
      <c r="N567" s="173"/>
      <c r="O567" s="173"/>
      <c r="P567" s="173"/>
      <c r="Q567" s="173"/>
      <c r="R567" s="173"/>
      <c r="S567" s="173"/>
      <c r="T567" s="173"/>
      <c r="U567" s="173"/>
      <c r="V567" s="173"/>
      <c r="W567" s="173"/>
      <c r="X567" s="173"/>
      <c r="Y567" s="173"/>
    </row>
    <row r="568">
      <c r="A568" s="173"/>
      <c r="B568" s="173"/>
      <c r="C568" s="323"/>
      <c r="D568" s="324"/>
      <c r="E568" s="173"/>
      <c r="F568" s="173"/>
      <c r="G568" s="173"/>
      <c r="H568" s="173"/>
      <c r="I568" s="173"/>
      <c r="J568" s="173"/>
      <c r="K568" s="173"/>
      <c r="L568" s="173"/>
      <c r="M568" s="173"/>
      <c r="N568" s="173"/>
      <c r="O568" s="173"/>
      <c r="P568" s="173"/>
      <c r="Q568" s="173"/>
      <c r="R568" s="173"/>
      <c r="S568" s="173"/>
      <c r="T568" s="173"/>
      <c r="U568" s="173"/>
      <c r="V568" s="173"/>
      <c r="W568" s="173"/>
      <c r="X568" s="173"/>
      <c r="Y568" s="173"/>
    </row>
    <row r="569">
      <c r="A569" s="173"/>
      <c r="B569" s="173"/>
      <c r="C569" s="323"/>
      <c r="D569" s="324"/>
      <c r="E569" s="173"/>
      <c r="F569" s="173"/>
      <c r="G569" s="173"/>
      <c r="H569" s="173"/>
      <c r="I569" s="173"/>
      <c r="J569" s="173"/>
      <c r="K569" s="173"/>
      <c r="L569" s="173"/>
      <c r="M569" s="173"/>
      <c r="N569" s="173"/>
      <c r="O569" s="173"/>
      <c r="P569" s="173"/>
      <c r="Q569" s="173"/>
      <c r="R569" s="173"/>
      <c r="S569" s="173"/>
      <c r="T569" s="173"/>
      <c r="U569" s="173"/>
      <c r="V569" s="173"/>
      <c r="W569" s="173"/>
      <c r="X569" s="173"/>
      <c r="Y569" s="173"/>
    </row>
    <row r="570">
      <c r="A570" s="173"/>
      <c r="B570" s="173"/>
      <c r="C570" s="323"/>
      <c r="D570" s="324"/>
      <c r="E570" s="173"/>
      <c r="F570" s="173"/>
      <c r="G570" s="173"/>
      <c r="H570" s="173"/>
      <c r="I570" s="173"/>
      <c r="J570" s="173"/>
      <c r="K570" s="173"/>
      <c r="L570" s="173"/>
      <c r="M570" s="173"/>
      <c r="N570" s="173"/>
      <c r="O570" s="173"/>
      <c r="P570" s="173"/>
      <c r="Q570" s="173"/>
      <c r="R570" s="173"/>
      <c r="S570" s="173"/>
      <c r="T570" s="173"/>
      <c r="U570" s="173"/>
      <c r="V570" s="173"/>
      <c r="W570" s="173"/>
      <c r="X570" s="173"/>
      <c r="Y570" s="173"/>
    </row>
    <row r="571">
      <c r="A571" s="173"/>
      <c r="B571" s="173"/>
      <c r="C571" s="323"/>
      <c r="D571" s="324"/>
      <c r="E571" s="173"/>
      <c r="F571" s="173"/>
      <c r="G571" s="173"/>
      <c r="H571" s="173"/>
      <c r="I571" s="173"/>
      <c r="J571" s="173"/>
      <c r="K571" s="173"/>
      <c r="L571" s="173"/>
      <c r="M571" s="173"/>
      <c r="N571" s="173"/>
      <c r="O571" s="173"/>
      <c r="P571" s="173"/>
      <c r="Q571" s="173"/>
      <c r="R571" s="173"/>
      <c r="S571" s="173"/>
      <c r="T571" s="173"/>
      <c r="U571" s="173"/>
      <c r="V571" s="173"/>
      <c r="W571" s="173"/>
      <c r="X571" s="173"/>
      <c r="Y571" s="173"/>
    </row>
    <row r="572">
      <c r="A572" s="173"/>
      <c r="B572" s="173"/>
      <c r="C572" s="323"/>
      <c r="D572" s="324"/>
      <c r="E572" s="173"/>
      <c r="F572" s="173"/>
      <c r="G572" s="173"/>
      <c r="H572" s="173"/>
      <c r="I572" s="173"/>
      <c r="J572" s="173"/>
      <c r="K572" s="173"/>
      <c r="L572" s="173"/>
      <c r="M572" s="173"/>
      <c r="N572" s="173"/>
      <c r="O572" s="173"/>
      <c r="P572" s="173"/>
      <c r="Q572" s="173"/>
      <c r="R572" s="173"/>
      <c r="S572" s="173"/>
      <c r="T572" s="173"/>
      <c r="U572" s="173"/>
      <c r="V572" s="173"/>
      <c r="W572" s="173"/>
      <c r="X572" s="173"/>
      <c r="Y572" s="173"/>
    </row>
    <row r="573">
      <c r="A573" s="173"/>
      <c r="B573" s="173"/>
      <c r="C573" s="323"/>
      <c r="D573" s="324"/>
      <c r="E573" s="173"/>
      <c r="F573" s="173"/>
      <c r="G573" s="173"/>
      <c r="H573" s="173"/>
      <c r="I573" s="173"/>
      <c r="J573" s="173"/>
      <c r="K573" s="173"/>
      <c r="L573" s="173"/>
      <c r="M573" s="173"/>
      <c r="N573" s="173"/>
      <c r="O573" s="173"/>
      <c r="P573" s="173"/>
      <c r="Q573" s="173"/>
      <c r="R573" s="173"/>
      <c r="S573" s="173"/>
      <c r="T573" s="173"/>
      <c r="U573" s="173"/>
      <c r="V573" s="173"/>
      <c r="W573" s="173"/>
      <c r="X573" s="173"/>
      <c r="Y573" s="173"/>
    </row>
    <row r="574">
      <c r="A574" s="173"/>
      <c r="B574" s="173"/>
      <c r="C574" s="323"/>
      <c r="D574" s="324"/>
      <c r="E574" s="173"/>
      <c r="F574" s="173"/>
      <c r="G574" s="173"/>
      <c r="H574" s="173"/>
      <c r="I574" s="173"/>
      <c r="J574" s="173"/>
      <c r="K574" s="173"/>
      <c r="L574" s="173"/>
      <c r="M574" s="173"/>
      <c r="N574" s="173"/>
      <c r="O574" s="173"/>
      <c r="P574" s="173"/>
      <c r="Q574" s="173"/>
      <c r="R574" s="173"/>
      <c r="S574" s="173"/>
      <c r="T574" s="173"/>
      <c r="U574" s="173"/>
      <c r="V574" s="173"/>
      <c r="W574" s="173"/>
      <c r="X574" s="173"/>
      <c r="Y574" s="173"/>
    </row>
    <row r="575">
      <c r="A575" s="173"/>
      <c r="B575" s="173"/>
      <c r="C575" s="323"/>
      <c r="D575" s="324"/>
      <c r="E575" s="173"/>
      <c r="F575" s="173"/>
      <c r="G575" s="173"/>
      <c r="H575" s="173"/>
      <c r="I575" s="173"/>
      <c r="J575" s="173"/>
      <c r="K575" s="173"/>
      <c r="L575" s="173"/>
      <c r="M575" s="173"/>
      <c r="N575" s="173"/>
      <c r="O575" s="173"/>
      <c r="P575" s="173"/>
      <c r="Q575" s="173"/>
      <c r="R575" s="173"/>
      <c r="S575" s="173"/>
      <c r="T575" s="173"/>
      <c r="U575" s="173"/>
      <c r="V575" s="173"/>
      <c r="W575" s="173"/>
      <c r="X575" s="173"/>
      <c r="Y575" s="173"/>
    </row>
    <row r="576">
      <c r="A576" s="173"/>
      <c r="B576" s="173"/>
      <c r="C576" s="323"/>
      <c r="D576" s="324"/>
      <c r="E576" s="173"/>
      <c r="F576" s="173"/>
      <c r="G576" s="173"/>
      <c r="H576" s="173"/>
      <c r="I576" s="173"/>
      <c r="J576" s="173"/>
      <c r="K576" s="173"/>
      <c r="L576" s="173"/>
      <c r="M576" s="173"/>
      <c r="N576" s="173"/>
      <c r="O576" s="173"/>
      <c r="P576" s="173"/>
      <c r="Q576" s="173"/>
      <c r="R576" s="173"/>
      <c r="S576" s="173"/>
      <c r="T576" s="173"/>
      <c r="U576" s="173"/>
      <c r="V576" s="173"/>
      <c r="W576" s="173"/>
      <c r="X576" s="173"/>
      <c r="Y576" s="173"/>
    </row>
    <row r="577">
      <c r="A577" s="173"/>
      <c r="B577" s="173"/>
      <c r="C577" s="323"/>
      <c r="D577" s="324"/>
      <c r="E577" s="173"/>
      <c r="F577" s="173"/>
      <c r="G577" s="173"/>
      <c r="H577" s="173"/>
      <c r="I577" s="173"/>
      <c r="J577" s="173"/>
      <c r="K577" s="173"/>
      <c r="L577" s="173"/>
      <c r="M577" s="173"/>
      <c r="N577" s="173"/>
      <c r="O577" s="173"/>
      <c r="P577" s="173"/>
      <c r="Q577" s="173"/>
      <c r="R577" s="173"/>
      <c r="S577" s="173"/>
      <c r="T577" s="173"/>
      <c r="U577" s="173"/>
      <c r="V577" s="173"/>
      <c r="W577" s="173"/>
      <c r="X577" s="173"/>
      <c r="Y577" s="173"/>
    </row>
    <row r="578">
      <c r="A578" s="173"/>
      <c r="B578" s="173"/>
      <c r="C578" s="323"/>
      <c r="D578" s="324"/>
      <c r="E578" s="173"/>
      <c r="F578" s="173"/>
      <c r="G578" s="173"/>
      <c r="H578" s="173"/>
      <c r="I578" s="173"/>
      <c r="J578" s="173"/>
      <c r="K578" s="173"/>
      <c r="L578" s="173"/>
      <c r="M578" s="173"/>
      <c r="N578" s="173"/>
      <c r="O578" s="173"/>
      <c r="P578" s="173"/>
      <c r="Q578" s="173"/>
      <c r="R578" s="173"/>
      <c r="S578" s="173"/>
      <c r="T578" s="173"/>
      <c r="U578" s="173"/>
      <c r="V578" s="173"/>
      <c r="W578" s="173"/>
      <c r="X578" s="173"/>
      <c r="Y578" s="173"/>
    </row>
    <row r="579">
      <c r="A579" s="173"/>
      <c r="B579" s="173"/>
      <c r="C579" s="323"/>
      <c r="D579" s="324"/>
      <c r="E579" s="173"/>
      <c r="F579" s="173"/>
      <c r="G579" s="173"/>
      <c r="H579" s="173"/>
      <c r="I579" s="173"/>
      <c r="J579" s="173"/>
      <c r="K579" s="173"/>
      <c r="L579" s="173"/>
      <c r="M579" s="173"/>
      <c r="N579" s="173"/>
      <c r="O579" s="173"/>
      <c r="P579" s="173"/>
      <c r="Q579" s="173"/>
      <c r="R579" s="173"/>
      <c r="S579" s="173"/>
      <c r="T579" s="173"/>
      <c r="U579" s="173"/>
      <c r="V579" s="173"/>
      <c r="W579" s="173"/>
      <c r="X579" s="173"/>
      <c r="Y579" s="173"/>
    </row>
    <row r="580">
      <c r="A580" s="173"/>
      <c r="B580" s="173"/>
      <c r="C580" s="323"/>
      <c r="D580" s="324"/>
      <c r="E580" s="173"/>
      <c r="F580" s="173"/>
      <c r="G580" s="173"/>
      <c r="H580" s="173"/>
      <c r="I580" s="173"/>
      <c r="J580" s="173"/>
      <c r="K580" s="173"/>
      <c r="L580" s="173"/>
      <c r="M580" s="173"/>
      <c r="N580" s="173"/>
      <c r="O580" s="173"/>
      <c r="P580" s="173"/>
      <c r="Q580" s="173"/>
      <c r="R580" s="173"/>
      <c r="S580" s="173"/>
      <c r="T580" s="173"/>
      <c r="U580" s="173"/>
      <c r="V580" s="173"/>
      <c r="W580" s="173"/>
      <c r="X580" s="173"/>
      <c r="Y580" s="173"/>
    </row>
    <row r="581">
      <c r="A581" s="173"/>
      <c r="B581" s="173"/>
      <c r="C581" s="323"/>
      <c r="D581" s="324"/>
      <c r="E581" s="173"/>
      <c r="F581" s="173"/>
      <c r="G581" s="173"/>
      <c r="H581" s="173"/>
      <c r="I581" s="173"/>
      <c r="J581" s="173"/>
      <c r="K581" s="173"/>
      <c r="L581" s="173"/>
      <c r="M581" s="173"/>
      <c r="N581" s="173"/>
      <c r="O581" s="173"/>
      <c r="P581" s="173"/>
      <c r="Q581" s="173"/>
      <c r="R581" s="173"/>
      <c r="S581" s="173"/>
      <c r="T581" s="173"/>
      <c r="U581" s="173"/>
      <c r="V581" s="173"/>
      <c r="W581" s="173"/>
      <c r="X581" s="173"/>
      <c r="Y581" s="173"/>
    </row>
    <row r="582">
      <c r="A582" s="173"/>
      <c r="B582" s="173"/>
      <c r="C582" s="323"/>
      <c r="D582" s="324"/>
      <c r="E582" s="173"/>
      <c r="F582" s="173"/>
      <c r="G582" s="173"/>
      <c r="H582" s="173"/>
      <c r="I582" s="173"/>
      <c r="J582" s="173"/>
      <c r="K582" s="173"/>
      <c r="L582" s="173"/>
      <c r="M582" s="173"/>
      <c r="N582" s="173"/>
      <c r="O582" s="173"/>
      <c r="P582" s="173"/>
      <c r="Q582" s="173"/>
      <c r="R582" s="173"/>
      <c r="S582" s="173"/>
      <c r="T582" s="173"/>
      <c r="U582" s="173"/>
      <c r="V582" s="173"/>
      <c r="W582" s="173"/>
      <c r="X582" s="173"/>
      <c r="Y582" s="173"/>
    </row>
    <row r="583">
      <c r="A583" s="173"/>
      <c r="B583" s="173"/>
      <c r="C583" s="323"/>
      <c r="D583" s="324"/>
      <c r="E583" s="173"/>
      <c r="F583" s="173"/>
      <c r="G583" s="173"/>
      <c r="H583" s="173"/>
      <c r="I583" s="173"/>
      <c r="J583" s="173"/>
      <c r="K583" s="173"/>
      <c r="L583" s="173"/>
      <c r="M583" s="173"/>
      <c r="N583" s="173"/>
      <c r="O583" s="173"/>
      <c r="P583" s="173"/>
      <c r="Q583" s="173"/>
      <c r="R583" s="173"/>
      <c r="S583" s="173"/>
      <c r="T583" s="173"/>
      <c r="U583" s="173"/>
      <c r="V583" s="173"/>
      <c r="W583" s="173"/>
      <c r="X583" s="173"/>
      <c r="Y583" s="173"/>
    </row>
    <row r="584">
      <c r="A584" s="173"/>
      <c r="B584" s="173"/>
      <c r="C584" s="323"/>
      <c r="D584" s="324"/>
      <c r="E584" s="173"/>
      <c r="F584" s="173"/>
      <c r="G584" s="173"/>
      <c r="H584" s="173"/>
      <c r="I584" s="173"/>
      <c r="J584" s="173"/>
      <c r="K584" s="173"/>
      <c r="L584" s="173"/>
      <c r="M584" s="173"/>
      <c r="N584" s="173"/>
      <c r="O584" s="173"/>
      <c r="P584" s="173"/>
      <c r="Q584" s="173"/>
      <c r="R584" s="173"/>
      <c r="S584" s="173"/>
      <c r="T584" s="173"/>
      <c r="U584" s="173"/>
      <c r="V584" s="173"/>
      <c r="W584" s="173"/>
      <c r="X584" s="173"/>
      <c r="Y584" s="173"/>
    </row>
    <row r="585">
      <c r="A585" s="173"/>
      <c r="B585" s="173"/>
      <c r="C585" s="323"/>
      <c r="D585" s="324"/>
      <c r="E585" s="173"/>
      <c r="F585" s="173"/>
      <c r="G585" s="173"/>
      <c r="H585" s="173"/>
      <c r="I585" s="173"/>
      <c r="J585" s="173"/>
      <c r="K585" s="173"/>
      <c r="L585" s="173"/>
      <c r="M585" s="173"/>
      <c r="N585" s="173"/>
      <c r="O585" s="173"/>
      <c r="P585" s="173"/>
      <c r="Q585" s="173"/>
      <c r="R585" s="173"/>
      <c r="S585" s="173"/>
      <c r="T585" s="173"/>
      <c r="U585" s="173"/>
      <c r="V585" s="173"/>
      <c r="W585" s="173"/>
      <c r="X585" s="173"/>
      <c r="Y585" s="173"/>
    </row>
    <row r="586">
      <c r="A586" s="173"/>
      <c r="B586" s="173"/>
      <c r="C586" s="323"/>
      <c r="D586" s="324"/>
      <c r="E586" s="173"/>
      <c r="F586" s="173"/>
      <c r="G586" s="173"/>
      <c r="H586" s="173"/>
      <c r="I586" s="173"/>
      <c r="J586" s="173"/>
      <c r="K586" s="173"/>
      <c r="L586" s="173"/>
      <c r="M586" s="173"/>
      <c r="N586" s="173"/>
      <c r="O586" s="173"/>
      <c r="P586" s="173"/>
      <c r="Q586" s="173"/>
      <c r="R586" s="173"/>
      <c r="S586" s="173"/>
      <c r="T586" s="173"/>
      <c r="U586" s="173"/>
      <c r="V586" s="173"/>
      <c r="W586" s="173"/>
      <c r="X586" s="173"/>
      <c r="Y586" s="173"/>
    </row>
    <row r="587">
      <c r="A587" s="173"/>
      <c r="B587" s="173"/>
      <c r="C587" s="323"/>
      <c r="D587" s="324"/>
      <c r="E587" s="173"/>
      <c r="F587" s="173"/>
      <c r="G587" s="173"/>
      <c r="H587" s="173"/>
      <c r="I587" s="173"/>
      <c r="J587" s="173"/>
      <c r="K587" s="173"/>
      <c r="L587" s="173"/>
      <c r="M587" s="173"/>
      <c r="N587" s="173"/>
      <c r="O587" s="173"/>
      <c r="P587" s="173"/>
      <c r="Q587" s="173"/>
      <c r="R587" s="173"/>
      <c r="S587" s="173"/>
      <c r="T587" s="173"/>
      <c r="U587" s="173"/>
      <c r="V587" s="173"/>
      <c r="W587" s="173"/>
      <c r="X587" s="173"/>
      <c r="Y587" s="173"/>
    </row>
    <row r="588">
      <c r="A588" s="173"/>
      <c r="B588" s="173"/>
      <c r="C588" s="323"/>
      <c r="D588" s="324"/>
      <c r="E588" s="173"/>
      <c r="F588" s="173"/>
      <c r="G588" s="173"/>
      <c r="H588" s="173"/>
      <c r="I588" s="173"/>
      <c r="J588" s="173"/>
      <c r="K588" s="173"/>
      <c r="L588" s="173"/>
      <c r="M588" s="173"/>
      <c r="N588" s="173"/>
      <c r="O588" s="173"/>
      <c r="P588" s="173"/>
      <c r="Q588" s="173"/>
      <c r="R588" s="173"/>
      <c r="S588" s="173"/>
      <c r="T588" s="173"/>
      <c r="U588" s="173"/>
      <c r="V588" s="173"/>
      <c r="W588" s="173"/>
      <c r="X588" s="173"/>
      <c r="Y588" s="173"/>
    </row>
    <row r="589">
      <c r="A589" s="173"/>
      <c r="B589" s="173"/>
      <c r="C589" s="323"/>
      <c r="D589" s="324"/>
      <c r="E589" s="173"/>
      <c r="F589" s="173"/>
      <c r="G589" s="173"/>
      <c r="H589" s="173"/>
      <c r="I589" s="173"/>
      <c r="J589" s="173"/>
      <c r="K589" s="173"/>
      <c r="L589" s="173"/>
      <c r="M589" s="173"/>
      <c r="N589" s="173"/>
      <c r="O589" s="173"/>
      <c r="P589" s="173"/>
      <c r="Q589" s="173"/>
      <c r="R589" s="173"/>
      <c r="S589" s="173"/>
      <c r="T589" s="173"/>
      <c r="U589" s="173"/>
      <c r="V589" s="173"/>
      <c r="W589" s="173"/>
      <c r="X589" s="173"/>
      <c r="Y589" s="173"/>
    </row>
    <row r="590">
      <c r="A590" s="173"/>
      <c r="B590" s="173"/>
      <c r="C590" s="323"/>
      <c r="D590" s="324"/>
      <c r="E590" s="173"/>
      <c r="F590" s="173"/>
      <c r="G590" s="173"/>
      <c r="H590" s="173"/>
      <c r="I590" s="173"/>
      <c r="J590" s="173"/>
      <c r="K590" s="173"/>
      <c r="L590" s="173"/>
      <c r="M590" s="173"/>
      <c r="N590" s="173"/>
      <c r="O590" s="173"/>
      <c r="P590" s="173"/>
      <c r="Q590" s="173"/>
      <c r="R590" s="173"/>
      <c r="S590" s="173"/>
      <c r="T590" s="173"/>
      <c r="U590" s="173"/>
      <c r="V590" s="173"/>
      <c r="W590" s="173"/>
      <c r="X590" s="173"/>
      <c r="Y590" s="173"/>
    </row>
    <row r="591">
      <c r="A591" s="173"/>
      <c r="B591" s="173"/>
      <c r="C591" s="323"/>
      <c r="D591" s="324"/>
      <c r="E591" s="173"/>
      <c r="F591" s="173"/>
      <c r="G591" s="173"/>
      <c r="H591" s="173"/>
      <c r="I591" s="173"/>
      <c r="J591" s="173"/>
      <c r="K591" s="173"/>
      <c r="L591" s="173"/>
      <c r="M591" s="173"/>
      <c r="N591" s="173"/>
      <c r="O591" s="173"/>
      <c r="P591" s="173"/>
      <c r="Q591" s="173"/>
      <c r="R591" s="173"/>
      <c r="S591" s="173"/>
      <c r="T591" s="173"/>
      <c r="U591" s="173"/>
      <c r="V591" s="173"/>
      <c r="W591" s="173"/>
      <c r="X591" s="173"/>
      <c r="Y591" s="173"/>
    </row>
    <row r="592">
      <c r="A592" s="173"/>
      <c r="B592" s="173"/>
      <c r="C592" s="323"/>
      <c r="D592" s="324"/>
      <c r="E592" s="173"/>
      <c r="F592" s="173"/>
      <c r="G592" s="173"/>
      <c r="H592" s="173"/>
      <c r="I592" s="173"/>
      <c r="J592" s="173"/>
      <c r="K592" s="173"/>
      <c r="L592" s="173"/>
      <c r="M592" s="173"/>
      <c r="N592" s="173"/>
      <c r="O592" s="173"/>
      <c r="P592" s="173"/>
      <c r="Q592" s="173"/>
      <c r="R592" s="173"/>
      <c r="S592" s="173"/>
      <c r="T592" s="173"/>
      <c r="U592" s="173"/>
      <c r="V592" s="173"/>
      <c r="W592" s="173"/>
      <c r="X592" s="173"/>
      <c r="Y592" s="173"/>
    </row>
    <row r="593">
      <c r="A593" s="173"/>
      <c r="B593" s="173"/>
      <c r="C593" s="323"/>
      <c r="D593" s="324"/>
      <c r="E593" s="173"/>
      <c r="F593" s="173"/>
      <c r="G593" s="173"/>
      <c r="H593" s="173"/>
      <c r="I593" s="173"/>
      <c r="J593" s="173"/>
      <c r="K593" s="173"/>
      <c r="L593" s="173"/>
      <c r="M593" s="173"/>
      <c r="N593" s="173"/>
      <c r="O593" s="173"/>
      <c r="P593" s="173"/>
      <c r="Q593" s="173"/>
      <c r="R593" s="173"/>
      <c r="S593" s="173"/>
      <c r="T593" s="173"/>
      <c r="U593" s="173"/>
      <c r="V593" s="173"/>
      <c r="W593" s="173"/>
      <c r="X593" s="173"/>
      <c r="Y593" s="173"/>
    </row>
    <row r="594">
      <c r="A594" s="173"/>
      <c r="B594" s="173"/>
      <c r="C594" s="323"/>
      <c r="D594" s="324"/>
      <c r="E594" s="173"/>
      <c r="F594" s="173"/>
      <c r="G594" s="173"/>
      <c r="H594" s="173"/>
      <c r="I594" s="173"/>
      <c r="J594" s="173"/>
      <c r="K594" s="173"/>
      <c r="L594" s="173"/>
      <c r="M594" s="173"/>
      <c r="N594" s="173"/>
      <c r="O594" s="173"/>
      <c r="P594" s="173"/>
      <c r="Q594" s="173"/>
      <c r="R594" s="173"/>
      <c r="S594" s="173"/>
      <c r="T594" s="173"/>
      <c r="U594" s="173"/>
      <c r="V594" s="173"/>
      <c r="W594" s="173"/>
      <c r="X594" s="173"/>
      <c r="Y594" s="173"/>
    </row>
    <row r="595">
      <c r="A595" s="173"/>
      <c r="B595" s="173"/>
      <c r="C595" s="323"/>
      <c r="D595" s="324"/>
      <c r="E595" s="173"/>
      <c r="F595" s="173"/>
      <c r="G595" s="173"/>
      <c r="H595" s="173"/>
      <c r="I595" s="173"/>
      <c r="J595" s="173"/>
      <c r="K595" s="173"/>
      <c r="L595" s="173"/>
      <c r="M595" s="173"/>
      <c r="N595" s="173"/>
      <c r="O595" s="173"/>
      <c r="P595" s="173"/>
      <c r="Q595" s="173"/>
      <c r="R595" s="173"/>
      <c r="S595" s="173"/>
      <c r="T595" s="173"/>
      <c r="U595" s="173"/>
      <c r="V595" s="173"/>
      <c r="W595" s="173"/>
      <c r="X595" s="173"/>
      <c r="Y595" s="173"/>
    </row>
    <row r="596">
      <c r="A596" s="173"/>
      <c r="B596" s="173"/>
      <c r="C596" s="323"/>
      <c r="D596" s="324"/>
      <c r="E596" s="173"/>
      <c r="F596" s="173"/>
      <c r="G596" s="173"/>
      <c r="H596" s="173"/>
      <c r="I596" s="173"/>
      <c r="J596" s="173"/>
      <c r="K596" s="173"/>
      <c r="L596" s="173"/>
      <c r="M596" s="173"/>
      <c r="N596" s="173"/>
      <c r="O596" s="173"/>
      <c r="P596" s="173"/>
      <c r="Q596" s="173"/>
      <c r="R596" s="173"/>
      <c r="S596" s="173"/>
      <c r="T596" s="173"/>
      <c r="U596" s="173"/>
      <c r="V596" s="173"/>
      <c r="W596" s="173"/>
      <c r="X596" s="173"/>
      <c r="Y596" s="173"/>
    </row>
    <row r="597">
      <c r="A597" s="173"/>
      <c r="B597" s="173"/>
      <c r="C597" s="323"/>
      <c r="D597" s="324"/>
      <c r="E597" s="173"/>
      <c r="F597" s="173"/>
      <c r="G597" s="173"/>
      <c r="H597" s="173"/>
      <c r="I597" s="173"/>
      <c r="J597" s="173"/>
      <c r="K597" s="173"/>
      <c r="L597" s="173"/>
      <c r="M597" s="173"/>
      <c r="N597" s="173"/>
      <c r="O597" s="173"/>
      <c r="P597" s="173"/>
      <c r="Q597" s="173"/>
      <c r="R597" s="173"/>
      <c r="S597" s="173"/>
      <c r="T597" s="173"/>
      <c r="U597" s="173"/>
      <c r="V597" s="173"/>
      <c r="W597" s="173"/>
      <c r="X597" s="173"/>
      <c r="Y597" s="173"/>
    </row>
    <row r="598">
      <c r="A598" s="173"/>
      <c r="B598" s="173"/>
      <c r="C598" s="323"/>
      <c r="D598" s="324"/>
      <c r="E598" s="173"/>
      <c r="F598" s="173"/>
      <c r="G598" s="173"/>
      <c r="H598" s="173"/>
      <c r="I598" s="173"/>
      <c r="J598" s="173"/>
      <c r="K598" s="173"/>
      <c r="L598" s="173"/>
      <c r="M598" s="173"/>
      <c r="N598" s="173"/>
      <c r="O598" s="173"/>
      <c r="P598" s="173"/>
      <c r="Q598" s="173"/>
      <c r="R598" s="173"/>
      <c r="S598" s="173"/>
      <c r="T598" s="173"/>
      <c r="U598" s="173"/>
      <c r="V598" s="173"/>
      <c r="W598" s="173"/>
      <c r="X598" s="173"/>
      <c r="Y598" s="173"/>
    </row>
    <row r="599">
      <c r="A599" s="173"/>
      <c r="B599" s="173"/>
      <c r="C599" s="323"/>
      <c r="D599" s="324"/>
      <c r="E599" s="173"/>
      <c r="F599" s="173"/>
      <c r="G599" s="173"/>
      <c r="H599" s="173"/>
      <c r="I599" s="173"/>
      <c r="J599" s="173"/>
      <c r="K599" s="173"/>
      <c r="L599" s="173"/>
      <c r="M599" s="173"/>
      <c r="N599" s="173"/>
      <c r="O599" s="173"/>
      <c r="P599" s="173"/>
      <c r="Q599" s="173"/>
      <c r="R599" s="173"/>
      <c r="S599" s="173"/>
      <c r="T599" s="173"/>
      <c r="U599" s="173"/>
      <c r="V599" s="173"/>
      <c r="W599" s="173"/>
      <c r="X599" s="173"/>
      <c r="Y599" s="173"/>
    </row>
    <row r="600">
      <c r="A600" s="173"/>
      <c r="B600" s="173"/>
      <c r="C600" s="323"/>
      <c r="D600" s="324"/>
      <c r="E600" s="173"/>
      <c r="F600" s="173"/>
      <c r="G600" s="173"/>
      <c r="H600" s="173"/>
      <c r="I600" s="173"/>
      <c r="J600" s="173"/>
      <c r="K600" s="173"/>
      <c r="L600" s="173"/>
      <c r="M600" s="173"/>
      <c r="N600" s="173"/>
      <c r="O600" s="173"/>
      <c r="P600" s="173"/>
      <c r="Q600" s="173"/>
      <c r="R600" s="173"/>
      <c r="S600" s="173"/>
      <c r="T600" s="173"/>
      <c r="U600" s="173"/>
      <c r="V600" s="173"/>
      <c r="W600" s="173"/>
      <c r="X600" s="173"/>
      <c r="Y600" s="173"/>
    </row>
    <row r="601">
      <c r="A601" s="173"/>
      <c r="B601" s="173"/>
      <c r="C601" s="323"/>
      <c r="D601" s="324"/>
      <c r="E601" s="173"/>
      <c r="F601" s="173"/>
      <c r="G601" s="173"/>
      <c r="H601" s="173"/>
      <c r="I601" s="173"/>
      <c r="J601" s="173"/>
      <c r="K601" s="173"/>
      <c r="L601" s="173"/>
      <c r="M601" s="173"/>
      <c r="N601" s="173"/>
      <c r="O601" s="173"/>
      <c r="P601" s="173"/>
      <c r="Q601" s="173"/>
      <c r="R601" s="173"/>
      <c r="S601" s="173"/>
      <c r="T601" s="173"/>
      <c r="U601" s="173"/>
      <c r="V601" s="173"/>
      <c r="W601" s="173"/>
      <c r="X601" s="173"/>
      <c r="Y601" s="173"/>
    </row>
    <row r="602">
      <c r="A602" s="173"/>
      <c r="B602" s="173"/>
      <c r="C602" s="323"/>
      <c r="D602" s="324"/>
      <c r="E602" s="173"/>
      <c r="F602" s="173"/>
      <c r="G602" s="173"/>
      <c r="H602" s="173"/>
      <c r="I602" s="173"/>
      <c r="J602" s="173"/>
      <c r="K602" s="173"/>
      <c r="L602" s="173"/>
      <c r="M602" s="173"/>
      <c r="N602" s="173"/>
      <c r="O602" s="173"/>
      <c r="P602" s="173"/>
      <c r="Q602" s="173"/>
      <c r="R602" s="173"/>
      <c r="S602" s="173"/>
      <c r="T602" s="173"/>
      <c r="U602" s="173"/>
      <c r="V602" s="173"/>
      <c r="W602" s="173"/>
      <c r="X602" s="173"/>
      <c r="Y602" s="173"/>
    </row>
    <row r="603">
      <c r="A603" s="173"/>
      <c r="B603" s="173"/>
      <c r="C603" s="323"/>
      <c r="D603" s="324"/>
      <c r="E603" s="173"/>
      <c r="F603" s="173"/>
      <c r="G603" s="173"/>
      <c r="H603" s="173"/>
      <c r="I603" s="173"/>
      <c r="J603" s="173"/>
      <c r="K603" s="173"/>
      <c r="L603" s="173"/>
      <c r="M603" s="173"/>
      <c r="N603" s="173"/>
      <c r="O603" s="173"/>
      <c r="P603" s="173"/>
      <c r="Q603" s="173"/>
      <c r="R603" s="173"/>
      <c r="S603" s="173"/>
      <c r="T603" s="173"/>
      <c r="U603" s="173"/>
      <c r="V603" s="173"/>
      <c r="W603" s="173"/>
      <c r="X603" s="173"/>
      <c r="Y603" s="173"/>
    </row>
    <row r="604">
      <c r="A604" s="173"/>
      <c r="B604" s="173"/>
      <c r="C604" s="323"/>
      <c r="D604" s="324"/>
      <c r="E604" s="173"/>
      <c r="F604" s="173"/>
      <c r="G604" s="173"/>
      <c r="H604" s="173"/>
      <c r="I604" s="173"/>
      <c r="J604" s="173"/>
      <c r="K604" s="173"/>
      <c r="L604" s="173"/>
      <c r="M604" s="173"/>
      <c r="N604" s="173"/>
      <c r="O604" s="173"/>
      <c r="P604" s="173"/>
      <c r="Q604" s="173"/>
      <c r="R604" s="173"/>
      <c r="S604" s="173"/>
      <c r="T604" s="173"/>
      <c r="U604" s="173"/>
      <c r="V604" s="173"/>
      <c r="W604" s="173"/>
      <c r="X604" s="173"/>
      <c r="Y604" s="173"/>
    </row>
    <row r="605">
      <c r="A605" s="173"/>
      <c r="B605" s="173"/>
      <c r="C605" s="323"/>
      <c r="D605" s="324"/>
      <c r="E605" s="173"/>
      <c r="F605" s="173"/>
      <c r="G605" s="173"/>
      <c r="H605" s="173"/>
      <c r="I605" s="173"/>
      <c r="J605" s="173"/>
      <c r="K605" s="173"/>
      <c r="L605" s="173"/>
      <c r="M605" s="173"/>
      <c r="N605" s="173"/>
      <c r="O605" s="173"/>
      <c r="P605" s="173"/>
      <c r="Q605" s="173"/>
      <c r="R605" s="173"/>
      <c r="S605" s="173"/>
      <c r="T605" s="173"/>
      <c r="U605" s="173"/>
      <c r="V605" s="173"/>
      <c r="W605" s="173"/>
      <c r="X605" s="173"/>
      <c r="Y605" s="173"/>
    </row>
    <row r="606">
      <c r="A606" s="173"/>
      <c r="B606" s="173"/>
      <c r="C606" s="323"/>
      <c r="D606" s="324"/>
      <c r="E606" s="173"/>
      <c r="F606" s="173"/>
      <c r="G606" s="173"/>
      <c r="H606" s="173"/>
      <c r="I606" s="173"/>
      <c r="J606" s="173"/>
      <c r="K606" s="173"/>
      <c r="L606" s="173"/>
      <c r="M606" s="173"/>
      <c r="N606" s="173"/>
      <c r="O606" s="173"/>
      <c r="P606" s="173"/>
      <c r="Q606" s="173"/>
      <c r="R606" s="173"/>
      <c r="S606" s="173"/>
      <c r="T606" s="173"/>
      <c r="U606" s="173"/>
      <c r="V606" s="173"/>
      <c r="W606" s="173"/>
      <c r="X606" s="173"/>
      <c r="Y606" s="173"/>
    </row>
    <row r="607">
      <c r="A607" s="173"/>
      <c r="B607" s="173"/>
      <c r="C607" s="323"/>
      <c r="D607" s="324"/>
      <c r="E607" s="173"/>
      <c r="F607" s="173"/>
      <c r="G607" s="173"/>
      <c r="H607" s="173"/>
      <c r="I607" s="173"/>
      <c r="J607" s="173"/>
      <c r="K607" s="173"/>
      <c r="L607" s="173"/>
      <c r="M607" s="173"/>
      <c r="N607" s="173"/>
      <c r="O607" s="173"/>
      <c r="P607" s="173"/>
      <c r="Q607" s="173"/>
      <c r="R607" s="173"/>
      <c r="S607" s="173"/>
      <c r="T607" s="173"/>
      <c r="U607" s="173"/>
      <c r="V607" s="173"/>
      <c r="W607" s="173"/>
      <c r="X607" s="173"/>
      <c r="Y607" s="173"/>
    </row>
    <row r="608">
      <c r="A608" s="173"/>
      <c r="B608" s="173"/>
      <c r="C608" s="323"/>
      <c r="D608" s="324"/>
      <c r="E608" s="173"/>
      <c r="F608" s="173"/>
      <c r="G608" s="173"/>
      <c r="H608" s="173"/>
      <c r="I608" s="173"/>
      <c r="J608" s="173"/>
      <c r="K608" s="173"/>
      <c r="L608" s="173"/>
      <c r="M608" s="173"/>
      <c r="N608" s="173"/>
      <c r="O608" s="173"/>
      <c r="P608" s="173"/>
      <c r="Q608" s="173"/>
      <c r="R608" s="173"/>
      <c r="S608" s="173"/>
      <c r="T608" s="173"/>
      <c r="U608" s="173"/>
      <c r="V608" s="173"/>
      <c r="W608" s="173"/>
      <c r="X608" s="173"/>
      <c r="Y608" s="173"/>
    </row>
    <row r="609">
      <c r="A609" s="173"/>
      <c r="B609" s="173"/>
      <c r="C609" s="323"/>
      <c r="D609" s="324"/>
      <c r="E609" s="173"/>
      <c r="F609" s="173"/>
      <c r="G609" s="173"/>
      <c r="H609" s="173"/>
      <c r="I609" s="173"/>
      <c r="J609" s="173"/>
      <c r="K609" s="173"/>
      <c r="L609" s="173"/>
      <c r="M609" s="173"/>
      <c r="N609" s="173"/>
      <c r="O609" s="173"/>
      <c r="P609" s="173"/>
      <c r="Q609" s="173"/>
      <c r="R609" s="173"/>
      <c r="S609" s="173"/>
      <c r="T609" s="173"/>
      <c r="U609" s="173"/>
      <c r="V609" s="173"/>
      <c r="W609" s="173"/>
      <c r="X609" s="173"/>
      <c r="Y609" s="173"/>
    </row>
    <row r="610">
      <c r="A610" s="173"/>
      <c r="B610" s="173"/>
      <c r="C610" s="323"/>
      <c r="D610" s="324"/>
      <c r="E610" s="173"/>
      <c r="F610" s="173"/>
      <c r="G610" s="173"/>
      <c r="H610" s="173"/>
      <c r="I610" s="173"/>
      <c r="J610" s="173"/>
      <c r="K610" s="173"/>
      <c r="L610" s="173"/>
      <c r="M610" s="173"/>
      <c r="N610" s="173"/>
      <c r="O610" s="173"/>
      <c r="P610" s="173"/>
      <c r="Q610" s="173"/>
      <c r="R610" s="173"/>
      <c r="S610" s="173"/>
      <c r="T610" s="173"/>
      <c r="U610" s="173"/>
      <c r="V610" s="173"/>
      <c r="W610" s="173"/>
      <c r="X610" s="173"/>
      <c r="Y610" s="173"/>
    </row>
    <row r="611">
      <c r="A611" s="173"/>
      <c r="B611" s="173"/>
      <c r="C611" s="323"/>
      <c r="D611" s="324"/>
      <c r="E611" s="173"/>
      <c r="F611" s="173"/>
      <c r="G611" s="173"/>
      <c r="H611" s="173"/>
      <c r="I611" s="173"/>
      <c r="J611" s="173"/>
      <c r="K611" s="173"/>
      <c r="L611" s="173"/>
      <c r="M611" s="173"/>
      <c r="N611" s="173"/>
      <c r="O611" s="173"/>
      <c r="P611" s="173"/>
      <c r="Q611" s="173"/>
      <c r="R611" s="173"/>
      <c r="S611" s="173"/>
      <c r="T611" s="173"/>
      <c r="U611" s="173"/>
      <c r="V611" s="173"/>
      <c r="W611" s="173"/>
      <c r="X611" s="173"/>
      <c r="Y611" s="173"/>
    </row>
    <row r="612">
      <c r="A612" s="173"/>
      <c r="B612" s="173"/>
      <c r="C612" s="323"/>
      <c r="D612" s="324"/>
      <c r="E612" s="173"/>
      <c r="F612" s="173"/>
      <c r="G612" s="173"/>
      <c r="H612" s="173"/>
      <c r="I612" s="173"/>
      <c r="J612" s="173"/>
      <c r="K612" s="173"/>
      <c r="L612" s="173"/>
      <c r="M612" s="173"/>
      <c r="N612" s="173"/>
      <c r="O612" s="173"/>
      <c r="P612" s="173"/>
      <c r="Q612" s="173"/>
      <c r="R612" s="173"/>
      <c r="S612" s="173"/>
      <c r="T612" s="173"/>
      <c r="U612" s="173"/>
      <c r="V612" s="173"/>
      <c r="W612" s="173"/>
      <c r="X612" s="173"/>
      <c r="Y612" s="173"/>
    </row>
    <row r="613">
      <c r="A613" s="173"/>
      <c r="B613" s="173"/>
      <c r="C613" s="323"/>
      <c r="D613" s="324"/>
      <c r="E613" s="173"/>
      <c r="F613" s="173"/>
      <c r="G613" s="173"/>
      <c r="H613" s="173"/>
      <c r="I613" s="173"/>
      <c r="J613" s="173"/>
      <c r="K613" s="173"/>
      <c r="L613" s="173"/>
      <c r="M613" s="173"/>
      <c r="N613" s="173"/>
      <c r="O613" s="173"/>
      <c r="P613" s="173"/>
      <c r="Q613" s="173"/>
      <c r="R613" s="173"/>
      <c r="S613" s="173"/>
      <c r="T613" s="173"/>
      <c r="U613" s="173"/>
      <c r="V613" s="173"/>
      <c r="W613" s="173"/>
      <c r="X613" s="173"/>
      <c r="Y613" s="173"/>
    </row>
    <row r="614">
      <c r="A614" s="173"/>
      <c r="B614" s="173"/>
      <c r="C614" s="323"/>
      <c r="D614" s="324"/>
      <c r="E614" s="173"/>
      <c r="F614" s="173"/>
      <c r="G614" s="173"/>
      <c r="H614" s="173"/>
      <c r="I614" s="173"/>
      <c r="J614" s="173"/>
      <c r="K614" s="173"/>
      <c r="L614" s="173"/>
      <c r="M614" s="173"/>
      <c r="N614" s="173"/>
      <c r="O614" s="173"/>
      <c r="P614" s="173"/>
      <c r="Q614" s="173"/>
      <c r="R614" s="173"/>
      <c r="S614" s="173"/>
      <c r="T614" s="173"/>
      <c r="U614" s="173"/>
      <c r="V614" s="173"/>
      <c r="W614" s="173"/>
      <c r="X614" s="173"/>
      <c r="Y614" s="173"/>
    </row>
    <row r="615">
      <c r="A615" s="173"/>
      <c r="B615" s="173"/>
      <c r="C615" s="323"/>
      <c r="D615" s="324"/>
      <c r="E615" s="173"/>
      <c r="F615" s="173"/>
      <c r="G615" s="173"/>
      <c r="H615" s="173"/>
      <c r="I615" s="173"/>
      <c r="J615" s="173"/>
      <c r="K615" s="173"/>
      <c r="L615" s="173"/>
      <c r="M615" s="173"/>
      <c r="N615" s="173"/>
      <c r="O615" s="173"/>
      <c r="P615" s="173"/>
      <c r="Q615" s="173"/>
      <c r="R615" s="173"/>
      <c r="S615" s="173"/>
      <c r="T615" s="173"/>
      <c r="U615" s="173"/>
      <c r="V615" s="173"/>
      <c r="W615" s="173"/>
      <c r="X615" s="173"/>
      <c r="Y615" s="173"/>
    </row>
    <row r="616">
      <c r="A616" s="173"/>
      <c r="B616" s="173"/>
      <c r="C616" s="323"/>
      <c r="D616" s="324"/>
      <c r="E616" s="173"/>
      <c r="F616" s="173"/>
      <c r="G616" s="173"/>
      <c r="H616" s="173"/>
      <c r="I616" s="173"/>
      <c r="J616" s="173"/>
      <c r="K616" s="173"/>
      <c r="L616" s="173"/>
      <c r="M616" s="173"/>
      <c r="N616" s="173"/>
      <c r="O616" s="173"/>
      <c r="P616" s="173"/>
      <c r="Q616" s="173"/>
      <c r="R616" s="173"/>
      <c r="S616" s="173"/>
      <c r="T616" s="173"/>
      <c r="U616" s="173"/>
      <c r="V616" s="173"/>
      <c r="W616" s="173"/>
      <c r="X616" s="173"/>
      <c r="Y616" s="173"/>
    </row>
    <row r="617">
      <c r="A617" s="173"/>
      <c r="B617" s="173"/>
      <c r="C617" s="323"/>
      <c r="D617" s="324"/>
      <c r="E617" s="173"/>
      <c r="F617" s="173"/>
      <c r="G617" s="173"/>
      <c r="H617" s="173"/>
      <c r="I617" s="173"/>
      <c r="J617" s="173"/>
      <c r="K617" s="173"/>
      <c r="L617" s="173"/>
      <c r="M617" s="173"/>
      <c r="N617" s="173"/>
      <c r="O617" s="173"/>
      <c r="P617" s="173"/>
      <c r="Q617" s="173"/>
      <c r="R617" s="173"/>
      <c r="S617" s="173"/>
      <c r="T617" s="173"/>
      <c r="U617" s="173"/>
      <c r="V617" s="173"/>
      <c r="W617" s="173"/>
      <c r="X617" s="173"/>
      <c r="Y617" s="173"/>
    </row>
    <row r="618">
      <c r="A618" s="173"/>
      <c r="B618" s="173"/>
      <c r="C618" s="323"/>
      <c r="D618" s="324"/>
      <c r="E618" s="173"/>
      <c r="F618" s="173"/>
      <c r="G618" s="173"/>
      <c r="H618" s="173"/>
      <c r="I618" s="173"/>
      <c r="J618" s="173"/>
      <c r="K618" s="173"/>
      <c r="L618" s="173"/>
      <c r="M618" s="173"/>
      <c r="N618" s="173"/>
      <c r="O618" s="173"/>
      <c r="P618" s="173"/>
      <c r="Q618" s="173"/>
      <c r="R618" s="173"/>
      <c r="S618" s="173"/>
      <c r="T618" s="173"/>
      <c r="U618" s="173"/>
      <c r="V618" s="173"/>
      <c r="W618" s="173"/>
      <c r="X618" s="173"/>
      <c r="Y618" s="173"/>
    </row>
    <row r="619">
      <c r="A619" s="173"/>
      <c r="B619" s="173"/>
      <c r="C619" s="323"/>
      <c r="D619" s="324"/>
      <c r="E619" s="173"/>
      <c r="F619" s="173"/>
      <c r="G619" s="173"/>
      <c r="H619" s="173"/>
      <c r="I619" s="173"/>
      <c r="J619" s="173"/>
      <c r="K619" s="173"/>
      <c r="L619" s="173"/>
      <c r="M619" s="173"/>
      <c r="N619" s="173"/>
      <c r="O619" s="173"/>
      <c r="P619" s="173"/>
      <c r="Q619" s="173"/>
      <c r="R619" s="173"/>
      <c r="S619" s="173"/>
      <c r="T619" s="173"/>
      <c r="U619" s="173"/>
      <c r="V619" s="173"/>
      <c r="W619" s="173"/>
      <c r="X619" s="173"/>
      <c r="Y619" s="173"/>
    </row>
    <row r="620">
      <c r="A620" s="173"/>
      <c r="B620" s="173"/>
      <c r="C620" s="323"/>
      <c r="D620" s="324"/>
      <c r="E620" s="173"/>
      <c r="F620" s="173"/>
      <c r="G620" s="173"/>
      <c r="H620" s="173"/>
      <c r="I620" s="173"/>
      <c r="J620" s="173"/>
      <c r="K620" s="173"/>
      <c r="L620" s="173"/>
      <c r="M620" s="173"/>
      <c r="N620" s="173"/>
      <c r="O620" s="173"/>
      <c r="P620" s="173"/>
      <c r="Q620" s="173"/>
      <c r="R620" s="173"/>
      <c r="S620" s="173"/>
      <c r="T620" s="173"/>
      <c r="U620" s="173"/>
      <c r="V620" s="173"/>
      <c r="W620" s="173"/>
      <c r="X620" s="173"/>
      <c r="Y620" s="173"/>
    </row>
    <row r="621">
      <c r="A621" s="173"/>
      <c r="B621" s="173"/>
      <c r="C621" s="323"/>
      <c r="D621" s="324"/>
      <c r="E621" s="173"/>
      <c r="F621" s="173"/>
      <c r="G621" s="173"/>
      <c r="H621" s="173"/>
      <c r="I621" s="173"/>
      <c r="J621" s="173"/>
      <c r="K621" s="173"/>
      <c r="L621" s="173"/>
      <c r="M621" s="173"/>
      <c r="N621" s="173"/>
      <c r="O621" s="173"/>
      <c r="P621" s="173"/>
      <c r="Q621" s="173"/>
      <c r="R621" s="173"/>
      <c r="S621" s="173"/>
      <c r="T621" s="173"/>
      <c r="U621" s="173"/>
      <c r="V621" s="173"/>
      <c r="W621" s="173"/>
      <c r="X621" s="173"/>
      <c r="Y621" s="173"/>
    </row>
    <row r="622">
      <c r="A622" s="173"/>
      <c r="B622" s="173"/>
      <c r="C622" s="323"/>
      <c r="D622" s="324"/>
      <c r="E622" s="173"/>
      <c r="F622" s="173"/>
      <c r="G622" s="173"/>
      <c r="H622" s="173"/>
      <c r="I622" s="173"/>
      <c r="J622" s="173"/>
      <c r="K622" s="173"/>
      <c r="L622" s="173"/>
      <c r="M622" s="173"/>
      <c r="N622" s="173"/>
      <c r="O622" s="173"/>
      <c r="P622" s="173"/>
      <c r="Q622" s="173"/>
      <c r="R622" s="173"/>
      <c r="S622" s="173"/>
      <c r="T622" s="173"/>
      <c r="U622" s="173"/>
      <c r="V622" s="173"/>
      <c r="W622" s="173"/>
      <c r="X622" s="173"/>
      <c r="Y622" s="173"/>
    </row>
    <row r="623">
      <c r="A623" s="173"/>
      <c r="B623" s="173"/>
      <c r="C623" s="323"/>
      <c r="D623" s="324"/>
      <c r="E623" s="173"/>
      <c r="F623" s="173"/>
      <c r="G623" s="173"/>
      <c r="H623" s="173"/>
      <c r="I623" s="173"/>
      <c r="J623" s="173"/>
      <c r="K623" s="173"/>
      <c r="L623" s="173"/>
      <c r="M623" s="173"/>
      <c r="N623" s="173"/>
      <c r="O623" s="173"/>
      <c r="P623" s="173"/>
      <c r="Q623" s="173"/>
      <c r="R623" s="173"/>
      <c r="S623" s="173"/>
      <c r="T623" s="173"/>
      <c r="U623" s="173"/>
      <c r="V623" s="173"/>
      <c r="W623" s="173"/>
      <c r="X623" s="173"/>
      <c r="Y623" s="173"/>
    </row>
    <row r="624">
      <c r="A624" s="173"/>
      <c r="B624" s="173"/>
      <c r="C624" s="323"/>
      <c r="D624" s="324"/>
      <c r="E624" s="173"/>
      <c r="F624" s="173"/>
      <c r="G624" s="173"/>
      <c r="H624" s="173"/>
      <c r="I624" s="173"/>
      <c r="J624" s="173"/>
      <c r="K624" s="173"/>
      <c r="L624" s="173"/>
      <c r="M624" s="173"/>
      <c r="N624" s="173"/>
      <c r="O624" s="173"/>
      <c r="P624" s="173"/>
      <c r="Q624" s="173"/>
      <c r="R624" s="173"/>
      <c r="S624" s="173"/>
      <c r="T624" s="173"/>
      <c r="U624" s="173"/>
      <c r="V624" s="173"/>
      <c r="W624" s="173"/>
      <c r="X624" s="173"/>
      <c r="Y624" s="173"/>
    </row>
    <row r="625">
      <c r="A625" s="173"/>
      <c r="B625" s="173"/>
      <c r="C625" s="323"/>
      <c r="D625" s="324"/>
      <c r="E625" s="173"/>
      <c r="F625" s="173"/>
      <c r="G625" s="173"/>
      <c r="H625" s="173"/>
      <c r="I625" s="173"/>
      <c r="J625" s="173"/>
      <c r="K625" s="173"/>
      <c r="L625" s="173"/>
      <c r="M625" s="173"/>
      <c r="N625" s="173"/>
      <c r="O625" s="173"/>
      <c r="P625" s="173"/>
      <c r="Q625" s="173"/>
      <c r="R625" s="173"/>
      <c r="S625" s="173"/>
      <c r="T625" s="173"/>
      <c r="U625" s="173"/>
      <c r="V625" s="173"/>
      <c r="W625" s="173"/>
      <c r="X625" s="173"/>
      <c r="Y625" s="173"/>
    </row>
    <row r="626">
      <c r="A626" s="173"/>
      <c r="B626" s="173"/>
      <c r="C626" s="323"/>
      <c r="D626" s="324"/>
      <c r="E626" s="173"/>
      <c r="F626" s="173"/>
      <c r="G626" s="173"/>
      <c r="H626" s="173"/>
      <c r="I626" s="173"/>
      <c r="J626" s="173"/>
      <c r="K626" s="173"/>
      <c r="L626" s="173"/>
      <c r="M626" s="173"/>
      <c r="N626" s="173"/>
      <c r="O626" s="173"/>
      <c r="P626" s="173"/>
      <c r="Q626" s="173"/>
      <c r="R626" s="173"/>
      <c r="S626" s="173"/>
      <c r="T626" s="173"/>
      <c r="U626" s="173"/>
      <c r="V626" s="173"/>
      <c r="W626" s="173"/>
      <c r="X626" s="173"/>
      <c r="Y626" s="173"/>
    </row>
    <row r="627">
      <c r="A627" s="173"/>
      <c r="B627" s="173"/>
      <c r="C627" s="323"/>
      <c r="D627" s="324"/>
      <c r="E627" s="173"/>
      <c r="F627" s="173"/>
      <c r="G627" s="173"/>
      <c r="H627" s="173"/>
      <c r="I627" s="173"/>
      <c r="J627" s="173"/>
      <c r="K627" s="173"/>
      <c r="L627" s="173"/>
      <c r="M627" s="173"/>
      <c r="N627" s="173"/>
      <c r="O627" s="173"/>
      <c r="P627" s="173"/>
      <c r="Q627" s="173"/>
      <c r="R627" s="173"/>
      <c r="S627" s="173"/>
      <c r="T627" s="173"/>
      <c r="U627" s="173"/>
      <c r="V627" s="173"/>
      <c r="W627" s="173"/>
      <c r="X627" s="173"/>
      <c r="Y627" s="173"/>
    </row>
    <row r="628">
      <c r="A628" s="173"/>
      <c r="B628" s="173"/>
      <c r="C628" s="323"/>
      <c r="D628" s="324"/>
      <c r="E628" s="173"/>
      <c r="F628" s="173"/>
      <c r="G628" s="173"/>
      <c r="H628" s="173"/>
      <c r="I628" s="173"/>
      <c r="J628" s="173"/>
      <c r="K628" s="173"/>
      <c r="L628" s="173"/>
      <c r="M628" s="173"/>
      <c r="N628" s="173"/>
      <c r="O628" s="173"/>
      <c r="P628" s="173"/>
      <c r="Q628" s="173"/>
      <c r="R628" s="173"/>
      <c r="S628" s="173"/>
      <c r="T628" s="173"/>
      <c r="U628" s="173"/>
      <c r="V628" s="173"/>
      <c r="W628" s="173"/>
      <c r="X628" s="173"/>
      <c r="Y628" s="173"/>
    </row>
    <row r="629">
      <c r="A629" s="173"/>
      <c r="B629" s="173"/>
      <c r="C629" s="323"/>
      <c r="D629" s="324"/>
      <c r="E629" s="173"/>
      <c r="F629" s="173"/>
      <c r="G629" s="173"/>
      <c r="H629" s="173"/>
      <c r="I629" s="173"/>
      <c r="J629" s="173"/>
      <c r="K629" s="173"/>
      <c r="L629" s="173"/>
      <c r="M629" s="173"/>
      <c r="N629" s="173"/>
      <c r="O629" s="173"/>
      <c r="P629" s="173"/>
      <c r="Q629" s="173"/>
      <c r="R629" s="173"/>
      <c r="S629" s="173"/>
      <c r="T629" s="173"/>
      <c r="U629" s="173"/>
      <c r="V629" s="173"/>
      <c r="W629" s="173"/>
      <c r="X629" s="173"/>
      <c r="Y629" s="173"/>
    </row>
    <row r="630">
      <c r="A630" s="173"/>
      <c r="B630" s="173"/>
      <c r="C630" s="323"/>
      <c r="D630" s="324"/>
      <c r="E630" s="173"/>
      <c r="F630" s="173"/>
      <c r="G630" s="173"/>
      <c r="H630" s="173"/>
      <c r="I630" s="173"/>
      <c r="J630" s="173"/>
      <c r="K630" s="173"/>
      <c r="L630" s="173"/>
      <c r="M630" s="173"/>
      <c r="N630" s="173"/>
      <c r="O630" s="173"/>
      <c r="P630" s="173"/>
      <c r="Q630" s="173"/>
      <c r="R630" s="173"/>
      <c r="S630" s="173"/>
      <c r="T630" s="173"/>
      <c r="U630" s="173"/>
      <c r="V630" s="173"/>
      <c r="W630" s="173"/>
      <c r="X630" s="173"/>
      <c r="Y630" s="173"/>
    </row>
    <row r="631">
      <c r="A631" s="173"/>
      <c r="B631" s="173"/>
      <c r="C631" s="323"/>
      <c r="D631" s="324"/>
      <c r="E631" s="173"/>
      <c r="F631" s="173"/>
      <c r="G631" s="173"/>
      <c r="H631" s="173"/>
      <c r="I631" s="173"/>
      <c r="J631" s="173"/>
      <c r="K631" s="173"/>
      <c r="L631" s="173"/>
      <c r="M631" s="173"/>
      <c r="N631" s="173"/>
      <c r="O631" s="173"/>
      <c r="P631" s="173"/>
      <c r="Q631" s="173"/>
      <c r="R631" s="173"/>
      <c r="S631" s="173"/>
      <c r="T631" s="173"/>
      <c r="U631" s="173"/>
      <c r="V631" s="173"/>
      <c r="W631" s="173"/>
      <c r="X631" s="173"/>
      <c r="Y631" s="173"/>
    </row>
    <row r="632">
      <c r="A632" s="173"/>
      <c r="B632" s="173"/>
      <c r="C632" s="323"/>
      <c r="D632" s="324"/>
      <c r="E632" s="173"/>
      <c r="F632" s="173"/>
      <c r="G632" s="173"/>
      <c r="H632" s="173"/>
      <c r="I632" s="173"/>
      <c r="J632" s="173"/>
      <c r="K632" s="173"/>
      <c r="L632" s="173"/>
      <c r="M632" s="173"/>
      <c r="N632" s="173"/>
      <c r="O632" s="173"/>
      <c r="P632" s="173"/>
      <c r="Q632" s="173"/>
      <c r="R632" s="173"/>
      <c r="S632" s="173"/>
      <c r="T632" s="173"/>
      <c r="U632" s="173"/>
      <c r="V632" s="173"/>
      <c r="W632" s="173"/>
      <c r="X632" s="173"/>
      <c r="Y632" s="173"/>
    </row>
    <row r="633">
      <c r="A633" s="173"/>
      <c r="B633" s="173"/>
      <c r="C633" s="323"/>
      <c r="D633" s="324"/>
      <c r="E633" s="173"/>
      <c r="F633" s="173"/>
      <c r="G633" s="173"/>
      <c r="H633" s="173"/>
      <c r="I633" s="173"/>
      <c r="J633" s="173"/>
      <c r="K633" s="173"/>
      <c r="L633" s="173"/>
      <c r="M633" s="173"/>
      <c r="N633" s="173"/>
      <c r="O633" s="173"/>
      <c r="P633" s="173"/>
      <c r="Q633" s="173"/>
      <c r="R633" s="173"/>
      <c r="S633" s="173"/>
      <c r="T633" s="173"/>
      <c r="U633" s="173"/>
      <c r="V633" s="173"/>
      <c r="W633" s="173"/>
      <c r="X633" s="173"/>
      <c r="Y633" s="173"/>
    </row>
    <row r="634">
      <c r="A634" s="173"/>
      <c r="B634" s="173"/>
      <c r="C634" s="323"/>
      <c r="D634" s="324"/>
      <c r="E634" s="173"/>
      <c r="F634" s="173"/>
      <c r="G634" s="173"/>
      <c r="H634" s="173"/>
      <c r="I634" s="173"/>
      <c r="J634" s="173"/>
      <c r="K634" s="173"/>
      <c r="L634" s="173"/>
      <c r="M634" s="173"/>
      <c r="N634" s="173"/>
      <c r="O634" s="173"/>
      <c r="P634" s="173"/>
      <c r="Q634" s="173"/>
      <c r="R634" s="173"/>
      <c r="S634" s="173"/>
      <c r="T634" s="173"/>
      <c r="U634" s="173"/>
      <c r="V634" s="173"/>
      <c r="W634" s="173"/>
      <c r="X634" s="173"/>
      <c r="Y634" s="173"/>
    </row>
    <row r="635">
      <c r="A635" s="173"/>
      <c r="B635" s="173"/>
      <c r="C635" s="323"/>
      <c r="D635" s="324"/>
      <c r="E635" s="173"/>
      <c r="F635" s="173"/>
      <c r="G635" s="173"/>
      <c r="H635" s="173"/>
      <c r="I635" s="173"/>
      <c r="J635" s="173"/>
      <c r="K635" s="173"/>
      <c r="L635" s="173"/>
      <c r="M635" s="173"/>
      <c r="N635" s="173"/>
      <c r="O635" s="173"/>
      <c r="P635" s="173"/>
      <c r="Q635" s="173"/>
      <c r="R635" s="173"/>
      <c r="S635" s="173"/>
      <c r="T635" s="173"/>
      <c r="U635" s="173"/>
      <c r="V635" s="173"/>
      <c r="W635" s="173"/>
      <c r="X635" s="173"/>
      <c r="Y635" s="173"/>
    </row>
    <row r="636">
      <c r="A636" s="173"/>
      <c r="B636" s="173"/>
      <c r="C636" s="323"/>
      <c r="D636" s="324"/>
      <c r="E636" s="173"/>
      <c r="F636" s="173"/>
      <c r="G636" s="173"/>
      <c r="H636" s="173"/>
      <c r="I636" s="173"/>
      <c r="J636" s="173"/>
      <c r="K636" s="173"/>
      <c r="L636" s="173"/>
      <c r="M636" s="173"/>
      <c r="N636" s="173"/>
      <c r="O636" s="173"/>
      <c r="P636" s="173"/>
      <c r="Q636" s="173"/>
      <c r="R636" s="173"/>
      <c r="S636" s="173"/>
      <c r="T636" s="173"/>
      <c r="U636" s="173"/>
      <c r="V636" s="173"/>
      <c r="W636" s="173"/>
      <c r="X636" s="173"/>
      <c r="Y636" s="173"/>
    </row>
    <row r="637">
      <c r="A637" s="173"/>
      <c r="B637" s="173"/>
      <c r="C637" s="323"/>
      <c r="D637" s="324"/>
      <c r="E637" s="173"/>
      <c r="F637" s="173"/>
      <c r="G637" s="173"/>
      <c r="H637" s="173"/>
      <c r="I637" s="173"/>
      <c r="J637" s="173"/>
      <c r="K637" s="173"/>
      <c r="L637" s="173"/>
      <c r="M637" s="173"/>
      <c r="N637" s="173"/>
      <c r="O637" s="173"/>
      <c r="P637" s="173"/>
      <c r="Q637" s="173"/>
      <c r="R637" s="173"/>
      <c r="S637" s="173"/>
      <c r="T637" s="173"/>
      <c r="U637" s="173"/>
      <c r="V637" s="173"/>
      <c r="W637" s="173"/>
      <c r="X637" s="173"/>
      <c r="Y637" s="173"/>
    </row>
    <row r="638">
      <c r="A638" s="173"/>
      <c r="B638" s="173"/>
      <c r="C638" s="323"/>
      <c r="D638" s="324"/>
      <c r="E638" s="173"/>
      <c r="F638" s="173"/>
      <c r="G638" s="173"/>
      <c r="H638" s="173"/>
      <c r="I638" s="173"/>
      <c r="J638" s="173"/>
      <c r="K638" s="173"/>
      <c r="L638" s="173"/>
      <c r="M638" s="173"/>
      <c r="N638" s="173"/>
      <c r="O638" s="173"/>
      <c r="P638" s="173"/>
      <c r="Q638" s="173"/>
      <c r="R638" s="173"/>
      <c r="S638" s="173"/>
      <c r="T638" s="173"/>
      <c r="U638" s="173"/>
      <c r="V638" s="173"/>
      <c r="W638" s="173"/>
      <c r="X638" s="173"/>
      <c r="Y638" s="173"/>
    </row>
    <row r="639">
      <c r="A639" s="173"/>
      <c r="B639" s="173"/>
      <c r="C639" s="323"/>
      <c r="D639" s="324"/>
      <c r="E639" s="173"/>
      <c r="F639" s="173"/>
      <c r="G639" s="173"/>
      <c r="H639" s="173"/>
      <c r="I639" s="173"/>
      <c r="J639" s="173"/>
      <c r="K639" s="173"/>
      <c r="L639" s="173"/>
      <c r="M639" s="173"/>
      <c r="N639" s="173"/>
      <c r="O639" s="173"/>
      <c r="P639" s="173"/>
      <c r="Q639" s="173"/>
      <c r="R639" s="173"/>
      <c r="S639" s="173"/>
      <c r="T639" s="173"/>
      <c r="U639" s="173"/>
      <c r="V639" s="173"/>
      <c r="W639" s="173"/>
      <c r="X639" s="173"/>
      <c r="Y639" s="173"/>
    </row>
    <row r="640">
      <c r="A640" s="173"/>
      <c r="B640" s="173"/>
      <c r="C640" s="323"/>
      <c r="D640" s="324"/>
      <c r="E640" s="173"/>
      <c r="F640" s="173"/>
      <c r="G640" s="173"/>
      <c r="H640" s="173"/>
      <c r="I640" s="173"/>
      <c r="J640" s="173"/>
      <c r="K640" s="173"/>
      <c r="L640" s="173"/>
      <c r="M640" s="173"/>
      <c r="N640" s="173"/>
      <c r="O640" s="173"/>
      <c r="P640" s="173"/>
      <c r="Q640" s="173"/>
      <c r="R640" s="173"/>
      <c r="S640" s="173"/>
      <c r="T640" s="173"/>
      <c r="U640" s="173"/>
      <c r="V640" s="173"/>
      <c r="W640" s="173"/>
      <c r="X640" s="173"/>
      <c r="Y640" s="173"/>
    </row>
    <row r="641">
      <c r="A641" s="173"/>
      <c r="B641" s="173"/>
      <c r="C641" s="323"/>
      <c r="D641" s="324"/>
      <c r="E641" s="173"/>
      <c r="F641" s="173"/>
      <c r="G641" s="173"/>
      <c r="H641" s="173"/>
      <c r="I641" s="173"/>
      <c r="J641" s="173"/>
      <c r="K641" s="173"/>
      <c r="L641" s="173"/>
      <c r="M641" s="173"/>
      <c r="N641" s="173"/>
      <c r="O641" s="173"/>
      <c r="P641" s="173"/>
      <c r="Q641" s="173"/>
      <c r="R641" s="173"/>
      <c r="S641" s="173"/>
      <c r="T641" s="173"/>
      <c r="U641" s="173"/>
      <c r="V641" s="173"/>
      <c r="W641" s="173"/>
      <c r="X641" s="173"/>
      <c r="Y641" s="173"/>
    </row>
    <row r="642">
      <c r="A642" s="173"/>
      <c r="B642" s="173"/>
      <c r="C642" s="323"/>
      <c r="D642" s="324"/>
      <c r="E642" s="173"/>
      <c r="F642" s="173"/>
      <c r="G642" s="173"/>
      <c r="H642" s="173"/>
      <c r="I642" s="173"/>
      <c r="J642" s="173"/>
      <c r="K642" s="173"/>
      <c r="L642" s="173"/>
      <c r="M642" s="173"/>
      <c r="N642" s="173"/>
      <c r="O642" s="173"/>
      <c r="P642" s="173"/>
      <c r="Q642" s="173"/>
      <c r="R642" s="173"/>
      <c r="S642" s="173"/>
      <c r="T642" s="173"/>
      <c r="U642" s="173"/>
      <c r="V642" s="173"/>
      <c r="W642" s="173"/>
      <c r="X642" s="173"/>
      <c r="Y642" s="173"/>
    </row>
    <row r="643">
      <c r="A643" s="173"/>
      <c r="B643" s="173"/>
      <c r="C643" s="323"/>
      <c r="D643" s="324"/>
      <c r="E643" s="173"/>
      <c r="F643" s="173"/>
      <c r="G643" s="173"/>
      <c r="H643" s="173"/>
      <c r="I643" s="173"/>
      <c r="J643" s="173"/>
      <c r="K643" s="173"/>
      <c r="L643" s="173"/>
      <c r="M643" s="173"/>
      <c r="N643" s="173"/>
      <c r="O643" s="173"/>
      <c r="P643" s="173"/>
      <c r="Q643" s="173"/>
      <c r="R643" s="173"/>
      <c r="S643" s="173"/>
      <c r="T643" s="173"/>
      <c r="U643" s="173"/>
      <c r="V643" s="173"/>
      <c r="W643" s="173"/>
      <c r="X643" s="173"/>
      <c r="Y643" s="173"/>
    </row>
    <row r="644">
      <c r="A644" s="173"/>
      <c r="B644" s="173"/>
      <c r="C644" s="323"/>
      <c r="D644" s="324"/>
      <c r="E644" s="173"/>
      <c r="F644" s="173"/>
      <c r="G644" s="173"/>
      <c r="H644" s="173"/>
      <c r="I644" s="173"/>
      <c r="J644" s="173"/>
      <c r="K644" s="173"/>
      <c r="L644" s="173"/>
      <c r="M644" s="173"/>
      <c r="N644" s="173"/>
      <c r="O644" s="173"/>
      <c r="P644" s="173"/>
      <c r="Q644" s="173"/>
      <c r="R644" s="173"/>
      <c r="S644" s="173"/>
      <c r="T644" s="173"/>
      <c r="U644" s="173"/>
      <c r="V644" s="173"/>
      <c r="W644" s="173"/>
      <c r="X644" s="173"/>
      <c r="Y644" s="173"/>
    </row>
    <row r="645">
      <c r="A645" s="173"/>
      <c r="B645" s="173"/>
      <c r="C645" s="323"/>
      <c r="D645" s="324"/>
      <c r="E645" s="173"/>
      <c r="F645" s="173"/>
      <c r="G645" s="173"/>
      <c r="H645" s="173"/>
      <c r="I645" s="173"/>
      <c r="J645" s="173"/>
      <c r="K645" s="173"/>
      <c r="L645" s="173"/>
      <c r="M645" s="173"/>
      <c r="N645" s="173"/>
      <c r="O645" s="173"/>
      <c r="P645" s="173"/>
      <c r="Q645" s="173"/>
      <c r="R645" s="173"/>
      <c r="S645" s="173"/>
      <c r="T645" s="173"/>
      <c r="U645" s="173"/>
      <c r="V645" s="173"/>
      <c r="W645" s="173"/>
      <c r="X645" s="173"/>
      <c r="Y645" s="173"/>
    </row>
    <row r="646">
      <c r="A646" s="173"/>
      <c r="B646" s="173"/>
      <c r="C646" s="323"/>
      <c r="D646" s="324"/>
      <c r="E646" s="173"/>
      <c r="F646" s="173"/>
      <c r="G646" s="173"/>
      <c r="H646" s="173"/>
      <c r="I646" s="173"/>
      <c r="J646" s="173"/>
      <c r="K646" s="173"/>
      <c r="L646" s="173"/>
      <c r="M646" s="173"/>
      <c r="N646" s="173"/>
      <c r="O646" s="173"/>
      <c r="P646" s="173"/>
      <c r="Q646" s="173"/>
      <c r="R646" s="173"/>
      <c r="S646" s="173"/>
      <c r="T646" s="173"/>
      <c r="U646" s="173"/>
      <c r="V646" s="173"/>
      <c r="W646" s="173"/>
      <c r="X646" s="173"/>
      <c r="Y646" s="173"/>
    </row>
    <row r="647">
      <c r="A647" s="173"/>
      <c r="B647" s="173"/>
      <c r="C647" s="323"/>
      <c r="D647" s="324"/>
      <c r="E647" s="173"/>
      <c r="F647" s="173"/>
      <c r="G647" s="173"/>
      <c r="H647" s="173"/>
      <c r="I647" s="173"/>
      <c r="J647" s="173"/>
      <c r="K647" s="173"/>
      <c r="L647" s="173"/>
      <c r="M647" s="173"/>
      <c r="N647" s="173"/>
      <c r="O647" s="173"/>
      <c r="P647" s="173"/>
      <c r="Q647" s="173"/>
      <c r="R647" s="173"/>
      <c r="S647" s="173"/>
      <c r="T647" s="173"/>
      <c r="U647" s="173"/>
      <c r="V647" s="173"/>
      <c r="W647" s="173"/>
      <c r="X647" s="173"/>
      <c r="Y647" s="173"/>
    </row>
    <row r="648">
      <c r="A648" s="173"/>
      <c r="B648" s="173"/>
      <c r="C648" s="323"/>
      <c r="D648" s="324"/>
      <c r="E648" s="173"/>
      <c r="F648" s="173"/>
      <c r="G648" s="173"/>
      <c r="H648" s="173"/>
      <c r="I648" s="173"/>
      <c r="J648" s="173"/>
      <c r="K648" s="173"/>
      <c r="L648" s="173"/>
      <c r="M648" s="173"/>
      <c r="N648" s="173"/>
      <c r="O648" s="173"/>
      <c r="P648" s="173"/>
      <c r="Q648" s="173"/>
      <c r="R648" s="173"/>
      <c r="S648" s="173"/>
      <c r="T648" s="173"/>
      <c r="U648" s="173"/>
      <c r="V648" s="173"/>
      <c r="W648" s="173"/>
      <c r="X648" s="173"/>
      <c r="Y648" s="173"/>
    </row>
    <row r="649">
      <c r="A649" s="173"/>
      <c r="B649" s="173"/>
      <c r="C649" s="323"/>
      <c r="D649" s="324"/>
      <c r="E649" s="173"/>
      <c r="F649" s="173"/>
      <c r="G649" s="173"/>
      <c r="H649" s="173"/>
      <c r="I649" s="173"/>
      <c r="J649" s="173"/>
      <c r="K649" s="173"/>
      <c r="L649" s="173"/>
      <c r="M649" s="173"/>
      <c r="N649" s="173"/>
      <c r="O649" s="173"/>
      <c r="P649" s="173"/>
      <c r="Q649" s="173"/>
      <c r="R649" s="173"/>
      <c r="S649" s="173"/>
      <c r="T649" s="173"/>
      <c r="U649" s="173"/>
      <c r="V649" s="173"/>
      <c r="W649" s="173"/>
      <c r="X649" s="173"/>
      <c r="Y649" s="173"/>
    </row>
    <row r="650">
      <c r="A650" s="173"/>
      <c r="B650" s="173"/>
      <c r="C650" s="323"/>
      <c r="D650" s="324"/>
      <c r="E650" s="173"/>
      <c r="F650" s="173"/>
      <c r="G650" s="173"/>
      <c r="H650" s="173"/>
      <c r="I650" s="173"/>
      <c r="J650" s="173"/>
      <c r="K650" s="173"/>
      <c r="L650" s="173"/>
      <c r="M650" s="173"/>
      <c r="N650" s="173"/>
      <c r="O650" s="173"/>
      <c r="P650" s="173"/>
      <c r="Q650" s="173"/>
      <c r="R650" s="173"/>
      <c r="S650" s="173"/>
      <c r="T650" s="173"/>
      <c r="U650" s="173"/>
      <c r="V650" s="173"/>
      <c r="W650" s="173"/>
      <c r="X650" s="173"/>
      <c r="Y650" s="173"/>
    </row>
    <row r="651">
      <c r="A651" s="173"/>
      <c r="B651" s="173"/>
      <c r="C651" s="323"/>
      <c r="D651" s="324"/>
      <c r="E651" s="173"/>
      <c r="F651" s="173"/>
      <c r="G651" s="173"/>
      <c r="H651" s="173"/>
      <c r="I651" s="173"/>
      <c r="J651" s="173"/>
      <c r="K651" s="173"/>
      <c r="L651" s="173"/>
      <c r="M651" s="173"/>
      <c r="N651" s="173"/>
      <c r="O651" s="173"/>
      <c r="P651" s="173"/>
      <c r="Q651" s="173"/>
      <c r="R651" s="173"/>
      <c r="S651" s="173"/>
      <c r="T651" s="173"/>
      <c r="U651" s="173"/>
      <c r="V651" s="173"/>
      <c r="W651" s="173"/>
      <c r="X651" s="173"/>
      <c r="Y651" s="173"/>
    </row>
    <row r="652">
      <c r="A652" s="173"/>
      <c r="B652" s="173"/>
      <c r="C652" s="323"/>
      <c r="D652" s="324"/>
      <c r="E652" s="173"/>
      <c r="F652" s="173"/>
      <c r="G652" s="173"/>
      <c r="H652" s="173"/>
      <c r="I652" s="173"/>
      <c r="J652" s="173"/>
      <c r="K652" s="173"/>
      <c r="L652" s="173"/>
      <c r="M652" s="173"/>
      <c r="N652" s="173"/>
      <c r="O652" s="173"/>
      <c r="P652" s="173"/>
      <c r="Q652" s="173"/>
      <c r="R652" s="173"/>
      <c r="S652" s="173"/>
      <c r="T652" s="173"/>
      <c r="U652" s="173"/>
      <c r="V652" s="173"/>
      <c r="W652" s="173"/>
      <c r="X652" s="173"/>
      <c r="Y652" s="173"/>
    </row>
    <row r="653">
      <c r="A653" s="173"/>
      <c r="B653" s="173"/>
      <c r="C653" s="323"/>
      <c r="D653" s="324"/>
      <c r="E653" s="173"/>
      <c r="F653" s="173"/>
      <c r="G653" s="173"/>
      <c r="H653" s="173"/>
      <c r="I653" s="173"/>
      <c r="J653" s="173"/>
      <c r="K653" s="173"/>
      <c r="L653" s="173"/>
      <c r="M653" s="173"/>
      <c r="N653" s="173"/>
      <c r="O653" s="173"/>
      <c r="P653" s="173"/>
      <c r="Q653" s="173"/>
      <c r="R653" s="173"/>
      <c r="S653" s="173"/>
      <c r="T653" s="173"/>
      <c r="U653" s="173"/>
      <c r="V653" s="173"/>
      <c r="W653" s="173"/>
      <c r="X653" s="173"/>
      <c r="Y653" s="173"/>
    </row>
    <row r="654">
      <c r="A654" s="173"/>
      <c r="B654" s="173"/>
      <c r="C654" s="323"/>
      <c r="D654" s="324"/>
      <c r="E654" s="173"/>
      <c r="F654" s="173"/>
      <c r="G654" s="173"/>
      <c r="H654" s="173"/>
      <c r="I654" s="173"/>
      <c r="J654" s="173"/>
      <c r="K654" s="173"/>
      <c r="L654" s="173"/>
      <c r="M654" s="173"/>
      <c r="N654" s="173"/>
      <c r="O654" s="173"/>
      <c r="P654" s="173"/>
      <c r="Q654" s="173"/>
      <c r="R654" s="173"/>
      <c r="S654" s="173"/>
      <c r="T654" s="173"/>
      <c r="U654" s="173"/>
      <c r="V654" s="173"/>
      <c r="W654" s="173"/>
      <c r="X654" s="173"/>
      <c r="Y654" s="173"/>
    </row>
    <row r="655">
      <c r="A655" s="173"/>
      <c r="B655" s="173"/>
      <c r="C655" s="323"/>
      <c r="D655" s="324"/>
      <c r="E655" s="173"/>
      <c r="F655" s="173"/>
      <c r="G655" s="173"/>
      <c r="H655" s="173"/>
      <c r="I655" s="173"/>
      <c r="J655" s="173"/>
      <c r="K655" s="173"/>
      <c r="L655" s="173"/>
      <c r="M655" s="173"/>
      <c r="N655" s="173"/>
      <c r="O655" s="173"/>
      <c r="P655" s="173"/>
      <c r="Q655" s="173"/>
      <c r="R655" s="173"/>
      <c r="S655" s="173"/>
      <c r="T655" s="173"/>
      <c r="U655" s="173"/>
      <c r="V655" s="173"/>
      <c r="W655" s="173"/>
      <c r="X655" s="173"/>
      <c r="Y655" s="173"/>
    </row>
    <row r="656">
      <c r="A656" s="173"/>
      <c r="B656" s="173"/>
      <c r="C656" s="323"/>
      <c r="D656" s="324"/>
      <c r="E656" s="173"/>
      <c r="F656" s="173"/>
      <c r="G656" s="173"/>
      <c r="H656" s="173"/>
      <c r="I656" s="173"/>
      <c r="J656" s="173"/>
      <c r="K656" s="173"/>
      <c r="L656" s="173"/>
      <c r="M656" s="173"/>
      <c r="N656" s="173"/>
      <c r="O656" s="173"/>
      <c r="P656" s="173"/>
      <c r="Q656" s="173"/>
      <c r="R656" s="173"/>
      <c r="S656" s="173"/>
      <c r="T656" s="173"/>
      <c r="U656" s="173"/>
      <c r="V656" s="173"/>
      <c r="W656" s="173"/>
      <c r="X656" s="173"/>
      <c r="Y656" s="173"/>
    </row>
    <row r="657">
      <c r="A657" s="173"/>
      <c r="B657" s="173"/>
      <c r="C657" s="323"/>
      <c r="D657" s="324"/>
      <c r="E657" s="173"/>
      <c r="F657" s="173"/>
      <c r="G657" s="173"/>
      <c r="H657" s="173"/>
      <c r="I657" s="173"/>
      <c r="J657" s="173"/>
      <c r="K657" s="173"/>
      <c r="L657" s="173"/>
      <c r="M657" s="173"/>
      <c r="N657" s="173"/>
      <c r="O657" s="173"/>
      <c r="P657" s="173"/>
      <c r="Q657" s="173"/>
      <c r="R657" s="173"/>
      <c r="S657" s="173"/>
      <c r="T657" s="173"/>
      <c r="U657" s="173"/>
      <c r="V657" s="173"/>
      <c r="W657" s="173"/>
      <c r="X657" s="173"/>
      <c r="Y657" s="173"/>
    </row>
    <row r="658">
      <c r="A658" s="173"/>
      <c r="B658" s="173"/>
      <c r="C658" s="323"/>
      <c r="D658" s="324"/>
      <c r="E658" s="173"/>
      <c r="F658" s="173"/>
      <c r="G658" s="173"/>
      <c r="H658" s="173"/>
      <c r="I658" s="173"/>
      <c r="J658" s="173"/>
      <c r="K658" s="173"/>
      <c r="L658" s="173"/>
      <c r="M658" s="173"/>
      <c r="N658" s="173"/>
      <c r="O658" s="173"/>
      <c r="P658" s="173"/>
      <c r="Q658" s="173"/>
      <c r="R658" s="173"/>
      <c r="S658" s="173"/>
      <c r="T658" s="173"/>
      <c r="U658" s="173"/>
      <c r="V658" s="173"/>
      <c r="W658" s="173"/>
      <c r="X658" s="173"/>
      <c r="Y658" s="173"/>
    </row>
    <row r="659">
      <c r="A659" s="173"/>
      <c r="B659" s="173"/>
      <c r="C659" s="323"/>
      <c r="D659" s="324"/>
      <c r="E659" s="173"/>
      <c r="F659" s="173"/>
      <c r="G659" s="173"/>
      <c r="H659" s="173"/>
      <c r="I659" s="173"/>
      <c r="J659" s="173"/>
      <c r="K659" s="173"/>
      <c r="L659" s="173"/>
      <c r="M659" s="173"/>
      <c r="N659" s="173"/>
      <c r="O659" s="173"/>
      <c r="P659" s="173"/>
      <c r="Q659" s="173"/>
      <c r="R659" s="173"/>
      <c r="S659" s="173"/>
      <c r="T659" s="173"/>
      <c r="U659" s="173"/>
      <c r="V659" s="173"/>
      <c r="W659" s="173"/>
      <c r="X659" s="173"/>
      <c r="Y659" s="173"/>
    </row>
    <row r="660">
      <c r="A660" s="173"/>
      <c r="B660" s="173"/>
      <c r="C660" s="323"/>
      <c r="D660" s="324"/>
      <c r="E660" s="173"/>
      <c r="F660" s="173"/>
      <c r="G660" s="173"/>
      <c r="H660" s="173"/>
      <c r="I660" s="173"/>
      <c r="J660" s="173"/>
      <c r="K660" s="173"/>
      <c r="L660" s="173"/>
      <c r="M660" s="173"/>
      <c r="N660" s="173"/>
      <c r="O660" s="173"/>
      <c r="P660" s="173"/>
      <c r="Q660" s="173"/>
      <c r="R660" s="173"/>
      <c r="S660" s="173"/>
      <c r="T660" s="173"/>
      <c r="U660" s="173"/>
      <c r="V660" s="173"/>
      <c r="W660" s="173"/>
      <c r="X660" s="173"/>
      <c r="Y660" s="173"/>
    </row>
    <row r="661">
      <c r="A661" s="173"/>
      <c r="B661" s="173"/>
      <c r="C661" s="323"/>
      <c r="D661" s="324"/>
      <c r="E661" s="173"/>
      <c r="F661" s="173"/>
      <c r="G661" s="173"/>
      <c r="H661" s="173"/>
      <c r="I661" s="173"/>
      <c r="J661" s="173"/>
      <c r="K661" s="173"/>
      <c r="L661" s="173"/>
      <c r="M661" s="173"/>
      <c r="N661" s="173"/>
      <c r="O661" s="173"/>
      <c r="P661" s="173"/>
      <c r="Q661" s="173"/>
      <c r="R661" s="173"/>
      <c r="S661" s="173"/>
      <c r="T661" s="173"/>
      <c r="U661" s="173"/>
      <c r="V661" s="173"/>
      <c r="W661" s="173"/>
      <c r="X661" s="173"/>
      <c r="Y661" s="173"/>
    </row>
    <row r="662">
      <c r="A662" s="173"/>
      <c r="B662" s="173"/>
      <c r="C662" s="323"/>
      <c r="D662" s="324"/>
      <c r="E662" s="173"/>
      <c r="F662" s="173"/>
      <c r="G662" s="173"/>
      <c r="H662" s="173"/>
      <c r="I662" s="173"/>
      <c r="J662" s="173"/>
      <c r="K662" s="173"/>
      <c r="L662" s="173"/>
      <c r="M662" s="173"/>
      <c r="N662" s="173"/>
      <c r="O662" s="173"/>
      <c r="P662" s="173"/>
      <c r="Q662" s="173"/>
      <c r="R662" s="173"/>
      <c r="S662" s="173"/>
      <c r="T662" s="173"/>
      <c r="U662" s="173"/>
      <c r="V662" s="173"/>
      <c r="W662" s="173"/>
      <c r="X662" s="173"/>
      <c r="Y662" s="173"/>
    </row>
    <row r="663">
      <c r="A663" s="173"/>
      <c r="B663" s="173"/>
      <c r="C663" s="323"/>
      <c r="D663" s="324"/>
      <c r="E663" s="173"/>
      <c r="F663" s="173"/>
      <c r="G663" s="173"/>
      <c r="H663" s="173"/>
      <c r="I663" s="173"/>
      <c r="J663" s="173"/>
      <c r="K663" s="173"/>
      <c r="L663" s="173"/>
      <c r="M663" s="173"/>
      <c r="N663" s="173"/>
      <c r="O663" s="173"/>
      <c r="P663" s="173"/>
      <c r="Q663" s="173"/>
      <c r="R663" s="173"/>
      <c r="S663" s="173"/>
      <c r="T663" s="173"/>
      <c r="U663" s="173"/>
      <c r="V663" s="173"/>
      <c r="W663" s="173"/>
      <c r="X663" s="173"/>
      <c r="Y663" s="173"/>
    </row>
    <row r="664">
      <c r="A664" s="173"/>
      <c r="B664" s="173"/>
      <c r="C664" s="323"/>
      <c r="D664" s="324"/>
      <c r="E664" s="173"/>
      <c r="F664" s="173"/>
      <c r="G664" s="173"/>
      <c r="H664" s="173"/>
      <c r="I664" s="173"/>
      <c r="J664" s="173"/>
      <c r="K664" s="173"/>
      <c r="L664" s="173"/>
      <c r="M664" s="173"/>
      <c r="N664" s="173"/>
      <c r="O664" s="173"/>
      <c r="P664" s="173"/>
      <c r="Q664" s="173"/>
      <c r="R664" s="173"/>
      <c r="S664" s="173"/>
      <c r="T664" s="173"/>
      <c r="U664" s="173"/>
      <c r="V664" s="173"/>
      <c r="W664" s="173"/>
      <c r="X664" s="173"/>
      <c r="Y664" s="173"/>
    </row>
    <row r="665">
      <c r="A665" s="173"/>
      <c r="B665" s="173"/>
      <c r="C665" s="323"/>
      <c r="D665" s="324"/>
      <c r="E665" s="173"/>
      <c r="F665" s="173"/>
      <c r="G665" s="173"/>
      <c r="H665" s="173"/>
      <c r="I665" s="173"/>
      <c r="J665" s="173"/>
      <c r="K665" s="173"/>
      <c r="L665" s="173"/>
      <c r="M665" s="173"/>
      <c r="N665" s="173"/>
      <c r="O665" s="173"/>
      <c r="P665" s="173"/>
      <c r="Q665" s="173"/>
      <c r="R665" s="173"/>
      <c r="S665" s="173"/>
      <c r="T665" s="173"/>
      <c r="U665" s="173"/>
      <c r="V665" s="173"/>
      <c r="W665" s="173"/>
      <c r="X665" s="173"/>
      <c r="Y665" s="173"/>
    </row>
    <row r="666">
      <c r="A666" s="173"/>
      <c r="B666" s="173"/>
      <c r="C666" s="323"/>
      <c r="D666" s="324"/>
      <c r="E666" s="173"/>
      <c r="F666" s="173"/>
      <c r="G666" s="173"/>
      <c r="H666" s="173"/>
      <c r="I666" s="173"/>
      <c r="J666" s="173"/>
      <c r="K666" s="173"/>
      <c r="L666" s="173"/>
      <c r="M666" s="173"/>
      <c r="N666" s="173"/>
      <c r="O666" s="173"/>
      <c r="P666" s="173"/>
      <c r="Q666" s="173"/>
      <c r="R666" s="173"/>
      <c r="S666" s="173"/>
      <c r="T666" s="173"/>
      <c r="U666" s="173"/>
      <c r="V666" s="173"/>
      <c r="W666" s="173"/>
      <c r="X666" s="173"/>
      <c r="Y666" s="173"/>
    </row>
    <row r="667">
      <c r="A667" s="173"/>
      <c r="B667" s="173"/>
      <c r="C667" s="323"/>
      <c r="D667" s="324"/>
      <c r="E667" s="173"/>
      <c r="F667" s="173"/>
      <c r="G667" s="173"/>
      <c r="H667" s="173"/>
      <c r="I667" s="173"/>
      <c r="J667" s="173"/>
      <c r="K667" s="173"/>
      <c r="L667" s="173"/>
      <c r="M667" s="173"/>
      <c r="N667" s="173"/>
      <c r="O667" s="173"/>
      <c r="P667" s="173"/>
      <c r="Q667" s="173"/>
      <c r="R667" s="173"/>
      <c r="S667" s="173"/>
      <c r="T667" s="173"/>
      <c r="U667" s="173"/>
      <c r="V667" s="173"/>
      <c r="W667" s="173"/>
      <c r="X667" s="173"/>
      <c r="Y667" s="173"/>
    </row>
    <row r="668">
      <c r="A668" s="173"/>
      <c r="B668" s="173"/>
      <c r="C668" s="323"/>
      <c r="D668" s="324"/>
      <c r="E668" s="173"/>
      <c r="F668" s="173"/>
      <c r="G668" s="173"/>
      <c r="H668" s="173"/>
      <c r="I668" s="173"/>
      <c r="J668" s="173"/>
      <c r="K668" s="173"/>
      <c r="L668" s="173"/>
      <c r="M668" s="173"/>
      <c r="N668" s="173"/>
      <c r="O668" s="173"/>
      <c r="P668" s="173"/>
      <c r="Q668" s="173"/>
      <c r="R668" s="173"/>
      <c r="S668" s="173"/>
      <c r="T668" s="173"/>
      <c r="U668" s="173"/>
      <c r="V668" s="173"/>
      <c r="W668" s="173"/>
      <c r="X668" s="173"/>
      <c r="Y668" s="173"/>
    </row>
    <row r="669">
      <c r="A669" s="173"/>
      <c r="B669" s="173"/>
      <c r="C669" s="323"/>
      <c r="D669" s="324"/>
      <c r="E669" s="173"/>
      <c r="F669" s="173"/>
      <c r="G669" s="173"/>
      <c r="H669" s="173"/>
      <c r="I669" s="173"/>
      <c r="J669" s="173"/>
      <c r="K669" s="173"/>
      <c r="L669" s="173"/>
      <c r="M669" s="173"/>
      <c r="N669" s="173"/>
      <c r="O669" s="173"/>
      <c r="P669" s="173"/>
      <c r="Q669" s="173"/>
      <c r="R669" s="173"/>
      <c r="S669" s="173"/>
      <c r="T669" s="173"/>
      <c r="U669" s="173"/>
      <c r="V669" s="173"/>
      <c r="W669" s="173"/>
      <c r="X669" s="173"/>
      <c r="Y669" s="173"/>
    </row>
    <row r="670">
      <c r="A670" s="173"/>
      <c r="B670" s="173"/>
      <c r="C670" s="323"/>
      <c r="D670" s="324"/>
      <c r="E670" s="173"/>
      <c r="F670" s="173"/>
      <c r="G670" s="173"/>
      <c r="H670" s="173"/>
      <c r="I670" s="173"/>
      <c r="J670" s="173"/>
      <c r="K670" s="173"/>
      <c r="L670" s="173"/>
      <c r="M670" s="173"/>
      <c r="N670" s="173"/>
      <c r="O670" s="173"/>
      <c r="P670" s="173"/>
      <c r="Q670" s="173"/>
      <c r="R670" s="173"/>
      <c r="S670" s="173"/>
      <c r="T670" s="173"/>
      <c r="U670" s="173"/>
      <c r="V670" s="173"/>
      <c r="W670" s="173"/>
      <c r="X670" s="173"/>
      <c r="Y670" s="173"/>
    </row>
    <row r="671">
      <c r="A671" s="173"/>
      <c r="B671" s="173"/>
      <c r="C671" s="323"/>
      <c r="D671" s="324"/>
      <c r="E671" s="173"/>
      <c r="F671" s="173"/>
      <c r="G671" s="173"/>
      <c r="H671" s="173"/>
      <c r="I671" s="173"/>
      <c r="J671" s="173"/>
      <c r="K671" s="173"/>
      <c r="L671" s="173"/>
      <c r="M671" s="173"/>
      <c r="N671" s="173"/>
      <c r="O671" s="173"/>
      <c r="P671" s="173"/>
      <c r="Q671" s="173"/>
      <c r="R671" s="173"/>
      <c r="S671" s="173"/>
      <c r="T671" s="173"/>
      <c r="U671" s="173"/>
      <c r="V671" s="173"/>
      <c r="W671" s="173"/>
      <c r="X671" s="173"/>
      <c r="Y671" s="173"/>
    </row>
    <row r="672">
      <c r="A672" s="173"/>
      <c r="B672" s="173"/>
      <c r="C672" s="323"/>
      <c r="D672" s="324"/>
      <c r="E672" s="173"/>
      <c r="F672" s="173"/>
      <c r="G672" s="173"/>
      <c r="H672" s="173"/>
      <c r="I672" s="173"/>
      <c r="J672" s="173"/>
      <c r="K672" s="173"/>
      <c r="L672" s="173"/>
      <c r="M672" s="173"/>
      <c r="N672" s="173"/>
      <c r="O672" s="173"/>
      <c r="P672" s="173"/>
      <c r="Q672" s="173"/>
      <c r="R672" s="173"/>
      <c r="S672" s="173"/>
      <c r="T672" s="173"/>
      <c r="U672" s="173"/>
      <c r="V672" s="173"/>
      <c r="W672" s="173"/>
      <c r="X672" s="173"/>
      <c r="Y672" s="173"/>
    </row>
    <row r="673">
      <c r="A673" s="173"/>
      <c r="B673" s="173"/>
      <c r="C673" s="323"/>
      <c r="D673" s="324"/>
      <c r="E673" s="173"/>
      <c r="F673" s="173"/>
      <c r="G673" s="173"/>
      <c r="H673" s="173"/>
      <c r="I673" s="173"/>
      <c r="J673" s="173"/>
      <c r="K673" s="173"/>
      <c r="L673" s="173"/>
      <c r="M673" s="173"/>
      <c r="N673" s="173"/>
      <c r="O673" s="173"/>
      <c r="P673" s="173"/>
      <c r="Q673" s="173"/>
      <c r="R673" s="173"/>
      <c r="S673" s="173"/>
      <c r="T673" s="173"/>
      <c r="U673" s="173"/>
      <c r="V673" s="173"/>
      <c r="W673" s="173"/>
      <c r="X673" s="173"/>
      <c r="Y673" s="173"/>
    </row>
    <row r="674">
      <c r="A674" s="173"/>
      <c r="B674" s="173"/>
      <c r="C674" s="323"/>
      <c r="D674" s="324"/>
      <c r="E674" s="173"/>
      <c r="F674" s="173"/>
      <c r="G674" s="173"/>
      <c r="H674" s="173"/>
      <c r="I674" s="173"/>
      <c r="J674" s="173"/>
      <c r="K674" s="173"/>
      <c r="L674" s="173"/>
      <c r="M674" s="173"/>
      <c r="N674" s="173"/>
      <c r="O674" s="173"/>
      <c r="P674" s="173"/>
      <c r="Q674" s="173"/>
      <c r="R674" s="173"/>
      <c r="S674" s="173"/>
      <c r="T674" s="173"/>
      <c r="U674" s="173"/>
      <c r="V674" s="173"/>
      <c r="W674" s="173"/>
      <c r="X674" s="173"/>
      <c r="Y674" s="173"/>
    </row>
    <row r="675">
      <c r="A675" s="173"/>
      <c r="B675" s="173"/>
      <c r="C675" s="323"/>
      <c r="D675" s="324"/>
      <c r="E675" s="173"/>
      <c r="F675" s="173"/>
      <c r="G675" s="173"/>
      <c r="H675" s="173"/>
      <c r="I675" s="173"/>
      <c r="J675" s="173"/>
      <c r="K675" s="173"/>
      <c r="L675" s="173"/>
      <c r="M675" s="173"/>
      <c r="N675" s="173"/>
      <c r="O675" s="173"/>
      <c r="P675" s="173"/>
      <c r="Q675" s="173"/>
      <c r="R675" s="173"/>
      <c r="S675" s="173"/>
      <c r="T675" s="173"/>
      <c r="U675" s="173"/>
      <c r="V675" s="173"/>
      <c r="W675" s="173"/>
      <c r="X675" s="173"/>
      <c r="Y675" s="173"/>
    </row>
    <row r="676">
      <c r="A676" s="173"/>
      <c r="B676" s="173"/>
      <c r="C676" s="323"/>
      <c r="D676" s="324"/>
      <c r="E676" s="173"/>
      <c r="F676" s="173"/>
      <c r="G676" s="173"/>
      <c r="H676" s="173"/>
      <c r="I676" s="173"/>
      <c r="J676" s="173"/>
      <c r="K676" s="173"/>
      <c r="L676" s="173"/>
      <c r="M676" s="173"/>
      <c r="N676" s="173"/>
      <c r="O676" s="173"/>
      <c r="P676" s="173"/>
      <c r="Q676" s="173"/>
      <c r="R676" s="173"/>
      <c r="S676" s="173"/>
      <c r="T676" s="173"/>
      <c r="U676" s="173"/>
      <c r="V676" s="173"/>
      <c r="W676" s="173"/>
      <c r="X676" s="173"/>
      <c r="Y676" s="173"/>
    </row>
    <row r="677">
      <c r="A677" s="173"/>
      <c r="B677" s="173"/>
      <c r="C677" s="323"/>
      <c r="D677" s="324"/>
      <c r="E677" s="173"/>
      <c r="F677" s="173"/>
      <c r="G677" s="173"/>
      <c r="H677" s="173"/>
      <c r="I677" s="173"/>
      <c r="J677" s="173"/>
      <c r="K677" s="173"/>
      <c r="L677" s="173"/>
      <c r="M677" s="173"/>
      <c r="N677" s="173"/>
      <c r="O677" s="173"/>
      <c r="P677" s="173"/>
      <c r="Q677" s="173"/>
      <c r="R677" s="173"/>
      <c r="S677" s="173"/>
      <c r="T677" s="173"/>
      <c r="U677" s="173"/>
      <c r="V677" s="173"/>
      <c r="W677" s="173"/>
      <c r="X677" s="173"/>
      <c r="Y677" s="173"/>
    </row>
    <row r="678">
      <c r="A678" s="173"/>
      <c r="B678" s="173"/>
      <c r="C678" s="323"/>
      <c r="D678" s="324"/>
      <c r="E678" s="173"/>
      <c r="F678" s="173"/>
      <c r="G678" s="173"/>
      <c r="H678" s="173"/>
      <c r="I678" s="173"/>
      <c r="J678" s="173"/>
      <c r="K678" s="173"/>
      <c r="L678" s="173"/>
      <c r="M678" s="173"/>
      <c r="N678" s="173"/>
      <c r="O678" s="173"/>
      <c r="P678" s="173"/>
      <c r="Q678" s="173"/>
      <c r="R678" s="173"/>
      <c r="S678" s="173"/>
      <c r="T678" s="173"/>
      <c r="U678" s="173"/>
      <c r="V678" s="173"/>
      <c r="W678" s="173"/>
      <c r="X678" s="173"/>
      <c r="Y678" s="173"/>
    </row>
    <row r="679">
      <c r="A679" s="173"/>
      <c r="B679" s="173"/>
      <c r="C679" s="323"/>
      <c r="D679" s="324"/>
      <c r="E679" s="173"/>
      <c r="F679" s="173"/>
      <c r="G679" s="173"/>
      <c r="H679" s="173"/>
      <c r="I679" s="173"/>
      <c r="J679" s="173"/>
      <c r="K679" s="173"/>
      <c r="L679" s="173"/>
      <c r="M679" s="173"/>
      <c r="N679" s="173"/>
      <c r="O679" s="173"/>
      <c r="P679" s="173"/>
      <c r="Q679" s="173"/>
      <c r="R679" s="173"/>
      <c r="S679" s="173"/>
      <c r="T679" s="173"/>
      <c r="U679" s="173"/>
      <c r="V679" s="173"/>
      <c r="W679" s="173"/>
      <c r="X679" s="173"/>
      <c r="Y679" s="173"/>
    </row>
    <row r="680">
      <c r="A680" s="173"/>
      <c r="B680" s="173"/>
      <c r="C680" s="323"/>
      <c r="D680" s="324"/>
      <c r="E680" s="173"/>
      <c r="F680" s="173"/>
      <c r="G680" s="173"/>
      <c r="H680" s="173"/>
      <c r="I680" s="173"/>
      <c r="J680" s="173"/>
      <c r="K680" s="173"/>
      <c r="L680" s="173"/>
      <c r="M680" s="173"/>
      <c r="N680" s="173"/>
      <c r="O680" s="173"/>
      <c r="P680" s="173"/>
      <c r="Q680" s="173"/>
      <c r="R680" s="173"/>
      <c r="S680" s="173"/>
      <c r="T680" s="173"/>
      <c r="U680" s="173"/>
      <c r="V680" s="173"/>
      <c r="W680" s="173"/>
      <c r="X680" s="173"/>
      <c r="Y680" s="173"/>
    </row>
    <row r="681">
      <c r="A681" s="173"/>
      <c r="B681" s="173"/>
      <c r="C681" s="323"/>
      <c r="D681" s="324"/>
      <c r="E681" s="173"/>
      <c r="F681" s="173"/>
      <c r="G681" s="173"/>
      <c r="H681" s="173"/>
      <c r="I681" s="173"/>
      <c r="J681" s="173"/>
      <c r="K681" s="173"/>
      <c r="L681" s="173"/>
      <c r="M681" s="173"/>
      <c r="N681" s="173"/>
      <c r="O681" s="173"/>
      <c r="P681" s="173"/>
      <c r="Q681" s="173"/>
      <c r="R681" s="173"/>
      <c r="S681" s="173"/>
      <c r="T681" s="173"/>
      <c r="U681" s="173"/>
      <c r="V681" s="173"/>
      <c r="W681" s="173"/>
      <c r="X681" s="173"/>
      <c r="Y681" s="173"/>
    </row>
    <row r="682">
      <c r="A682" s="173"/>
      <c r="B682" s="173"/>
      <c r="C682" s="323"/>
      <c r="D682" s="324"/>
      <c r="E682" s="173"/>
      <c r="F682" s="173"/>
      <c r="G682" s="173"/>
      <c r="H682" s="173"/>
      <c r="I682" s="173"/>
      <c r="J682" s="173"/>
      <c r="K682" s="173"/>
      <c r="L682" s="173"/>
      <c r="M682" s="173"/>
      <c r="N682" s="173"/>
      <c r="O682" s="173"/>
      <c r="P682" s="173"/>
      <c r="Q682" s="173"/>
      <c r="R682" s="173"/>
      <c r="S682" s="173"/>
      <c r="T682" s="173"/>
      <c r="U682" s="173"/>
      <c r="V682" s="173"/>
      <c r="W682" s="173"/>
      <c r="X682" s="173"/>
      <c r="Y682" s="173"/>
    </row>
    <row r="683">
      <c r="A683" s="173"/>
      <c r="B683" s="173"/>
      <c r="C683" s="323"/>
      <c r="D683" s="324"/>
      <c r="E683" s="173"/>
      <c r="F683" s="173"/>
      <c r="G683" s="173"/>
      <c r="H683" s="173"/>
      <c r="I683" s="173"/>
      <c r="J683" s="173"/>
      <c r="K683" s="173"/>
      <c r="L683" s="173"/>
      <c r="M683" s="173"/>
      <c r="N683" s="173"/>
      <c r="O683" s="173"/>
      <c r="P683" s="173"/>
      <c r="Q683" s="173"/>
      <c r="R683" s="173"/>
      <c r="S683" s="173"/>
      <c r="T683" s="173"/>
      <c r="U683" s="173"/>
      <c r="V683" s="173"/>
      <c r="W683" s="173"/>
      <c r="X683" s="173"/>
      <c r="Y683" s="173"/>
    </row>
    <row r="684">
      <c r="A684" s="173"/>
      <c r="B684" s="173"/>
      <c r="C684" s="323"/>
      <c r="D684" s="324"/>
      <c r="E684" s="173"/>
      <c r="F684" s="173"/>
      <c r="G684" s="173"/>
      <c r="H684" s="173"/>
      <c r="I684" s="173"/>
      <c r="J684" s="173"/>
      <c r="K684" s="173"/>
      <c r="L684" s="173"/>
      <c r="M684" s="173"/>
      <c r="N684" s="173"/>
      <c r="O684" s="173"/>
      <c r="P684" s="173"/>
      <c r="Q684" s="173"/>
      <c r="R684" s="173"/>
      <c r="S684" s="173"/>
      <c r="T684" s="173"/>
      <c r="U684" s="173"/>
      <c r="V684" s="173"/>
      <c r="W684" s="173"/>
      <c r="X684" s="173"/>
      <c r="Y684" s="173"/>
    </row>
    <row r="685">
      <c r="A685" s="173"/>
      <c r="B685" s="173"/>
      <c r="C685" s="323"/>
      <c r="D685" s="324"/>
      <c r="E685" s="173"/>
      <c r="F685" s="173"/>
      <c r="G685" s="173"/>
      <c r="H685" s="173"/>
      <c r="I685" s="173"/>
      <c r="J685" s="173"/>
      <c r="K685" s="173"/>
      <c r="L685" s="173"/>
      <c r="M685" s="173"/>
      <c r="N685" s="173"/>
      <c r="O685" s="173"/>
      <c r="P685" s="173"/>
      <c r="Q685" s="173"/>
      <c r="R685" s="173"/>
      <c r="S685" s="173"/>
      <c r="T685" s="173"/>
      <c r="U685" s="173"/>
      <c r="V685" s="173"/>
      <c r="W685" s="173"/>
      <c r="X685" s="173"/>
      <c r="Y685" s="173"/>
    </row>
    <row r="686">
      <c r="A686" s="173"/>
      <c r="B686" s="173"/>
      <c r="C686" s="323"/>
      <c r="D686" s="324"/>
      <c r="E686" s="173"/>
      <c r="F686" s="173"/>
      <c r="G686" s="173"/>
      <c r="H686" s="173"/>
      <c r="I686" s="173"/>
      <c r="J686" s="173"/>
      <c r="K686" s="173"/>
      <c r="L686" s="173"/>
      <c r="M686" s="173"/>
      <c r="N686" s="173"/>
      <c r="O686" s="173"/>
      <c r="P686" s="173"/>
      <c r="Q686" s="173"/>
      <c r="R686" s="173"/>
      <c r="S686" s="173"/>
      <c r="T686" s="173"/>
      <c r="U686" s="173"/>
      <c r="V686" s="173"/>
      <c r="W686" s="173"/>
      <c r="X686" s="173"/>
      <c r="Y686" s="173"/>
    </row>
    <row r="687">
      <c r="A687" s="173"/>
      <c r="B687" s="173"/>
      <c r="C687" s="323"/>
      <c r="D687" s="324"/>
      <c r="E687" s="173"/>
      <c r="F687" s="173"/>
      <c r="G687" s="173"/>
      <c r="H687" s="173"/>
      <c r="I687" s="173"/>
      <c r="J687" s="173"/>
      <c r="K687" s="173"/>
      <c r="L687" s="173"/>
      <c r="M687" s="173"/>
      <c r="N687" s="173"/>
      <c r="O687" s="173"/>
      <c r="P687" s="173"/>
      <c r="Q687" s="173"/>
      <c r="R687" s="173"/>
      <c r="S687" s="173"/>
      <c r="T687" s="173"/>
      <c r="U687" s="173"/>
      <c r="V687" s="173"/>
      <c r="W687" s="173"/>
      <c r="X687" s="173"/>
      <c r="Y687" s="173"/>
    </row>
    <row r="688">
      <c r="A688" s="173"/>
      <c r="B688" s="173"/>
      <c r="C688" s="323"/>
      <c r="D688" s="324"/>
      <c r="E688" s="173"/>
      <c r="F688" s="173"/>
      <c r="G688" s="173"/>
      <c r="H688" s="173"/>
      <c r="I688" s="173"/>
      <c r="J688" s="173"/>
      <c r="K688" s="173"/>
      <c r="L688" s="173"/>
      <c r="M688" s="173"/>
      <c r="N688" s="173"/>
      <c r="O688" s="173"/>
      <c r="P688" s="173"/>
      <c r="Q688" s="173"/>
      <c r="R688" s="173"/>
      <c r="S688" s="173"/>
      <c r="T688" s="173"/>
      <c r="U688" s="173"/>
      <c r="V688" s="173"/>
      <c r="W688" s="173"/>
      <c r="X688" s="173"/>
      <c r="Y688" s="173"/>
    </row>
    <row r="689">
      <c r="A689" s="173"/>
      <c r="B689" s="173"/>
      <c r="C689" s="323"/>
      <c r="D689" s="324"/>
      <c r="E689" s="173"/>
      <c r="F689" s="173"/>
      <c r="G689" s="173"/>
      <c r="H689" s="173"/>
      <c r="I689" s="173"/>
      <c r="J689" s="173"/>
      <c r="K689" s="173"/>
      <c r="L689" s="173"/>
      <c r="M689" s="173"/>
      <c r="N689" s="173"/>
      <c r="O689" s="173"/>
      <c r="P689" s="173"/>
      <c r="Q689" s="173"/>
      <c r="R689" s="173"/>
      <c r="S689" s="173"/>
      <c r="T689" s="173"/>
      <c r="U689" s="173"/>
      <c r="V689" s="173"/>
      <c r="W689" s="173"/>
      <c r="X689" s="173"/>
      <c r="Y689" s="173"/>
    </row>
    <row r="690">
      <c r="A690" s="173"/>
      <c r="B690" s="173"/>
      <c r="C690" s="323"/>
      <c r="D690" s="324"/>
      <c r="E690" s="173"/>
      <c r="F690" s="173"/>
      <c r="G690" s="173"/>
      <c r="H690" s="173"/>
      <c r="I690" s="173"/>
      <c r="J690" s="173"/>
      <c r="K690" s="173"/>
      <c r="L690" s="173"/>
      <c r="M690" s="173"/>
      <c r="N690" s="173"/>
      <c r="O690" s="173"/>
      <c r="P690" s="173"/>
      <c r="Q690" s="173"/>
      <c r="R690" s="173"/>
      <c r="S690" s="173"/>
      <c r="T690" s="173"/>
      <c r="U690" s="173"/>
      <c r="V690" s="173"/>
      <c r="W690" s="173"/>
      <c r="X690" s="173"/>
      <c r="Y690" s="173"/>
    </row>
    <row r="691">
      <c r="A691" s="173"/>
      <c r="B691" s="173"/>
      <c r="C691" s="323"/>
      <c r="D691" s="324"/>
      <c r="E691" s="173"/>
      <c r="F691" s="173"/>
      <c r="G691" s="173"/>
      <c r="H691" s="173"/>
      <c r="I691" s="173"/>
      <c r="J691" s="173"/>
      <c r="K691" s="173"/>
      <c r="L691" s="173"/>
      <c r="M691" s="173"/>
      <c r="N691" s="173"/>
      <c r="O691" s="173"/>
      <c r="P691" s="173"/>
      <c r="Q691" s="173"/>
      <c r="R691" s="173"/>
      <c r="S691" s="173"/>
      <c r="T691" s="173"/>
      <c r="U691" s="173"/>
      <c r="V691" s="173"/>
      <c r="W691" s="173"/>
      <c r="X691" s="173"/>
      <c r="Y691" s="173"/>
    </row>
    <row r="692">
      <c r="A692" s="173"/>
      <c r="B692" s="173"/>
      <c r="C692" s="323"/>
      <c r="D692" s="324"/>
      <c r="E692" s="173"/>
      <c r="F692" s="173"/>
      <c r="G692" s="173"/>
      <c r="H692" s="173"/>
      <c r="I692" s="173"/>
      <c r="J692" s="173"/>
      <c r="K692" s="173"/>
      <c r="L692" s="173"/>
      <c r="M692" s="173"/>
      <c r="N692" s="173"/>
      <c r="O692" s="173"/>
      <c r="P692" s="173"/>
      <c r="Q692" s="173"/>
      <c r="R692" s="173"/>
      <c r="S692" s="173"/>
      <c r="T692" s="173"/>
      <c r="U692" s="173"/>
      <c r="V692" s="173"/>
      <c r="W692" s="173"/>
      <c r="X692" s="173"/>
      <c r="Y692" s="173"/>
    </row>
    <row r="693">
      <c r="A693" s="173"/>
      <c r="B693" s="173"/>
      <c r="C693" s="323"/>
      <c r="D693" s="324"/>
      <c r="E693" s="173"/>
      <c r="F693" s="173"/>
      <c r="G693" s="173"/>
      <c r="H693" s="173"/>
      <c r="I693" s="173"/>
      <c r="J693" s="173"/>
      <c r="K693" s="173"/>
      <c r="L693" s="173"/>
      <c r="M693" s="173"/>
      <c r="N693" s="173"/>
      <c r="O693" s="173"/>
      <c r="P693" s="173"/>
      <c r="Q693" s="173"/>
      <c r="R693" s="173"/>
      <c r="S693" s="173"/>
      <c r="T693" s="173"/>
      <c r="U693" s="173"/>
      <c r="V693" s="173"/>
      <c r="W693" s="173"/>
      <c r="X693" s="173"/>
      <c r="Y693" s="173"/>
    </row>
    <row r="694">
      <c r="A694" s="173"/>
      <c r="B694" s="173"/>
      <c r="C694" s="323"/>
      <c r="D694" s="324"/>
      <c r="E694" s="173"/>
      <c r="F694" s="173"/>
      <c r="G694" s="173"/>
      <c r="H694" s="173"/>
      <c r="I694" s="173"/>
      <c r="J694" s="173"/>
      <c r="K694" s="173"/>
      <c r="L694" s="173"/>
      <c r="M694" s="173"/>
      <c r="N694" s="173"/>
      <c r="O694" s="173"/>
      <c r="P694" s="173"/>
      <c r="Q694" s="173"/>
      <c r="R694" s="173"/>
      <c r="S694" s="173"/>
      <c r="T694" s="173"/>
      <c r="U694" s="173"/>
      <c r="V694" s="173"/>
      <c r="W694" s="173"/>
      <c r="X694" s="173"/>
      <c r="Y694" s="173"/>
    </row>
    <row r="695">
      <c r="A695" s="173"/>
      <c r="B695" s="173"/>
      <c r="C695" s="323"/>
      <c r="D695" s="324"/>
      <c r="E695" s="173"/>
      <c r="F695" s="173"/>
      <c r="G695" s="173"/>
      <c r="H695" s="173"/>
      <c r="I695" s="173"/>
      <c r="J695" s="173"/>
      <c r="K695" s="173"/>
      <c r="L695" s="173"/>
      <c r="M695" s="173"/>
      <c r="N695" s="173"/>
      <c r="O695" s="173"/>
      <c r="P695" s="173"/>
      <c r="Q695" s="173"/>
      <c r="R695" s="173"/>
      <c r="S695" s="173"/>
      <c r="T695" s="173"/>
      <c r="U695" s="173"/>
      <c r="V695" s="173"/>
      <c r="W695" s="173"/>
      <c r="X695" s="173"/>
      <c r="Y695" s="173"/>
    </row>
    <row r="696">
      <c r="A696" s="173"/>
      <c r="B696" s="173"/>
      <c r="C696" s="323"/>
      <c r="D696" s="324"/>
      <c r="E696" s="173"/>
      <c r="F696" s="173"/>
      <c r="G696" s="173"/>
      <c r="H696" s="173"/>
      <c r="I696" s="173"/>
      <c r="J696" s="173"/>
      <c r="K696" s="173"/>
      <c r="L696" s="173"/>
      <c r="M696" s="173"/>
      <c r="N696" s="173"/>
      <c r="O696" s="173"/>
      <c r="P696" s="173"/>
      <c r="Q696" s="173"/>
      <c r="R696" s="173"/>
      <c r="S696" s="173"/>
      <c r="T696" s="173"/>
      <c r="U696" s="173"/>
      <c r="V696" s="173"/>
      <c r="W696" s="173"/>
      <c r="X696" s="173"/>
      <c r="Y696" s="173"/>
    </row>
    <row r="697">
      <c r="A697" s="173"/>
      <c r="B697" s="173"/>
      <c r="C697" s="323"/>
      <c r="D697" s="324"/>
      <c r="E697" s="173"/>
      <c r="F697" s="173"/>
      <c r="G697" s="173"/>
      <c r="H697" s="173"/>
      <c r="I697" s="173"/>
      <c r="J697" s="173"/>
      <c r="K697" s="173"/>
      <c r="L697" s="173"/>
      <c r="M697" s="173"/>
      <c r="N697" s="173"/>
      <c r="O697" s="173"/>
      <c r="P697" s="173"/>
      <c r="Q697" s="173"/>
      <c r="R697" s="173"/>
      <c r="S697" s="173"/>
      <c r="T697" s="173"/>
      <c r="U697" s="173"/>
      <c r="V697" s="173"/>
      <c r="W697" s="173"/>
      <c r="X697" s="173"/>
      <c r="Y697" s="173"/>
    </row>
    <row r="698">
      <c r="A698" s="173"/>
      <c r="B698" s="173"/>
      <c r="C698" s="323"/>
      <c r="D698" s="324"/>
      <c r="E698" s="173"/>
      <c r="F698" s="173"/>
      <c r="G698" s="173"/>
      <c r="H698" s="173"/>
      <c r="I698" s="173"/>
      <c r="J698" s="173"/>
      <c r="K698" s="173"/>
      <c r="L698" s="173"/>
      <c r="M698" s="173"/>
      <c r="N698" s="173"/>
      <c r="O698" s="173"/>
      <c r="P698" s="173"/>
      <c r="Q698" s="173"/>
      <c r="R698" s="173"/>
      <c r="S698" s="173"/>
      <c r="T698" s="173"/>
      <c r="U698" s="173"/>
      <c r="V698" s="173"/>
      <c r="W698" s="173"/>
      <c r="X698" s="173"/>
      <c r="Y698" s="173"/>
    </row>
    <row r="699">
      <c r="A699" s="173"/>
      <c r="B699" s="173"/>
      <c r="C699" s="323"/>
      <c r="D699" s="324"/>
      <c r="E699" s="173"/>
      <c r="F699" s="173"/>
      <c r="G699" s="173"/>
      <c r="H699" s="173"/>
      <c r="I699" s="173"/>
      <c r="J699" s="173"/>
      <c r="K699" s="173"/>
      <c r="L699" s="173"/>
      <c r="M699" s="173"/>
      <c r="N699" s="173"/>
      <c r="O699" s="173"/>
      <c r="P699" s="173"/>
      <c r="Q699" s="173"/>
      <c r="R699" s="173"/>
      <c r="S699" s="173"/>
      <c r="T699" s="173"/>
      <c r="U699" s="173"/>
      <c r="V699" s="173"/>
      <c r="W699" s="173"/>
      <c r="X699" s="173"/>
      <c r="Y699" s="173"/>
    </row>
    <row r="700">
      <c r="A700" s="173"/>
      <c r="B700" s="173"/>
      <c r="C700" s="323"/>
      <c r="D700" s="324"/>
      <c r="E700" s="173"/>
      <c r="F700" s="173"/>
      <c r="G700" s="173"/>
      <c r="H700" s="173"/>
      <c r="I700" s="173"/>
      <c r="J700" s="173"/>
      <c r="K700" s="173"/>
      <c r="L700" s="173"/>
      <c r="M700" s="173"/>
      <c r="N700" s="173"/>
      <c r="O700" s="173"/>
      <c r="P700" s="173"/>
      <c r="Q700" s="173"/>
      <c r="R700" s="173"/>
      <c r="S700" s="173"/>
      <c r="T700" s="173"/>
      <c r="U700" s="173"/>
      <c r="V700" s="173"/>
      <c r="W700" s="173"/>
      <c r="X700" s="173"/>
      <c r="Y700" s="173"/>
    </row>
    <row r="701">
      <c r="A701" s="173"/>
      <c r="B701" s="173"/>
      <c r="C701" s="323"/>
      <c r="D701" s="324"/>
      <c r="E701" s="173"/>
      <c r="F701" s="173"/>
      <c r="G701" s="173"/>
      <c r="H701" s="173"/>
      <c r="I701" s="173"/>
      <c r="J701" s="173"/>
      <c r="K701" s="173"/>
      <c r="L701" s="173"/>
      <c r="M701" s="173"/>
      <c r="N701" s="173"/>
      <c r="O701" s="173"/>
      <c r="P701" s="173"/>
      <c r="Q701" s="173"/>
      <c r="R701" s="173"/>
      <c r="S701" s="173"/>
      <c r="T701" s="173"/>
      <c r="U701" s="173"/>
      <c r="V701" s="173"/>
      <c r="W701" s="173"/>
      <c r="X701" s="173"/>
      <c r="Y701" s="173"/>
    </row>
    <row r="702">
      <c r="A702" s="173"/>
      <c r="B702" s="173"/>
      <c r="C702" s="323"/>
      <c r="D702" s="324"/>
      <c r="E702" s="173"/>
      <c r="F702" s="173"/>
      <c r="G702" s="173"/>
      <c r="H702" s="173"/>
      <c r="I702" s="173"/>
      <c r="J702" s="173"/>
      <c r="K702" s="173"/>
      <c r="L702" s="173"/>
      <c r="M702" s="173"/>
      <c r="N702" s="173"/>
      <c r="O702" s="173"/>
      <c r="P702" s="173"/>
      <c r="Q702" s="173"/>
      <c r="R702" s="173"/>
      <c r="S702" s="173"/>
      <c r="T702" s="173"/>
      <c r="U702" s="173"/>
      <c r="V702" s="173"/>
      <c r="W702" s="173"/>
      <c r="X702" s="173"/>
      <c r="Y702" s="173"/>
    </row>
    <row r="703">
      <c r="A703" s="173"/>
      <c r="B703" s="173"/>
      <c r="C703" s="323"/>
      <c r="D703" s="324"/>
      <c r="E703" s="173"/>
      <c r="F703" s="173"/>
      <c r="G703" s="173"/>
      <c r="H703" s="173"/>
      <c r="I703" s="173"/>
      <c r="J703" s="173"/>
      <c r="K703" s="173"/>
      <c r="L703" s="173"/>
      <c r="M703" s="173"/>
      <c r="N703" s="173"/>
      <c r="O703" s="173"/>
      <c r="P703" s="173"/>
      <c r="Q703" s="173"/>
      <c r="R703" s="173"/>
      <c r="S703" s="173"/>
      <c r="T703" s="173"/>
      <c r="U703" s="173"/>
      <c r="V703" s="173"/>
      <c r="W703" s="173"/>
      <c r="X703" s="173"/>
      <c r="Y703" s="173"/>
    </row>
    <row r="704">
      <c r="A704" s="173"/>
      <c r="B704" s="173"/>
      <c r="C704" s="323"/>
      <c r="D704" s="324"/>
      <c r="E704" s="173"/>
      <c r="F704" s="173"/>
      <c r="G704" s="173"/>
      <c r="H704" s="173"/>
      <c r="I704" s="173"/>
      <c r="J704" s="173"/>
      <c r="K704" s="173"/>
      <c r="L704" s="173"/>
      <c r="M704" s="173"/>
      <c r="N704" s="173"/>
      <c r="O704" s="173"/>
      <c r="P704" s="173"/>
      <c r="Q704" s="173"/>
      <c r="R704" s="173"/>
      <c r="S704" s="173"/>
      <c r="T704" s="173"/>
      <c r="U704" s="173"/>
      <c r="V704" s="173"/>
      <c r="W704" s="173"/>
      <c r="X704" s="173"/>
      <c r="Y704" s="173"/>
    </row>
    <row r="705">
      <c r="A705" s="173"/>
      <c r="B705" s="173"/>
      <c r="C705" s="323"/>
      <c r="D705" s="324"/>
      <c r="E705" s="173"/>
      <c r="F705" s="173"/>
      <c r="G705" s="173"/>
      <c r="H705" s="173"/>
      <c r="I705" s="173"/>
      <c r="J705" s="173"/>
      <c r="K705" s="173"/>
      <c r="L705" s="173"/>
      <c r="M705" s="173"/>
      <c r="N705" s="173"/>
      <c r="O705" s="173"/>
      <c r="P705" s="173"/>
      <c r="Q705" s="173"/>
      <c r="R705" s="173"/>
      <c r="S705" s="173"/>
      <c r="T705" s="173"/>
      <c r="U705" s="173"/>
      <c r="V705" s="173"/>
      <c r="W705" s="173"/>
      <c r="X705" s="173"/>
      <c r="Y705" s="173"/>
    </row>
    <row r="706">
      <c r="A706" s="173"/>
      <c r="B706" s="173"/>
      <c r="C706" s="323"/>
      <c r="D706" s="324"/>
      <c r="E706" s="173"/>
      <c r="F706" s="173"/>
      <c r="G706" s="173"/>
      <c r="H706" s="173"/>
      <c r="I706" s="173"/>
      <c r="J706" s="173"/>
      <c r="K706" s="173"/>
      <c r="L706" s="173"/>
      <c r="M706" s="173"/>
      <c r="N706" s="173"/>
      <c r="O706" s="173"/>
      <c r="P706" s="173"/>
      <c r="Q706" s="173"/>
      <c r="R706" s="173"/>
      <c r="S706" s="173"/>
      <c r="T706" s="173"/>
      <c r="U706" s="173"/>
      <c r="V706" s="173"/>
      <c r="W706" s="173"/>
      <c r="X706" s="173"/>
      <c r="Y706" s="173"/>
    </row>
    <row r="707">
      <c r="A707" s="173"/>
      <c r="B707" s="173"/>
      <c r="C707" s="323"/>
      <c r="D707" s="324"/>
      <c r="E707" s="173"/>
      <c r="F707" s="173"/>
      <c r="G707" s="173"/>
      <c r="H707" s="173"/>
      <c r="I707" s="173"/>
      <c r="J707" s="173"/>
      <c r="K707" s="173"/>
      <c r="L707" s="173"/>
      <c r="M707" s="173"/>
      <c r="N707" s="173"/>
      <c r="O707" s="173"/>
      <c r="P707" s="173"/>
      <c r="Q707" s="173"/>
      <c r="R707" s="173"/>
      <c r="S707" s="173"/>
      <c r="T707" s="173"/>
      <c r="U707" s="173"/>
      <c r="V707" s="173"/>
      <c r="W707" s="173"/>
      <c r="X707" s="173"/>
      <c r="Y707" s="173"/>
    </row>
    <row r="708">
      <c r="A708" s="173"/>
      <c r="B708" s="173"/>
      <c r="C708" s="323"/>
      <c r="D708" s="324"/>
      <c r="E708" s="173"/>
      <c r="F708" s="173"/>
      <c r="G708" s="173"/>
      <c r="H708" s="173"/>
      <c r="I708" s="173"/>
      <c r="J708" s="173"/>
      <c r="K708" s="173"/>
      <c r="L708" s="173"/>
      <c r="M708" s="173"/>
      <c r="N708" s="173"/>
      <c r="O708" s="173"/>
      <c r="P708" s="173"/>
      <c r="Q708" s="173"/>
      <c r="R708" s="173"/>
      <c r="S708" s="173"/>
      <c r="T708" s="173"/>
      <c r="U708" s="173"/>
      <c r="V708" s="173"/>
      <c r="W708" s="173"/>
      <c r="X708" s="173"/>
      <c r="Y708" s="173"/>
    </row>
    <row r="709">
      <c r="A709" s="173"/>
      <c r="B709" s="173"/>
      <c r="C709" s="323"/>
      <c r="D709" s="324"/>
      <c r="E709" s="173"/>
      <c r="F709" s="173"/>
      <c r="G709" s="173"/>
      <c r="H709" s="173"/>
      <c r="I709" s="173"/>
      <c r="J709" s="173"/>
      <c r="K709" s="173"/>
      <c r="L709" s="173"/>
      <c r="M709" s="173"/>
      <c r="N709" s="173"/>
      <c r="O709" s="173"/>
      <c r="P709" s="173"/>
      <c r="Q709" s="173"/>
      <c r="R709" s="173"/>
      <c r="S709" s="173"/>
      <c r="T709" s="173"/>
      <c r="U709" s="173"/>
      <c r="V709" s="173"/>
      <c r="W709" s="173"/>
      <c r="X709" s="173"/>
      <c r="Y709" s="173"/>
    </row>
    <row r="710">
      <c r="A710" s="173"/>
      <c r="B710" s="173"/>
      <c r="C710" s="323"/>
      <c r="D710" s="324"/>
      <c r="E710" s="173"/>
      <c r="F710" s="173"/>
      <c r="G710" s="173"/>
      <c r="H710" s="173"/>
      <c r="I710" s="173"/>
      <c r="J710" s="173"/>
      <c r="K710" s="173"/>
      <c r="L710" s="173"/>
      <c r="M710" s="173"/>
      <c r="N710" s="173"/>
      <c r="O710" s="173"/>
      <c r="P710" s="173"/>
      <c r="Q710" s="173"/>
      <c r="R710" s="173"/>
      <c r="S710" s="173"/>
      <c r="T710" s="173"/>
      <c r="U710" s="173"/>
      <c r="V710" s="173"/>
      <c r="W710" s="173"/>
      <c r="X710" s="173"/>
      <c r="Y710" s="173"/>
    </row>
    <row r="711">
      <c r="A711" s="173"/>
      <c r="B711" s="173"/>
      <c r="C711" s="323"/>
      <c r="D711" s="324"/>
      <c r="E711" s="173"/>
      <c r="F711" s="173"/>
      <c r="G711" s="173"/>
      <c r="H711" s="173"/>
      <c r="I711" s="173"/>
      <c r="J711" s="173"/>
      <c r="K711" s="173"/>
      <c r="L711" s="173"/>
      <c r="M711" s="173"/>
      <c r="N711" s="173"/>
      <c r="O711" s="173"/>
      <c r="P711" s="173"/>
      <c r="Q711" s="173"/>
      <c r="R711" s="173"/>
      <c r="S711" s="173"/>
      <c r="T711" s="173"/>
      <c r="U711" s="173"/>
      <c r="V711" s="173"/>
      <c r="W711" s="173"/>
      <c r="X711" s="173"/>
      <c r="Y711" s="173"/>
    </row>
    <row r="712">
      <c r="A712" s="173"/>
      <c r="B712" s="173"/>
      <c r="C712" s="323"/>
      <c r="D712" s="324"/>
      <c r="E712" s="173"/>
      <c r="F712" s="173"/>
      <c r="G712" s="173"/>
      <c r="H712" s="173"/>
      <c r="I712" s="173"/>
      <c r="J712" s="173"/>
      <c r="K712" s="173"/>
      <c r="L712" s="173"/>
      <c r="M712" s="173"/>
      <c r="N712" s="173"/>
      <c r="O712" s="173"/>
      <c r="P712" s="173"/>
      <c r="Q712" s="173"/>
      <c r="R712" s="173"/>
      <c r="S712" s="173"/>
      <c r="T712" s="173"/>
      <c r="U712" s="173"/>
      <c r="V712" s="173"/>
      <c r="W712" s="173"/>
      <c r="X712" s="173"/>
      <c r="Y712" s="173"/>
    </row>
    <row r="713">
      <c r="A713" s="173"/>
      <c r="B713" s="173"/>
      <c r="C713" s="323"/>
      <c r="D713" s="324"/>
      <c r="E713" s="173"/>
      <c r="F713" s="173"/>
      <c r="G713" s="173"/>
      <c r="H713" s="173"/>
      <c r="I713" s="173"/>
      <c r="J713" s="173"/>
      <c r="K713" s="173"/>
      <c r="L713" s="173"/>
      <c r="M713" s="173"/>
      <c r="N713" s="173"/>
      <c r="O713" s="173"/>
      <c r="P713" s="173"/>
      <c r="Q713" s="173"/>
      <c r="R713" s="173"/>
      <c r="S713" s="173"/>
      <c r="T713" s="173"/>
      <c r="U713" s="173"/>
      <c r="V713" s="173"/>
      <c r="W713" s="173"/>
      <c r="X713" s="173"/>
      <c r="Y713" s="173"/>
    </row>
    <row r="714">
      <c r="A714" s="173"/>
      <c r="B714" s="173"/>
      <c r="C714" s="323"/>
      <c r="D714" s="324"/>
      <c r="E714" s="173"/>
      <c r="F714" s="173"/>
      <c r="G714" s="173"/>
      <c r="H714" s="173"/>
      <c r="I714" s="173"/>
      <c r="J714" s="173"/>
      <c r="K714" s="173"/>
      <c r="L714" s="173"/>
      <c r="M714" s="173"/>
      <c r="N714" s="173"/>
      <c r="O714" s="173"/>
      <c r="P714" s="173"/>
      <c r="Q714" s="173"/>
      <c r="R714" s="173"/>
      <c r="S714" s="173"/>
      <c r="T714" s="173"/>
      <c r="U714" s="173"/>
      <c r="V714" s="173"/>
      <c r="W714" s="173"/>
      <c r="X714" s="173"/>
      <c r="Y714" s="173"/>
    </row>
    <row r="715">
      <c r="A715" s="173"/>
      <c r="B715" s="173"/>
      <c r="C715" s="323"/>
      <c r="D715" s="324"/>
      <c r="E715" s="173"/>
      <c r="F715" s="173"/>
      <c r="G715" s="173"/>
      <c r="H715" s="173"/>
      <c r="I715" s="173"/>
      <c r="J715" s="173"/>
      <c r="K715" s="173"/>
      <c r="L715" s="173"/>
      <c r="M715" s="173"/>
      <c r="N715" s="173"/>
      <c r="O715" s="173"/>
      <c r="P715" s="173"/>
      <c r="Q715" s="173"/>
      <c r="R715" s="173"/>
      <c r="S715" s="173"/>
      <c r="T715" s="173"/>
      <c r="U715" s="173"/>
      <c r="V715" s="173"/>
      <c r="W715" s="173"/>
      <c r="X715" s="173"/>
      <c r="Y715" s="173"/>
    </row>
    <row r="716">
      <c r="A716" s="173"/>
      <c r="B716" s="173"/>
      <c r="C716" s="323"/>
      <c r="D716" s="324"/>
      <c r="E716" s="173"/>
      <c r="F716" s="173"/>
      <c r="G716" s="173"/>
      <c r="H716" s="173"/>
      <c r="I716" s="173"/>
      <c r="J716" s="173"/>
      <c r="K716" s="173"/>
      <c r="L716" s="173"/>
      <c r="M716" s="173"/>
      <c r="N716" s="173"/>
      <c r="O716" s="173"/>
      <c r="P716" s="173"/>
      <c r="Q716" s="173"/>
      <c r="R716" s="173"/>
      <c r="S716" s="173"/>
      <c r="T716" s="173"/>
      <c r="U716" s="173"/>
      <c r="V716" s="173"/>
      <c r="W716" s="173"/>
      <c r="X716" s="173"/>
      <c r="Y716" s="173"/>
    </row>
    <row r="717">
      <c r="A717" s="173"/>
      <c r="B717" s="173"/>
      <c r="C717" s="323"/>
      <c r="D717" s="324"/>
      <c r="E717" s="173"/>
      <c r="F717" s="173"/>
      <c r="G717" s="173"/>
      <c r="H717" s="173"/>
      <c r="I717" s="173"/>
      <c r="J717" s="173"/>
      <c r="K717" s="173"/>
      <c r="L717" s="173"/>
      <c r="M717" s="173"/>
      <c r="N717" s="173"/>
      <c r="O717" s="173"/>
      <c r="P717" s="173"/>
      <c r="Q717" s="173"/>
      <c r="R717" s="173"/>
      <c r="S717" s="173"/>
      <c r="T717" s="173"/>
      <c r="U717" s="173"/>
      <c r="V717" s="173"/>
      <c r="W717" s="173"/>
      <c r="X717" s="173"/>
      <c r="Y717" s="173"/>
    </row>
    <row r="718">
      <c r="A718" s="173"/>
      <c r="B718" s="173"/>
      <c r="C718" s="323"/>
      <c r="D718" s="324"/>
      <c r="E718" s="173"/>
      <c r="F718" s="173"/>
      <c r="G718" s="173"/>
      <c r="H718" s="173"/>
      <c r="I718" s="173"/>
      <c r="J718" s="173"/>
      <c r="K718" s="173"/>
      <c r="L718" s="173"/>
      <c r="M718" s="173"/>
      <c r="N718" s="173"/>
      <c r="O718" s="173"/>
      <c r="P718" s="173"/>
      <c r="Q718" s="173"/>
      <c r="R718" s="173"/>
      <c r="S718" s="173"/>
      <c r="T718" s="173"/>
      <c r="U718" s="173"/>
      <c r="V718" s="173"/>
      <c r="W718" s="173"/>
      <c r="X718" s="173"/>
      <c r="Y718" s="173"/>
    </row>
    <row r="719">
      <c r="A719" s="173"/>
      <c r="B719" s="173"/>
      <c r="C719" s="323"/>
      <c r="D719" s="324"/>
      <c r="E719" s="173"/>
      <c r="F719" s="173"/>
      <c r="G719" s="173"/>
      <c r="H719" s="173"/>
      <c r="I719" s="173"/>
      <c r="J719" s="173"/>
      <c r="K719" s="173"/>
      <c r="L719" s="173"/>
      <c r="M719" s="173"/>
      <c r="N719" s="173"/>
      <c r="O719" s="173"/>
      <c r="P719" s="173"/>
      <c r="Q719" s="173"/>
      <c r="R719" s="173"/>
      <c r="S719" s="173"/>
      <c r="T719" s="173"/>
      <c r="U719" s="173"/>
      <c r="V719" s="173"/>
      <c r="W719" s="173"/>
      <c r="X719" s="173"/>
      <c r="Y719" s="173"/>
    </row>
    <row r="720">
      <c r="A720" s="173"/>
      <c r="B720" s="173"/>
      <c r="C720" s="323"/>
      <c r="D720" s="324"/>
      <c r="E720" s="173"/>
      <c r="F720" s="173"/>
      <c r="G720" s="173"/>
      <c r="H720" s="173"/>
      <c r="I720" s="173"/>
      <c r="J720" s="173"/>
      <c r="K720" s="173"/>
      <c r="L720" s="173"/>
      <c r="M720" s="173"/>
      <c r="N720" s="173"/>
      <c r="O720" s="173"/>
      <c r="P720" s="173"/>
      <c r="Q720" s="173"/>
      <c r="R720" s="173"/>
      <c r="S720" s="173"/>
      <c r="T720" s="173"/>
      <c r="U720" s="173"/>
      <c r="V720" s="173"/>
      <c r="W720" s="173"/>
      <c r="X720" s="173"/>
      <c r="Y720" s="173"/>
    </row>
    <row r="721">
      <c r="A721" s="173"/>
      <c r="B721" s="173"/>
      <c r="C721" s="323"/>
      <c r="D721" s="324"/>
      <c r="E721" s="173"/>
      <c r="F721" s="173"/>
      <c r="G721" s="173"/>
      <c r="H721" s="173"/>
      <c r="I721" s="173"/>
      <c r="J721" s="173"/>
      <c r="K721" s="173"/>
      <c r="L721" s="173"/>
      <c r="M721" s="173"/>
      <c r="N721" s="173"/>
      <c r="O721" s="173"/>
      <c r="P721" s="173"/>
      <c r="Q721" s="173"/>
      <c r="R721" s="173"/>
      <c r="S721" s="173"/>
      <c r="T721" s="173"/>
      <c r="U721" s="173"/>
      <c r="V721" s="173"/>
      <c r="W721" s="173"/>
      <c r="X721" s="173"/>
      <c r="Y721" s="173"/>
    </row>
    <row r="722">
      <c r="A722" s="173"/>
      <c r="B722" s="173"/>
      <c r="C722" s="323"/>
      <c r="D722" s="324"/>
      <c r="E722" s="173"/>
      <c r="F722" s="173"/>
      <c r="G722" s="173"/>
      <c r="H722" s="173"/>
      <c r="I722" s="173"/>
      <c r="J722" s="173"/>
      <c r="K722" s="173"/>
      <c r="L722" s="173"/>
      <c r="M722" s="173"/>
      <c r="N722" s="173"/>
      <c r="O722" s="173"/>
      <c r="P722" s="173"/>
      <c r="Q722" s="173"/>
      <c r="R722" s="173"/>
      <c r="S722" s="173"/>
      <c r="T722" s="173"/>
      <c r="U722" s="173"/>
      <c r="V722" s="173"/>
      <c r="W722" s="173"/>
      <c r="X722" s="173"/>
      <c r="Y722" s="173"/>
    </row>
    <row r="723">
      <c r="A723" s="173"/>
      <c r="B723" s="173"/>
      <c r="C723" s="323"/>
      <c r="D723" s="324"/>
      <c r="E723" s="173"/>
      <c r="F723" s="173"/>
      <c r="G723" s="173"/>
      <c r="H723" s="173"/>
      <c r="I723" s="173"/>
      <c r="J723" s="173"/>
      <c r="K723" s="173"/>
      <c r="L723" s="173"/>
      <c r="M723" s="173"/>
      <c r="N723" s="173"/>
      <c r="O723" s="173"/>
      <c r="P723" s="173"/>
      <c r="Q723" s="173"/>
      <c r="R723" s="173"/>
      <c r="S723" s="173"/>
      <c r="T723" s="173"/>
      <c r="U723" s="173"/>
      <c r="V723" s="173"/>
      <c r="W723" s="173"/>
      <c r="X723" s="173"/>
      <c r="Y723" s="173"/>
    </row>
    <row r="724">
      <c r="A724" s="173"/>
      <c r="B724" s="173"/>
      <c r="C724" s="323"/>
      <c r="D724" s="324"/>
      <c r="E724" s="173"/>
      <c r="F724" s="173"/>
      <c r="G724" s="173"/>
      <c r="H724" s="173"/>
      <c r="I724" s="173"/>
      <c r="J724" s="173"/>
      <c r="K724" s="173"/>
      <c r="L724" s="173"/>
      <c r="M724" s="173"/>
      <c r="N724" s="173"/>
      <c r="O724" s="173"/>
      <c r="P724" s="173"/>
      <c r="Q724" s="173"/>
      <c r="R724" s="173"/>
      <c r="S724" s="173"/>
      <c r="T724" s="173"/>
      <c r="U724" s="173"/>
      <c r="V724" s="173"/>
      <c r="W724" s="173"/>
      <c r="X724" s="173"/>
      <c r="Y724" s="173"/>
    </row>
    <row r="725">
      <c r="A725" s="173"/>
      <c r="B725" s="173"/>
      <c r="C725" s="323"/>
      <c r="D725" s="324"/>
      <c r="E725" s="173"/>
      <c r="F725" s="173"/>
      <c r="G725" s="173"/>
      <c r="H725" s="173"/>
      <c r="I725" s="173"/>
      <c r="J725" s="173"/>
      <c r="K725" s="173"/>
      <c r="L725" s="173"/>
      <c r="M725" s="173"/>
      <c r="N725" s="173"/>
      <c r="O725" s="173"/>
      <c r="P725" s="173"/>
      <c r="Q725" s="173"/>
      <c r="R725" s="173"/>
      <c r="S725" s="173"/>
      <c r="T725" s="173"/>
      <c r="U725" s="173"/>
      <c r="V725" s="173"/>
      <c r="W725" s="173"/>
      <c r="X725" s="173"/>
      <c r="Y725" s="173"/>
    </row>
    <row r="726">
      <c r="A726" s="173"/>
      <c r="B726" s="173"/>
      <c r="C726" s="323"/>
      <c r="D726" s="324"/>
      <c r="E726" s="173"/>
      <c r="F726" s="173"/>
      <c r="G726" s="173"/>
      <c r="H726" s="173"/>
      <c r="I726" s="173"/>
      <c r="J726" s="173"/>
      <c r="K726" s="173"/>
      <c r="L726" s="173"/>
      <c r="M726" s="173"/>
      <c r="N726" s="173"/>
      <c r="O726" s="173"/>
      <c r="P726" s="173"/>
      <c r="Q726" s="173"/>
      <c r="R726" s="173"/>
      <c r="S726" s="173"/>
      <c r="T726" s="173"/>
      <c r="U726" s="173"/>
      <c r="V726" s="173"/>
      <c r="W726" s="173"/>
      <c r="X726" s="173"/>
      <c r="Y726" s="173"/>
    </row>
    <row r="727">
      <c r="A727" s="173"/>
      <c r="B727" s="173"/>
      <c r="C727" s="323"/>
      <c r="D727" s="324"/>
      <c r="E727" s="173"/>
      <c r="F727" s="173"/>
      <c r="G727" s="173"/>
      <c r="H727" s="173"/>
      <c r="I727" s="173"/>
      <c r="J727" s="173"/>
      <c r="K727" s="173"/>
      <c r="L727" s="173"/>
      <c r="M727" s="173"/>
      <c r="N727" s="173"/>
      <c r="O727" s="173"/>
      <c r="P727" s="173"/>
      <c r="Q727" s="173"/>
      <c r="R727" s="173"/>
      <c r="S727" s="173"/>
      <c r="T727" s="173"/>
      <c r="U727" s="173"/>
      <c r="V727" s="173"/>
      <c r="W727" s="173"/>
      <c r="X727" s="173"/>
      <c r="Y727" s="173"/>
    </row>
    <row r="728">
      <c r="A728" s="173"/>
      <c r="B728" s="173"/>
      <c r="C728" s="323"/>
      <c r="D728" s="324"/>
      <c r="E728" s="173"/>
      <c r="F728" s="173"/>
      <c r="G728" s="173"/>
      <c r="H728" s="173"/>
      <c r="I728" s="173"/>
      <c r="J728" s="173"/>
      <c r="K728" s="173"/>
      <c r="L728" s="173"/>
      <c r="M728" s="173"/>
      <c r="N728" s="173"/>
      <c r="O728" s="173"/>
      <c r="P728" s="173"/>
      <c r="Q728" s="173"/>
      <c r="R728" s="173"/>
      <c r="S728" s="173"/>
      <c r="T728" s="173"/>
      <c r="U728" s="173"/>
      <c r="V728" s="173"/>
      <c r="W728" s="173"/>
      <c r="X728" s="173"/>
      <c r="Y728" s="173"/>
    </row>
    <row r="729">
      <c r="A729" s="173"/>
      <c r="B729" s="173"/>
      <c r="C729" s="323"/>
      <c r="D729" s="324"/>
      <c r="E729" s="173"/>
      <c r="F729" s="173"/>
      <c r="G729" s="173"/>
      <c r="H729" s="173"/>
      <c r="I729" s="173"/>
      <c r="J729" s="173"/>
      <c r="K729" s="173"/>
      <c r="L729" s="173"/>
      <c r="M729" s="173"/>
      <c r="N729" s="173"/>
      <c r="O729" s="173"/>
      <c r="P729" s="173"/>
      <c r="Q729" s="173"/>
      <c r="R729" s="173"/>
      <c r="S729" s="173"/>
      <c r="T729" s="173"/>
      <c r="U729" s="173"/>
      <c r="V729" s="173"/>
      <c r="W729" s="173"/>
      <c r="X729" s="173"/>
      <c r="Y729" s="173"/>
    </row>
    <row r="730">
      <c r="A730" s="173"/>
      <c r="B730" s="173"/>
      <c r="C730" s="323"/>
      <c r="D730" s="324"/>
      <c r="E730" s="173"/>
      <c r="F730" s="173"/>
      <c r="G730" s="173"/>
      <c r="H730" s="173"/>
      <c r="I730" s="173"/>
      <c r="J730" s="173"/>
      <c r="K730" s="173"/>
      <c r="L730" s="173"/>
      <c r="M730" s="173"/>
      <c r="N730" s="173"/>
      <c r="O730" s="173"/>
      <c r="P730" s="173"/>
      <c r="Q730" s="173"/>
      <c r="R730" s="173"/>
      <c r="S730" s="173"/>
      <c r="T730" s="173"/>
      <c r="U730" s="173"/>
      <c r="V730" s="173"/>
      <c r="W730" s="173"/>
      <c r="X730" s="173"/>
      <c r="Y730" s="173"/>
    </row>
    <row r="731">
      <c r="A731" s="173"/>
      <c r="B731" s="173"/>
      <c r="C731" s="323"/>
      <c r="D731" s="324"/>
      <c r="E731" s="173"/>
      <c r="F731" s="173"/>
      <c r="G731" s="173"/>
      <c r="H731" s="173"/>
      <c r="I731" s="173"/>
      <c r="J731" s="173"/>
      <c r="K731" s="173"/>
      <c r="L731" s="173"/>
      <c r="M731" s="173"/>
      <c r="N731" s="173"/>
      <c r="O731" s="173"/>
      <c r="P731" s="173"/>
      <c r="Q731" s="173"/>
      <c r="R731" s="173"/>
      <c r="S731" s="173"/>
      <c r="T731" s="173"/>
      <c r="U731" s="173"/>
      <c r="V731" s="173"/>
      <c r="W731" s="173"/>
      <c r="X731" s="173"/>
      <c r="Y731" s="173"/>
    </row>
    <row r="732">
      <c r="A732" s="173"/>
      <c r="B732" s="173"/>
      <c r="C732" s="323"/>
      <c r="D732" s="324"/>
      <c r="E732" s="173"/>
      <c r="F732" s="173"/>
      <c r="G732" s="173"/>
      <c r="H732" s="173"/>
      <c r="I732" s="173"/>
      <c r="J732" s="173"/>
      <c r="K732" s="173"/>
      <c r="L732" s="173"/>
      <c r="M732" s="173"/>
      <c r="N732" s="173"/>
      <c r="O732" s="173"/>
      <c r="P732" s="173"/>
      <c r="Q732" s="173"/>
      <c r="R732" s="173"/>
      <c r="S732" s="173"/>
      <c r="T732" s="173"/>
      <c r="U732" s="173"/>
      <c r="V732" s="173"/>
      <c r="W732" s="173"/>
      <c r="X732" s="173"/>
      <c r="Y732" s="173"/>
    </row>
    <row r="733">
      <c r="A733" s="173"/>
      <c r="B733" s="173"/>
      <c r="C733" s="323"/>
      <c r="D733" s="324"/>
      <c r="E733" s="173"/>
      <c r="F733" s="173"/>
      <c r="G733" s="173"/>
      <c r="H733" s="173"/>
      <c r="I733" s="173"/>
      <c r="J733" s="173"/>
      <c r="K733" s="173"/>
      <c r="L733" s="173"/>
      <c r="M733" s="173"/>
      <c r="N733" s="173"/>
      <c r="O733" s="173"/>
      <c r="P733" s="173"/>
      <c r="Q733" s="173"/>
      <c r="R733" s="173"/>
      <c r="S733" s="173"/>
      <c r="T733" s="173"/>
      <c r="U733" s="173"/>
      <c r="V733" s="173"/>
      <c r="W733" s="173"/>
      <c r="X733" s="173"/>
      <c r="Y733" s="173"/>
    </row>
    <row r="734">
      <c r="A734" s="173"/>
      <c r="B734" s="173"/>
      <c r="C734" s="323"/>
      <c r="D734" s="324"/>
      <c r="E734" s="173"/>
      <c r="F734" s="173"/>
      <c r="G734" s="173"/>
      <c r="H734" s="173"/>
      <c r="I734" s="173"/>
      <c r="J734" s="173"/>
      <c r="K734" s="173"/>
      <c r="L734" s="173"/>
      <c r="M734" s="173"/>
      <c r="N734" s="173"/>
      <c r="O734" s="173"/>
      <c r="P734" s="173"/>
      <c r="Q734" s="173"/>
      <c r="R734" s="173"/>
      <c r="S734" s="173"/>
      <c r="T734" s="173"/>
      <c r="U734" s="173"/>
      <c r="V734" s="173"/>
      <c r="W734" s="173"/>
      <c r="X734" s="173"/>
      <c r="Y734" s="173"/>
    </row>
    <row r="735">
      <c r="A735" s="173"/>
      <c r="B735" s="173"/>
      <c r="C735" s="323"/>
      <c r="D735" s="324"/>
      <c r="E735" s="173"/>
      <c r="F735" s="173"/>
      <c r="G735" s="173"/>
      <c r="H735" s="173"/>
      <c r="I735" s="173"/>
      <c r="J735" s="173"/>
      <c r="K735" s="173"/>
      <c r="L735" s="173"/>
      <c r="M735" s="173"/>
      <c r="N735" s="173"/>
      <c r="O735" s="173"/>
      <c r="P735" s="173"/>
      <c r="Q735" s="173"/>
      <c r="R735" s="173"/>
      <c r="S735" s="173"/>
      <c r="T735" s="173"/>
      <c r="U735" s="173"/>
      <c r="V735" s="173"/>
      <c r="W735" s="173"/>
      <c r="X735" s="173"/>
      <c r="Y735" s="173"/>
    </row>
    <row r="736">
      <c r="A736" s="173"/>
      <c r="B736" s="173"/>
      <c r="C736" s="323"/>
      <c r="D736" s="324"/>
      <c r="E736" s="173"/>
      <c r="F736" s="173"/>
      <c r="G736" s="173"/>
      <c r="H736" s="173"/>
      <c r="I736" s="173"/>
      <c r="J736" s="173"/>
      <c r="K736" s="173"/>
      <c r="L736" s="173"/>
      <c r="M736" s="173"/>
      <c r="N736" s="173"/>
      <c r="O736" s="173"/>
      <c r="P736" s="173"/>
      <c r="Q736" s="173"/>
      <c r="R736" s="173"/>
      <c r="S736" s="173"/>
      <c r="T736" s="173"/>
      <c r="U736" s="173"/>
      <c r="V736" s="173"/>
      <c r="W736" s="173"/>
      <c r="X736" s="173"/>
      <c r="Y736" s="173"/>
    </row>
    <row r="737">
      <c r="A737" s="173"/>
      <c r="B737" s="173"/>
      <c r="C737" s="323"/>
      <c r="D737" s="324"/>
      <c r="E737" s="173"/>
      <c r="F737" s="173"/>
      <c r="G737" s="173"/>
      <c r="H737" s="173"/>
      <c r="I737" s="173"/>
      <c r="J737" s="173"/>
      <c r="K737" s="173"/>
      <c r="L737" s="173"/>
      <c r="M737" s="173"/>
      <c r="N737" s="173"/>
      <c r="O737" s="173"/>
      <c r="P737" s="173"/>
      <c r="Q737" s="173"/>
      <c r="R737" s="173"/>
      <c r="S737" s="173"/>
      <c r="T737" s="173"/>
      <c r="U737" s="173"/>
      <c r="V737" s="173"/>
      <c r="W737" s="173"/>
      <c r="X737" s="173"/>
      <c r="Y737" s="173"/>
    </row>
    <row r="738">
      <c r="A738" s="173"/>
      <c r="B738" s="173"/>
      <c r="C738" s="323"/>
      <c r="D738" s="324"/>
      <c r="E738" s="173"/>
      <c r="F738" s="173"/>
      <c r="G738" s="173"/>
      <c r="H738" s="173"/>
      <c r="I738" s="173"/>
      <c r="J738" s="173"/>
      <c r="K738" s="173"/>
      <c r="L738" s="173"/>
      <c r="M738" s="173"/>
      <c r="N738" s="173"/>
      <c r="O738" s="173"/>
      <c r="P738" s="173"/>
      <c r="Q738" s="173"/>
      <c r="R738" s="173"/>
      <c r="S738" s="173"/>
      <c r="T738" s="173"/>
      <c r="U738" s="173"/>
      <c r="V738" s="173"/>
      <c r="W738" s="173"/>
      <c r="X738" s="173"/>
      <c r="Y738" s="173"/>
    </row>
    <row r="739">
      <c r="A739" s="173"/>
      <c r="B739" s="173"/>
      <c r="C739" s="323"/>
      <c r="D739" s="324"/>
      <c r="E739" s="173"/>
      <c r="F739" s="173"/>
      <c r="G739" s="173"/>
      <c r="H739" s="173"/>
      <c r="I739" s="173"/>
      <c r="J739" s="173"/>
      <c r="K739" s="173"/>
      <c r="L739" s="173"/>
      <c r="M739" s="173"/>
      <c r="N739" s="173"/>
      <c r="O739" s="173"/>
      <c r="P739" s="173"/>
      <c r="Q739" s="173"/>
      <c r="R739" s="173"/>
      <c r="S739" s="173"/>
      <c r="T739" s="173"/>
      <c r="U739" s="173"/>
      <c r="V739" s="173"/>
      <c r="W739" s="173"/>
      <c r="X739" s="173"/>
      <c r="Y739" s="173"/>
    </row>
    <row r="740">
      <c r="A740" s="173"/>
      <c r="B740" s="173"/>
      <c r="C740" s="323"/>
      <c r="D740" s="324"/>
      <c r="E740" s="173"/>
      <c r="F740" s="173"/>
      <c r="G740" s="173"/>
      <c r="H740" s="173"/>
      <c r="I740" s="173"/>
      <c r="J740" s="173"/>
      <c r="K740" s="173"/>
      <c r="L740" s="173"/>
      <c r="M740" s="173"/>
      <c r="N740" s="173"/>
      <c r="O740" s="173"/>
      <c r="P740" s="173"/>
      <c r="Q740" s="173"/>
      <c r="R740" s="173"/>
      <c r="S740" s="173"/>
      <c r="T740" s="173"/>
      <c r="U740" s="173"/>
      <c r="V740" s="173"/>
      <c r="W740" s="173"/>
      <c r="X740" s="173"/>
      <c r="Y740" s="173"/>
    </row>
    <row r="741">
      <c r="A741" s="173"/>
      <c r="B741" s="173"/>
      <c r="C741" s="323"/>
      <c r="D741" s="324"/>
      <c r="E741" s="173"/>
      <c r="F741" s="173"/>
      <c r="G741" s="173"/>
      <c r="H741" s="173"/>
      <c r="I741" s="173"/>
      <c r="J741" s="173"/>
      <c r="K741" s="173"/>
      <c r="L741" s="173"/>
      <c r="M741" s="173"/>
      <c r="N741" s="173"/>
      <c r="O741" s="173"/>
      <c r="P741" s="173"/>
      <c r="Q741" s="173"/>
      <c r="R741" s="173"/>
      <c r="S741" s="173"/>
      <c r="T741" s="173"/>
      <c r="U741" s="173"/>
      <c r="V741" s="173"/>
      <c r="W741" s="173"/>
      <c r="X741" s="173"/>
      <c r="Y741" s="173"/>
    </row>
    <row r="742">
      <c r="A742" s="173"/>
      <c r="B742" s="173"/>
      <c r="C742" s="323"/>
      <c r="D742" s="324"/>
      <c r="E742" s="173"/>
      <c r="F742" s="173"/>
      <c r="G742" s="173"/>
      <c r="H742" s="173"/>
      <c r="I742" s="173"/>
      <c r="J742" s="173"/>
      <c r="K742" s="173"/>
      <c r="L742" s="173"/>
      <c r="M742" s="173"/>
      <c r="N742" s="173"/>
      <c r="O742" s="173"/>
      <c r="P742" s="173"/>
      <c r="Q742" s="173"/>
      <c r="R742" s="173"/>
      <c r="S742" s="173"/>
      <c r="T742" s="173"/>
      <c r="U742" s="173"/>
      <c r="V742" s="173"/>
      <c r="W742" s="173"/>
      <c r="X742" s="173"/>
      <c r="Y742" s="173"/>
    </row>
    <row r="743">
      <c r="A743" s="173"/>
      <c r="B743" s="173"/>
      <c r="C743" s="323"/>
      <c r="D743" s="324"/>
      <c r="E743" s="173"/>
      <c r="F743" s="173"/>
      <c r="G743" s="173"/>
      <c r="H743" s="173"/>
      <c r="I743" s="173"/>
      <c r="J743" s="173"/>
      <c r="K743" s="173"/>
      <c r="L743" s="173"/>
      <c r="M743" s="173"/>
      <c r="N743" s="173"/>
      <c r="O743" s="173"/>
      <c r="P743" s="173"/>
      <c r="Q743" s="173"/>
      <c r="R743" s="173"/>
      <c r="S743" s="173"/>
      <c r="T743" s="173"/>
      <c r="U743" s="173"/>
      <c r="V743" s="173"/>
      <c r="W743" s="173"/>
      <c r="X743" s="173"/>
      <c r="Y743" s="173"/>
    </row>
    <row r="744">
      <c r="A744" s="173"/>
      <c r="B744" s="173"/>
      <c r="C744" s="323"/>
      <c r="D744" s="324"/>
      <c r="E744" s="173"/>
      <c r="F744" s="173"/>
      <c r="G744" s="173"/>
      <c r="H744" s="173"/>
      <c r="I744" s="173"/>
      <c r="J744" s="173"/>
      <c r="K744" s="173"/>
      <c r="L744" s="173"/>
      <c r="M744" s="173"/>
      <c r="N744" s="173"/>
      <c r="O744" s="173"/>
      <c r="P744" s="173"/>
      <c r="Q744" s="173"/>
      <c r="R744" s="173"/>
      <c r="S744" s="173"/>
      <c r="T744" s="173"/>
      <c r="U744" s="173"/>
      <c r="V744" s="173"/>
      <c r="W744" s="173"/>
      <c r="X744" s="173"/>
      <c r="Y744" s="173"/>
    </row>
    <row r="745">
      <c r="A745" s="173"/>
      <c r="B745" s="173"/>
      <c r="C745" s="323"/>
      <c r="D745" s="324"/>
      <c r="E745" s="173"/>
      <c r="F745" s="173"/>
      <c r="G745" s="173"/>
      <c r="H745" s="173"/>
      <c r="I745" s="173"/>
      <c r="J745" s="173"/>
      <c r="K745" s="173"/>
      <c r="L745" s="173"/>
      <c r="M745" s="173"/>
      <c r="N745" s="173"/>
      <c r="O745" s="173"/>
      <c r="P745" s="173"/>
      <c r="Q745" s="173"/>
      <c r="R745" s="173"/>
      <c r="S745" s="173"/>
      <c r="T745" s="173"/>
      <c r="U745" s="173"/>
      <c r="V745" s="173"/>
      <c r="W745" s="173"/>
      <c r="X745" s="173"/>
      <c r="Y745" s="173"/>
    </row>
    <row r="746">
      <c r="A746" s="173"/>
      <c r="B746" s="173"/>
      <c r="C746" s="323"/>
      <c r="D746" s="324"/>
      <c r="E746" s="173"/>
      <c r="F746" s="173"/>
      <c r="G746" s="173"/>
      <c r="H746" s="173"/>
      <c r="I746" s="173"/>
      <c r="J746" s="173"/>
      <c r="K746" s="173"/>
      <c r="L746" s="173"/>
      <c r="M746" s="173"/>
      <c r="N746" s="173"/>
      <c r="O746" s="173"/>
      <c r="P746" s="173"/>
      <c r="Q746" s="173"/>
      <c r="R746" s="173"/>
      <c r="S746" s="173"/>
      <c r="T746" s="173"/>
      <c r="U746" s="173"/>
      <c r="V746" s="173"/>
      <c r="W746" s="173"/>
      <c r="X746" s="173"/>
      <c r="Y746" s="173"/>
    </row>
    <row r="747">
      <c r="A747" s="173"/>
      <c r="B747" s="173"/>
      <c r="C747" s="323"/>
      <c r="D747" s="324"/>
      <c r="E747" s="173"/>
      <c r="F747" s="173"/>
      <c r="G747" s="173"/>
      <c r="H747" s="173"/>
      <c r="I747" s="173"/>
      <c r="J747" s="173"/>
      <c r="K747" s="173"/>
      <c r="L747" s="173"/>
      <c r="M747" s="173"/>
      <c r="N747" s="173"/>
      <c r="O747" s="173"/>
      <c r="P747" s="173"/>
      <c r="Q747" s="173"/>
      <c r="R747" s="173"/>
      <c r="S747" s="173"/>
      <c r="T747" s="173"/>
      <c r="U747" s="173"/>
      <c r="V747" s="173"/>
      <c r="W747" s="173"/>
      <c r="X747" s="173"/>
      <c r="Y747" s="173"/>
    </row>
    <row r="748">
      <c r="A748" s="173"/>
      <c r="B748" s="173"/>
      <c r="C748" s="323"/>
      <c r="D748" s="324"/>
      <c r="E748" s="173"/>
      <c r="F748" s="173"/>
      <c r="G748" s="173"/>
      <c r="H748" s="173"/>
      <c r="I748" s="173"/>
      <c r="J748" s="173"/>
      <c r="K748" s="173"/>
      <c r="L748" s="173"/>
      <c r="M748" s="173"/>
      <c r="N748" s="173"/>
      <c r="O748" s="173"/>
      <c r="P748" s="173"/>
      <c r="Q748" s="173"/>
      <c r="R748" s="173"/>
      <c r="S748" s="173"/>
      <c r="T748" s="173"/>
      <c r="U748" s="173"/>
      <c r="V748" s="173"/>
      <c r="W748" s="173"/>
      <c r="X748" s="173"/>
      <c r="Y748" s="173"/>
    </row>
    <row r="749">
      <c r="A749" s="173"/>
      <c r="B749" s="173"/>
      <c r="C749" s="323"/>
      <c r="D749" s="324"/>
      <c r="E749" s="173"/>
      <c r="F749" s="173"/>
      <c r="G749" s="173"/>
      <c r="H749" s="173"/>
      <c r="I749" s="173"/>
      <c r="J749" s="173"/>
      <c r="K749" s="173"/>
      <c r="L749" s="173"/>
      <c r="M749" s="173"/>
      <c r="N749" s="173"/>
      <c r="O749" s="173"/>
      <c r="P749" s="173"/>
      <c r="Q749" s="173"/>
      <c r="R749" s="173"/>
      <c r="S749" s="173"/>
      <c r="T749" s="173"/>
      <c r="U749" s="173"/>
      <c r="V749" s="173"/>
      <c r="W749" s="173"/>
      <c r="X749" s="173"/>
      <c r="Y749" s="173"/>
    </row>
    <row r="750">
      <c r="A750" s="173"/>
      <c r="B750" s="173"/>
      <c r="C750" s="323"/>
      <c r="D750" s="324"/>
      <c r="E750" s="173"/>
      <c r="F750" s="173"/>
      <c r="G750" s="173"/>
      <c r="H750" s="173"/>
      <c r="I750" s="173"/>
      <c r="J750" s="173"/>
      <c r="K750" s="173"/>
      <c r="L750" s="173"/>
      <c r="M750" s="173"/>
      <c r="N750" s="173"/>
      <c r="O750" s="173"/>
      <c r="P750" s="173"/>
      <c r="Q750" s="173"/>
      <c r="R750" s="173"/>
      <c r="S750" s="173"/>
      <c r="T750" s="173"/>
      <c r="U750" s="173"/>
      <c r="V750" s="173"/>
      <c r="W750" s="173"/>
      <c r="X750" s="173"/>
      <c r="Y750" s="173"/>
    </row>
    <row r="751">
      <c r="A751" s="173"/>
      <c r="B751" s="173"/>
      <c r="C751" s="323"/>
      <c r="D751" s="324"/>
      <c r="E751" s="173"/>
      <c r="F751" s="173"/>
      <c r="G751" s="173"/>
      <c r="H751" s="173"/>
      <c r="I751" s="173"/>
      <c r="J751" s="173"/>
      <c r="K751" s="173"/>
      <c r="L751" s="173"/>
      <c r="M751" s="173"/>
      <c r="N751" s="173"/>
      <c r="O751" s="173"/>
      <c r="P751" s="173"/>
      <c r="Q751" s="173"/>
      <c r="R751" s="173"/>
      <c r="S751" s="173"/>
      <c r="T751" s="173"/>
      <c r="U751" s="173"/>
      <c r="V751" s="173"/>
      <c r="W751" s="173"/>
      <c r="X751" s="173"/>
      <c r="Y751" s="173"/>
    </row>
    <row r="752">
      <c r="A752" s="173"/>
      <c r="B752" s="173"/>
      <c r="C752" s="323"/>
      <c r="D752" s="324"/>
      <c r="E752" s="173"/>
      <c r="F752" s="173"/>
      <c r="G752" s="173"/>
      <c r="H752" s="173"/>
      <c r="I752" s="173"/>
      <c r="J752" s="173"/>
      <c r="K752" s="173"/>
      <c r="L752" s="173"/>
      <c r="M752" s="173"/>
      <c r="N752" s="173"/>
      <c r="O752" s="173"/>
      <c r="P752" s="173"/>
      <c r="Q752" s="173"/>
      <c r="R752" s="173"/>
      <c r="S752" s="173"/>
      <c r="T752" s="173"/>
      <c r="U752" s="173"/>
      <c r="V752" s="173"/>
      <c r="W752" s="173"/>
      <c r="X752" s="173"/>
      <c r="Y752" s="173"/>
    </row>
    <row r="753">
      <c r="A753" s="173"/>
      <c r="B753" s="173"/>
      <c r="C753" s="323"/>
      <c r="D753" s="324"/>
      <c r="E753" s="173"/>
      <c r="F753" s="173"/>
      <c r="G753" s="173"/>
      <c r="H753" s="173"/>
      <c r="I753" s="173"/>
      <c r="J753" s="173"/>
      <c r="K753" s="173"/>
      <c r="L753" s="173"/>
      <c r="M753" s="173"/>
      <c r="N753" s="173"/>
      <c r="O753" s="173"/>
      <c r="P753" s="173"/>
      <c r="Q753" s="173"/>
      <c r="R753" s="173"/>
      <c r="S753" s="173"/>
      <c r="T753" s="173"/>
      <c r="U753" s="173"/>
      <c r="V753" s="173"/>
      <c r="W753" s="173"/>
      <c r="X753" s="173"/>
      <c r="Y753" s="173"/>
    </row>
    <row r="754">
      <c r="A754" s="173"/>
      <c r="B754" s="173"/>
      <c r="C754" s="323"/>
      <c r="D754" s="324"/>
      <c r="E754" s="173"/>
      <c r="F754" s="173"/>
      <c r="G754" s="173"/>
      <c r="H754" s="173"/>
      <c r="I754" s="173"/>
      <c r="J754" s="173"/>
      <c r="K754" s="173"/>
      <c r="L754" s="173"/>
      <c r="M754" s="173"/>
      <c r="N754" s="173"/>
      <c r="O754" s="173"/>
      <c r="P754" s="173"/>
      <c r="Q754" s="173"/>
      <c r="R754" s="173"/>
      <c r="S754" s="173"/>
      <c r="T754" s="173"/>
      <c r="U754" s="173"/>
      <c r="V754" s="173"/>
      <c r="W754" s="173"/>
      <c r="X754" s="173"/>
      <c r="Y754" s="173"/>
    </row>
    <row r="755">
      <c r="A755" s="173"/>
      <c r="B755" s="173"/>
      <c r="C755" s="323"/>
      <c r="D755" s="324"/>
      <c r="E755" s="173"/>
      <c r="F755" s="173"/>
      <c r="G755" s="173"/>
      <c r="H755" s="173"/>
      <c r="I755" s="173"/>
      <c r="J755" s="173"/>
      <c r="K755" s="173"/>
      <c r="L755" s="173"/>
      <c r="M755" s="173"/>
      <c r="N755" s="173"/>
      <c r="O755" s="173"/>
      <c r="P755" s="173"/>
      <c r="Q755" s="173"/>
      <c r="R755" s="173"/>
      <c r="S755" s="173"/>
      <c r="T755" s="173"/>
      <c r="U755" s="173"/>
      <c r="V755" s="173"/>
      <c r="W755" s="173"/>
      <c r="X755" s="173"/>
      <c r="Y755" s="173"/>
    </row>
    <row r="756">
      <c r="A756" s="173"/>
      <c r="B756" s="173"/>
      <c r="C756" s="323"/>
      <c r="D756" s="324"/>
      <c r="E756" s="173"/>
      <c r="F756" s="173"/>
      <c r="G756" s="173"/>
      <c r="H756" s="173"/>
      <c r="I756" s="173"/>
      <c r="J756" s="173"/>
      <c r="K756" s="173"/>
      <c r="L756" s="173"/>
      <c r="M756" s="173"/>
      <c r="N756" s="173"/>
      <c r="O756" s="173"/>
      <c r="P756" s="173"/>
      <c r="Q756" s="173"/>
      <c r="R756" s="173"/>
      <c r="S756" s="173"/>
      <c r="T756" s="173"/>
      <c r="U756" s="173"/>
      <c r="V756" s="173"/>
      <c r="W756" s="173"/>
      <c r="X756" s="173"/>
      <c r="Y756" s="173"/>
    </row>
    <row r="757">
      <c r="A757" s="173"/>
      <c r="B757" s="173"/>
      <c r="C757" s="323"/>
      <c r="D757" s="324"/>
      <c r="E757" s="173"/>
      <c r="F757" s="173"/>
      <c r="G757" s="173"/>
      <c r="H757" s="173"/>
      <c r="I757" s="173"/>
      <c r="J757" s="173"/>
      <c r="K757" s="173"/>
      <c r="L757" s="173"/>
      <c r="M757" s="173"/>
      <c r="N757" s="173"/>
      <c r="O757" s="173"/>
      <c r="P757" s="173"/>
      <c r="Q757" s="173"/>
      <c r="R757" s="173"/>
      <c r="S757" s="173"/>
      <c r="T757" s="173"/>
      <c r="U757" s="173"/>
      <c r="V757" s="173"/>
      <c r="W757" s="173"/>
      <c r="X757" s="173"/>
      <c r="Y757" s="173"/>
    </row>
    <row r="758">
      <c r="A758" s="173"/>
      <c r="B758" s="173"/>
      <c r="C758" s="323"/>
      <c r="D758" s="324"/>
      <c r="E758" s="173"/>
      <c r="F758" s="173"/>
      <c r="G758" s="173"/>
      <c r="H758" s="173"/>
      <c r="I758" s="173"/>
      <c r="J758" s="173"/>
      <c r="K758" s="173"/>
      <c r="L758" s="173"/>
      <c r="M758" s="173"/>
      <c r="N758" s="173"/>
      <c r="O758" s="173"/>
      <c r="P758" s="173"/>
      <c r="Q758" s="173"/>
      <c r="R758" s="173"/>
      <c r="S758" s="173"/>
      <c r="T758" s="173"/>
      <c r="U758" s="173"/>
      <c r="V758" s="173"/>
      <c r="W758" s="173"/>
      <c r="X758" s="173"/>
      <c r="Y758" s="173"/>
    </row>
    <row r="759">
      <c r="A759" s="173"/>
      <c r="B759" s="173"/>
      <c r="C759" s="323"/>
      <c r="D759" s="324"/>
      <c r="E759" s="173"/>
      <c r="F759" s="173"/>
      <c r="G759" s="173"/>
      <c r="H759" s="173"/>
      <c r="I759" s="173"/>
      <c r="J759" s="173"/>
      <c r="K759" s="173"/>
      <c r="L759" s="173"/>
      <c r="M759" s="173"/>
      <c r="N759" s="173"/>
      <c r="O759" s="173"/>
      <c r="P759" s="173"/>
      <c r="Q759" s="173"/>
      <c r="R759" s="173"/>
      <c r="S759" s="173"/>
      <c r="T759" s="173"/>
      <c r="U759" s="173"/>
      <c r="V759" s="173"/>
      <c r="W759" s="173"/>
      <c r="X759" s="173"/>
      <c r="Y759" s="173"/>
    </row>
    <row r="760">
      <c r="A760" s="173"/>
      <c r="B760" s="173"/>
      <c r="C760" s="323"/>
      <c r="D760" s="324"/>
      <c r="E760" s="173"/>
      <c r="F760" s="173"/>
      <c r="G760" s="173"/>
      <c r="H760" s="173"/>
      <c r="I760" s="173"/>
      <c r="J760" s="173"/>
      <c r="K760" s="173"/>
      <c r="L760" s="173"/>
      <c r="M760" s="173"/>
      <c r="N760" s="173"/>
      <c r="O760" s="173"/>
      <c r="P760" s="173"/>
      <c r="Q760" s="173"/>
      <c r="R760" s="173"/>
      <c r="S760" s="173"/>
      <c r="T760" s="173"/>
      <c r="U760" s="173"/>
      <c r="V760" s="173"/>
      <c r="W760" s="173"/>
      <c r="X760" s="173"/>
      <c r="Y760" s="173"/>
    </row>
    <row r="761">
      <c r="A761" s="173"/>
      <c r="B761" s="173"/>
      <c r="C761" s="323"/>
      <c r="D761" s="324"/>
      <c r="E761" s="173"/>
      <c r="F761" s="173"/>
      <c r="G761" s="173"/>
      <c r="H761" s="173"/>
      <c r="I761" s="173"/>
      <c r="J761" s="173"/>
      <c r="K761" s="173"/>
      <c r="L761" s="173"/>
      <c r="M761" s="173"/>
      <c r="N761" s="173"/>
      <c r="O761" s="173"/>
      <c r="P761" s="173"/>
      <c r="Q761" s="173"/>
      <c r="R761" s="173"/>
      <c r="S761" s="173"/>
      <c r="T761" s="173"/>
      <c r="U761" s="173"/>
      <c r="V761" s="173"/>
      <c r="W761" s="173"/>
      <c r="X761" s="173"/>
      <c r="Y761" s="173"/>
    </row>
    <row r="762">
      <c r="A762" s="173"/>
      <c r="B762" s="173"/>
      <c r="C762" s="323"/>
      <c r="D762" s="324"/>
      <c r="E762" s="173"/>
      <c r="F762" s="173"/>
      <c r="G762" s="173"/>
      <c r="H762" s="173"/>
      <c r="I762" s="173"/>
      <c r="J762" s="173"/>
      <c r="K762" s="173"/>
      <c r="L762" s="173"/>
      <c r="M762" s="173"/>
      <c r="N762" s="173"/>
      <c r="O762" s="173"/>
      <c r="P762" s="173"/>
      <c r="Q762" s="173"/>
      <c r="R762" s="173"/>
      <c r="S762" s="173"/>
      <c r="T762" s="173"/>
      <c r="U762" s="173"/>
      <c r="V762" s="173"/>
      <c r="W762" s="173"/>
      <c r="X762" s="173"/>
      <c r="Y762" s="173"/>
    </row>
    <row r="763">
      <c r="A763" s="173"/>
      <c r="B763" s="173"/>
      <c r="C763" s="323"/>
      <c r="D763" s="324"/>
      <c r="E763" s="173"/>
      <c r="F763" s="173"/>
      <c r="G763" s="173"/>
      <c r="H763" s="173"/>
      <c r="I763" s="173"/>
      <c r="J763" s="173"/>
      <c r="K763" s="173"/>
      <c r="L763" s="173"/>
      <c r="M763" s="173"/>
      <c r="N763" s="173"/>
      <c r="O763" s="173"/>
      <c r="P763" s="173"/>
      <c r="Q763" s="173"/>
      <c r="R763" s="173"/>
      <c r="S763" s="173"/>
      <c r="T763" s="173"/>
      <c r="U763" s="173"/>
      <c r="V763" s="173"/>
      <c r="W763" s="173"/>
      <c r="X763" s="173"/>
      <c r="Y763" s="173"/>
    </row>
    <row r="764">
      <c r="A764" s="173"/>
      <c r="B764" s="173"/>
      <c r="C764" s="323"/>
      <c r="D764" s="324"/>
      <c r="E764" s="173"/>
      <c r="F764" s="173"/>
      <c r="G764" s="173"/>
      <c r="H764" s="173"/>
      <c r="I764" s="173"/>
      <c r="J764" s="173"/>
      <c r="K764" s="173"/>
      <c r="L764" s="173"/>
      <c r="M764" s="173"/>
      <c r="N764" s="173"/>
      <c r="O764" s="173"/>
      <c r="P764" s="173"/>
      <c r="Q764" s="173"/>
      <c r="R764" s="173"/>
      <c r="S764" s="173"/>
      <c r="T764" s="173"/>
      <c r="U764" s="173"/>
      <c r="V764" s="173"/>
      <c r="W764" s="173"/>
      <c r="X764" s="173"/>
      <c r="Y764" s="173"/>
    </row>
    <row r="765">
      <c r="A765" s="173"/>
      <c r="B765" s="173"/>
      <c r="C765" s="323"/>
      <c r="D765" s="324"/>
      <c r="E765" s="173"/>
      <c r="F765" s="173"/>
      <c r="G765" s="173"/>
      <c r="H765" s="173"/>
      <c r="I765" s="173"/>
      <c r="J765" s="173"/>
      <c r="K765" s="173"/>
      <c r="L765" s="173"/>
      <c r="M765" s="173"/>
      <c r="N765" s="173"/>
      <c r="O765" s="173"/>
      <c r="P765" s="173"/>
      <c r="Q765" s="173"/>
      <c r="R765" s="173"/>
      <c r="S765" s="173"/>
      <c r="T765" s="173"/>
      <c r="U765" s="173"/>
      <c r="V765" s="173"/>
      <c r="W765" s="173"/>
      <c r="X765" s="173"/>
      <c r="Y765" s="173"/>
    </row>
    <row r="766">
      <c r="A766" s="173"/>
      <c r="B766" s="173"/>
      <c r="C766" s="323"/>
      <c r="D766" s="324"/>
      <c r="E766" s="173"/>
      <c r="F766" s="173"/>
      <c r="G766" s="173"/>
      <c r="H766" s="173"/>
      <c r="I766" s="173"/>
      <c r="J766" s="173"/>
      <c r="K766" s="173"/>
      <c r="L766" s="173"/>
      <c r="M766" s="173"/>
      <c r="N766" s="173"/>
      <c r="O766" s="173"/>
      <c r="P766" s="173"/>
      <c r="Q766" s="173"/>
      <c r="R766" s="173"/>
      <c r="S766" s="173"/>
      <c r="T766" s="173"/>
      <c r="U766" s="173"/>
      <c r="V766" s="173"/>
      <c r="W766" s="173"/>
      <c r="X766" s="173"/>
      <c r="Y766" s="173"/>
    </row>
    <row r="767">
      <c r="A767" s="173"/>
      <c r="B767" s="173"/>
      <c r="C767" s="323"/>
      <c r="D767" s="324"/>
      <c r="E767" s="173"/>
      <c r="F767" s="173"/>
      <c r="G767" s="173"/>
      <c r="H767" s="173"/>
      <c r="I767" s="173"/>
      <c r="J767" s="173"/>
      <c r="K767" s="173"/>
      <c r="L767" s="173"/>
      <c r="M767" s="173"/>
      <c r="N767" s="173"/>
      <c r="O767" s="173"/>
      <c r="P767" s="173"/>
      <c r="Q767" s="173"/>
      <c r="R767" s="173"/>
      <c r="S767" s="173"/>
      <c r="T767" s="173"/>
      <c r="U767" s="173"/>
      <c r="V767" s="173"/>
      <c r="W767" s="173"/>
      <c r="X767" s="173"/>
      <c r="Y767" s="173"/>
    </row>
    <row r="768">
      <c r="A768" s="173"/>
      <c r="B768" s="173"/>
      <c r="C768" s="323"/>
      <c r="D768" s="324"/>
      <c r="E768" s="173"/>
      <c r="F768" s="173"/>
      <c r="G768" s="173"/>
      <c r="H768" s="173"/>
      <c r="I768" s="173"/>
      <c r="J768" s="173"/>
      <c r="K768" s="173"/>
      <c r="L768" s="173"/>
      <c r="M768" s="173"/>
      <c r="N768" s="173"/>
      <c r="O768" s="173"/>
      <c r="P768" s="173"/>
      <c r="Q768" s="173"/>
      <c r="R768" s="173"/>
      <c r="S768" s="173"/>
      <c r="T768" s="173"/>
      <c r="U768" s="173"/>
      <c r="V768" s="173"/>
      <c r="W768" s="173"/>
      <c r="X768" s="173"/>
      <c r="Y768" s="173"/>
    </row>
    <row r="769">
      <c r="A769" s="173"/>
      <c r="B769" s="173"/>
      <c r="C769" s="323"/>
      <c r="D769" s="324"/>
      <c r="E769" s="173"/>
      <c r="F769" s="173"/>
      <c r="G769" s="173"/>
      <c r="H769" s="173"/>
      <c r="I769" s="173"/>
      <c r="J769" s="173"/>
      <c r="K769" s="173"/>
      <c r="L769" s="173"/>
      <c r="M769" s="173"/>
      <c r="N769" s="173"/>
      <c r="O769" s="173"/>
      <c r="P769" s="173"/>
      <c r="Q769" s="173"/>
      <c r="R769" s="173"/>
      <c r="S769" s="173"/>
      <c r="T769" s="173"/>
      <c r="U769" s="173"/>
      <c r="V769" s="173"/>
      <c r="W769" s="173"/>
      <c r="X769" s="173"/>
      <c r="Y769" s="173"/>
    </row>
    <row r="770">
      <c r="A770" s="173"/>
      <c r="B770" s="173"/>
      <c r="C770" s="323"/>
      <c r="D770" s="324"/>
      <c r="E770" s="173"/>
      <c r="F770" s="173"/>
      <c r="G770" s="173"/>
      <c r="H770" s="173"/>
      <c r="I770" s="173"/>
      <c r="J770" s="173"/>
      <c r="K770" s="173"/>
      <c r="L770" s="173"/>
      <c r="M770" s="173"/>
      <c r="N770" s="173"/>
      <c r="O770" s="173"/>
      <c r="P770" s="173"/>
      <c r="Q770" s="173"/>
      <c r="R770" s="173"/>
      <c r="S770" s="173"/>
      <c r="T770" s="173"/>
      <c r="U770" s="173"/>
      <c r="V770" s="173"/>
      <c r="W770" s="173"/>
      <c r="X770" s="173"/>
      <c r="Y770" s="173"/>
    </row>
    <row r="771">
      <c r="A771" s="173"/>
      <c r="B771" s="173"/>
      <c r="C771" s="323"/>
      <c r="D771" s="324"/>
      <c r="E771" s="173"/>
      <c r="F771" s="173"/>
      <c r="G771" s="173"/>
      <c r="H771" s="173"/>
      <c r="I771" s="173"/>
      <c r="J771" s="173"/>
      <c r="K771" s="173"/>
      <c r="L771" s="173"/>
      <c r="M771" s="173"/>
      <c r="N771" s="173"/>
      <c r="O771" s="173"/>
      <c r="P771" s="173"/>
      <c r="Q771" s="173"/>
      <c r="R771" s="173"/>
      <c r="S771" s="173"/>
      <c r="T771" s="173"/>
      <c r="U771" s="173"/>
      <c r="V771" s="173"/>
      <c r="W771" s="173"/>
      <c r="X771" s="173"/>
      <c r="Y771" s="173"/>
    </row>
    <row r="772">
      <c r="A772" s="173"/>
      <c r="B772" s="173"/>
      <c r="C772" s="323"/>
      <c r="D772" s="324"/>
      <c r="E772" s="173"/>
      <c r="F772" s="173"/>
      <c r="G772" s="173"/>
      <c r="H772" s="173"/>
      <c r="I772" s="173"/>
      <c r="J772" s="173"/>
      <c r="K772" s="173"/>
      <c r="L772" s="173"/>
      <c r="M772" s="173"/>
      <c r="N772" s="173"/>
      <c r="O772" s="173"/>
      <c r="P772" s="173"/>
      <c r="Q772" s="173"/>
      <c r="R772" s="173"/>
      <c r="S772" s="173"/>
      <c r="T772" s="173"/>
      <c r="U772" s="173"/>
      <c r="V772" s="173"/>
      <c r="W772" s="173"/>
      <c r="X772" s="173"/>
      <c r="Y772" s="173"/>
    </row>
    <row r="773">
      <c r="A773" s="173"/>
      <c r="B773" s="173"/>
      <c r="C773" s="323"/>
      <c r="D773" s="324"/>
      <c r="E773" s="173"/>
      <c r="F773" s="173"/>
      <c r="G773" s="173"/>
      <c r="H773" s="173"/>
      <c r="I773" s="173"/>
      <c r="J773" s="173"/>
      <c r="K773" s="173"/>
      <c r="L773" s="173"/>
      <c r="M773" s="173"/>
      <c r="N773" s="173"/>
      <c r="O773" s="173"/>
      <c r="P773" s="173"/>
      <c r="Q773" s="173"/>
      <c r="R773" s="173"/>
      <c r="S773" s="173"/>
      <c r="T773" s="173"/>
      <c r="U773" s="173"/>
      <c r="V773" s="173"/>
      <c r="W773" s="173"/>
      <c r="X773" s="173"/>
      <c r="Y773" s="173"/>
    </row>
    <row r="774">
      <c r="A774" s="173"/>
      <c r="B774" s="173"/>
      <c r="C774" s="323"/>
      <c r="D774" s="324"/>
      <c r="E774" s="173"/>
      <c r="F774" s="173"/>
      <c r="G774" s="173"/>
      <c r="H774" s="173"/>
      <c r="I774" s="173"/>
      <c r="J774" s="173"/>
      <c r="K774" s="173"/>
      <c r="L774" s="173"/>
      <c r="M774" s="173"/>
      <c r="N774" s="173"/>
      <c r="O774" s="173"/>
      <c r="P774" s="173"/>
      <c r="Q774" s="173"/>
      <c r="R774" s="173"/>
      <c r="S774" s="173"/>
      <c r="T774" s="173"/>
      <c r="U774" s="173"/>
      <c r="V774" s="173"/>
      <c r="W774" s="173"/>
      <c r="X774" s="173"/>
      <c r="Y774" s="173"/>
    </row>
    <row r="775">
      <c r="A775" s="173"/>
      <c r="B775" s="173"/>
      <c r="C775" s="323"/>
      <c r="D775" s="324"/>
      <c r="E775" s="173"/>
      <c r="F775" s="173"/>
      <c r="G775" s="173"/>
      <c r="H775" s="173"/>
      <c r="I775" s="173"/>
      <c r="J775" s="173"/>
      <c r="K775" s="173"/>
      <c r="L775" s="173"/>
      <c r="M775" s="173"/>
      <c r="N775" s="173"/>
      <c r="O775" s="173"/>
      <c r="P775" s="173"/>
      <c r="Q775" s="173"/>
      <c r="R775" s="173"/>
      <c r="S775" s="173"/>
      <c r="T775" s="173"/>
      <c r="U775" s="173"/>
      <c r="V775" s="173"/>
      <c r="W775" s="173"/>
      <c r="X775" s="173"/>
      <c r="Y775" s="173"/>
    </row>
    <row r="776">
      <c r="A776" s="173"/>
      <c r="B776" s="173"/>
      <c r="C776" s="323"/>
      <c r="D776" s="324"/>
      <c r="E776" s="173"/>
      <c r="F776" s="173"/>
      <c r="G776" s="173"/>
      <c r="H776" s="173"/>
      <c r="I776" s="173"/>
      <c r="J776" s="173"/>
      <c r="K776" s="173"/>
      <c r="L776" s="173"/>
      <c r="M776" s="173"/>
      <c r="N776" s="173"/>
      <c r="O776" s="173"/>
      <c r="P776" s="173"/>
      <c r="Q776" s="173"/>
      <c r="R776" s="173"/>
      <c r="S776" s="173"/>
      <c r="T776" s="173"/>
      <c r="U776" s="173"/>
      <c r="V776" s="173"/>
      <c r="W776" s="173"/>
      <c r="X776" s="173"/>
      <c r="Y776" s="173"/>
    </row>
    <row r="777">
      <c r="A777" s="173"/>
      <c r="B777" s="173"/>
      <c r="C777" s="323"/>
      <c r="D777" s="324"/>
      <c r="E777" s="173"/>
      <c r="F777" s="173"/>
      <c r="G777" s="173"/>
      <c r="H777" s="173"/>
      <c r="I777" s="173"/>
      <c r="J777" s="173"/>
      <c r="K777" s="173"/>
      <c r="L777" s="173"/>
      <c r="M777" s="173"/>
      <c r="N777" s="173"/>
      <c r="O777" s="173"/>
      <c r="P777" s="173"/>
      <c r="Q777" s="173"/>
      <c r="R777" s="173"/>
      <c r="S777" s="173"/>
      <c r="T777" s="173"/>
      <c r="U777" s="173"/>
      <c r="V777" s="173"/>
      <c r="W777" s="173"/>
      <c r="X777" s="173"/>
      <c r="Y777" s="173"/>
    </row>
    <row r="778">
      <c r="A778" s="173"/>
      <c r="B778" s="173"/>
      <c r="C778" s="323"/>
      <c r="D778" s="324"/>
      <c r="E778" s="173"/>
      <c r="F778" s="173"/>
      <c r="G778" s="173"/>
      <c r="H778" s="173"/>
      <c r="I778" s="173"/>
      <c r="J778" s="173"/>
      <c r="K778" s="173"/>
      <c r="L778" s="173"/>
      <c r="M778" s="173"/>
      <c r="N778" s="173"/>
      <c r="O778" s="173"/>
      <c r="P778" s="173"/>
      <c r="Q778" s="173"/>
      <c r="R778" s="173"/>
      <c r="S778" s="173"/>
      <c r="T778" s="173"/>
      <c r="U778" s="173"/>
      <c r="V778" s="173"/>
      <c r="W778" s="173"/>
      <c r="X778" s="173"/>
      <c r="Y778" s="173"/>
    </row>
    <row r="779">
      <c r="A779" s="173"/>
      <c r="B779" s="173"/>
      <c r="C779" s="323"/>
      <c r="D779" s="324"/>
      <c r="E779" s="173"/>
      <c r="F779" s="173"/>
      <c r="G779" s="173"/>
      <c r="H779" s="173"/>
      <c r="I779" s="173"/>
      <c r="J779" s="173"/>
      <c r="K779" s="173"/>
      <c r="L779" s="173"/>
      <c r="M779" s="173"/>
      <c r="N779" s="173"/>
      <c r="O779" s="173"/>
      <c r="P779" s="173"/>
      <c r="Q779" s="173"/>
      <c r="R779" s="173"/>
      <c r="S779" s="173"/>
      <c r="T779" s="173"/>
      <c r="U779" s="173"/>
      <c r="V779" s="173"/>
      <c r="W779" s="173"/>
      <c r="X779" s="173"/>
      <c r="Y779" s="173"/>
    </row>
    <row r="780">
      <c r="A780" s="173"/>
      <c r="B780" s="173"/>
      <c r="C780" s="323"/>
      <c r="D780" s="324"/>
      <c r="E780" s="173"/>
      <c r="F780" s="173"/>
      <c r="G780" s="173"/>
      <c r="H780" s="173"/>
      <c r="I780" s="173"/>
      <c r="J780" s="173"/>
      <c r="K780" s="173"/>
      <c r="L780" s="173"/>
      <c r="M780" s="173"/>
      <c r="N780" s="173"/>
      <c r="O780" s="173"/>
      <c r="P780" s="173"/>
      <c r="Q780" s="173"/>
      <c r="R780" s="173"/>
      <c r="S780" s="173"/>
      <c r="T780" s="173"/>
      <c r="U780" s="173"/>
      <c r="V780" s="173"/>
      <c r="W780" s="173"/>
      <c r="X780" s="173"/>
      <c r="Y780" s="173"/>
    </row>
    <row r="781">
      <c r="A781" s="173"/>
      <c r="B781" s="173"/>
      <c r="C781" s="323"/>
      <c r="D781" s="324"/>
      <c r="E781" s="173"/>
      <c r="F781" s="173"/>
      <c r="G781" s="173"/>
      <c r="H781" s="173"/>
      <c r="I781" s="173"/>
      <c r="J781" s="173"/>
      <c r="K781" s="173"/>
      <c r="L781" s="173"/>
      <c r="M781" s="173"/>
      <c r="N781" s="173"/>
      <c r="O781" s="173"/>
      <c r="P781" s="173"/>
      <c r="Q781" s="173"/>
      <c r="R781" s="173"/>
      <c r="S781" s="173"/>
      <c r="T781" s="173"/>
      <c r="U781" s="173"/>
      <c r="V781" s="173"/>
      <c r="W781" s="173"/>
      <c r="X781" s="173"/>
      <c r="Y781" s="173"/>
    </row>
    <row r="782">
      <c r="A782" s="173"/>
      <c r="B782" s="173"/>
      <c r="C782" s="323"/>
      <c r="D782" s="324"/>
      <c r="E782" s="173"/>
      <c r="F782" s="173"/>
      <c r="G782" s="173"/>
      <c r="H782" s="173"/>
      <c r="I782" s="173"/>
      <c r="J782" s="173"/>
      <c r="K782" s="173"/>
      <c r="L782" s="173"/>
      <c r="M782" s="173"/>
      <c r="N782" s="173"/>
      <c r="O782" s="173"/>
      <c r="P782" s="173"/>
      <c r="Q782" s="173"/>
      <c r="R782" s="173"/>
      <c r="S782" s="173"/>
      <c r="T782" s="173"/>
      <c r="U782" s="173"/>
      <c r="V782" s="173"/>
      <c r="W782" s="173"/>
      <c r="X782" s="173"/>
      <c r="Y782" s="173"/>
    </row>
    <row r="783">
      <c r="A783" s="173"/>
      <c r="B783" s="173"/>
      <c r="C783" s="323"/>
      <c r="D783" s="324"/>
      <c r="E783" s="173"/>
      <c r="F783" s="173"/>
      <c r="G783" s="173"/>
      <c r="H783" s="173"/>
      <c r="I783" s="173"/>
      <c r="J783" s="173"/>
      <c r="K783" s="173"/>
      <c r="L783" s="173"/>
      <c r="M783" s="173"/>
      <c r="N783" s="173"/>
      <c r="O783" s="173"/>
      <c r="P783" s="173"/>
      <c r="Q783" s="173"/>
      <c r="R783" s="173"/>
      <c r="S783" s="173"/>
      <c r="T783" s="173"/>
      <c r="U783" s="173"/>
      <c r="V783" s="173"/>
      <c r="W783" s="173"/>
      <c r="X783" s="173"/>
      <c r="Y783" s="173"/>
    </row>
    <row r="784">
      <c r="A784" s="173"/>
      <c r="B784" s="173"/>
      <c r="C784" s="323"/>
      <c r="D784" s="324"/>
      <c r="E784" s="173"/>
      <c r="F784" s="173"/>
      <c r="G784" s="173"/>
      <c r="H784" s="173"/>
      <c r="I784" s="173"/>
      <c r="J784" s="173"/>
      <c r="K784" s="173"/>
      <c r="L784" s="173"/>
      <c r="M784" s="173"/>
      <c r="N784" s="173"/>
      <c r="O784" s="173"/>
      <c r="P784" s="173"/>
      <c r="Q784" s="173"/>
      <c r="R784" s="173"/>
      <c r="S784" s="173"/>
      <c r="T784" s="173"/>
      <c r="U784" s="173"/>
      <c r="V784" s="173"/>
      <c r="W784" s="173"/>
      <c r="X784" s="173"/>
      <c r="Y784" s="173"/>
    </row>
    <row r="785">
      <c r="A785" s="173"/>
      <c r="B785" s="173"/>
      <c r="C785" s="323"/>
      <c r="D785" s="324"/>
      <c r="E785" s="173"/>
      <c r="F785" s="173"/>
      <c r="G785" s="173"/>
      <c r="H785" s="173"/>
      <c r="I785" s="173"/>
      <c r="J785" s="173"/>
      <c r="K785" s="173"/>
      <c r="L785" s="173"/>
      <c r="M785" s="173"/>
      <c r="N785" s="173"/>
      <c r="O785" s="173"/>
      <c r="P785" s="173"/>
      <c r="Q785" s="173"/>
      <c r="R785" s="173"/>
      <c r="S785" s="173"/>
      <c r="T785" s="173"/>
      <c r="U785" s="173"/>
      <c r="V785" s="173"/>
      <c r="W785" s="173"/>
      <c r="X785" s="173"/>
      <c r="Y785" s="173"/>
    </row>
    <row r="786">
      <c r="A786" s="173"/>
      <c r="B786" s="173"/>
      <c r="C786" s="323"/>
      <c r="D786" s="324"/>
      <c r="E786" s="173"/>
      <c r="F786" s="173"/>
      <c r="G786" s="173"/>
      <c r="H786" s="173"/>
      <c r="I786" s="173"/>
      <c r="J786" s="173"/>
      <c r="K786" s="173"/>
      <c r="L786" s="173"/>
      <c r="M786" s="173"/>
      <c r="N786" s="173"/>
      <c r="O786" s="173"/>
      <c r="P786" s="173"/>
      <c r="Q786" s="173"/>
      <c r="R786" s="173"/>
      <c r="S786" s="173"/>
      <c r="T786" s="173"/>
      <c r="U786" s="173"/>
      <c r="V786" s="173"/>
      <c r="W786" s="173"/>
      <c r="X786" s="173"/>
      <c r="Y786" s="173"/>
    </row>
    <row r="787">
      <c r="A787" s="173"/>
      <c r="B787" s="173"/>
      <c r="C787" s="323"/>
      <c r="D787" s="324"/>
      <c r="E787" s="173"/>
      <c r="F787" s="173"/>
      <c r="G787" s="173"/>
      <c r="H787" s="173"/>
      <c r="I787" s="173"/>
      <c r="J787" s="173"/>
      <c r="K787" s="173"/>
      <c r="L787" s="173"/>
      <c r="M787" s="173"/>
      <c r="N787" s="173"/>
      <c r="O787" s="173"/>
      <c r="P787" s="173"/>
      <c r="Q787" s="173"/>
      <c r="R787" s="173"/>
      <c r="S787" s="173"/>
      <c r="T787" s="173"/>
      <c r="U787" s="173"/>
      <c r="V787" s="173"/>
      <c r="W787" s="173"/>
      <c r="X787" s="173"/>
      <c r="Y787" s="173"/>
    </row>
    <row r="788">
      <c r="A788" s="173"/>
      <c r="B788" s="173"/>
      <c r="C788" s="323"/>
      <c r="D788" s="324"/>
      <c r="E788" s="173"/>
      <c r="F788" s="173"/>
      <c r="G788" s="173"/>
      <c r="H788" s="173"/>
      <c r="I788" s="173"/>
      <c r="J788" s="173"/>
      <c r="K788" s="173"/>
      <c r="L788" s="173"/>
      <c r="M788" s="173"/>
      <c r="N788" s="173"/>
      <c r="O788" s="173"/>
      <c r="P788" s="173"/>
      <c r="Q788" s="173"/>
      <c r="R788" s="173"/>
      <c r="S788" s="173"/>
      <c r="T788" s="173"/>
      <c r="U788" s="173"/>
      <c r="V788" s="173"/>
      <c r="W788" s="173"/>
      <c r="X788" s="173"/>
      <c r="Y788" s="173"/>
    </row>
    <row r="789">
      <c r="A789" s="173"/>
      <c r="B789" s="173"/>
      <c r="C789" s="323"/>
      <c r="D789" s="324"/>
      <c r="E789" s="173"/>
      <c r="F789" s="173"/>
      <c r="G789" s="173"/>
      <c r="H789" s="173"/>
      <c r="I789" s="173"/>
      <c r="J789" s="173"/>
      <c r="K789" s="173"/>
      <c r="L789" s="173"/>
      <c r="M789" s="173"/>
      <c r="N789" s="173"/>
      <c r="O789" s="173"/>
      <c r="P789" s="173"/>
      <c r="Q789" s="173"/>
      <c r="R789" s="173"/>
      <c r="S789" s="173"/>
      <c r="T789" s="173"/>
      <c r="U789" s="173"/>
      <c r="V789" s="173"/>
      <c r="W789" s="173"/>
      <c r="X789" s="173"/>
      <c r="Y789" s="173"/>
    </row>
    <row r="790">
      <c r="A790" s="173"/>
      <c r="B790" s="173"/>
      <c r="C790" s="323"/>
      <c r="D790" s="324"/>
      <c r="E790" s="173"/>
      <c r="F790" s="173"/>
      <c r="G790" s="173"/>
      <c r="H790" s="173"/>
      <c r="I790" s="173"/>
      <c r="J790" s="173"/>
      <c r="K790" s="173"/>
      <c r="L790" s="173"/>
      <c r="M790" s="173"/>
      <c r="N790" s="173"/>
      <c r="O790" s="173"/>
      <c r="P790" s="173"/>
      <c r="Q790" s="173"/>
      <c r="R790" s="173"/>
      <c r="S790" s="173"/>
      <c r="T790" s="173"/>
      <c r="U790" s="173"/>
      <c r="V790" s="173"/>
      <c r="W790" s="173"/>
      <c r="X790" s="173"/>
      <c r="Y790" s="173"/>
    </row>
    <row r="791">
      <c r="A791" s="173"/>
      <c r="B791" s="173"/>
      <c r="C791" s="323"/>
      <c r="D791" s="324"/>
      <c r="E791" s="173"/>
      <c r="F791" s="173"/>
      <c r="G791" s="173"/>
      <c r="H791" s="173"/>
      <c r="I791" s="173"/>
      <c r="J791" s="173"/>
      <c r="K791" s="173"/>
      <c r="L791" s="173"/>
      <c r="M791" s="173"/>
      <c r="N791" s="173"/>
      <c r="O791" s="173"/>
      <c r="P791" s="173"/>
      <c r="Q791" s="173"/>
      <c r="R791" s="173"/>
      <c r="S791" s="173"/>
      <c r="T791" s="173"/>
      <c r="U791" s="173"/>
      <c r="V791" s="173"/>
      <c r="W791" s="173"/>
      <c r="X791" s="173"/>
      <c r="Y791" s="173"/>
    </row>
    <row r="792">
      <c r="A792" s="173"/>
      <c r="B792" s="173"/>
      <c r="C792" s="323"/>
      <c r="D792" s="324"/>
      <c r="E792" s="173"/>
      <c r="F792" s="173"/>
      <c r="G792" s="173"/>
      <c r="H792" s="173"/>
      <c r="I792" s="173"/>
      <c r="J792" s="173"/>
      <c r="K792" s="173"/>
      <c r="L792" s="173"/>
      <c r="M792" s="173"/>
      <c r="N792" s="173"/>
      <c r="O792" s="173"/>
      <c r="P792" s="173"/>
      <c r="Q792" s="173"/>
      <c r="R792" s="173"/>
      <c r="S792" s="173"/>
      <c r="T792" s="173"/>
      <c r="U792" s="173"/>
      <c r="V792" s="173"/>
      <c r="W792" s="173"/>
      <c r="X792" s="173"/>
      <c r="Y792" s="173"/>
    </row>
    <row r="793">
      <c r="A793" s="173"/>
      <c r="B793" s="173"/>
      <c r="C793" s="323"/>
      <c r="D793" s="324"/>
      <c r="E793" s="173"/>
      <c r="F793" s="173"/>
      <c r="G793" s="173"/>
      <c r="H793" s="173"/>
      <c r="I793" s="173"/>
      <c r="J793" s="173"/>
      <c r="K793" s="173"/>
      <c r="L793" s="173"/>
      <c r="M793" s="173"/>
      <c r="N793" s="173"/>
      <c r="O793" s="173"/>
      <c r="P793" s="173"/>
      <c r="Q793" s="173"/>
      <c r="R793" s="173"/>
      <c r="S793" s="173"/>
      <c r="T793" s="173"/>
      <c r="U793" s="173"/>
      <c r="V793" s="173"/>
      <c r="W793" s="173"/>
      <c r="X793" s="173"/>
      <c r="Y793" s="173"/>
    </row>
    <row r="794">
      <c r="A794" s="173"/>
      <c r="B794" s="173"/>
      <c r="C794" s="323"/>
      <c r="D794" s="324"/>
      <c r="E794" s="173"/>
      <c r="F794" s="173"/>
      <c r="G794" s="173"/>
      <c r="H794" s="173"/>
      <c r="I794" s="173"/>
      <c r="J794" s="173"/>
      <c r="K794" s="173"/>
      <c r="L794" s="173"/>
      <c r="M794" s="173"/>
      <c r="N794" s="173"/>
      <c r="O794" s="173"/>
      <c r="P794" s="173"/>
      <c r="Q794" s="173"/>
      <c r="R794" s="173"/>
      <c r="S794" s="173"/>
      <c r="T794" s="173"/>
      <c r="U794" s="173"/>
      <c r="V794" s="173"/>
      <c r="W794" s="173"/>
      <c r="X794" s="173"/>
      <c r="Y794" s="173"/>
    </row>
    <row r="795">
      <c r="A795" s="173"/>
      <c r="B795" s="173"/>
      <c r="C795" s="323"/>
      <c r="D795" s="324"/>
      <c r="E795" s="173"/>
      <c r="F795" s="173"/>
      <c r="G795" s="173"/>
      <c r="H795" s="173"/>
      <c r="I795" s="173"/>
      <c r="J795" s="173"/>
      <c r="K795" s="173"/>
      <c r="L795" s="173"/>
      <c r="M795" s="173"/>
      <c r="N795" s="173"/>
      <c r="O795" s="173"/>
      <c r="P795" s="173"/>
      <c r="Q795" s="173"/>
      <c r="R795" s="173"/>
      <c r="S795" s="173"/>
      <c r="T795" s="173"/>
      <c r="U795" s="173"/>
      <c r="V795" s="173"/>
      <c r="W795" s="173"/>
      <c r="X795" s="173"/>
      <c r="Y795" s="173"/>
    </row>
    <row r="796">
      <c r="A796" s="173"/>
      <c r="B796" s="173"/>
      <c r="C796" s="323"/>
      <c r="D796" s="324"/>
      <c r="E796" s="173"/>
      <c r="F796" s="173"/>
      <c r="G796" s="173"/>
      <c r="H796" s="173"/>
      <c r="I796" s="173"/>
      <c r="J796" s="173"/>
      <c r="K796" s="173"/>
      <c r="L796" s="173"/>
      <c r="M796" s="173"/>
      <c r="N796" s="173"/>
      <c r="O796" s="173"/>
      <c r="P796" s="173"/>
      <c r="Q796" s="173"/>
      <c r="R796" s="173"/>
      <c r="S796" s="173"/>
      <c r="T796" s="173"/>
      <c r="U796" s="173"/>
      <c r="V796" s="173"/>
      <c r="W796" s="173"/>
      <c r="X796" s="173"/>
      <c r="Y796" s="173"/>
    </row>
    <row r="797">
      <c r="A797" s="173"/>
      <c r="B797" s="173"/>
      <c r="C797" s="323"/>
      <c r="D797" s="324"/>
      <c r="E797" s="173"/>
      <c r="F797" s="173"/>
      <c r="G797" s="173"/>
      <c r="H797" s="173"/>
      <c r="I797" s="173"/>
      <c r="J797" s="173"/>
      <c r="K797" s="173"/>
      <c r="L797" s="173"/>
      <c r="M797" s="173"/>
      <c r="N797" s="173"/>
      <c r="O797" s="173"/>
      <c r="P797" s="173"/>
      <c r="Q797" s="173"/>
      <c r="R797" s="173"/>
      <c r="S797" s="173"/>
      <c r="T797" s="173"/>
      <c r="U797" s="173"/>
      <c r="V797" s="173"/>
      <c r="W797" s="173"/>
      <c r="X797" s="173"/>
      <c r="Y797" s="173"/>
    </row>
    <row r="798">
      <c r="A798" s="173"/>
      <c r="B798" s="173"/>
      <c r="C798" s="323"/>
      <c r="D798" s="324"/>
      <c r="E798" s="173"/>
      <c r="F798" s="173"/>
      <c r="G798" s="173"/>
      <c r="H798" s="173"/>
      <c r="I798" s="173"/>
      <c r="J798" s="173"/>
      <c r="K798" s="173"/>
      <c r="L798" s="173"/>
      <c r="M798" s="173"/>
      <c r="N798" s="173"/>
      <c r="O798" s="173"/>
      <c r="P798" s="173"/>
      <c r="Q798" s="173"/>
      <c r="R798" s="173"/>
      <c r="S798" s="173"/>
      <c r="T798" s="173"/>
      <c r="U798" s="173"/>
      <c r="V798" s="173"/>
      <c r="W798" s="173"/>
      <c r="X798" s="173"/>
      <c r="Y798" s="173"/>
    </row>
    <row r="799">
      <c r="A799" s="173"/>
      <c r="B799" s="173"/>
      <c r="C799" s="323"/>
      <c r="D799" s="324"/>
      <c r="E799" s="173"/>
      <c r="F799" s="173"/>
      <c r="G799" s="173"/>
      <c r="H799" s="173"/>
      <c r="I799" s="173"/>
      <c r="J799" s="173"/>
      <c r="K799" s="173"/>
      <c r="L799" s="173"/>
      <c r="M799" s="173"/>
      <c r="N799" s="173"/>
      <c r="O799" s="173"/>
      <c r="P799" s="173"/>
      <c r="Q799" s="173"/>
      <c r="R799" s="173"/>
      <c r="S799" s="173"/>
      <c r="T799" s="173"/>
      <c r="U799" s="173"/>
      <c r="V799" s="173"/>
      <c r="W799" s="173"/>
      <c r="X799" s="173"/>
      <c r="Y799" s="173"/>
    </row>
    <row r="800">
      <c r="A800" s="173"/>
      <c r="B800" s="173"/>
      <c r="C800" s="323"/>
      <c r="D800" s="324"/>
      <c r="E800" s="173"/>
      <c r="F800" s="173"/>
      <c r="G800" s="173"/>
      <c r="H800" s="173"/>
      <c r="I800" s="173"/>
      <c r="J800" s="173"/>
      <c r="K800" s="173"/>
      <c r="L800" s="173"/>
      <c r="M800" s="173"/>
      <c r="N800" s="173"/>
      <c r="O800" s="173"/>
      <c r="P800" s="173"/>
      <c r="Q800" s="173"/>
      <c r="R800" s="173"/>
      <c r="S800" s="173"/>
      <c r="T800" s="173"/>
      <c r="U800" s="173"/>
      <c r="V800" s="173"/>
      <c r="W800" s="173"/>
      <c r="X800" s="173"/>
      <c r="Y800" s="173"/>
    </row>
    <row r="801">
      <c r="A801" s="173"/>
      <c r="B801" s="173"/>
      <c r="C801" s="323"/>
      <c r="D801" s="324"/>
      <c r="E801" s="173"/>
      <c r="F801" s="173"/>
      <c r="G801" s="173"/>
      <c r="H801" s="173"/>
      <c r="I801" s="173"/>
      <c r="J801" s="173"/>
      <c r="K801" s="173"/>
      <c r="L801" s="173"/>
      <c r="M801" s="173"/>
      <c r="N801" s="173"/>
      <c r="O801" s="173"/>
      <c r="P801" s="173"/>
      <c r="Q801" s="173"/>
      <c r="R801" s="173"/>
      <c r="S801" s="173"/>
      <c r="T801" s="173"/>
      <c r="U801" s="173"/>
      <c r="V801" s="173"/>
      <c r="W801" s="173"/>
      <c r="X801" s="173"/>
      <c r="Y801" s="173"/>
    </row>
    <row r="802">
      <c r="A802" s="173"/>
      <c r="B802" s="173"/>
      <c r="C802" s="323"/>
      <c r="D802" s="324"/>
      <c r="E802" s="173"/>
      <c r="F802" s="173"/>
      <c r="G802" s="173"/>
      <c r="H802" s="173"/>
      <c r="I802" s="173"/>
      <c r="J802" s="173"/>
      <c r="K802" s="173"/>
      <c r="L802" s="173"/>
      <c r="M802" s="173"/>
      <c r="N802" s="173"/>
      <c r="O802" s="173"/>
      <c r="P802" s="173"/>
      <c r="Q802" s="173"/>
      <c r="R802" s="173"/>
      <c r="S802" s="173"/>
      <c r="T802" s="173"/>
      <c r="U802" s="173"/>
      <c r="V802" s="173"/>
      <c r="W802" s="173"/>
      <c r="X802" s="173"/>
      <c r="Y802" s="173"/>
    </row>
    <row r="803">
      <c r="A803" s="173"/>
      <c r="B803" s="173"/>
      <c r="C803" s="323"/>
      <c r="D803" s="324"/>
      <c r="E803" s="173"/>
      <c r="F803" s="173"/>
      <c r="G803" s="173"/>
      <c r="H803" s="173"/>
      <c r="I803" s="173"/>
      <c r="J803" s="173"/>
      <c r="K803" s="173"/>
      <c r="L803" s="173"/>
      <c r="M803" s="173"/>
      <c r="N803" s="173"/>
      <c r="O803" s="173"/>
      <c r="P803" s="173"/>
      <c r="Q803" s="173"/>
      <c r="R803" s="173"/>
      <c r="S803" s="173"/>
      <c r="T803" s="173"/>
      <c r="U803" s="173"/>
      <c r="V803" s="173"/>
      <c r="W803" s="173"/>
      <c r="X803" s="173"/>
      <c r="Y803" s="173"/>
    </row>
    <row r="804">
      <c r="A804" s="173"/>
      <c r="B804" s="173"/>
      <c r="C804" s="323"/>
      <c r="D804" s="324"/>
      <c r="E804" s="173"/>
      <c r="F804" s="173"/>
      <c r="G804" s="173"/>
      <c r="H804" s="173"/>
      <c r="I804" s="173"/>
      <c r="J804" s="173"/>
      <c r="K804" s="173"/>
      <c r="L804" s="173"/>
      <c r="M804" s="173"/>
      <c r="N804" s="173"/>
      <c r="O804" s="173"/>
      <c r="P804" s="173"/>
      <c r="Q804" s="173"/>
      <c r="R804" s="173"/>
      <c r="S804" s="173"/>
      <c r="T804" s="173"/>
      <c r="U804" s="173"/>
      <c r="V804" s="173"/>
      <c r="W804" s="173"/>
      <c r="X804" s="173"/>
      <c r="Y804" s="173"/>
    </row>
    <row r="805">
      <c r="A805" s="173"/>
      <c r="B805" s="173"/>
      <c r="C805" s="323"/>
      <c r="D805" s="324"/>
      <c r="E805" s="173"/>
      <c r="F805" s="173"/>
      <c r="G805" s="173"/>
      <c r="H805" s="173"/>
      <c r="I805" s="173"/>
      <c r="J805" s="173"/>
      <c r="K805" s="173"/>
      <c r="L805" s="173"/>
      <c r="M805" s="173"/>
      <c r="N805" s="173"/>
      <c r="O805" s="173"/>
      <c r="P805" s="173"/>
      <c r="Q805" s="173"/>
      <c r="R805" s="173"/>
      <c r="S805" s="173"/>
      <c r="T805" s="173"/>
      <c r="U805" s="173"/>
      <c r="V805" s="173"/>
      <c r="W805" s="173"/>
      <c r="X805" s="173"/>
      <c r="Y805" s="173"/>
    </row>
    <row r="806">
      <c r="A806" s="173"/>
      <c r="B806" s="173"/>
      <c r="C806" s="323"/>
      <c r="D806" s="324"/>
      <c r="E806" s="173"/>
      <c r="F806" s="173"/>
      <c r="G806" s="173"/>
      <c r="H806" s="173"/>
      <c r="I806" s="173"/>
      <c r="J806" s="173"/>
      <c r="K806" s="173"/>
      <c r="L806" s="173"/>
      <c r="M806" s="173"/>
      <c r="N806" s="173"/>
      <c r="O806" s="173"/>
      <c r="P806" s="173"/>
      <c r="Q806" s="173"/>
      <c r="R806" s="173"/>
      <c r="S806" s="173"/>
      <c r="T806" s="173"/>
      <c r="U806" s="173"/>
      <c r="V806" s="173"/>
      <c r="W806" s="173"/>
      <c r="X806" s="173"/>
      <c r="Y806" s="173"/>
    </row>
    <row r="807">
      <c r="A807" s="173"/>
      <c r="B807" s="173"/>
      <c r="C807" s="323"/>
      <c r="D807" s="324"/>
      <c r="E807" s="173"/>
      <c r="F807" s="173"/>
      <c r="G807" s="173"/>
      <c r="H807" s="173"/>
      <c r="I807" s="173"/>
      <c r="J807" s="173"/>
      <c r="K807" s="173"/>
      <c r="L807" s="173"/>
      <c r="M807" s="173"/>
      <c r="N807" s="173"/>
      <c r="O807" s="173"/>
      <c r="P807" s="173"/>
      <c r="Q807" s="173"/>
      <c r="R807" s="173"/>
      <c r="S807" s="173"/>
      <c r="T807" s="173"/>
      <c r="U807" s="173"/>
      <c r="V807" s="173"/>
      <c r="W807" s="173"/>
      <c r="X807" s="173"/>
      <c r="Y807" s="173"/>
    </row>
    <row r="808">
      <c r="A808" s="173"/>
      <c r="B808" s="173"/>
      <c r="C808" s="323"/>
      <c r="D808" s="324"/>
      <c r="E808" s="173"/>
      <c r="F808" s="173"/>
      <c r="G808" s="173"/>
      <c r="H808" s="173"/>
      <c r="I808" s="173"/>
      <c r="J808" s="173"/>
      <c r="K808" s="173"/>
      <c r="L808" s="173"/>
      <c r="M808" s="173"/>
      <c r="N808" s="173"/>
      <c r="O808" s="173"/>
      <c r="P808" s="173"/>
      <c r="Q808" s="173"/>
      <c r="R808" s="173"/>
      <c r="S808" s="173"/>
      <c r="T808" s="173"/>
      <c r="U808" s="173"/>
      <c r="V808" s="173"/>
      <c r="W808" s="173"/>
      <c r="X808" s="173"/>
      <c r="Y808" s="173"/>
    </row>
    <row r="809">
      <c r="A809" s="173"/>
      <c r="B809" s="173"/>
      <c r="C809" s="323"/>
      <c r="D809" s="324"/>
      <c r="E809" s="173"/>
      <c r="F809" s="173"/>
      <c r="G809" s="173"/>
      <c r="H809" s="173"/>
      <c r="I809" s="173"/>
      <c r="J809" s="173"/>
      <c r="K809" s="173"/>
      <c r="L809" s="173"/>
      <c r="M809" s="173"/>
      <c r="N809" s="173"/>
      <c r="O809" s="173"/>
      <c r="P809" s="173"/>
      <c r="Q809" s="173"/>
      <c r="R809" s="173"/>
      <c r="S809" s="173"/>
      <c r="T809" s="173"/>
      <c r="U809" s="173"/>
      <c r="V809" s="173"/>
      <c r="W809" s="173"/>
      <c r="X809" s="173"/>
      <c r="Y809" s="173"/>
    </row>
    <row r="810">
      <c r="A810" s="173"/>
      <c r="B810" s="173"/>
      <c r="C810" s="323"/>
      <c r="D810" s="324"/>
      <c r="E810" s="173"/>
      <c r="F810" s="173"/>
      <c r="G810" s="173"/>
      <c r="H810" s="173"/>
      <c r="I810" s="173"/>
      <c r="J810" s="173"/>
      <c r="K810" s="173"/>
      <c r="L810" s="173"/>
      <c r="M810" s="173"/>
      <c r="N810" s="173"/>
      <c r="O810" s="173"/>
      <c r="P810" s="173"/>
      <c r="Q810" s="173"/>
      <c r="R810" s="173"/>
      <c r="S810" s="173"/>
      <c r="T810" s="173"/>
      <c r="U810" s="173"/>
      <c r="V810" s="173"/>
      <c r="W810" s="173"/>
      <c r="X810" s="173"/>
      <c r="Y810" s="173"/>
    </row>
    <row r="811">
      <c r="A811" s="173"/>
      <c r="B811" s="173"/>
      <c r="C811" s="323"/>
      <c r="D811" s="324"/>
      <c r="E811" s="173"/>
      <c r="F811" s="173"/>
      <c r="G811" s="173"/>
      <c r="H811" s="173"/>
      <c r="I811" s="173"/>
      <c r="J811" s="173"/>
      <c r="K811" s="173"/>
      <c r="L811" s="173"/>
      <c r="M811" s="173"/>
      <c r="N811" s="173"/>
      <c r="O811" s="173"/>
      <c r="P811" s="173"/>
      <c r="Q811" s="173"/>
      <c r="R811" s="173"/>
      <c r="S811" s="173"/>
      <c r="T811" s="173"/>
      <c r="U811" s="173"/>
      <c r="V811" s="173"/>
      <c r="W811" s="173"/>
      <c r="X811" s="173"/>
      <c r="Y811" s="173"/>
    </row>
    <row r="812">
      <c r="A812" s="173"/>
      <c r="B812" s="173"/>
      <c r="C812" s="323"/>
      <c r="D812" s="324"/>
      <c r="E812" s="173"/>
      <c r="F812" s="173"/>
      <c r="G812" s="173"/>
      <c r="H812" s="173"/>
      <c r="I812" s="173"/>
      <c r="J812" s="173"/>
      <c r="K812" s="173"/>
      <c r="L812" s="173"/>
      <c r="M812" s="173"/>
      <c r="N812" s="173"/>
      <c r="O812" s="173"/>
      <c r="P812" s="173"/>
      <c r="Q812" s="173"/>
      <c r="R812" s="173"/>
      <c r="S812" s="173"/>
      <c r="T812" s="173"/>
      <c r="U812" s="173"/>
      <c r="V812" s="173"/>
      <c r="W812" s="173"/>
      <c r="X812" s="173"/>
      <c r="Y812" s="173"/>
    </row>
    <row r="813">
      <c r="A813" s="173"/>
      <c r="B813" s="173"/>
      <c r="C813" s="323"/>
      <c r="D813" s="324"/>
      <c r="E813" s="173"/>
      <c r="F813" s="173"/>
      <c r="G813" s="173"/>
      <c r="H813" s="173"/>
      <c r="I813" s="173"/>
      <c r="J813" s="173"/>
      <c r="K813" s="173"/>
      <c r="L813" s="173"/>
      <c r="M813" s="173"/>
      <c r="N813" s="173"/>
      <c r="O813" s="173"/>
      <c r="P813" s="173"/>
      <c r="Q813" s="173"/>
      <c r="R813" s="173"/>
      <c r="S813" s="173"/>
      <c r="T813" s="173"/>
      <c r="U813" s="173"/>
      <c r="V813" s="173"/>
      <c r="W813" s="173"/>
      <c r="X813" s="173"/>
      <c r="Y813" s="173"/>
    </row>
    <row r="814">
      <c r="A814" s="173"/>
      <c r="B814" s="173"/>
      <c r="C814" s="323"/>
      <c r="D814" s="324"/>
      <c r="E814" s="173"/>
      <c r="F814" s="173"/>
      <c r="G814" s="173"/>
      <c r="H814" s="173"/>
      <c r="I814" s="173"/>
      <c r="J814" s="173"/>
      <c r="K814" s="173"/>
      <c r="L814" s="173"/>
      <c r="M814" s="173"/>
      <c r="N814" s="173"/>
      <c r="O814" s="173"/>
      <c r="P814" s="173"/>
      <c r="Q814" s="173"/>
      <c r="R814" s="173"/>
      <c r="S814" s="173"/>
      <c r="T814" s="173"/>
      <c r="U814" s="173"/>
      <c r="V814" s="173"/>
      <c r="W814" s="173"/>
      <c r="X814" s="173"/>
      <c r="Y814" s="173"/>
    </row>
    <row r="815">
      <c r="A815" s="173"/>
      <c r="B815" s="173"/>
      <c r="C815" s="323"/>
      <c r="D815" s="324"/>
      <c r="E815" s="173"/>
      <c r="F815" s="173"/>
      <c r="G815" s="173"/>
      <c r="H815" s="173"/>
      <c r="I815" s="173"/>
      <c r="J815" s="173"/>
      <c r="K815" s="173"/>
      <c r="L815" s="173"/>
      <c r="M815" s="173"/>
      <c r="N815" s="173"/>
      <c r="O815" s="173"/>
      <c r="P815" s="173"/>
      <c r="Q815" s="173"/>
      <c r="R815" s="173"/>
      <c r="S815" s="173"/>
      <c r="T815" s="173"/>
      <c r="U815" s="173"/>
      <c r="V815" s="173"/>
      <c r="W815" s="173"/>
      <c r="X815" s="173"/>
      <c r="Y815" s="173"/>
    </row>
    <row r="816">
      <c r="A816" s="173"/>
      <c r="B816" s="173"/>
      <c r="C816" s="323"/>
      <c r="D816" s="324"/>
      <c r="E816" s="173"/>
      <c r="F816" s="173"/>
      <c r="G816" s="173"/>
      <c r="H816" s="173"/>
      <c r="I816" s="173"/>
      <c r="J816" s="173"/>
      <c r="K816" s="173"/>
      <c r="L816" s="173"/>
      <c r="M816" s="173"/>
      <c r="N816" s="173"/>
      <c r="O816" s="173"/>
      <c r="P816" s="173"/>
      <c r="Q816" s="173"/>
      <c r="R816" s="173"/>
      <c r="S816" s="173"/>
      <c r="T816" s="173"/>
      <c r="U816" s="173"/>
      <c r="V816" s="173"/>
      <c r="W816" s="173"/>
      <c r="X816" s="173"/>
      <c r="Y816" s="173"/>
    </row>
    <row r="817">
      <c r="A817" s="173"/>
      <c r="B817" s="173"/>
      <c r="C817" s="323"/>
      <c r="D817" s="324"/>
      <c r="E817" s="173"/>
      <c r="F817" s="173"/>
      <c r="G817" s="173"/>
      <c r="H817" s="173"/>
      <c r="I817" s="173"/>
      <c r="J817" s="173"/>
      <c r="K817" s="173"/>
      <c r="L817" s="173"/>
      <c r="M817" s="173"/>
      <c r="N817" s="173"/>
      <c r="O817" s="173"/>
      <c r="P817" s="173"/>
      <c r="Q817" s="173"/>
      <c r="R817" s="173"/>
      <c r="S817" s="173"/>
      <c r="T817" s="173"/>
      <c r="U817" s="173"/>
      <c r="V817" s="173"/>
      <c r="W817" s="173"/>
      <c r="X817" s="173"/>
      <c r="Y817" s="173"/>
    </row>
    <row r="818">
      <c r="A818" s="173"/>
      <c r="B818" s="173"/>
      <c r="C818" s="323"/>
      <c r="D818" s="324"/>
      <c r="E818" s="173"/>
      <c r="F818" s="173"/>
      <c r="G818" s="173"/>
      <c r="H818" s="173"/>
      <c r="I818" s="173"/>
      <c r="J818" s="173"/>
      <c r="K818" s="173"/>
      <c r="L818" s="173"/>
      <c r="M818" s="173"/>
      <c r="N818" s="173"/>
      <c r="O818" s="173"/>
      <c r="P818" s="173"/>
      <c r="Q818" s="173"/>
      <c r="R818" s="173"/>
      <c r="S818" s="173"/>
      <c r="T818" s="173"/>
      <c r="U818" s="173"/>
      <c r="V818" s="173"/>
      <c r="W818" s="173"/>
      <c r="X818" s="173"/>
      <c r="Y818" s="173"/>
    </row>
    <row r="819">
      <c r="A819" s="173"/>
      <c r="B819" s="173"/>
      <c r="C819" s="323"/>
      <c r="D819" s="324"/>
      <c r="E819" s="173"/>
      <c r="F819" s="173"/>
      <c r="G819" s="173"/>
      <c r="H819" s="173"/>
      <c r="I819" s="173"/>
      <c r="J819" s="173"/>
      <c r="K819" s="173"/>
      <c r="L819" s="173"/>
      <c r="M819" s="173"/>
      <c r="N819" s="173"/>
      <c r="O819" s="173"/>
      <c r="P819" s="173"/>
      <c r="Q819" s="173"/>
      <c r="R819" s="173"/>
      <c r="S819" s="173"/>
      <c r="T819" s="173"/>
      <c r="U819" s="173"/>
      <c r="V819" s="173"/>
      <c r="W819" s="173"/>
      <c r="X819" s="173"/>
      <c r="Y819" s="173"/>
    </row>
    <row r="820">
      <c r="A820" s="173"/>
      <c r="B820" s="173"/>
      <c r="C820" s="323"/>
      <c r="D820" s="324"/>
      <c r="E820" s="173"/>
      <c r="F820" s="173"/>
      <c r="G820" s="173"/>
      <c r="H820" s="173"/>
      <c r="I820" s="173"/>
      <c r="J820" s="173"/>
      <c r="K820" s="173"/>
      <c r="L820" s="173"/>
      <c r="M820" s="173"/>
      <c r="N820" s="173"/>
      <c r="O820" s="173"/>
      <c r="P820" s="173"/>
      <c r="Q820" s="173"/>
      <c r="R820" s="173"/>
      <c r="S820" s="173"/>
      <c r="T820" s="173"/>
      <c r="U820" s="173"/>
      <c r="V820" s="173"/>
      <c r="W820" s="173"/>
      <c r="X820" s="173"/>
      <c r="Y820" s="173"/>
    </row>
    <row r="821">
      <c r="A821" s="173"/>
      <c r="B821" s="173"/>
      <c r="C821" s="323"/>
      <c r="D821" s="324"/>
      <c r="E821" s="173"/>
      <c r="F821" s="173"/>
      <c r="G821" s="173"/>
      <c r="H821" s="173"/>
      <c r="I821" s="173"/>
      <c r="J821" s="173"/>
      <c r="K821" s="173"/>
      <c r="L821" s="173"/>
      <c r="M821" s="173"/>
      <c r="N821" s="173"/>
      <c r="O821" s="173"/>
      <c r="P821" s="173"/>
      <c r="Q821" s="173"/>
      <c r="R821" s="173"/>
      <c r="S821" s="173"/>
      <c r="T821" s="173"/>
      <c r="U821" s="173"/>
      <c r="V821" s="173"/>
      <c r="W821" s="173"/>
      <c r="X821" s="173"/>
      <c r="Y821" s="173"/>
    </row>
    <row r="822">
      <c r="A822" s="173"/>
      <c r="B822" s="173"/>
      <c r="C822" s="323"/>
      <c r="D822" s="324"/>
      <c r="E822" s="173"/>
      <c r="F822" s="173"/>
      <c r="G822" s="173"/>
      <c r="H822" s="173"/>
      <c r="I822" s="173"/>
      <c r="J822" s="173"/>
      <c r="K822" s="173"/>
      <c r="L822" s="173"/>
      <c r="M822" s="173"/>
      <c r="N822" s="173"/>
      <c r="O822" s="173"/>
      <c r="P822" s="173"/>
      <c r="Q822" s="173"/>
      <c r="R822" s="173"/>
      <c r="S822" s="173"/>
      <c r="T822" s="173"/>
      <c r="U822" s="173"/>
      <c r="V822" s="173"/>
      <c r="W822" s="173"/>
      <c r="X822" s="173"/>
      <c r="Y822" s="173"/>
    </row>
    <row r="823">
      <c r="A823" s="173"/>
      <c r="B823" s="173"/>
      <c r="C823" s="323"/>
      <c r="D823" s="324"/>
      <c r="E823" s="173"/>
      <c r="F823" s="173"/>
      <c r="G823" s="173"/>
      <c r="H823" s="173"/>
      <c r="I823" s="173"/>
      <c r="J823" s="173"/>
      <c r="K823" s="173"/>
      <c r="L823" s="173"/>
      <c r="M823" s="173"/>
      <c r="N823" s="173"/>
      <c r="O823" s="173"/>
      <c r="P823" s="173"/>
      <c r="Q823" s="173"/>
      <c r="R823" s="173"/>
      <c r="S823" s="173"/>
      <c r="T823" s="173"/>
      <c r="U823" s="173"/>
      <c r="V823" s="173"/>
      <c r="W823" s="173"/>
      <c r="X823" s="173"/>
      <c r="Y823" s="173"/>
    </row>
    <row r="824">
      <c r="A824" s="173"/>
      <c r="B824" s="173"/>
      <c r="C824" s="323"/>
      <c r="D824" s="324"/>
      <c r="E824" s="173"/>
      <c r="F824" s="173"/>
      <c r="G824" s="173"/>
      <c r="H824" s="173"/>
      <c r="I824" s="173"/>
      <c r="J824" s="173"/>
      <c r="K824" s="173"/>
      <c r="L824" s="173"/>
      <c r="M824" s="173"/>
      <c r="N824" s="173"/>
      <c r="O824" s="173"/>
      <c r="P824" s="173"/>
      <c r="Q824" s="173"/>
      <c r="R824" s="173"/>
      <c r="S824" s="173"/>
      <c r="T824" s="173"/>
      <c r="U824" s="173"/>
      <c r="V824" s="173"/>
      <c r="W824" s="173"/>
      <c r="X824" s="173"/>
      <c r="Y824" s="173"/>
    </row>
    <row r="825">
      <c r="A825" s="173"/>
      <c r="B825" s="173"/>
      <c r="C825" s="323"/>
      <c r="D825" s="324"/>
      <c r="E825" s="173"/>
      <c r="F825" s="173"/>
      <c r="G825" s="173"/>
      <c r="H825" s="173"/>
      <c r="I825" s="173"/>
      <c r="J825" s="173"/>
      <c r="K825" s="173"/>
      <c r="L825" s="173"/>
      <c r="M825" s="173"/>
      <c r="N825" s="173"/>
      <c r="O825" s="173"/>
      <c r="P825" s="173"/>
      <c r="Q825" s="173"/>
      <c r="R825" s="173"/>
      <c r="S825" s="173"/>
      <c r="T825" s="173"/>
      <c r="U825" s="173"/>
      <c r="V825" s="173"/>
      <c r="W825" s="173"/>
      <c r="X825" s="173"/>
      <c r="Y825" s="173"/>
    </row>
    <row r="826">
      <c r="A826" s="173"/>
      <c r="B826" s="173"/>
      <c r="C826" s="323"/>
      <c r="D826" s="324"/>
      <c r="E826" s="173"/>
      <c r="F826" s="173"/>
      <c r="G826" s="173"/>
      <c r="H826" s="173"/>
      <c r="I826" s="173"/>
      <c r="J826" s="173"/>
      <c r="K826" s="173"/>
      <c r="L826" s="173"/>
      <c r="M826" s="173"/>
      <c r="N826" s="173"/>
      <c r="O826" s="173"/>
      <c r="P826" s="173"/>
      <c r="Q826" s="173"/>
      <c r="R826" s="173"/>
      <c r="S826" s="173"/>
      <c r="T826" s="173"/>
      <c r="U826" s="173"/>
      <c r="V826" s="173"/>
      <c r="W826" s="173"/>
      <c r="X826" s="173"/>
      <c r="Y826" s="173"/>
    </row>
    <row r="827">
      <c r="A827" s="173"/>
      <c r="B827" s="173"/>
      <c r="C827" s="323"/>
      <c r="D827" s="324"/>
      <c r="E827" s="173"/>
      <c r="F827" s="173"/>
      <c r="G827" s="173"/>
      <c r="H827" s="173"/>
      <c r="I827" s="173"/>
      <c r="J827" s="173"/>
      <c r="K827" s="173"/>
      <c r="L827" s="173"/>
      <c r="M827" s="173"/>
      <c r="N827" s="173"/>
      <c r="O827" s="173"/>
      <c r="P827" s="173"/>
      <c r="Q827" s="173"/>
      <c r="R827" s="173"/>
      <c r="S827" s="173"/>
      <c r="T827" s="173"/>
      <c r="U827" s="173"/>
      <c r="V827" s="173"/>
      <c r="W827" s="173"/>
      <c r="X827" s="173"/>
      <c r="Y827" s="173"/>
    </row>
    <row r="828">
      <c r="A828" s="173"/>
      <c r="B828" s="173"/>
      <c r="C828" s="323"/>
      <c r="D828" s="324"/>
      <c r="E828" s="173"/>
      <c r="F828" s="173"/>
      <c r="G828" s="173"/>
      <c r="H828" s="173"/>
      <c r="I828" s="173"/>
      <c r="J828" s="173"/>
      <c r="K828" s="173"/>
      <c r="L828" s="173"/>
      <c r="M828" s="173"/>
      <c r="N828" s="173"/>
      <c r="O828" s="173"/>
      <c r="P828" s="173"/>
      <c r="Q828" s="173"/>
      <c r="R828" s="173"/>
      <c r="S828" s="173"/>
      <c r="T828" s="173"/>
      <c r="U828" s="173"/>
      <c r="V828" s="173"/>
      <c r="W828" s="173"/>
      <c r="X828" s="173"/>
      <c r="Y828" s="173"/>
    </row>
    <row r="829">
      <c r="A829" s="173"/>
      <c r="B829" s="173"/>
      <c r="C829" s="323"/>
      <c r="D829" s="324"/>
      <c r="E829" s="173"/>
      <c r="F829" s="173"/>
      <c r="G829" s="173"/>
      <c r="H829" s="173"/>
      <c r="I829" s="173"/>
      <c r="J829" s="173"/>
      <c r="K829" s="173"/>
      <c r="L829" s="173"/>
      <c r="M829" s="173"/>
      <c r="N829" s="173"/>
      <c r="O829" s="173"/>
      <c r="P829" s="173"/>
      <c r="Q829" s="173"/>
      <c r="R829" s="173"/>
      <c r="S829" s="173"/>
      <c r="T829" s="173"/>
      <c r="U829" s="173"/>
      <c r="V829" s="173"/>
      <c r="W829" s="173"/>
      <c r="X829" s="173"/>
      <c r="Y829" s="173"/>
    </row>
    <row r="830">
      <c r="A830" s="173"/>
      <c r="B830" s="173"/>
      <c r="C830" s="323"/>
      <c r="D830" s="324"/>
      <c r="E830" s="173"/>
      <c r="F830" s="173"/>
      <c r="G830" s="173"/>
      <c r="H830" s="173"/>
      <c r="I830" s="173"/>
      <c r="J830" s="173"/>
      <c r="K830" s="173"/>
      <c r="L830" s="173"/>
      <c r="M830" s="173"/>
      <c r="N830" s="173"/>
      <c r="O830" s="173"/>
      <c r="P830" s="173"/>
      <c r="Q830" s="173"/>
      <c r="R830" s="173"/>
      <c r="S830" s="173"/>
      <c r="T830" s="173"/>
      <c r="U830" s="173"/>
      <c r="V830" s="173"/>
      <c r="W830" s="173"/>
      <c r="X830" s="173"/>
      <c r="Y830" s="173"/>
    </row>
    <row r="831">
      <c r="A831" s="173"/>
      <c r="B831" s="173"/>
      <c r="C831" s="323"/>
      <c r="D831" s="324"/>
      <c r="E831" s="173"/>
      <c r="F831" s="173"/>
      <c r="G831" s="173"/>
      <c r="H831" s="173"/>
      <c r="I831" s="173"/>
      <c r="J831" s="173"/>
      <c r="K831" s="173"/>
      <c r="L831" s="173"/>
      <c r="M831" s="173"/>
      <c r="N831" s="173"/>
      <c r="O831" s="173"/>
      <c r="P831" s="173"/>
      <c r="Q831" s="173"/>
      <c r="R831" s="173"/>
      <c r="S831" s="173"/>
      <c r="T831" s="173"/>
      <c r="U831" s="173"/>
      <c r="V831" s="173"/>
      <c r="W831" s="173"/>
      <c r="X831" s="173"/>
      <c r="Y831" s="173"/>
    </row>
    <row r="832">
      <c r="A832" s="173"/>
      <c r="B832" s="173"/>
      <c r="C832" s="323"/>
      <c r="D832" s="324"/>
      <c r="E832" s="173"/>
      <c r="F832" s="173"/>
      <c r="G832" s="173"/>
      <c r="H832" s="173"/>
      <c r="I832" s="173"/>
      <c r="J832" s="173"/>
      <c r="K832" s="173"/>
      <c r="L832" s="173"/>
      <c r="M832" s="173"/>
      <c r="N832" s="173"/>
      <c r="O832" s="173"/>
      <c r="P832" s="173"/>
      <c r="Q832" s="173"/>
      <c r="R832" s="173"/>
      <c r="S832" s="173"/>
      <c r="T832" s="173"/>
      <c r="U832" s="173"/>
      <c r="V832" s="173"/>
      <c r="W832" s="173"/>
      <c r="X832" s="173"/>
      <c r="Y832" s="173"/>
    </row>
    <row r="833">
      <c r="A833" s="173"/>
      <c r="B833" s="173"/>
      <c r="C833" s="323"/>
      <c r="D833" s="324"/>
      <c r="E833" s="173"/>
      <c r="F833" s="173"/>
      <c r="G833" s="173"/>
      <c r="H833" s="173"/>
      <c r="I833" s="173"/>
      <c r="J833" s="173"/>
      <c r="K833" s="173"/>
      <c r="L833" s="173"/>
      <c r="M833" s="173"/>
      <c r="N833" s="173"/>
      <c r="O833" s="173"/>
      <c r="P833" s="173"/>
      <c r="Q833" s="173"/>
      <c r="R833" s="173"/>
      <c r="S833" s="173"/>
      <c r="T833" s="173"/>
      <c r="U833" s="173"/>
      <c r="V833" s="173"/>
      <c r="W833" s="173"/>
      <c r="X833" s="173"/>
      <c r="Y833" s="173"/>
    </row>
    <row r="834">
      <c r="A834" s="173"/>
      <c r="B834" s="173"/>
      <c r="C834" s="323"/>
      <c r="D834" s="324"/>
      <c r="E834" s="173"/>
      <c r="F834" s="173"/>
      <c r="G834" s="173"/>
      <c r="H834" s="173"/>
      <c r="I834" s="173"/>
      <c r="J834" s="173"/>
      <c r="K834" s="173"/>
      <c r="L834" s="173"/>
      <c r="M834" s="173"/>
      <c r="N834" s="173"/>
      <c r="O834" s="173"/>
      <c r="P834" s="173"/>
      <c r="Q834" s="173"/>
      <c r="R834" s="173"/>
      <c r="S834" s="173"/>
      <c r="T834" s="173"/>
      <c r="U834" s="173"/>
      <c r="V834" s="173"/>
      <c r="W834" s="173"/>
      <c r="X834" s="173"/>
      <c r="Y834" s="173"/>
    </row>
    <row r="835">
      <c r="A835" s="173"/>
      <c r="B835" s="173"/>
      <c r="C835" s="323"/>
      <c r="D835" s="324"/>
      <c r="E835" s="173"/>
      <c r="F835" s="173"/>
      <c r="G835" s="173"/>
      <c r="H835" s="173"/>
      <c r="I835" s="173"/>
      <c r="J835" s="173"/>
      <c r="K835" s="173"/>
      <c r="L835" s="173"/>
      <c r="M835" s="173"/>
      <c r="N835" s="173"/>
      <c r="O835" s="173"/>
      <c r="P835" s="173"/>
      <c r="Q835" s="173"/>
      <c r="R835" s="173"/>
      <c r="S835" s="173"/>
      <c r="T835" s="173"/>
      <c r="U835" s="173"/>
      <c r="V835" s="173"/>
      <c r="W835" s="173"/>
      <c r="X835" s="173"/>
      <c r="Y835" s="173"/>
    </row>
    <row r="836">
      <c r="A836" s="173"/>
      <c r="B836" s="173"/>
      <c r="C836" s="323"/>
      <c r="D836" s="324"/>
      <c r="E836" s="173"/>
      <c r="F836" s="173"/>
      <c r="G836" s="173"/>
      <c r="H836" s="173"/>
      <c r="I836" s="173"/>
      <c r="J836" s="173"/>
      <c r="K836" s="173"/>
      <c r="L836" s="173"/>
      <c r="M836" s="173"/>
      <c r="N836" s="173"/>
      <c r="O836" s="173"/>
      <c r="P836" s="173"/>
      <c r="Q836" s="173"/>
      <c r="R836" s="173"/>
      <c r="S836" s="173"/>
      <c r="T836" s="173"/>
      <c r="U836" s="173"/>
      <c r="V836" s="173"/>
      <c r="W836" s="173"/>
      <c r="X836" s="173"/>
      <c r="Y836" s="173"/>
    </row>
    <row r="837">
      <c r="A837" s="173"/>
      <c r="B837" s="173"/>
      <c r="C837" s="323"/>
      <c r="D837" s="324"/>
      <c r="E837" s="173"/>
      <c r="F837" s="173"/>
      <c r="G837" s="173"/>
      <c r="H837" s="173"/>
      <c r="I837" s="173"/>
      <c r="J837" s="173"/>
      <c r="K837" s="173"/>
      <c r="L837" s="173"/>
      <c r="M837" s="173"/>
      <c r="N837" s="173"/>
      <c r="O837" s="173"/>
      <c r="P837" s="173"/>
      <c r="Q837" s="173"/>
      <c r="R837" s="173"/>
      <c r="S837" s="173"/>
      <c r="T837" s="173"/>
      <c r="U837" s="173"/>
      <c r="V837" s="173"/>
      <c r="W837" s="173"/>
      <c r="X837" s="173"/>
      <c r="Y837" s="173"/>
    </row>
    <row r="838">
      <c r="A838" s="173"/>
      <c r="B838" s="173"/>
      <c r="C838" s="323"/>
      <c r="D838" s="324"/>
      <c r="E838" s="173"/>
      <c r="F838" s="173"/>
      <c r="G838" s="173"/>
      <c r="H838" s="173"/>
      <c r="I838" s="173"/>
      <c r="J838" s="173"/>
      <c r="K838" s="173"/>
      <c r="L838" s="173"/>
      <c r="M838" s="173"/>
      <c r="N838" s="173"/>
      <c r="O838" s="173"/>
      <c r="P838" s="173"/>
      <c r="Q838" s="173"/>
      <c r="R838" s="173"/>
      <c r="S838" s="173"/>
      <c r="T838" s="173"/>
      <c r="U838" s="173"/>
      <c r="V838" s="173"/>
      <c r="W838" s="173"/>
      <c r="X838" s="173"/>
      <c r="Y838" s="173"/>
    </row>
    <row r="839">
      <c r="A839" s="173"/>
      <c r="B839" s="173"/>
      <c r="C839" s="323"/>
      <c r="D839" s="324"/>
      <c r="E839" s="173"/>
      <c r="F839" s="173"/>
      <c r="G839" s="173"/>
      <c r="H839" s="173"/>
      <c r="I839" s="173"/>
      <c r="J839" s="173"/>
      <c r="K839" s="173"/>
      <c r="L839" s="173"/>
      <c r="M839" s="173"/>
      <c r="N839" s="173"/>
      <c r="O839" s="173"/>
      <c r="P839" s="173"/>
      <c r="Q839" s="173"/>
      <c r="R839" s="173"/>
      <c r="S839" s="173"/>
      <c r="T839" s="173"/>
      <c r="U839" s="173"/>
      <c r="V839" s="173"/>
      <c r="W839" s="173"/>
      <c r="X839" s="173"/>
      <c r="Y839" s="173"/>
    </row>
    <row r="840">
      <c r="A840" s="173"/>
      <c r="B840" s="173"/>
      <c r="C840" s="323"/>
      <c r="D840" s="324"/>
      <c r="E840" s="173"/>
      <c r="F840" s="173"/>
      <c r="G840" s="173"/>
      <c r="H840" s="173"/>
      <c r="I840" s="173"/>
      <c r="J840" s="173"/>
      <c r="K840" s="173"/>
      <c r="L840" s="173"/>
      <c r="M840" s="173"/>
      <c r="N840" s="173"/>
      <c r="O840" s="173"/>
      <c r="P840" s="173"/>
      <c r="Q840" s="173"/>
      <c r="R840" s="173"/>
      <c r="S840" s="173"/>
      <c r="T840" s="173"/>
      <c r="U840" s="173"/>
      <c r="V840" s="173"/>
      <c r="W840" s="173"/>
      <c r="X840" s="173"/>
      <c r="Y840" s="173"/>
    </row>
    <row r="841">
      <c r="A841" s="173"/>
      <c r="B841" s="173"/>
      <c r="C841" s="323"/>
      <c r="D841" s="324"/>
      <c r="E841" s="173"/>
      <c r="F841" s="173"/>
      <c r="G841" s="173"/>
      <c r="H841" s="173"/>
      <c r="I841" s="173"/>
      <c r="J841" s="173"/>
      <c r="K841" s="173"/>
      <c r="L841" s="173"/>
      <c r="M841" s="173"/>
      <c r="N841" s="173"/>
      <c r="O841" s="173"/>
      <c r="P841" s="173"/>
      <c r="Q841" s="173"/>
      <c r="R841" s="173"/>
      <c r="S841" s="173"/>
      <c r="T841" s="173"/>
      <c r="U841" s="173"/>
      <c r="V841" s="173"/>
      <c r="W841" s="173"/>
      <c r="X841" s="173"/>
      <c r="Y841" s="173"/>
    </row>
    <row r="842">
      <c r="A842" s="173"/>
      <c r="B842" s="173"/>
      <c r="C842" s="323"/>
      <c r="D842" s="324"/>
      <c r="E842" s="173"/>
      <c r="F842" s="173"/>
      <c r="G842" s="173"/>
      <c r="H842" s="173"/>
      <c r="I842" s="173"/>
      <c r="J842" s="173"/>
      <c r="K842" s="173"/>
      <c r="L842" s="173"/>
      <c r="M842" s="173"/>
      <c r="N842" s="173"/>
      <c r="O842" s="173"/>
      <c r="P842" s="173"/>
      <c r="Q842" s="173"/>
      <c r="R842" s="173"/>
      <c r="S842" s="173"/>
      <c r="T842" s="173"/>
      <c r="U842" s="173"/>
      <c r="V842" s="173"/>
      <c r="W842" s="173"/>
      <c r="X842" s="173"/>
      <c r="Y842" s="173"/>
    </row>
    <row r="843">
      <c r="A843" s="173"/>
      <c r="B843" s="173"/>
      <c r="C843" s="323"/>
      <c r="D843" s="324"/>
      <c r="E843" s="173"/>
      <c r="F843" s="173"/>
      <c r="G843" s="173"/>
      <c r="H843" s="173"/>
      <c r="I843" s="173"/>
      <c r="J843" s="173"/>
      <c r="K843" s="173"/>
      <c r="L843" s="173"/>
      <c r="M843" s="173"/>
      <c r="N843" s="173"/>
      <c r="O843" s="173"/>
      <c r="P843" s="173"/>
      <c r="Q843" s="173"/>
      <c r="R843" s="173"/>
      <c r="S843" s="173"/>
      <c r="T843" s="173"/>
      <c r="U843" s="173"/>
      <c r="V843" s="173"/>
      <c r="W843" s="173"/>
      <c r="X843" s="173"/>
      <c r="Y843" s="173"/>
    </row>
    <row r="844">
      <c r="A844" s="173"/>
      <c r="B844" s="173"/>
      <c r="C844" s="323"/>
      <c r="D844" s="324"/>
      <c r="E844" s="173"/>
      <c r="F844" s="173"/>
      <c r="G844" s="173"/>
      <c r="H844" s="173"/>
      <c r="I844" s="173"/>
      <c r="J844" s="173"/>
      <c r="K844" s="173"/>
      <c r="L844" s="173"/>
      <c r="M844" s="173"/>
      <c r="N844" s="173"/>
      <c r="O844" s="173"/>
      <c r="P844" s="173"/>
      <c r="Q844" s="173"/>
      <c r="R844" s="173"/>
      <c r="S844" s="173"/>
      <c r="T844" s="173"/>
      <c r="U844" s="173"/>
      <c r="V844" s="173"/>
      <c r="W844" s="173"/>
      <c r="X844" s="173"/>
      <c r="Y844" s="173"/>
    </row>
    <row r="845">
      <c r="A845" s="173"/>
      <c r="B845" s="173"/>
      <c r="C845" s="323"/>
      <c r="D845" s="324"/>
      <c r="E845" s="173"/>
      <c r="F845" s="173"/>
      <c r="G845" s="173"/>
      <c r="H845" s="173"/>
      <c r="I845" s="173"/>
      <c r="J845" s="173"/>
      <c r="K845" s="173"/>
      <c r="L845" s="173"/>
      <c r="M845" s="173"/>
      <c r="N845" s="173"/>
      <c r="O845" s="173"/>
      <c r="P845" s="173"/>
      <c r="Q845" s="173"/>
      <c r="R845" s="173"/>
      <c r="S845" s="173"/>
      <c r="T845" s="173"/>
      <c r="U845" s="173"/>
      <c r="V845" s="173"/>
      <c r="W845" s="173"/>
      <c r="X845" s="173"/>
      <c r="Y845" s="173"/>
    </row>
    <row r="846">
      <c r="A846" s="173"/>
      <c r="B846" s="173"/>
      <c r="C846" s="323"/>
      <c r="D846" s="324"/>
      <c r="E846" s="173"/>
      <c r="F846" s="173"/>
      <c r="G846" s="173"/>
      <c r="H846" s="173"/>
      <c r="I846" s="173"/>
      <c r="J846" s="173"/>
      <c r="K846" s="173"/>
      <c r="L846" s="173"/>
      <c r="M846" s="173"/>
      <c r="N846" s="173"/>
      <c r="O846" s="173"/>
      <c r="P846" s="173"/>
      <c r="Q846" s="173"/>
      <c r="R846" s="173"/>
      <c r="S846" s="173"/>
      <c r="T846" s="173"/>
      <c r="U846" s="173"/>
      <c r="V846" s="173"/>
      <c r="W846" s="173"/>
      <c r="X846" s="173"/>
      <c r="Y846" s="173"/>
    </row>
    <row r="847">
      <c r="A847" s="173"/>
      <c r="B847" s="173"/>
      <c r="C847" s="323"/>
      <c r="D847" s="324"/>
      <c r="E847" s="173"/>
      <c r="F847" s="173"/>
      <c r="G847" s="173"/>
      <c r="H847" s="173"/>
      <c r="I847" s="173"/>
      <c r="J847" s="173"/>
      <c r="K847" s="173"/>
      <c r="L847" s="173"/>
      <c r="M847" s="173"/>
      <c r="N847" s="173"/>
      <c r="O847" s="173"/>
      <c r="P847" s="173"/>
      <c r="Q847" s="173"/>
      <c r="R847" s="173"/>
      <c r="S847" s="173"/>
      <c r="T847" s="173"/>
      <c r="U847" s="173"/>
      <c r="V847" s="173"/>
      <c r="W847" s="173"/>
      <c r="X847" s="173"/>
      <c r="Y847" s="173"/>
    </row>
    <row r="848">
      <c r="A848" s="173"/>
      <c r="B848" s="173"/>
      <c r="C848" s="323"/>
      <c r="D848" s="324"/>
      <c r="E848" s="173"/>
      <c r="F848" s="173"/>
      <c r="G848" s="173"/>
      <c r="H848" s="173"/>
      <c r="I848" s="173"/>
      <c r="J848" s="173"/>
      <c r="K848" s="173"/>
      <c r="L848" s="173"/>
      <c r="M848" s="173"/>
      <c r="N848" s="173"/>
      <c r="O848" s="173"/>
      <c r="P848" s="173"/>
      <c r="Q848" s="173"/>
      <c r="R848" s="173"/>
      <c r="S848" s="173"/>
      <c r="T848" s="173"/>
      <c r="U848" s="173"/>
      <c r="V848" s="173"/>
      <c r="W848" s="173"/>
      <c r="X848" s="173"/>
      <c r="Y848" s="173"/>
    </row>
    <row r="849">
      <c r="A849" s="173"/>
      <c r="B849" s="173"/>
      <c r="C849" s="323"/>
      <c r="D849" s="324"/>
      <c r="E849" s="173"/>
      <c r="F849" s="173"/>
      <c r="G849" s="173"/>
      <c r="H849" s="173"/>
      <c r="I849" s="173"/>
      <c r="J849" s="173"/>
      <c r="K849" s="173"/>
      <c r="L849" s="173"/>
      <c r="M849" s="173"/>
      <c r="N849" s="173"/>
      <c r="O849" s="173"/>
      <c r="P849" s="173"/>
      <c r="Q849" s="173"/>
      <c r="R849" s="173"/>
      <c r="S849" s="173"/>
      <c r="T849" s="173"/>
      <c r="U849" s="173"/>
      <c r="V849" s="173"/>
      <c r="W849" s="173"/>
      <c r="X849" s="173"/>
      <c r="Y849" s="173"/>
    </row>
    <row r="850">
      <c r="A850" s="173"/>
      <c r="B850" s="173"/>
      <c r="C850" s="323"/>
      <c r="D850" s="324"/>
      <c r="E850" s="173"/>
      <c r="F850" s="173"/>
      <c r="G850" s="173"/>
      <c r="H850" s="173"/>
      <c r="I850" s="173"/>
      <c r="J850" s="173"/>
      <c r="K850" s="173"/>
      <c r="L850" s="173"/>
      <c r="M850" s="173"/>
      <c r="N850" s="173"/>
      <c r="O850" s="173"/>
      <c r="P850" s="173"/>
      <c r="Q850" s="173"/>
      <c r="R850" s="173"/>
      <c r="S850" s="173"/>
      <c r="T850" s="173"/>
      <c r="U850" s="173"/>
      <c r="V850" s="173"/>
      <c r="W850" s="173"/>
      <c r="X850" s="173"/>
      <c r="Y850" s="173"/>
    </row>
    <row r="851">
      <c r="A851" s="173"/>
      <c r="B851" s="173"/>
      <c r="C851" s="323"/>
      <c r="D851" s="324"/>
      <c r="E851" s="173"/>
      <c r="F851" s="173"/>
      <c r="G851" s="173"/>
      <c r="H851" s="173"/>
      <c r="I851" s="173"/>
      <c r="J851" s="173"/>
      <c r="K851" s="173"/>
      <c r="L851" s="173"/>
      <c r="M851" s="173"/>
      <c r="N851" s="173"/>
      <c r="O851" s="173"/>
      <c r="P851" s="173"/>
      <c r="Q851" s="173"/>
      <c r="R851" s="173"/>
      <c r="S851" s="173"/>
      <c r="T851" s="173"/>
      <c r="U851" s="173"/>
      <c r="V851" s="173"/>
      <c r="W851" s="173"/>
      <c r="X851" s="173"/>
      <c r="Y851" s="173"/>
    </row>
    <row r="852">
      <c r="A852" s="173"/>
      <c r="B852" s="173"/>
      <c r="C852" s="323"/>
      <c r="D852" s="324"/>
      <c r="E852" s="173"/>
      <c r="F852" s="173"/>
      <c r="G852" s="173"/>
      <c r="H852" s="173"/>
      <c r="I852" s="173"/>
      <c r="J852" s="173"/>
      <c r="K852" s="173"/>
      <c r="L852" s="173"/>
      <c r="M852" s="173"/>
      <c r="N852" s="173"/>
      <c r="O852" s="173"/>
      <c r="P852" s="173"/>
      <c r="Q852" s="173"/>
      <c r="R852" s="173"/>
      <c r="S852" s="173"/>
      <c r="T852" s="173"/>
      <c r="U852" s="173"/>
      <c r="V852" s="173"/>
      <c r="W852" s="173"/>
      <c r="X852" s="173"/>
      <c r="Y852" s="173"/>
    </row>
    <row r="853">
      <c r="A853" s="173"/>
      <c r="B853" s="173"/>
      <c r="C853" s="323"/>
      <c r="D853" s="324"/>
      <c r="E853" s="173"/>
      <c r="F853" s="173"/>
      <c r="G853" s="173"/>
      <c r="H853" s="173"/>
      <c r="I853" s="173"/>
      <c r="J853" s="173"/>
      <c r="K853" s="173"/>
      <c r="L853" s="173"/>
      <c r="M853" s="173"/>
      <c r="N853" s="173"/>
      <c r="O853" s="173"/>
      <c r="P853" s="173"/>
      <c r="Q853" s="173"/>
      <c r="R853" s="173"/>
      <c r="S853" s="173"/>
      <c r="T853" s="173"/>
      <c r="U853" s="173"/>
      <c r="V853" s="173"/>
      <c r="W853" s="173"/>
      <c r="X853" s="173"/>
      <c r="Y853" s="173"/>
    </row>
    <row r="854">
      <c r="A854" s="173"/>
      <c r="B854" s="173"/>
      <c r="C854" s="323"/>
      <c r="D854" s="324"/>
      <c r="E854" s="173"/>
      <c r="F854" s="173"/>
      <c r="G854" s="173"/>
      <c r="H854" s="173"/>
      <c r="I854" s="173"/>
      <c r="J854" s="173"/>
      <c r="K854" s="173"/>
      <c r="L854" s="173"/>
      <c r="M854" s="173"/>
      <c r="N854" s="173"/>
      <c r="O854" s="173"/>
      <c r="P854" s="173"/>
      <c r="Q854" s="173"/>
      <c r="R854" s="173"/>
      <c r="S854" s="173"/>
      <c r="T854" s="173"/>
      <c r="U854" s="173"/>
      <c r="V854" s="173"/>
      <c r="W854" s="173"/>
      <c r="X854" s="173"/>
      <c r="Y854" s="173"/>
    </row>
    <row r="855">
      <c r="A855" s="173"/>
      <c r="B855" s="173"/>
      <c r="C855" s="323"/>
      <c r="D855" s="324"/>
      <c r="E855" s="173"/>
      <c r="F855" s="173"/>
      <c r="G855" s="173"/>
      <c r="H855" s="173"/>
      <c r="I855" s="173"/>
      <c r="J855" s="173"/>
      <c r="K855" s="173"/>
      <c r="L855" s="173"/>
      <c r="M855" s="173"/>
      <c r="N855" s="173"/>
      <c r="O855" s="173"/>
      <c r="P855" s="173"/>
      <c r="Q855" s="173"/>
      <c r="R855" s="173"/>
      <c r="S855" s="173"/>
      <c r="T855" s="173"/>
      <c r="U855" s="173"/>
      <c r="V855" s="173"/>
      <c r="W855" s="173"/>
      <c r="X855" s="173"/>
      <c r="Y855" s="173"/>
    </row>
    <row r="856">
      <c r="A856" s="173"/>
      <c r="B856" s="173"/>
      <c r="C856" s="323"/>
      <c r="D856" s="324"/>
      <c r="E856" s="173"/>
      <c r="F856" s="173"/>
      <c r="G856" s="173"/>
      <c r="H856" s="173"/>
      <c r="I856" s="173"/>
      <c r="J856" s="173"/>
      <c r="K856" s="173"/>
      <c r="L856" s="173"/>
      <c r="M856" s="173"/>
      <c r="N856" s="173"/>
      <c r="O856" s="173"/>
      <c r="P856" s="173"/>
      <c r="Q856" s="173"/>
      <c r="R856" s="173"/>
      <c r="S856" s="173"/>
      <c r="T856" s="173"/>
      <c r="U856" s="173"/>
      <c r="V856" s="173"/>
      <c r="W856" s="173"/>
      <c r="X856" s="173"/>
      <c r="Y856" s="173"/>
    </row>
    <row r="857">
      <c r="A857" s="173"/>
      <c r="B857" s="173"/>
      <c r="C857" s="323"/>
      <c r="D857" s="324"/>
      <c r="E857" s="173"/>
      <c r="F857" s="173"/>
      <c r="G857" s="173"/>
      <c r="H857" s="173"/>
      <c r="I857" s="173"/>
      <c r="J857" s="173"/>
      <c r="K857" s="173"/>
      <c r="L857" s="173"/>
      <c r="M857" s="173"/>
      <c r="N857" s="173"/>
      <c r="O857" s="173"/>
      <c r="P857" s="173"/>
      <c r="Q857" s="173"/>
      <c r="R857" s="173"/>
      <c r="S857" s="173"/>
      <c r="T857" s="173"/>
      <c r="U857" s="173"/>
      <c r="V857" s="173"/>
      <c r="W857" s="173"/>
      <c r="X857" s="173"/>
      <c r="Y857" s="173"/>
    </row>
    <row r="858">
      <c r="A858" s="173"/>
      <c r="B858" s="173"/>
      <c r="C858" s="323"/>
      <c r="D858" s="324"/>
      <c r="E858" s="173"/>
      <c r="F858" s="173"/>
      <c r="G858" s="173"/>
      <c r="H858" s="173"/>
      <c r="I858" s="173"/>
      <c r="J858" s="173"/>
      <c r="K858" s="173"/>
      <c r="L858" s="173"/>
      <c r="M858" s="173"/>
      <c r="N858" s="173"/>
      <c r="O858" s="173"/>
      <c r="P858" s="173"/>
      <c r="Q858" s="173"/>
      <c r="R858" s="173"/>
      <c r="S858" s="173"/>
      <c r="T858" s="173"/>
      <c r="U858" s="173"/>
      <c r="V858" s="173"/>
      <c r="W858" s="173"/>
      <c r="X858" s="173"/>
      <c r="Y858" s="173"/>
    </row>
    <row r="859">
      <c r="A859" s="173"/>
      <c r="B859" s="173"/>
      <c r="C859" s="323"/>
      <c r="D859" s="324"/>
      <c r="E859" s="173"/>
      <c r="F859" s="173"/>
      <c r="G859" s="173"/>
      <c r="H859" s="173"/>
      <c r="I859" s="173"/>
      <c r="J859" s="173"/>
      <c r="K859" s="173"/>
      <c r="L859" s="173"/>
      <c r="M859" s="173"/>
      <c r="N859" s="173"/>
      <c r="O859" s="173"/>
      <c r="P859" s="173"/>
      <c r="Q859" s="173"/>
      <c r="R859" s="173"/>
      <c r="S859" s="173"/>
      <c r="T859" s="173"/>
      <c r="U859" s="173"/>
      <c r="V859" s="173"/>
      <c r="W859" s="173"/>
      <c r="X859" s="173"/>
      <c r="Y859" s="173"/>
    </row>
    <row r="860">
      <c r="A860" s="173"/>
      <c r="B860" s="173"/>
      <c r="C860" s="323"/>
      <c r="D860" s="324"/>
      <c r="E860" s="173"/>
      <c r="F860" s="173"/>
      <c r="G860" s="173"/>
      <c r="H860" s="173"/>
      <c r="I860" s="173"/>
      <c r="J860" s="173"/>
      <c r="K860" s="173"/>
      <c r="L860" s="173"/>
      <c r="M860" s="173"/>
      <c r="N860" s="173"/>
      <c r="O860" s="173"/>
      <c r="P860" s="173"/>
      <c r="Q860" s="173"/>
      <c r="R860" s="173"/>
      <c r="S860" s="173"/>
      <c r="T860" s="173"/>
      <c r="U860" s="173"/>
      <c r="V860" s="173"/>
      <c r="W860" s="173"/>
      <c r="X860" s="173"/>
      <c r="Y860" s="173"/>
    </row>
    <row r="861">
      <c r="A861" s="173"/>
      <c r="B861" s="173"/>
      <c r="C861" s="323"/>
      <c r="D861" s="324"/>
      <c r="E861" s="173"/>
      <c r="F861" s="173"/>
      <c r="G861" s="173"/>
      <c r="H861" s="173"/>
      <c r="I861" s="173"/>
      <c r="J861" s="173"/>
      <c r="K861" s="173"/>
      <c r="L861" s="173"/>
      <c r="M861" s="173"/>
      <c r="N861" s="173"/>
      <c r="O861" s="173"/>
      <c r="P861" s="173"/>
      <c r="Q861" s="173"/>
      <c r="R861" s="173"/>
      <c r="S861" s="173"/>
      <c r="T861" s="173"/>
      <c r="U861" s="173"/>
      <c r="V861" s="173"/>
      <c r="W861" s="173"/>
      <c r="X861" s="173"/>
      <c r="Y861" s="173"/>
    </row>
    <row r="862">
      <c r="A862" s="173"/>
      <c r="B862" s="173"/>
      <c r="C862" s="323"/>
      <c r="D862" s="324"/>
      <c r="E862" s="173"/>
      <c r="F862" s="173"/>
      <c r="G862" s="173"/>
      <c r="H862" s="173"/>
      <c r="I862" s="173"/>
      <c r="J862" s="173"/>
      <c r="K862" s="173"/>
      <c r="L862" s="173"/>
      <c r="M862" s="173"/>
      <c r="N862" s="173"/>
      <c r="O862" s="173"/>
      <c r="P862" s="173"/>
      <c r="Q862" s="173"/>
      <c r="R862" s="173"/>
      <c r="S862" s="173"/>
      <c r="T862" s="173"/>
      <c r="U862" s="173"/>
      <c r="V862" s="173"/>
      <c r="W862" s="173"/>
      <c r="X862" s="173"/>
      <c r="Y862" s="173"/>
    </row>
    <row r="863">
      <c r="A863" s="173"/>
      <c r="B863" s="173"/>
      <c r="C863" s="323"/>
      <c r="D863" s="324"/>
      <c r="E863" s="173"/>
      <c r="F863" s="173"/>
      <c r="G863" s="173"/>
      <c r="H863" s="173"/>
      <c r="I863" s="173"/>
      <c r="J863" s="173"/>
      <c r="K863" s="173"/>
      <c r="L863" s="173"/>
      <c r="M863" s="173"/>
      <c r="N863" s="173"/>
      <c r="O863" s="173"/>
      <c r="P863" s="173"/>
      <c r="Q863" s="173"/>
      <c r="R863" s="173"/>
      <c r="S863" s="173"/>
      <c r="T863" s="173"/>
      <c r="U863" s="173"/>
      <c r="V863" s="173"/>
      <c r="W863" s="173"/>
      <c r="X863" s="173"/>
      <c r="Y863" s="173"/>
    </row>
    <row r="864">
      <c r="A864" s="173"/>
      <c r="B864" s="173"/>
      <c r="C864" s="323"/>
      <c r="D864" s="324"/>
      <c r="E864" s="173"/>
      <c r="F864" s="173"/>
      <c r="G864" s="173"/>
      <c r="H864" s="173"/>
      <c r="I864" s="173"/>
      <c r="J864" s="173"/>
      <c r="K864" s="173"/>
      <c r="L864" s="173"/>
      <c r="M864" s="173"/>
      <c r="N864" s="173"/>
      <c r="O864" s="173"/>
      <c r="P864" s="173"/>
      <c r="Q864" s="173"/>
      <c r="R864" s="173"/>
      <c r="S864" s="173"/>
      <c r="T864" s="173"/>
      <c r="U864" s="173"/>
      <c r="V864" s="173"/>
      <c r="W864" s="173"/>
      <c r="X864" s="173"/>
      <c r="Y864" s="173"/>
    </row>
    <row r="865">
      <c r="A865" s="173"/>
      <c r="B865" s="173"/>
      <c r="C865" s="323"/>
      <c r="D865" s="324"/>
      <c r="E865" s="173"/>
      <c r="F865" s="173"/>
      <c r="G865" s="173"/>
      <c r="H865" s="173"/>
      <c r="I865" s="173"/>
      <c r="J865" s="173"/>
      <c r="K865" s="173"/>
      <c r="L865" s="173"/>
      <c r="M865" s="173"/>
      <c r="N865" s="173"/>
      <c r="O865" s="173"/>
      <c r="P865" s="173"/>
      <c r="Q865" s="173"/>
      <c r="R865" s="173"/>
      <c r="S865" s="173"/>
      <c r="T865" s="173"/>
      <c r="U865" s="173"/>
      <c r="V865" s="173"/>
      <c r="W865" s="173"/>
      <c r="X865" s="173"/>
      <c r="Y865" s="173"/>
    </row>
    <row r="866">
      <c r="A866" s="173"/>
      <c r="B866" s="173"/>
      <c r="C866" s="323"/>
      <c r="D866" s="324"/>
      <c r="E866" s="173"/>
      <c r="F866" s="173"/>
      <c r="G866" s="173"/>
      <c r="H866" s="173"/>
      <c r="I866" s="173"/>
      <c r="J866" s="173"/>
      <c r="K866" s="173"/>
      <c r="L866" s="173"/>
      <c r="M866" s="173"/>
      <c r="N866" s="173"/>
      <c r="O866" s="173"/>
      <c r="P866" s="173"/>
      <c r="Q866" s="173"/>
      <c r="R866" s="173"/>
      <c r="S866" s="173"/>
      <c r="T866" s="173"/>
      <c r="U866" s="173"/>
      <c r="V866" s="173"/>
      <c r="W866" s="173"/>
      <c r="X866" s="173"/>
      <c r="Y866" s="173"/>
    </row>
    <row r="867">
      <c r="A867" s="173"/>
      <c r="B867" s="173"/>
      <c r="C867" s="323"/>
      <c r="D867" s="324"/>
      <c r="E867" s="173"/>
      <c r="F867" s="173"/>
      <c r="G867" s="173"/>
      <c r="H867" s="173"/>
      <c r="I867" s="173"/>
      <c r="J867" s="173"/>
      <c r="K867" s="173"/>
      <c r="L867" s="173"/>
      <c r="M867" s="173"/>
      <c r="N867" s="173"/>
      <c r="O867" s="173"/>
      <c r="P867" s="173"/>
      <c r="Q867" s="173"/>
      <c r="R867" s="173"/>
      <c r="S867" s="173"/>
      <c r="T867" s="173"/>
      <c r="U867" s="173"/>
      <c r="V867" s="173"/>
      <c r="W867" s="173"/>
      <c r="X867" s="173"/>
      <c r="Y867" s="173"/>
    </row>
    <row r="868">
      <c r="A868" s="173"/>
      <c r="B868" s="173"/>
      <c r="C868" s="323"/>
      <c r="D868" s="324"/>
      <c r="E868" s="173"/>
      <c r="F868" s="173"/>
      <c r="G868" s="173"/>
      <c r="H868" s="173"/>
      <c r="I868" s="173"/>
      <c r="J868" s="173"/>
      <c r="K868" s="173"/>
      <c r="L868" s="173"/>
      <c r="M868" s="173"/>
      <c r="N868" s="173"/>
      <c r="O868" s="173"/>
      <c r="P868" s="173"/>
      <c r="Q868" s="173"/>
      <c r="R868" s="173"/>
      <c r="S868" s="173"/>
      <c r="T868" s="173"/>
      <c r="U868" s="173"/>
      <c r="V868" s="173"/>
      <c r="W868" s="173"/>
      <c r="X868" s="173"/>
      <c r="Y868" s="173"/>
    </row>
    <row r="869">
      <c r="A869" s="173"/>
      <c r="B869" s="173"/>
      <c r="C869" s="323"/>
      <c r="D869" s="324"/>
      <c r="E869" s="173"/>
      <c r="F869" s="173"/>
      <c r="G869" s="173"/>
      <c r="H869" s="173"/>
      <c r="I869" s="173"/>
      <c r="J869" s="173"/>
      <c r="K869" s="173"/>
      <c r="L869" s="173"/>
      <c r="M869" s="173"/>
      <c r="N869" s="173"/>
      <c r="O869" s="173"/>
      <c r="P869" s="173"/>
      <c r="Q869" s="173"/>
      <c r="R869" s="173"/>
      <c r="S869" s="173"/>
      <c r="T869" s="173"/>
      <c r="U869" s="173"/>
      <c r="V869" s="173"/>
      <c r="W869" s="173"/>
      <c r="X869" s="173"/>
      <c r="Y869" s="173"/>
    </row>
    <row r="870">
      <c r="A870" s="173"/>
      <c r="B870" s="173"/>
      <c r="C870" s="323"/>
      <c r="D870" s="324"/>
      <c r="E870" s="173"/>
      <c r="F870" s="173"/>
      <c r="G870" s="173"/>
      <c r="H870" s="173"/>
      <c r="I870" s="173"/>
      <c r="J870" s="173"/>
      <c r="K870" s="173"/>
      <c r="L870" s="173"/>
      <c r="M870" s="173"/>
      <c r="N870" s="173"/>
      <c r="O870" s="173"/>
      <c r="P870" s="173"/>
      <c r="Q870" s="173"/>
      <c r="R870" s="173"/>
      <c r="S870" s="173"/>
      <c r="T870" s="173"/>
      <c r="U870" s="173"/>
      <c r="V870" s="173"/>
      <c r="W870" s="173"/>
      <c r="X870" s="173"/>
      <c r="Y870" s="173"/>
    </row>
    <row r="871">
      <c r="A871" s="173"/>
      <c r="B871" s="173"/>
      <c r="C871" s="323"/>
      <c r="D871" s="324"/>
      <c r="E871" s="173"/>
      <c r="F871" s="173"/>
      <c r="G871" s="173"/>
      <c r="H871" s="173"/>
      <c r="I871" s="173"/>
      <c r="J871" s="173"/>
      <c r="K871" s="173"/>
      <c r="L871" s="173"/>
      <c r="M871" s="173"/>
      <c r="N871" s="173"/>
      <c r="O871" s="173"/>
      <c r="P871" s="173"/>
      <c r="Q871" s="173"/>
      <c r="R871" s="173"/>
      <c r="S871" s="173"/>
      <c r="T871" s="173"/>
      <c r="U871" s="173"/>
      <c r="V871" s="173"/>
      <c r="W871" s="173"/>
      <c r="X871" s="173"/>
      <c r="Y871" s="173"/>
    </row>
    <row r="872">
      <c r="A872" s="173"/>
      <c r="B872" s="173"/>
      <c r="C872" s="323"/>
      <c r="D872" s="324"/>
      <c r="E872" s="173"/>
      <c r="F872" s="173"/>
      <c r="G872" s="173"/>
      <c r="H872" s="173"/>
      <c r="I872" s="173"/>
      <c r="J872" s="173"/>
      <c r="K872" s="173"/>
      <c r="L872" s="173"/>
      <c r="M872" s="173"/>
      <c r="N872" s="173"/>
      <c r="O872" s="173"/>
      <c r="P872" s="173"/>
      <c r="Q872" s="173"/>
      <c r="R872" s="173"/>
      <c r="S872" s="173"/>
      <c r="T872" s="173"/>
      <c r="U872" s="173"/>
      <c r="V872" s="173"/>
      <c r="W872" s="173"/>
      <c r="X872" s="173"/>
      <c r="Y872" s="173"/>
    </row>
    <row r="873">
      <c r="A873" s="173"/>
      <c r="B873" s="173"/>
      <c r="C873" s="323"/>
      <c r="D873" s="324"/>
      <c r="E873" s="173"/>
      <c r="F873" s="173"/>
      <c r="G873" s="173"/>
      <c r="H873" s="173"/>
      <c r="I873" s="173"/>
      <c r="J873" s="173"/>
      <c r="K873" s="173"/>
      <c r="L873" s="173"/>
      <c r="M873" s="173"/>
      <c r="N873" s="173"/>
      <c r="O873" s="173"/>
      <c r="P873" s="173"/>
      <c r="Q873" s="173"/>
      <c r="R873" s="173"/>
      <c r="S873" s="173"/>
      <c r="T873" s="173"/>
      <c r="U873" s="173"/>
      <c r="V873" s="173"/>
      <c r="W873" s="173"/>
      <c r="X873" s="173"/>
      <c r="Y873" s="173"/>
    </row>
    <row r="874">
      <c r="A874" s="173"/>
      <c r="B874" s="173"/>
      <c r="C874" s="323"/>
      <c r="D874" s="324"/>
      <c r="E874" s="173"/>
      <c r="F874" s="173"/>
      <c r="G874" s="173"/>
      <c r="H874" s="173"/>
      <c r="I874" s="173"/>
      <c r="J874" s="173"/>
      <c r="K874" s="173"/>
      <c r="L874" s="173"/>
      <c r="M874" s="173"/>
      <c r="N874" s="173"/>
      <c r="O874" s="173"/>
      <c r="P874" s="173"/>
      <c r="Q874" s="173"/>
      <c r="R874" s="173"/>
      <c r="S874" s="173"/>
      <c r="T874" s="173"/>
      <c r="U874" s="173"/>
      <c r="V874" s="173"/>
      <c r="W874" s="173"/>
      <c r="X874" s="173"/>
      <c r="Y874" s="173"/>
    </row>
    <row r="875">
      <c r="A875" s="173"/>
      <c r="B875" s="173"/>
      <c r="C875" s="323"/>
      <c r="D875" s="324"/>
      <c r="E875" s="173"/>
      <c r="F875" s="173"/>
      <c r="G875" s="173"/>
      <c r="H875" s="173"/>
      <c r="I875" s="173"/>
      <c r="J875" s="173"/>
      <c r="K875" s="173"/>
      <c r="L875" s="173"/>
      <c r="M875" s="173"/>
      <c r="N875" s="173"/>
      <c r="O875" s="173"/>
      <c r="P875" s="173"/>
      <c r="Q875" s="173"/>
      <c r="R875" s="173"/>
      <c r="S875" s="173"/>
      <c r="T875" s="173"/>
      <c r="U875" s="173"/>
      <c r="V875" s="173"/>
      <c r="W875" s="173"/>
      <c r="X875" s="173"/>
      <c r="Y875" s="173"/>
    </row>
    <row r="876">
      <c r="A876" s="173"/>
      <c r="B876" s="173"/>
      <c r="C876" s="323"/>
      <c r="D876" s="324"/>
      <c r="E876" s="173"/>
      <c r="F876" s="173"/>
      <c r="G876" s="173"/>
      <c r="H876" s="173"/>
      <c r="I876" s="173"/>
      <c r="J876" s="173"/>
      <c r="K876" s="173"/>
      <c r="L876" s="173"/>
      <c r="M876" s="173"/>
      <c r="N876" s="173"/>
      <c r="O876" s="173"/>
      <c r="P876" s="173"/>
      <c r="Q876" s="173"/>
      <c r="R876" s="173"/>
      <c r="S876" s="173"/>
      <c r="T876" s="173"/>
      <c r="U876" s="173"/>
      <c r="V876" s="173"/>
      <c r="W876" s="173"/>
      <c r="X876" s="173"/>
      <c r="Y876" s="173"/>
    </row>
    <row r="877">
      <c r="A877" s="173"/>
      <c r="B877" s="173"/>
      <c r="C877" s="323"/>
      <c r="D877" s="324"/>
      <c r="E877" s="173"/>
      <c r="F877" s="173"/>
      <c r="G877" s="173"/>
      <c r="H877" s="173"/>
      <c r="I877" s="173"/>
      <c r="J877" s="173"/>
      <c r="K877" s="173"/>
      <c r="L877" s="173"/>
      <c r="M877" s="173"/>
      <c r="N877" s="173"/>
      <c r="O877" s="173"/>
      <c r="P877" s="173"/>
      <c r="Q877" s="173"/>
      <c r="R877" s="173"/>
      <c r="S877" s="173"/>
      <c r="T877" s="173"/>
      <c r="U877" s="173"/>
      <c r="V877" s="173"/>
      <c r="W877" s="173"/>
      <c r="X877" s="173"/>
      <c r="Y877" s="173"/>
    </row>
    <row r="878">
      <c r="A878" s="173"/>
      <c r="B878" s="173"/>
      <c r="C878" s="323"/>
      <c r="D878" s="324"/>
      <c r="E878" s="173"/>
      <c r="F878" s="173"/>
      <c r="G878" s="173"/>
      <c r="H878" s="173"/>
      <c r="I878" s="173"/>
      <c r="J878" s="173"/>
      <c r="K878" s="173"/>
      <c r="L878" s="173"/>
      <c r="M878" s="173"/>
      <c r="N878" s="173"/>
      <c r="O878" s="173"/>
      <c r="P878" s="173"/>
      <c r="Q878" s="173"/>
      <c r="R878" s="173"/>
      <c r="S878" s="173"/>
      <c r="T878" s="173"/>
      <c r="U878" s="173"/>
      <c r="V878" s="173"/>
      <c r="W878" s="173"/>
      <c r="X878" s="173"/>
      <c r="Y878" s="173"/>
    </row>
    <row r="879">
      <c r="A879" s="173"/>
      <c r="B879" s="173"/>
      <c r="C879" s="323"/>
      <c r="D879" s="324"/>
      <c r="E879" s="173"/>
      <c r="F879" s="173"/>
      <c r="G879" s="173"/>
      <c r="H879" s="173"/>
      <c r="I879" s="173"/>
      <c r="J879" s="173"/>
      <c r="K879" s="173"/>
      <c r="L879" s="173"/>
      <c r="M879" s="173"/>
      <c r="N879" s="173"/>
      <c r="O879" s="173"/>
      <c r="P879" s="173"/>
      <c r="Q879" s="173"/>
      <c r="R879" s="173"/>
      <c r="S879" s="173"/>
      <c r="T879" s="173"/>
      <c r="U879" s="173"/>
      <c r="V879" s="173"/>
      <c r="W879" s="173"/>
      <c r="X879" s="173"/>
      <c r="Y879" s="173"/>
    </row>
    <row r="880">
      <c r="A880" s="173"/>
      <c r="B880" s="173"/>
      <c r="C880" s="323"/>
      <c r="D880" s="324"/>
      <c r="E880" s="173"/>
      <c r="F880" s="173"/>
      <c r="G880" s="173"/>
      <c r="H880" s="173"/>
      <c r="I880" s="173"/>
      <c r="J880" s="173"/>
      <c r="K880" s="173"/>
      <c r="L880" s="173"/>
      <c r="M880" s="173"/>
      <c r="N880" s="173"/>
      <c r="O880" s="173"/>
      <c r="P880" s="173"/>
      <c r="Q880" s="173"/>
      <c r="R880" s="173"/>
      <c r="S880" s="173"/>
      <c r="T880" s="173"/>
      <c r="U880" s="173"/>
      <c r="V880" s="173"/>
      <c r="W880" s="173"/>
      <c r="X880" s="173"/>
      <c r="Y880" s="173"/>
    </row>
    <row r="881">
      <c r="A881" s="173"/>
      <c r="B881" s="173"/>
      <c r="C881" s="323"/>
      <c r="D881" s="324"/>
      <c r="E881" s="173"/>
      <c r="F881" s="173"/>
      <c r="G881" s="173"/>
      <c r="H881" s="173"/>
      <c r="I881" s="173"/>
      <c r="J881" s="173"/>
      <c r="K881" s="173"/>
      <c r="L881" s="173"/>
      <c r="M881" s="173"/>
      <c r="N881" s="173"/>
      <c r="O881" s="173"/>
      <c r="P881" s="173"/>
      <c r="Q881" s="173"/>
      <c r="R881" s="173"/>
      <c r="S881" s="173"/>
      <c r="T881" s="173"/>
      <c r="U881" s="173"/>
      <c r="V881" s="173"/>
      <c r="W881" s="173"/>
      <c r="X881" s="173"/>
      <c r="Y881" s="173"/>
    </row>
    <row r="882">
      <c r="A882" s="173"/>
      <c r="B882" s="173"/>
      <c r="C882" s="323"/>
      <c r="D882" s="324"/>
      <c r="E882" s="173"/>
      <c r="F882" s="173"/>
      <c r="G882" s="173"/>
      <c r="H882" s="173"/>
      <c r="I882" s="173"/>
      <c r="J882" s="173"/>
      <c r="K882" s="173"/>
      <c r="L882" s="173"/>
      <c r="M882" s="173"/>
      <c r="N882" s="173"/>
      <c r="O882" s="173"/>
      <c r="P882" s="173"/>
      <c r="Q882" s="173"/>
      <c r="R882" s="173"/>
      <c r="S882" s="173"/>
      <c r="T882" s="173"/>
      <c r="U882" s="173"/>
      <c r="V882" s="173"/>
      <c r="W882" s="173"/>
      <c r="X882" s="173"/>
      <c r="Y882" s="173"/>
    </row>
    <row r="883">
      <c r="A883" s="173"/>
      <c r="B883" s="173"/>
      <c r="C883" s="323"/>
      <c r="D883" s="324"/>
      <c r="E883" s="173"/>
      <c r="F883" s="173"/>
      <c r="G883" s="173"/>
      <c r="H883" s="173"/>
      <c r="I883" s="173"/>
      <c r="J883" s="173"/>
      <c r="K883" s="173"/>
      <c r="L883" s="173"/>
      <c r="M883" s="173"/>
      <c r="N883" s="173"/>
      <c r="O883" s="173"/>
      <c r="P883" s="173"/>
      <c r="Q883" s="173"/>
      <c r="R883" s="173"/>
      <c r="S883" s="173"/>
      <c r="T883" s="173"/>
      <c r="U883" s="173"/>
      <c r="V883" s="173"/>
      <c r="W883" s="173"/>
      <c r="X883" s="173"/>
      <c r="Y883" s="173"/>
    </row>
    <row r="884">
      <c r="A884" s="173"/>
      <c r="B884" s="173"/>
      <c r="C884" s="323"/>
      <c r="D884" s="324"/>
      <c r="E884" s="173"/>
      <c r="F884" s="173"/>
      <c r="G884" s="173"/>
      <c r="H884" s="173"/>
      <c r="I884" s="173"/>
      <c r="J884" s="173"/>
      <c r="K884" s="173"/>
      <c r="L884" s="173"/>
      <c r="M884" s="173"/>
      <c r="N884" s="173"/>
      <c r="O884" s="173"/>
      <c r="P884" s="173"/>
      <c r="Q884" s="173"/>
      <c r="R884" s="173"/>
      <c r="S884" s="173"/>
      <c r="T884" s="173"/>
      <c r="U884" s="173"/>
      <c r="V884" s="173"/>
      <c r="W884" s="173"/>
      <c r="X884" s="173"/>
      <c r="Y884" s="173"/>
    </row>
    <row r="885">
      <c r="A885" s="173"/>
      <c r="B885" s="173"/>
      <c r="C885" s="323"/>
      <c r="D885" s="324"/>
      <c r="E885" s="173"/>
      <c r="F885" s="173"/>
      <c r="G885" s="173"/>
      <c r="H885" s="173"/>
      <c r="I885" s="173"/>
      <c r="J885" s="173"/>
      <c r="K885" s="173"/>
      <c r="L885" s="173"/>
      <c r="M885" s="173"/>
      <c r="N885" s="173"/>
      <c r="O885" s="173"/>
      <c r="P885" s="173"/>
      <c r="Q885" s="173"/>
      <c r="R885" s="173"/>
      <c r="S885" s="173"/>
      <c r="T885" s="173"/>
      <c r="U885" s="173"/>
      <c r="V885" s="173"/>
      <c r="W885" s="173"/>
      <c r="X885" s="173"/>
      <c r="Y885" s="173"/>
    </row>
    <row r="886">
      <c r="A886" s="173"/>
      <c r="B886" s="173"/>
      <c r="C886" s="323"/>
      <c r="D886" s="324"/>
      <c r="E886" s="173"/>
      <c r="F886" s="173"/>
      <c r="G886" s="173"/>
      <c r="H886" s="173"/>
      <c r="I886" s="173"/>
      <c r="J886" s="173"/>
      <c r="K886" s="173"/>
      <c r="L886" s="173"/>
      <c r="M886" s="173"/>
      <c r="N886" s="173"/>
      <c r="O886" s="173"/>
      <c r="P886" s="173"/>
      <c r="Q886" s="173"/>
      <c r="R886" s="173"/>
      <c r="S886" s="173"/>
      <c r="T886" s="173"/>
      <c r="U886" s="173"/>
      <c r="V886" s="173"/>
      <c r="W886" s="173"/>
      <c r="X886" s="173"/>
      <c r="Y886" s="173"/>
    </row>
    <row r="887">
      <c r="A887" s="173"/>
      <c r="B887" s="173"/>
      <c r="C887" s="323"/>
      <c r="D887" s="324"/>
      <c r="E887" s="173"/>
      <c r="F887" s="173"/>
      <c r="G887" s="173"/>
      <c r="H887" s="173"/>
      <c r="I887" s="173"/>
      <c r="J887" s="173"/>
      <c r="K887" s="173"/>
      <c r="L887" s="173"/>
      <c r="M887" s="173"/>
      <c r="N887" s="173"/>
      <c r="O887" s="173"/>
      <c r="P887" s="173"/>
      <c r="Q887" s="173"/>
      <c r="R887" s="173"/>
      <c r="S887" s="173"/>
      <c r="T887" s="173"/>
      <c r="U887" s="173"/>
      <c r="V887" s="173"/>
      <c r="W887" s="173"/>
      <c r="X887" s="173"/>
      <c r="Y887" s="173"/>
    </row>
    <row r="888">
      <c r="A888" s="173"/>
      <c r="B888" s="173"/>
      <c r="C888" s="323"/>
      <c r="D888" s="324"/>
      <c r="E888" s="173"/>
      <c r="F888" s="173"/>
      <c r="G888" s="173"/>
      <c r="H888" s="173"/>
      <c r="I888" s="173"/>
      <c r="J888" s="173"/>
      <c r="K888" s="173"/>
      <c r="L888" s="173"/>
      <c r="M888" s="173"/>
      <c r="N888" s="173"/>
      <c r="O888" s="173"/>
      <c r="P888" s="173"/>
      <c r="Q888" s="173"/>
      <c r="R888" s="173"/>
      <c r="S888" s="173"/>
      <c r="T888" s="173"/>
      <c r="U888" s="173"/>
      <c r="V888" s="173"/>
      <c r="W888" s="173"/>
      <c r="X888" s="173"/>
      <c r="Y888" s="173"/>
    </row>
    <row r="889">
      <c r="A889" s="173"/>
      <c r="B889" s="173"/>
      <c r="C889" s="323"/>
      <c r="D889" s="324"/>
      <c r="E889" s="173"/>
      <c r="F889" s="173"/>
      <c r="G889" s="173"/>
      <c r="H889" s="173"/>
      <c r="I889" s="173"/>
      <c r="J889" s="173"/>
      <c r="K889" s="173"/>
      <c r="L889" s="173"/>
      <c r="M889" s="173"/>
      <c r="N889" s="173"/>
      <c r="O889" s="173"/>
      <c r="P889" s="173"/>
      <c r="Q889" s="173"/>
      <c r="R889" s="173"/>
      <c r="S889" s="173"/>
      <c r="T889" s="173"/>
      <c r="U889" s="173"/>
      <c r="V889" s="173"/>
      <c r="W889" s="173"/>
      <c r="X889" s="173"/>
      <c r="Y889" s="173"/>
    </row>
    <row r="890">
      <c r="A890" s="173"/>
      <c r="B890" s="173"/>
      <c r="C890" s="323"/>
      <c r="D890" s="324"/>
      <c r="E890" s="173"/>
      <c r="F890" s="173"/>
      <c r="G890" s="173"/>
      <c r="H890" s="173"/>
      <c r="I890" s="173"/>
      <c r="J890" s="173"/>
      <c r="K890" s="173"/>
      <c r="L890" s="173"/>
      <c r="M890" s="173"/>
      <c r="N890" s="173"/>
      <c r="O890" s="173"/>
      <c r="P890" s="173"/>
      <c r="Q890" s="173"/>
      <c r="R890" s="173"/>
      <c r="S890" s="173"/>
      <c r="T890" s="173"/>
      <c r="U890" s="173"/>
      <c r="V890" s="173"/>
      <c r="W890" s="173"/>
      <c r="X890" s="173"/>
      <c r="Y890" s="173"/>
    </row>
    <row r="891">
      <c r="A891" s="173"/>
      <c r="B891" s="173"/>
      <c r="C891" s="323"/>
      <c r="D891" s="324"/>
      <c r="E891" s="173"/>
      <c r="F891" s="173"/>
      <c r="G891" s="173"/>
      <c r="H891" s="173"/>
      <c r="I891" s="173"/>
      <c r="J891" s="173"/>
      <c r="K891" s="173"/>
      <c r="L891" s="173"/>
      <c r="M891" s="173"/>
      <c r="N891" s="173"/>
      <c r="O891" s="173"/>
      <c r="P891" s="173"/>
      <c r="Q891" s="173"/>
      <c r="R891" s="173"/>
      <c r="S891" s="173"/>
      <c r="T891" s="173"/>
      <c r="U891" s="173"/>
      <c r="V891" s="173"/>
      <c r="W891" s="173"/>
      <c r="X891" s="173"/>
      <c r="Y891" s="173"/>
    </row>
    <row r="892">
      <c r="A892" s="173"/>
      <c r="B892" s="173"/>
      <c r="C892" s="323"/>
      <c r="D892" s="324"/>
      <c r="E892" s="173"/>
      <c r="F892" s="173"/>
      <c r="G892" s="173"/>
      <c r="H892" s="173"/>
      <c r="I892" s="173"/>
      <c r="J892" s="173"/>
      <c r="K892" s="173"/>
      <c r="L892" s="173"/>
      <c r="M892" s="173"/>
      <c r="N892" s="173"/>
      <c r="O892" s="173"/>
      <c r="P892" s="173"/>
      <c r="Q892" s="173"/>
      <c r="R892" s="173"/>
      <c r="S892" s="173"/>
      <c r="T892" s="173"/>
      <c r="U892" s="173"/>
      <c r="V892" s="173"/>
      <c r="W892" s="173"/>
      <c r="X892" s="173"/>
      <c r="Y892" s="173"/>
    </row>
    <row r="893">
      <c r="A893" s="173"/>
      <c r="B893" s="173"/>
      <c r="C893" s="323"/>
      <c r="D893" s="324"/>
      <c r="E893" s="173"/>
      <c r="F893" s="173"/>
      <c r="G893" s="173"/>
      <c r="H893" s="173"/>
      <c r="I893" s="173"/>
      <c r="J893" s="173"/>
      <c r="K893" s="173"/>
      <c r="L893" s="173"/>
      <c r="M893" s="173"/>
      <c r="N893" s="173"/>
      <c r="O893" s="173"/>
      <c r="P893" s="173"/>
      <c r="Q893" s="173"/>
      <c r="R893" s="173"/>
      <c r="S893" s="173"/>
      <c r="T893" s="173"/>
      <c r="U893" s="173"/>
      <c r="V893" s="173"/>
      <c r="W893" s="173"/>
      <c r="X893" s="173"/>
      <c r="Y893" s="173"/>
    </row>
    <row r="894">
      <c r="A894" s="173"/>
      <c r="B894" s="173"/>
      <c r="C894" s="323"/>
      <c r="D894" s="324"/>
      <c r="E894" s="173"/>
      <c r="F894" s="173"/>
      <c r="G894" s="173"/>
      <c r="H894" s="173"/>
      <c r="I894" s="173"/>
      <c r="J894" s="173"/>
      <c r="K894" s="173"/>
      <c r="L894" s="173"/>
      <c r="M894" s="173"/>
      <c r="N894" s="173"/>
      <c r="O894" s="173"/>
      <c r="P894" s="173"/>
      <c r="Q894" s="173"/>
      <c r="R894" s="173"/>
      <c r="S894" s="173"/>
      <c r="T894" s="173"/>
      <c r="U894" s="173"/>
      <c r="V894" s="173"/>
      <c r="W894" s="173"/>
      <c r="X894" s="173"/>
      <c r="Y894" s="173"/>
    </row>
    <row r="895">
      <c r="A895" s="173"/>
      <c r="B895" s="173"/>
      <c r="C895" s="323"/>
      <c r="D895" s="324"/>
      <c r="E895" s="173"/>
      <c r="F895" s="173"/>
      <c r="G895" s="173"/>
      <c r="H895" s="173"/>
      <c r="I895" s="173"/>
      <c r="J895" s="173"/>
      <c r="K895" s="173"/>
      <c r="L895" s="173"/>
      <c r="M895" s="173"/>
      <c r="N895" s="173"/>
      <c r="O895" s="173"/>
      <c r="P895" s="173"/>
      <c r="Q895" s="173"/>
      <c r="R895" s="173"/>
      <c r="S895" s="173"/>
      <c r="T895" s="173"/>
      <c r="U895" s="173"/>
      <c r="V895" s="173"/>
      <c r="W895" s="173"/>
      <c r="X895" s="173"/>
      <c r="Y895" s="173"/>
    </row>
    <row r="896">
      <c r="A896" s="173"/>
      <c r="B896" s="173"/>
      <c r="C896" s="323"/>
      <c r="D896" s="324"/>
      <c r="E896" s="173"/>
      <c r="F896" s="173"/>
      <c r="G896" s="173"/>
      <c r="H896" s="173"/>
      <c r="I896" s="173"/>
      <c r="J896" s="173"/>
      <c r="K896" s="173"/>
      <c r="L896" s="173"/>
      <c r="M896" s="173"/>
      <c r="N896" s="173"/>
      <c r="O896" s="173"/>
      <c r="P896" s="173"/>
      <c r="Q896" s="173"/>
      <c r="R896" s="173"/>
      <c r="S896" s="173"/>
      <c r="T896" s="173"/>
      <c r="U896" s="173"/>
      <c r="V896" s="173"/>
      <c r="W896" s="173"/>
      <c r="X896" s="173"/>
      <c r="Y896" s="173"/>
    </row>
    <row r="897">
      <c r="A897" s="173"/>
      <c r="B897" s="173"/>
      <c r="C897" s="323"/>
      <c r="D897" s="324"/>
      <c r="E897" s="173"/>
      <c r="F897" s="173"/>
      <c r="G897" s="173"/>
      <c r="H897" s="173"/>
      <c r="I897" s="173"/>
      <c r="J897" s="173"/>
      <c r="K897" s="173"/>
      <c r="L897" s="173"/>
      <c r="M897" s="173"/>
      <c r="N897" s="173"/>
      <c r="O897" s="173"/>
      <c r="P897" s="173"/>
      <c r="Q897" s="173"/>
      <c r="R897" s="173"/>
      <c r="S897" s="173"/>
      <c r="T897" s="173"/>
      <c r="U897" s="173"/>
      <c r="V897" s="173"/>
      <c r="W897" s="173"/>
      <c r="X897" s="173"/>
      <c r="Y897" s="173"/>
    </row>
    <row r="898">
      <c r="A898" s="173"/>
      <c r="B898" s="173"/>
      <c r="C898" s="323"/>
      <c r="D898" s="324"/>
      <c r="E898" s="173"/>
      <c r="F898" s="173"/>
      <c r="G898" s="173"/>
      <c r="H898" s="173"/>
      <c r="I898" s="173"/>
      <c r="J898" s="173"/>
      <c r="K898" s="173"/>
      <c r="L898" s="173"/>
      <c r="M898" s="173"/>
      <c r="N898" s="173"/>
      <c r="O898" s="173"/>
      <c r="P898" s="173"/>
      <c r="Q898" s="173"/>
      <c r="R898" s="173"/>
      <c r="S898" s="173"/>
      <c r="T898" s="173"/>
      <c r="U898" s="173"/>
      <c r="V898" s="173"/>
      <c r="W898" s="173"/>
      <c r="X898" s="173"/>
      <c r="Y898" s="173"/>
    </row>
    <row r="899">
      <c r="A899" s="173"/>
      <c r="B899" s="173"/>
      <c r="C899" s="323"/>
      <c r="D899" s="324"/>
      <c r="E899" s="173"/>
      <c r="F899" s="173"/>
      <c r="G899" s="173"/>
      <c r="H899" s="173"/>
      <c r="I899" s="173"/>
      <c r="J899" s="173"/>
      <c r="K899" s="173"/>
      <c r="L899" s="173"/>
      <c r="M899" s="173"/>
      <c r="N899" s="173"/>
      <c r="O899" s="173"/>
      <c r="P899" s="173"/>
      <c r="Q899" s="173"/>
      <c r="R899" s="173"/>
      <c r="S899" s="173"/>
      <c r="T899" s="173"/>
      <c r="U899" s="173"/>
      <c r="V899" s="173"/>
      <c r="W899" s="173"/>
      <c r="X899" s="173"/>
      <c r="Y899" s="173"/>
    </row>
    <row r="900">
      <c r="A900" s="173"/>
      <c r="B900" s="173"/>
      <c r="C900" s="323"/>
      <c r="D900" s="324"/>
      <c r="E900" s="173"/>
      <c r="F900" s="173"/>
      <c r="G900" s="173"/>
      <c r="H900" s="173"/>
      <c r="I900" s="173"/>
      <c r="J900" s="173"/>
      <c r="K900" s="173"/>
      <c r="L900" s="173"/>
      <c r="M900" s="173"/>
      <c r="N900" s="173"/>
      <c r="O900" s="173"/>
      <c r="P900" s="173"/>
      <c r="Q900" s="173"/>
      <c r="R900" s="173"/>
      <c r="S900" s="173"/>
      <c r="T900" s="173"/>
      <c r="U900" s="173"/>
      <c r="V900" s="173"/>
      <c r="W900" s="173"/>
      <c r="X900" s="173"/>
      <c r="Y900" s="173"/>
    </row>
    <row r="901">
      <c r="A901" s="173"/>
      <c r="B901" s="173"/>
      <c r="C901" s="323"/>
      <c r="D901" s="324"/>
      <c r="E901" s="173"/>
      <c r="F901" s="173"/>
      <c r="G901" s="173"/>
      <c r="H901" s="173"/>
      <c r="I901" s="173"/>
      <c r="J901" s="173"/>
      <c r="K901" s="173"/>
      <c r="L901" s="173"/>
      <c r="M901" s="173"/>
      <c r="N901" s="173"/>
      <c r="O901" s="173"/>
      <c r="P901" s="173"/>
      <c r="Q901" s="173"/>
      <c r="R901" s="173"/>
      <c r="S901" s="173"/>
      <c r="T901" s="173"/>
      <c r="U901" s="173"/>
      <c r="V901" s="173"/>
      <c r="W901" s="173"/>
      <c r="X901" s="173"/>
      <c r="Y901" s="173"/>
    </row>
    <row r="902">
      <c r="A902" s="173"/>
      <c r="B902" s="173"/>
      <c r="C902" s="323"/>
      <c r="D902" s="324"/>
      <c r="E902" s="173"/>
      <c r="F902" s="173"/>
      <c r="G902" s="173"/>
      <c r="H902" s="173"/>
      <c r="I902" s="173"/>
      <c r="J902" s="173"/>
      <c r="K902" s="173"/>
      <c r="L902" s="173"/>
      <c r="M902" s="173"/>
      <c r="N902" s="173"/>
      <c r="O902" s="173"/>
      <c r="P902" s="173"/>
      <c r="Q902" s="173"/>
      <c r="R902" s="173"/>
      <c r="S902" s="173"/>
      <c r="T902" s="173"/>
      <c r="U902" s="173"/>
      <c r="V902" s="173"/>
      <c r="W902" s="173"/>
      <c r="X902" s="173"/>
      <c r="Y902" s="173"/>
    </row>
    <row r="903">
      <c r="A903" s="173"/>
      <c r="B903" s="173"/>
      <c r="C903" s="323"/>
      <c r="D903" s="324"/>
      <c r="E903" s="173"/>
      <c r="F903" s="173"/>
      <c r="G903" s="173"/>
      <c r="H903" s="173"/>
      <c r="I903" s="173"/>
      <c r="J903" s="173"/>
      <c r="K903" s="173"/>
      <c r="L903" s="173"/>
      <c r="M903" s="173"/>
      <c r="N903" s="173"/>
      <c r="O903" s="173"/>
      <c r="P903" s="173"/>
      <c r="Q903" s="173"/>
      <c r="R903" s="173"/>
      <c r="S903" s="173"/>
      <c r="T903" s="173"/>
      <c r="U903" s="173"/>
      <c r="V903" s="173"/>
      <c r="W903" s="173"/>
      <c r="X903" s="173"/>
      <c r="Y903" s="173"/>
    </row>
    <row r="904">
      <c r="A904" s="173"/>
      <c r="B904" s="173"/>
      <c r="C904" s="323"/>
      <c r="D904" s="324"/>
      <c r="E904" s="173"/>
      <c r="F904" s="173"/>
      <c r="G904" s="173"/>
      <c r="H904" s="173"/>
      <c r="I904" s="173"/>
      <c r="J904" s="173"/>
      <c r="K904" s="173"/>
      <c r="L904" s="173"/>
      <c r="M904" s="173"/>
      <c r="N904" s="173"/>
      <c r="O904" s="173"/>
      <c r="P904" s="173"/>
      <c r="Q904" s="173"/>
      <c r="R904" s="173"/>
      <c r="S904" s="173"/>
      <c r="T904" s="173"/>
      <c r="U904" s="173"/>
      <c r="V904" s="173"/>
      <c r="W904" s="173"/>
      <c r="X904" s="173"/>
      <c r="Y904" s="173"/>
    </row>
    <row r="905">
      <c r="A905" s="173"/>
      <c r="B905" s="173"/>
      <c r="C905" s="323"/>
      <c r="D905" s="324"/>
      <c r="E905" s="173"/>
      <c r="F905" s="173"/>
      <c r="G905" s="173"/>
      <c r="H905" s="173"/>
      <c r="I905" s="173"/>
      <c r="J905" s="173"/>
      <c r="K905" s="173"/>
      <c r="L905" s="173"/>
      <c r="M905" s="173"/>
      <c r="N905" s="173"/>
      <c r="O905" s="173"/>
      <c r="P905" s="173"/>
      <c r="Q905" s="173"/>
      <c r="R905" s="173"/>
      <c r="S905" s="173"/>
      <c r="T905" s="173"/>
      <c r="U905" s="173"/>
      <c r="V905" s="173"/>
      <c r="W905" s="173"/>
      <c r="X905" s="173"/>
      <c r="Y905" s="173"/>
    </row>
    <row r="906">
      <c r="A906" s="173"/>
      <c r="B906" s="173"/>
      <c r="C906" s="323"/>
      <c r="D906" s="324"/>
      <c r="E906" s="173"/>
      <c r="F906" s="173"/>
      <c r="G906" s="173"/>
      <c r="H906" s="173"/>
      <c r="I906" s="173"/>
      <c r="J906" s="173"/>
      <c r="K906" s="173"/>
      <c r="L906" s="173"/>
      <c r="M906" s="173"/>
      <c r="N906" s="173"/>
      <c r="O906" s="173"/>
      <c r="P906" s="173"/>
      <c r="Q906" s="173"/>
      <c r="R906" s="173"/>
      <c r="S906" s="173"/>
      <c r="T906" s="173"/>
      <c r="U906" s="173"/>
      <c r="V906" s="173"/>
      <c r="W906" s="173"/>
      <c r="X906" s="173"/>
      <c r="Y906" s="173"/>
    </row>
    <row r="907">
      <c r="A907" s="173"/>
      <c r="B907" s="173"/>
      <c r="C907" s="323"/>
      <c r="D907" s="324"/>
      <c r="E907" s="173"/>
      <c r="F907" s="173"/>
      <c r="G907" s="173"/>
      <c r="H907" s="173"/>
      <c r="I907" s="173"/>
      <c r="J907" s="173"/>
      <c r="K907" s="173"/>
      <c r="L907" s="173"/>
      <c r="M907" s="173"/>
      <c r="N907" s="173"/>
      <c r="O907" s="173"/>
      <c r="P907" s="173"/>
      <c r="Q907" s="173"/>
      <c r="R907" s="173"/>
      <c r="S907" s="173"/>
      <c r="T907" s="173"/>
      <c r="U907" s="173"/>
      <c r="V907" s="173"/>
      <c r="W907" s="173"/>
      <c r="X907" s="173"/>
      <c r="Y907" s="173"/>
    </row>
    <row r="908">
      <c r="A908" s="173"/>
      <c r="B908" s="173"/>
      <c r="C908" s="323"/>
      <c r="D908" s="324"/>
      <c r="E908" s="173"/>
      <c r="F908" s="173"/>
      <c r="G908" s="173"/>
      <c r="H908" s="173"/>
      <c r="I908" s="173"/>
      <c r="J908" s="173"/>
      <c r="K908" s="173"/>
      <c r="L908" s="173"/>
      <c r="M908" s="173"/>
      <c r="N908" s="173"/>
      <c r="O908" s="173"/>
      <c r="P908" s="173"/>
      <c r="Q908" s="173"/>
      <c r="R908" s="173"/>
      <c r="S908" s="173"/>
      <c r="T908" s="173"/>
      <c r="U908" s="173"/>
      <c r="V908" s="173"/>
      <c r="W908" s="173"/>
      <c r="X908" s="173"/>
      <c r="Y908" s="173"/>
    </row>
    <row r="909">
      <c r="A909" s="173"/>
      <c r="B909" s="173"/>
      <c r="C909" s="323"/>
      <c r="D909" s="324"/>
      <c r="E909" s="173"/>
      <c r="F909" s="173"/>
      <c r="G909" s="173"/>
      <c r="H909" s="173"/>
      <c r="I909" s="173"/>
      <c r="J909" s="173"/>
      <c r="K909" s="173"/>
      <c r="L909" s="173"/>
      <c r="M909" s="173"/>
      <c r="N909" s="173"/>
      <c r="O909" s="173"/>
      <c r="P909" s="173"/>
      <c r="Q909" s="173"/>
      <c r="R909" s="173"/>
      <c r="S909" s="173"/>
      <c r="T909" s="173"/>
      <c r="U909" s="173"/>
      <c r="V909" s="173"/>
      <c r="W909" s="173"/>
      <c r="X909" s="173"/>
      <c r="Y909" s="173"/>
    </row>
    <row r="910">
      <c r="A910" s="173"/>
      <c r="B910" s="173"/>
      <c r="C910" s="323"/>
      <c r="D910" s="324"/>
      <c r="E910" s="173"/>
      <c r="F910" s="173"/>
      <c r="G910" s="173"/>
      <c r="H910" s="173"/>
      <c r="I910" s="173"/>
      <c r="J910" s="173"/>
      <c r="K910" s="173"/>
      <c r="L910" s="173"/>
      <c r="M910" s="173"/>
      <c r="N910" s="173"/>
      <c r="O910" s="173"/>
      <c r="P910" s="173"/>
      <c r="Q910" s="173"/>
      <c r="R910" s="173"/>
      <c r="S910" s="173"/>
      <c r="T910" s="173"/>
      <c r="U910" s="173"/>
      <c r="V910" s="173"/>
      <c r="W910" s="173"/>
      <c r="X910" s="173"/>
      <c r="Y910" s="173"/>
    </row>
    <row r="911">
      <c r="A911" s="173"/>
      <c r="B911" s="173"/>
      <c r="C911" s="323"/>
      <c r="D911" s="324"/>
      <c r="E911" s="173"/>
      <c r="F911" s="173"/>
      <c r="G911" s="173"/>
      <c r="H911" s="173"/>
      <c r="I911" s="173"/>
      <c r="J911" s="173"/>
      <c r="K911" s="173"/>
      <c r="L911" s="173"/>
      <c r="M911" s="173"/>
      <c r="N911" s="173"/>
      <c r="O911" s="173"/>
      <c r="P911" s="173"/>
      <c r="Q911" s="173"/>
      <c r="R911" s="173"/>
      <c r="S911" s="173"/>
      <c r="T911" s="173"/>
      <c r="U911" s="173"/>
      <c r="V911" s="173"/>
      <c r="W911" s="173"/>
      <c r="X911" s="173"/>
      <c r="Y911" s="173"/>
    </row>
    <row r="912">
      <c r="A912" s="173"/>
      <c r="B912" s="173"/>
      <c r="C912" s="323"/>
      <c r="D912" s="324"/>
      <c r="E912" s="173"/>
      <c r="F912" s="173"/>
      <c r="G912" s="173"/>
      <c r="H912" s="173"/>
      <c r="I912" s="173"/>
      <c r="J912" s="173"/>
      <c r="K912" s="173"/>
      <c r="L912" s="173"/>
      <c r="M912" s="173"/>
      <c r="N912" s="173"/>
      <c r="O912" s="173"/>
      <c r="P912" s="173"/>
      <c r="Q912" s="173"/>
      <c r="R912" s="173"/>
      <c r="S912" s="173"/>
      <c r="T912" s="173"/>
      <c r="U912" s="173"/>
      <c r="V912" s="173"/>
      <c r="W912" s="173"/>
      <c r="X912" s="173"/>
      <c r="Y912" s="173"/>
    </row>
    <row r="913">
      <c r="A913" s="173"/>
      <c r="B913" s="173"/>
      <c r="C913" s="323"/>
      <c r="D913" s="324"/>
      <c r="E913" s="173"/>
      <c r="F913" s="173"/>
      <c r="G913" s="173"/>
      <c r="H913" s="173"/>
      <c r="I913" s="173"/>
      <c r="J913" s="173"/>
      <c r="K913" s="173"/>
      <c r="L913" s="173"/>
      <c r="M913" s="173"/>
      <c r="N913" s="173"/>
      <c r="O913" s="173"/>
      <c r="P913" s="173"/>
      <c r="Q913" s="173"/>
      <c r="R913" s="173"/>
      <c r="S913" s="173"/>
      <c r="T913" s="173"/>
      <c r="U913" s="173"/>
      <c r="V913" s="173"/>
      <c r="W913" s="173"/>
      <c r="X913" s="173"/>
      <c r="Y913" s="173"/>
    </row>
    <row r="914">
      <c r="A914" s="173"/>
      <c r="B914" s="173"/>
      <c r="C914" s="323"/>
      <c r="D914" s="324"/>
      <c r="E914" s="173"/>
      <c r="F914" s="173"/>
      <c r="G914" s="173"/>
      <c r="H914" s="173"/>
      <c r="I914" s="173"/>
      <c r="J914" s="173"/>
      <c r="K914" s="173"/>
      <c r="L914" s="173"/>
      <c r="M914" s="173"/>
      <c r="N914" s="173"/>
      <c r="O914" s="173"/>
      <c r="P914" s="173"/>
      <c r="Q914" s="173"/>
      <c r="R914" s="173"/>
      <c r="S914" s="173"/>
      <c r="T914" s="173"/>
      <c r="U914" s="173"/>
      <c r="V914" s="173"/>
      <c r="W914" s="173"/>
      <c r="X914" s="173"/>
      <c r="Y914" s="173"/>
    </row>
    <row r="915">
      <c r="A915" s="173"/>
      <c r="B915" s="173"/>
      <c r="C915" s="323"/>
      <c r="D915" s="324"/>
      <c r="E915" s="173"/>
      <c r="F915" s="173"/>
      <c r="G915" s="173"/>
      <c r="H915" s="173"/>
      <c r="I915" s="173"/>
      <c r="J915" s="173"/>
      <c r="K915" s="173"/>
      <c r="L915" s="173"/>
      <c r="M915" s="173"/>
      <c r="N915" s="173"/>
      <c r="O915" s="173"/>
      <c r="P915" s="173"/>
      <c r="Q915" s="173"/>
      <c r="R915" s="173"/>
      <c r="S915" s="173"/>
      <c r="T915" s="173"/>
      <c r="U915" s="173"/>
      <c r="V915" s="173"/>
      <c r="W915" s="173"/>
      <c r="X915" s="173"/>
      <c r="Y915" s="173"/>
    </row>
    <row r="916">
      <c r="A916" s="173"/>
      <c r="B916" s="173"/>
      <c r="C916" s="323"/>
      <c r="D916" s="324"/>
      <c r="E916" s="173"/>
      <c r="F916" s="173"/>
      <c r="G916" s="173"/>
      <c r="H916" s="173"/>
      <c r="I916" s="173"/>
      <c r="J916" s="173"/>
      <c r="K916" s="173"/>
      <c r="L916" s="173"/>
      <c r="M916" s="173"/>
      <c r="N916" s="173"/>
      <c r="O916" s="173"/>
      <c r="P916" s="173"/>
      <c r="Q916" s="173"/>
      <c r="R916" s="173"/>
      <c r="S916" s="173"/>
      <c r="T916" s="173"/>
      <c r="U916" s="173"/>
      <c r="V916" s="173"/>
      <c r="W916" s="173"/>
      <c r="X916" s="173"/>
      <c r="Y916" s="173"/>
    </row>
    <row r="917">
      <c r="A917" s="173"/>
      <c r="B917" s="173"/>
      <c r="C917" s="323"/>
      <c r="D917" s="324"/>
      <c r="E917" s="173"/>
      <c r="F917" s="173"/>
      <c r="G917" s="173"/>
      <c r="H917" s="173"/>
      <c r="I917" s="173"/>
      <c r="J917" s="173"/>
      <c r="K917" s="173"/>
      <c r="L917" s="173"/>
      <c r="M917" s="173"/>
      <c r="N917" s="173"/>
      <c r="O917" s="173"/>
      <c r="P917" s="173"/>
      <c r="Q917" s="173"/>
      <c r="R917" s="173"/>
      <c r="S917" s="173"/>
      <c r="T917" s="173"/>
      <c r="U917" s="173"/>
      <c r="V917" s="173"/>
      <c r="W917" s="173"/>
      <c r="X917" s="173"/>
      <c r="Y917" s="173"/>
    </row>
    <row r="918">
      <c r="A918" s="173"/>
      <c r="B918" s="173"/>
      <c r="C918" s="323"/>
      <c r="D918" s="324"/>
      <c r="E918" s="173"/>
      <c r="F918" s="173"/>
      <c r="G918" s="173"/>
      <c r="H918" s="173"/>
      <c r="I918" s="173"/>
      <c r="J918" s="173"/>
      <c r="K918" s="173"/>
      <c r="L918" s="173"/>
      <c r="M918" s="173"/>
      <c r="N918" s="173"/>
      <c r="O918" s="173"/>
      <c r="P918" s="173"/>
      <c r="Q918" s="173"/>
      <c r="R918" s="173"/>
      <c r="S918" s="173"/>
      <c r="T918" s="173"/>
      <c r="U918" s="173"/>
      <c r="V918" s="173"/>
      <c r="W918" s="173"/>
      <c r="X918" s="173"/>
      <c r="Y918" s="173"/>
    </row>
    <row r="919">
      <c r="A919" s="173"/>
      <c r="B919" s="173"/>
      <c r="C919" s="323"/>
      <c r="D919" s="324"/>
      <c r="E919" s="173"/>
      <c r="F919" s="173"/>
      <c r="G919" s="173"/>
      <c r="H919" s="173"/>
      <c r="I919" s="173"/>
      <c r="J919" s="173"/>
      <c r="K919" s="173"/>
      <c r="L919" s="173"/>
      <c r="M919" s="173"/>
      <c r="N919" s="173"/>
      <c r="O919" s="173"/>
      <c r="P919" s="173"/>
      <c r="Q919" s="173"/>
      <c r="R919" s="173"/>
      <c r="S919" s="173"/>
      <c r="T919" s="173"/>
      <c r="U919" s="173"/>
      <c r="V919" s="173"/>
      <c r="W919" s="173"/>
      <c r="X919" s="173"/>
      <c r="Y919" s="173"/>
    </row>
    <row r="920">
      <c r="A920" s="173"/>
      <c r="B920" s="173"/>
      <c r="C920" s="323"/>
      <c r="D920" s="324"/>
      <c r="E920" s="173"/>
      <c r="F920" s="173"/>
      <c r="G920" s="173"/>
      <c r="H920" s="173"/>
      <c r="I920" s="173"/>
      <c r="J920" s="173"/>
      <c r="K920" s="173"/>
      <c r="L920" s="173"/>
      <c r="M920" s="173"/>
      <c r="N920" s="173"/>
      <c r="O920" s="173"/>
      <c r="P920" s="173"/>
      <c r="Q920" s="173"/>
      <c r="R920" s="173"/>
      <c r="S920" s="173"/>
      <c r="T920" s="173"/>
      <c r="U920" s="173"/>
      <c r="V920" s="173"/>
      <c r="W920" s="173"/>
      <c r="X920" s="173"/>
      <c r="Y920" s="173"/>
    </row>
    <row r="921">
      <c r="A921" s="173"/>
      <c r="B921" s="173"/>
      <c r="C921" s="323"/>
      <c r="D921" s="324"/>
      <c r="E921" s="173"/>
      <c r="F921" s="173"/>
      <c r="G921" s="173"/>
      <c r="H921" s="173"/>
      <c r="I921" s="173"/>
      <c r="J921" s="173"/>
      <c r="K921" s="173"/>
      <c r="L921" s="173"/>
      <c r="M921" s="173"/>
      <c r="N921" s="173"/>
      <c r="O921" s="173"/>
      <c r="P921" s="173"/>
      <c r="Q921" s="173"/>
      <c r="R921" s="173"/>
      <c r="S921" s="173"/>
      <c r="T921" s="173"/>
      <c r="U921" s="173"/>
      <c r="V921" s="173"/>
      <c r="W921" s="173"/>
      <c r="X921" s="173"/>
      <c r="Y921" s="173"/>
    </row>
    <row r="922">
      <c r="A922" s="173"/>
      <c r="B922" s="173"/>
      <c r="C922" s="323"/>
      <c r="D922" s="324"/>
      <c r="E922" s="173"/>
      <c r="F922" s="173"/>
      <c r="G922" s="173"/>
      <c r="H922" s="173"/>
      <c r="I922" s="173"/>
      <c r="J922" s="173"/>
      <c r="K922" s="173"/>
      <c r="L922" s="173"/>
      <c r="M922" s="173"/>
      <c r="N922" s="173"/>
      <c r="O922" s="173"/>
      <c r="P922" s="173"/>
      <c r="Q922" s="173"/>
      <c r="R922" s="173"/>
      <c r="S922" s="173"/>
      <c r="T922" s="173"/>
      <c r="U922" s="173"/>
      <c r="V922" s="173"/>
      <c r="W922" s="173"/>
      <c r="X922" s="173"/>
      <c r="Y922" s="173"/>
    </row>
    <row r="923">
      <c r="A923" s="173"/>
      <c r="B923" s="173"/>
      <c r="C923" s="323"/>
      <c r="D923" s="324"/>
      <c r="E923" s="173"/>
      <c r="F923" s="173"/>
      <c r="G923" s="173"/>
      <c r="H923" s="173"/>
      <c r="I923" s="173"/>
      <c r="J923" s="173"/>
      <c r="K923" s="173"/>
      <c r="L923" s="173"/>
      <c r="M923" s="173"/>
      <c r="N923" s="173"/>
      <c r="O923" s="173"/>
      <c r="P923" s="173"/>
      <c r="Q923" s="173"/>
      <c r="R923" s="173"/>
      <c r="S923" s="173"/>
      <c r="T923" s="173"/>
      <c r="U923" s="173"/>
      <c r="V923" s="173"/>
      <c r="W923" s="173"/>
      <c r="X923" s="173"/>
      <c r="Y923" s="173"/>
    </row>
    <row r="924">
      <c r="A924" s="173"/>
      <c r="B924" s="173"/>
      <c r="C924" s="323"/>
      <c r="D924" s="324"/>
      <c r="E924" s="173"/>
      <c r="F924" s="173"/>
      <c r="G924" s="173"/>
      <c r="H924" s="173"/>
      <c r="I924" s="173"/>
      <c r="J924" s="173"/>
      <c r="K924" s="173"/>
      <c r="L924" s="173"/>
      <c r="M924" s="173"/>
      <c r="N924" s="173"/>
      <c r="O924" s="173"/>
      <c r="P924" s="173"/>
      <c r="Q924" s="173"/>
      <c r="R924" s="173"/>
      <c r="S924" s="173"/>
      <c r="T924" s="173"/>
      <c r="U924" s="173"/>
      <c r="V924" s="173"/>
      <c r="W924" s="173"/>
      <c r="X924" s="173"/>
      <c r="Y924" s="173"/>
    </row>
    <row r="925">
      <c r="A925" s="173"/>
      <c r="B925" s="173"/>
      <c r="C925" s="323"/>
      <c r="D925" s="324"/>
      <c r="E925" s="173"/>
      <c r="F925" s="173"/>
      <c r="G925" s="173"/>
      <c r="H925" s="173"/>
      <c r="I925" s="173"/>
      <c r="J925" s="173"/>
      <c r="K925" s="173"/>
      <c r="L925" s="173"/>
      <c r="M925" s="173"/>
      <c r="N925" s="173"/>
      <c r="O925" s="173"/>
      <c r="P925" s="173"/>
      <c r="Q925" s="173"/>
      <c r="R925" s="173"/>
      <c r="S925" s="173"/>
      <c r="T925" s="173"/>
      <c r="U925" s="173"/>
      <c r="V925" s="173"/>
      <c r="W925" s="173"/>
      <c r="X925" s="173"/>
      <c r="Y925" s="173"/>
    </row>
    <row r="926">
      <c r="A926" s="173"/>
      <c r="B926" s="173"/>
      <c r="C926" s="323"/>
      <c r="D926" s="324"/>
      <c r="E926" s="173"/>
      <c r="F926" s="173"/>
      <c r="G926" s="173"/>
      <c r="H926" s="173"/>
      <c r="I926" s="173"/>
      <c r="J926" s="173"/>
      <c r="K926" s="173"/>
      <c r="L926" s="173"/>
      <c r="M926" s="173"/>
      <c r="N926" s="173"/>
      <c r="O926" s="173"/>
      <c r="P926" s="173"/>
      <c r="Q926" s="173"/>
      <c r="R926" s="173"/>
      <c r="S926" s="173"/>
      <c r="T926" s="173"/>
      <c r="U926" s="173"/>
      <c r="V926" s="173"/>
      <c r="W926" s="173"/>
      <c r="X926" s="173"/>
      <c r="Y926" s="173"/>
    </row>
    <row r="927">
      <c r="A927" s="173"/>
      <c r="B927" s="173"/>
      <c r="C927" s="323"/>
      <c r="D927" s="324"/>
      <c r="E927" s="173"/>
      <c r="F927" s="173"/>
      <c r="G927" s="173"/>
      <c r="H927" s="173"/>
      <c r="I927" s="173"/>
      <c r="J927" s="173"/>
      <c r="K927" s="173"/>
      <c r="L927" s="173"/>
      <c r="M927" s="173"/>
      <c r="N927" s="173"/>
      <c r="O927" s="173"/>
      <c r="P927" s="173"/>
      <c r="Q927" s="173"/>
      <c r="R927" s="173"/>
      <c r="S927" s="173"/>
      <c r="T927" s="173"/>
      <c r="U927" s="173"/>
      <c r="V927" s="173"/>
      <c r="W927" s="173"/>
      <c r="X927" s="173"/>
      <c r="Y927" s="173"/>
    </row>
    <row r="928">
      <c r="A928" s="173"/>
      <c r="B928" s="173"/>
      <c r="C928" s="323"/>
      <c r="D928" s="324"/>
      <c r="E928" s="173"/>
      <c r="F928" s="173"/>
      <c r="G928" s="173"/>
      <c r="H928" s="173"/>
      <c r="I928" s="173"/>
      <c r="J928" s="173"/>
      <c r="K928" s="173"/>
      <c r="L928" s="173"/>
      <c r="M928" s="173"/>
      <c r="N928" s="173"/>
      <c r="O928" s="173"/>
      <c r="P928" s="173"/>
      <c r="Q928" s="173"/>
      <c r="R928" s="173"/>
      <c r="S928" s="173"/>
      <c r="T928" s="173"/>
      <c r="U928" s="173"/>
      <c r="V928" s="173"/>
      <c r="W928" s="173"/>
      <c r="X928" s="173"/>
      <c r="Y928" s="173"/>
    </row>
    <row r="929">
      <c r="A929" s="173"/>
      <c r="B929" s="173"/>
      <c r="C929" s="323"/>
      <c r="D929" s="324"/>
      <c r="E929" s="173"/>
      <c r="F929" s="173"/>
      <c r="G929" s="173"/>
      <c r="H929" s="173"/>
      <c r="I929" s="173"/>
      <c r="J929" s="173"/>
      <c r="K929" s="173"/>
      <c r="L929" s="173"/>
      <c r="M929" s="173"/>
      <c r="N929" s="173"/>
      <c r="O929" s="173"/>
      <c r="P929" s="173"/>
      <c r="Q929" s="173"/>
      <c r="R929" s="173"/>
      <c r="S929" s="173"/>
      <c r="T929" s="173"/>
      <c r="U929" s="173"/>
      <c r="V929" s="173"/>
      <c r="W929" s="173"/>
      <c r="X929" s="173"/>
      <c r="Y929" s="173"/>
    </row>
    <row r="930">
      <c r="A930" s="173"/>
      <c r="B930" s="173"/>
      <c r="C930" s="323"/>
      <c r="D930" s="324"/>
      <c r="E930" s="173"/>
      <c r="F930" s="173"/>
      <c r="G930" s="173"/>
      <c r="H930" s="173"/>
      <c r="I930" s="173"/>
      <c r="J930" s="173"/>
      <c r="K930" s="173"/>
      <c r="L930" s="173"/>
      <c r="M930" s="173"/>
      <c r="N930" s="173"/>
      <c r="O930" s="173"/>
      <c r="P930" s="173"/>
      <c r="Q930" s="173"/>
      <c r="R930" s="173"/>
      <c r="S930" s="173"/>
      <c r="T930" s="173"/>
      <c r="U930" s="173"/>
      <c r="V930" s="173"/>
      <c r="W930" s="173"/>
      <c r="X930" s="173"/>
      <c r="Y930" s="173"/>
    </row>
    <row r="931">
      <c r="A931" s="173"/>
      <c r="B931" s="173"/>
      <c r="C931" s="323"/>
      <c r="D931" s="324"/>
      <c r="E931" s="173"/>
      <c r="F931" s="173"/>
      <c r="G931" s="173"/>
      <c r="H931" s="173"/>
      <c r="I931" s="173"/>
      <c r="J931" s="173"/>
      <c r="K931" s="173"/>
      <c r="L931" s="173"/>
      <c r="M931" s="173"/>
      <c r="N931" s="173"/>
      <c r="O931" s="173"/>
      <c r="P931" s="173"/>
      <c r="Q931" s="173"/>
      <c r="R931" s="173"/>
      <c r="S931" s="173"/>
      <c r="T931" s="173"/>
      <c r="U931" s="173"/>
      <c r="V931" s="173"/>
      <c r="W931" s="173"/>
      <c r="X931" s="173"/>
      <c r="Y931" s="173"/>
    </row>
    <row r="932">
      <c r="A932" s="173"/>
      <c r="B932" s="173"/>
      <c r="C932" s="323"/>
      <c r="D932" s="324"/>
      <c r="E932" s="173"/>
      <c r="F932" s="173"/>
      <c r="G932" s="173"/>
      <c r="H932" s="173"/>
      <c r="I932" s="173"/>
      <c r="J932" s="173"/>
      <c r="K932" s="173"/>
      <c r="L932" s="173"/>
      <c r="M932" s="173"/>
      <c r="N932" s="173"/>
      <c r="O932" s="173"/>
      <c r="P932" s="173"/>
      <c r="Q932" s="173"/>
      <c r="R932" s="173"/>
      <c r="S932" s="173"/>
      <c r="T932" s="173"/>
      <c r="U932" s="173"/>
      <c r="V932" s="173"/>
      <c r="W932" s="173"/>
      <c r="X932" s="173"/>
      <c r="Y932" s="173"/>
    </row>
    <row r="933">
      <c r="A933" s="173"/>
      <c r="B933" s="173"/>
      <c r="C933" s="323"/>
      <c r="D933" s="324"/>
      <c r="E933" s="173"/>
      <c r="F933" s="173"/>
      <c r="G933" s="173"/>
      <c r="H933" s="173"/>
      <c r="I933" s="173"/>
      <c r="J933" s="173"/>
      <c r="K933" s="173"/>
      <c r="L933" s="173"/>
      <c r="M933" s="173"/>
      <c r="N933" s="173"/>
      <c r="O933" s="173"/>
      <c r="P933" s="173"/>
      <c r="Q933" s="173"/>
      <c r="R933" s="173"/>
      <c r="S933" s="173"/>
      <c r="T933" s="173"/>
      <c r="U933" s="173"/>
      <c r="V933" s="173"/>
      <c r="W933" s="173"/>
      <c r="X933" s="173"/>
      <c r="Y933" s="173"/>
    </row>
    <row r="934">
      <c r="A934" s="173"/>
      <c r="B934" s="173"/>
      <c r="C934" s="323"/>
      <c r="D934" s="324"/>
      <c r="E934" s="173"/>
      <c r="F934" s="173"/>
      <c r="G934" s="173"/>
      <c r="H934" s="173"/>
      <c r="I934" s="173"/>
      <c r="J934" s="173"/>
      <c r="K934" s="173"/>
      <c r="L934" s="173"/>
      <c r="M934" s="173"/>
      <c r="N934" s="173"/>
      <c r="O934" s="173"/>
      <c r="P934" s="173"/>
      <c r="Q934" s="173"/>
      <c r="R934" s="173"/>
      <c r="S934" s="173"/>
      <c r="T934" s="173"/>
      <c r="U934" s="173"/>
      <c r="V934" s="173"/>
      <c r="W934" s="173"/>
      <c r="X934" s="173"/>
      <c r="Y934" s="173"/>
    </row>
    <row r="935">
      <c r="A935" s="173"/>
      <c r="B935" s="173"/>
      <c r="C935" s="323"/>
      <c r="D935" s="324"/>
      <c r="E935" s="173"/>
      <c r="F935" s="173"/>
      <c r="G935" s="173"/>
      <c r="H935" s="173"/>
      <c r="I935" s="173"/>
      <c r="J935" s="173"/>
      <c r="K935" s="173"/>
      <c r="L935" s="173"/>
      <c r="M935" s="173"/>
      <c r="N935" s="173"/>
      <c r="O935" s="173"/>
      <c r="P935" s="173"/>
      <c r="Q935" s="173"/>
      <c r="R935" s="173"/>
      <c r="S935" s="173"/>
      <c r="T935" s="173"/>
      <c r="U935" s="173"/>
      <c r="V935" s="173"/>
      <c r="W935" s="173"/>
      <c r="X935" s="173"/>
      <c r="Y935" s="173"/>
    </row>
    <row r="936">
      <c r="A936" s="173"/>
      <c r="B936" s="173"/>
      <c r="C936" s="323"/>
      <c r="D936" s="324"/>
      <c r="E936" s="173"/>
      <c r="F936" s="173"/>
      <c r="G936" s="173"/>
      <c r="H936" s="173"/>
      <c r="I936" s="173"/>
      <c r="J936" s="173"/>
      <c r="K936" s="173"/>
      <c r="L936" s="173"/>
      <c r="M936" s="173"/>
      <c r="N936" s="173"/>
      <c r="O936" s="173"/>
      <c r="P936" s="173"/>
      <c r="Q936" s="173"/>
      <c r="R936" s="173"/>
      <c r="S936" s="173"/>
      <c r="T936" s="173"/>
      <c r="U936" s="173"/>
      <c r="V936" s="173"/>
      <c r="W936" s="173"/>
      <c r="X936" s="173"/>
      <c r="Y936" s="173"/>
    </row>
    <row r="937">
      <c r="A937" s="173"/>
      <c r="B937" s="173"/>
      <c r="C937" s="323"/>
      <c r="D937" s="324"/>
      <c r="E937" s="173"/>
      <c r="F937" s="173"/>
      <c r="G937" s="173"/>
      <c r="H937" s="173"/>
      <c r="I937" s="173"/>
      <c r="J937" s="173"/>
      <c r="K937" s="173"/>
      <c r="L937" s="173"/>
      <c r="M937" s="173"/>
      <c r="N937" s="173"/>
      <c r="O937" s="173"/>
      <c r="P937" s="173"/>
      <c r="Q937" s="173"/>
      <c r="R937" s="173"/>
      <c r="S937" s="173"/>
      <c r="T937" s="173"/>
      <c r="U937" s="173"/>
      <c r="V937" s="173"/>
      <c r="W937" s="173"/>
      <c r="X937" s="173"/>
      <c r="Y937" s="173"/>
    </row>
    <row r="938">
      <c r="A938" s="173"/>
      <c r="B938" s="173"/>
      <c r="C938" s="323"/>
      <c r="D938" s="324"/>
      <c r="E938" s="173"/>
      <c r="F938" s="173"/>
      <c r="G938" s="173"/>
      <c r="H938" s="173"/>
      <c r="I938" s="173"/>
      <c r="J938" s="173"/>
      <c r="K938" s="173"/>
      <c r="L938" s="173"/>
      <c r="M938" s="173"/>
      <c r="N938" s="173"/>
      <c r="O938" s="173"/>
      <c r="P938" s="173"/>
      <c r="Q938" s="173"/>
      <c r="R938" s="173"/>
      <c r="S938" s="173"/>
      <c r="T938" s="173"/>
      <c r="U938" s="173"/>
      <c r="V938" s="173"/>
      <c r="W938" s="173"/>
      <c r="X938" s="173"/>
      <c r="Y938" s="173"/>
    </row>
    <row r="939">
      <c r="A939" s="173"/>
      <c r="B939" s="173"/>
      <c r="C939" s="323"/>
      <c r="D939" s="324"/>
      <c r="E939" s="173"/>
      <c r="F939" s="173"/>
      <c r="G939" s="173"/>
      <c r="H939" s="173"/>
      <c r="I939" s="173"/>
      <c r="J939" s="173"/>
      <c r="K939" s="173"/>
      <c r="L939" s="173"/>
      <c r="M939" s="173"/>
      <c r="N939" s="173"/>
      <c r="O939" s="173"/>
      <c r="P939" s="173"/>
      <c r="Q939" s="173"/>
      <c r="R939" s="173"/>
      <c r="S939" s="173"/>
      <c r="T939" s="173"/>
      <c r="U939" s="173"/>
      <c r="V939" s="173"/>
      <c r="W939" s="173"/>
      <c r="X939" s="173"/>
      <c r="Y939" s="173"/>
    </row>
    <row r="940">
      <c r="A940" s="173"/>
      <c r="B940" s="173"/>
      <c r="C940" s="323"/>
      <c r="D940" s="324"/>
      <c r="E940" s="173"/>
      <c r="F940" s="173"/>
      <c r="G940" s="173"/>
      <c r="H940" s="173"/>
      <c r="I940" s="173"/>
      <c r="J940" s="173"/>
      <c r="K940" s="173"/>
      <c r="L940" s="173"/>
      <c r="M940" s="173"/>
      <c r="N940" s="173"/>
      <c r="O940" s="173"/>
      <c r="P940" s="173"/>
      <c r="Q940" s="173"/>
      <c r="R940" s="173"/>
      <c r="S940" s="173"/>
      <c r="T940" s="173"/>
      <c r="U940" s="173"/>
      <c r="V940" s="173"/>
      <c r="W940" s="173"/>
      <c r="X940" s="173"/>
      <c r="Y940" s="173"/>
    </row>
    <row r="941">
      <c r="A941" s="173"/>
      <c r="B941" s="173"/>
      <c r="C941" s="323"/>
      <c r="D941" s="324"/>
      <c r="E941" s="173"/>
      <c r="F941" s="173"/>
      <c r="G941" s="173"/>
      <c r="H941" s="173"/>
      <c r="I941" s="173"/>
      <c r="J941" s="173"/>
      <c r="K941" s="173"/>
      <c r="L941" s="173"/>
      <c r="M941" s="173"/>
      <c r="N941" s="173"/>
      <c r="O941" s="173"/>
      <c r="P941" s="173"/>
      <c r="Q941" s="173"/>
      <c r="R941" s="173"/>
      <c r="S941" s="173"/>
      <c r="T941" s="173"/>
      <c r="U941" s="173"/>
      <c r="V941" s="173"/>
      <c r="W941" s="173"/>
      <c r="X941" s="173"/>
      <c r="Y941" s="173"/>
    </row>
    <row r="942">
      <c r="A942" s="173"/>
      <c r="B942" s="173"/>
      <c r="C942" s="323"/>
      <c r="D942" s="324"/>
      <c r="E942" s="173"/>
      <c r="F942" s="173"/>
      <c r="G942" s="173"/>
      <c r="H942" s="173"/>
      <c r="I942" s="173"/>
      <c r="J942" s="173"/>
      <c r="K942" s="173"/>
      <c r="L942" s="173"/>
      <c r="M942" s="173"/>
      <c r="N942" s="173"/>
      <c r="O942" s="173"/>
      <c r="P942" s="173"/>
      <c r="Q942" s="173"/>
      <c r="R942" s="173"/>
      <c r="S942" s="173"/>
      <c r="T942" s="173"/>
      <c r="U942" s="173"/>
      <c r="V942" s="173"/>
      <c r="W942" s="173"/>
      <c r="X942" s="173"/>
      <c r="Y942" s="173"/>
    </row>
    <row r="943">
      <c r="A943" s="173"/>
      <c r="B943" s="173"/>
      <c r="C943" s="323"/>
      <c r="D943" s="324"/>
      <c r="E943" s="173"/>
      <c r="F943" s="173"/>
      <c r="G943" s="173"/>
      <c r="H943" s="173"/>
      <c r="I943" s="173"/>
      <c r="J943" s="173"/>
      <c r="K943" s="173"/>
      <c r="L943" s="173"/>
      <c r="M943" s="173"/>
      <c r="N943" s="173"/>
      <c r="O943" s="173"/>
      <c r="P943" s="173"/>
      <c r="Q943" s="173"/>
      <c r="R943" s="173"/>
      <c r="S943" s="173"/>
      <c r="T943" s="173"/>
      <c r="U943" s="173"/>
      <c r="V943" s="173"/>
      <c r="W943" s="173"/>
      <c r="X943" s="173"/>
      <c r="Y943" s="173"/>
    </row>
    <row r="944">
      <c r="A944" s="173"/>
      <c r="B944" s="173"/>
      <c r="C944" s="323"/>
      <c r="D944" s="324"/>
      <c r="E944" s="173"/>
      <c r="F944" s="173"/>
      <c r="G944" s="173"/>
      <c r="H944" s="173"/>
      <c r="I944" s="173"/>
      <c r="J944" s="173"/>
      <c r="K944" s="173"/>
      <c r="L944" s="173"/>
      <c r="M944" s="173"/>
      <c r="N944" s="173"/>
      <c r="O944" s="173"/>
      <c r="P944" s="173"/>
      <c r="Q944" s="173"/>
      <c r="R944" s="173"/>
      <c r="S944" s="173"/>
      <c r="T944" s="173"/>
      <c r="U944" s="173"/>
      <c r="V944" s="173"/>
      <c r="W944" s="173"/>
      <c r="X944" s="173"/>
      <c r="Y944" s="173"/>
    </row>
    <row r="945">
      <c r="A945" s="173"/>
      <c r="B945" s="173"/>
      <c r="C945" s="323"/>
      <c r="D945" s="324"/>
      <c r="E945" s="173"/>
      <c r="F945" s="173"/>
      <c r="G945" s="173"/>
      <c r="H945" s="173"/>
      <c r="I945" s="173"/>
      <c r="J945" s="173"/>
      <c r="K945" s="173"/>
      <c r="L945" s="173"/>
      <c r="M945" s="173"/>
      <c r="N945" s="173"/>
      <c r="O945" s="173"/>
      <c r="P945" s="173"/>
      <c r="Q945" s="173"/>
      <c r="R945" s="173"/>
      <c r="S945" s="173"/>
      <c r="T945" s="173"/>
      <c r="U945" s="173"/>
      <c r="V945" s="173"/>
      <c r="W945" s="173"/>
      <c r="X945" s="173"/>
      <c r="Y945" s="173"/>
    </row>
    <row r="946">
      <c r="A946" s="173"/>
      <c r="B946" s="173"/>
      <c r="C946" s="323"/>
      <c r="D946" s="324"/>
      <c r="E946" s="173"/>
      <c r="F946" s="173"/>
      <c r="G946" s="173"/>
      <c r="H946" s="173"/>
      <c r="I946" s="173"/>
      <c r="J946" s="173"/>
      <c r="K946" s="173"/>
      <c r="L946" s="173"/>
      <c r="M946" s="173"/>
      <c r="N946" s="173"/>
      <c r="O946" s="173"/>
      <c r="P946" s="173"/>
      <c r="Q946" s="173"/>
      <c r="R946" s="173"/>
      <c r="S946" s="173"/>
      <c r="T946" s="173"/>
      <c r="U946" s="173"/>
      <c r="V946" s="173"/>
      <c r="W946" s="173"/>
      <c r="X946" s="173"/>
      <c r="Y946" s="173"/>
    </row>
    <row r="947">
      <c r="A947" s="173"/>
      <c r="B947" s="173"/>
      <c r="C947" s="323"/>
      <c r="D947" s="324"/>
      <c r="E947" s="173"/>
      <c r="F947" s="173"/>
      <c r="G947" s="173"/>
      <c r="H947" s="173"/>
      <c r="I947" s="173"/>
      <c r="J947" s="173"/>
      <c r="K947" s="173"/>
      <c r="L947" s="173"/>
      <c r="M947" s="173"/>
      <c r="N947" s="173"/>
      <c r="O947" s="173"/>
      <c r="P947" s="173"/>
      <c r="Q947" s="173"/>
      <c r="R947" s="173"/>
      <c r="S947" s="173"/>
      <c r="T947" s="173"/>
      <c r="U947" s="173"/>
      <c r="V947" s="173"/>
      <c r="W947" s="173"/>
      <c r="X947" s="173"/>
      <c r="Y947" s="173"/>
    </row>
    <row r="948">
      <c r="A948" s="173"/>
      <c r="B948" s="173"/>
      <c r="C948" s="323"/>
      <c r="D948" s="324"/>
      <c r="E948" s="173"/>
      <c r="F948" s="173"/>
      <c r="G948" s="173"/>
      <c r="H948" s="173"/>
      <c r="I948" s="173"/>
      <c r="J948" s="173"/>
      <c r="K948" s="173"/>
      <c r="L948" s="173"/>
      <c r="M948" s="173"/>
      <c r="N948" s="173"/>
      <c r="O948" s="173"/>
      <c r="P948" s="173"/>
      <c r="Q948" s="173"/>
      <c r="R948" s="173"/>
      <c r="S948" s="173"/>
      <c r="T948" s="173"/>
      <c r="U948" s="173"/>
      <c r="V948" s="173"/>
      <c r="W948" s="173"/>
      <c r="X948" s="173"/>
      <c r="Y948" s="173"/>
    </row>
    <row r="949">
      <c r="A949" s="173"/>
      <c r="B949" s="173"/>
      <c r="C949" s="323"/>
      <c r="D949" s="324"/>
      <c r="E949" s="173"/>
      <c r="F949" s="173"/>
      <c r="G949" s="173"/>
      <c r="H949" s="173"/>
      <c r="I949" s="173"/>
      <c r="J949" s="173"/>
      <c r="K949" s="173"/>
      <c r="L949" s="173"/>
      <c r="M949" s="173"/>
      <c r="N949" s="173"/>
      <c r="O949" s="173"/>
      <c r="P949" s="173"/>
      <c r="Q949" s="173"/>
      <c r="R949" s="173"/>
      <c r="S949" s="173"/>
      <c r="T949" s="173"/>
      <c r="U949" s="173"/>
      <c r="V949" s="173"/>
      <c r="W949" s="173"/>
      <c r="X949" s="173"/>
      <c r="Y949" s="173"/>
    </row>
    <row r="950">
      <c r="A950" s="173"/>
      <c r="B950" s="173"/>
      <c r="C950" s="323"/>
      <c r="D950" s="324"/>
      <c r="E950" s="173"/>
      <c r="F950" s="173"/>
      <c r="G950" s="173"/>
      <c r="H950" s="173"/>
      <c r="I950" s="173"/>
      <c r="J950" s="173"/>
      <c r="K950" s="173"/>
      <c r="L950" s="173"/>
      <c r="M950" s="173"/>
      <c r="N950" s="173"/>
      <c r="O950" s="173"/>
      <c r="P950" s="173"/>
      <c r="Q950" s="173"/>
      <c r="R950" s="173"/>
      <c r="S950" s="173"/>
      <c r="T950" s="173"/>
      <c r="U950" s="173"/>
      <c r="V950" s="173"/>
      <c r="W950" s="173"/>
      <c r="X950" s="173"/>
      <c r="Y950" s="173"/>
    </row>
    <row r="951">
      <c r="A951" s="173"/>
      <c r="B951" s="173"/>
      <c r="C951" s="323"/>
      <c r="D951" s="324"/>
      <c r="E951" s="173"/>
      <c r="F951" s="173"/>
      <c r="G951" s="173"/>
      <c r="H951" s="173"/>
      <c r="I951" s="173"/>
      <c r="J951" s="173"/>
      <c r="K951" s="173"/>
      <c r="L951" s="173"/>
      <c r="M951" s="173"/>
      <c r="N951" s="173"/>
      <c r="O951" s="173"/>
      <c r="P951" s="173"/>
      <c r="Q951" s="173"/>
      <c r="R951" s="173"/>
      <c r="S951" s="173"/>
      <c r="T951" s="173"/>
      <c r="U951" s="173"/>
      <c r="V951" s="173"/>
      <c r="W951" s="173"/>
      <c r="X951" s="173"/>
      <c r="Y951" s="173"/>
    </row>
    <row r="952">
      <c r="A952" s="173"/>
      <c r="B952" s="173"/>
      <c r="C952" s="323"/>
      <c r="D952" s="324"/>
      <c r="E952" s="173"/>
      <c r="F952" s="173"/>
      <c r="G952" s="173"/>
      <c r="H952" s="173"/>
      <c r="I952" s="173"/>
      <c r="J952" s="173"/>
      <c r="K952" s="173"/>
      <c r="L952" s="173"/>
      <c r="M952" s="173"/>
      <c r="N952" s="173"/>
      <c r="O952" s="173"/>
      <c r="P952" s="173"/>
      <c r="Q952" s="173"/>
      <c r="R952" s="173"/>
      <c r="S952" s="173"/>
      <c r="T952" s="173"/>
      <c r="U952" s="173"/>
      <c r="V952" s="173"/>
      <c r="W952" s="173"/>
      <c r="X952" s="173"/>
      <c r="Y952" s="173"/>
    </row>
    <row r="953">
      <c r="A953" s="173"/>
      <c r="B953" s="173"/>
      <c r="C953" s="323"/>
      <c r="D953" s="324"/>
      <c r="E953" s="173"/>
      <c r="F953" s="173"/>
      <c r="G953" s="173"/>
      <c r="H953" s="173"/>
      <c r="I953" s="173"/>
      <c r="J953" s="173"/>
      <c r="K953" s="173"/>
      <c r="L953" s="173"/>
      <c r="M953" s="173"/>
      <c r="N953" s="173"/>
      <c r="O953" s="173"/>
      <c r="P953" s="173"/>
      <c r="Q953" s="173"/>
      <c r="R953" s="173"/>
      <c r="S953" s="173"/>
      <c r="T953" s="173"/>
      <c r="U953" s="173"/>
      <c r="V953" s="173"/>
      <c r="W953" s="173"/>
      <c r="X953" s="173"/>
      <c r="Y953" s="173"/>
    </row>
    <row r="954">
      <c r="A954" s="173"/>
      <c r="B954" s="173"/>
      <c r="C954" s="323"/>
      <c r="D954" s="324"/>
      <c r="E954" s="173"/>
      <c r="F954" s="173"/>
      <c r="G954" s="173"/>
      <c r="H954" s="173"/>
      <c r="I954" s="173"/>
      <c r="J954" s="173"/>
      <c r="K954" s="173"/>
      <c r="L954" s="173"/>
      <c r="M954" s="173"/>
      <c r="N954" s="173"/>
      <c r="O954" s="173"/>
      <c r="P954" s="173"/>
      <c r="Q954" s="173"/>
      <c r="R954" s="173"/>
      <c r="S954" s="173"/>
      <c r="T954" s="173"/>
      <c r="U954" s="173"/>
      <c r="V954" s="173"/>
      <c r="W954" s="173"/>
      <c r="X954" s="173"/>
      <c r="Y954" s="173"/>
    </row>
    <row r="955">
      <c r="A955" s="173"/>
      <c r="B955" s="173"/>
      <c r="C955" s="323"/>
      <c r="D955" s="324"/>
      <c r="E955" s="173"/>
      <c r="F955" s="173"/>
      <c r="G955" s="173"/>
      <c r="H955" s="173"/>
      <c r="I955" s="173"/>
      <c r="J955" s="173"/>
      <c r="K955" s="173"/>
      <c r="L955" s="173"/>
      <c r="M955" s="173"/>
      <c r="N955" s="173"/>
      <c r="O955" s="173"/>
      <c r="P955" s="173"/>
      <c r="Q955" s="173"/>
      <c r="R955" s="173"/>
      <c r="S955" s="173"/>
      <c r="T955" s="173"/>
      <c r="U955" s="173"/>
      <c r="V955" s="173"/>
      <c r="W955" s="173"/>
      <c r="X955" s="173"/>
      <c r="Y955" s="173"/>
    </row>
    <row r="956">
      <c r="A956" s="173"/>
      <c r="B956" s="173"/>
      <c r="C956" s="323"/>
      <c r="D956" s="324"/>
      <c r="E956" s="173"/>
      <c r="F956" s="173"/>
      <c r="G956" s="173"/>
      <c r="H956" s="173"/>
      <c r="I956" s="173"/>
      <c r="J956" s="173"/>
      <c r="K956" s="173"/>
      <c r="L956" s="173"/>
      <c r="M956" s="173"/>
      <c r="N956" s="173"/>
      <c r="O956" s="173"/>
      <c r="P956" s="173"/>
      <c r="Q956" s="173"/>
      <c r="R956" s="173"/>
      <c r="S956" s="173"/>
      <c r="T956" s="173"/>
      <c r="U956" s="173"/>
      <c r="V956" s="173"/>
      <c r="W956" s="173"/>
      <c r="X956" s="173"/>
      <c r="Y956" s="173"/>
    </row>
    <row r="957">
      <c r="A957" s="173"/>
      <c r="B957" s="173"/>
      <c r="C957" s="323"/>
      <c r="D957" s="324"/>
      <c r="E957" s="173"/>
      <c r="F957" s="173"/>
      <c r="G957" s="173"/>
      <c r="H957" s="173"/>
      <c r="I957" s="173"/>
      <c r="J957" s="173"/>
      <c r="K957" s="173"/>
      <c r="L957" s="173"/>
      <c r="M957" s="173"/>
      <c r="N957" s="173"/>
      <c r="O957" s="173"/>
      <c r="P957" s="173"/>
      <c r="Q957" s="173"/>
      <c r="R957" s="173"/>
      <c r="S957" s="173"/>
      <c r="T957" s="173"/>
      <c r="U957" s="173"/>
      <c r="V957" s="173"/>
      <c r="W957" s="173"/>
      <c r="X957" s="173"/>
      <c r="Y957" s="173"/>
    </row>
    <row r="958">
      <c r="A958" s="173"/>
      <c r="B958" s="173"/>
      <c r="C958" s="323"/>
      <c r="D958" s="324"/>
      <c r="E958" s="173"/>
      <c r="F958" s="173"/>
      <c r="G958" s="173"/>
      <c r="H958" s="173"/>
      <c r="I958" s="173"/>
      <c r="J958" s="173"/>
      <c r="K958" s="173"/>
      <c r="L958" s="173"/>
      <c r="M958" s="173"/>
      <c r="N958" s="173"/>
      <c r="O958" s="173"/>
      <c r="P958" s="173"/>
      <c r="Q958" s="173"/>
      <c r="R958" s="173"/>
      <c r="S958" s="173"/>
      <c r="T958" s="173"/>
      <c r="U958" s="173"/>
      <c r="V958" s="173"/>
      <c r="W958" s="173"/>
      <c r="X958" s="173"/>
      <c r="Y958" s="173"/>
    </row>
    <row r="959">
      <c r="A959" s="173"/>
      <c r="B959" s="173"/>
      <c r="C959" s="323"/>
      <c r="D959" s="324"/>
      <c r="E959" s="173"/>
      <c r="F959" s="173"/>
      <c r="G959" s="173"/>
      <c r="H959" s="173"/>
      <c r="I959" s="173"/>
      <c r="J959" s="173"/>
      <c r="K959" s="173"/>
      <c r="L959" s="173"/>
      <c r="M959" s="173"/>
      <c r="N959" s="173"/>
      <c r="O959" s="173"/>
      <c r="P959" s="173"/>
      <c r="Q959" s="173"/>
      <c r="R959" s="173"/>
      <c r="S959" s="173"/>
      <c r="T959" s="173"/>
      <c r="U959" s="173"/>
      <c r="V959" s="173"/>
      <c r="W959" s="173"/>
      <c r="X959" s="173"/>
      <c r="Y959" s="173"/>
    </row>
    <row r="960">
      <c r="A960" s="173"/>
      <c r="B960" s="173"/>
      <c r="C960" s="323"/>
      <c r="D960" s="324"/>
      <c r="E960" s="173"/>
      <c r="F960" s="173"/>
      <c r="G960" s="173"/>
      <c r="H960" s="173"/>
      <c r="I960" s="173"/>
      <c r="J960" s="173"/>
      <c r="K960" s="173"/>
      <c r="L960" s="173"/>
      <c r="M960" s="173"/>
      <c r="N960" s="173"/>
      <c r="O960" s="173"/>
      <c r="P960" s="173"/>
      <c r="Q960" s="173"/>
      <c r="R960" s="173"/>
      <c r="S960" s="173"/>
      <c r="T960" s="173"/>
      <c r="U960" s="173"/>
      <c r="V960" s="173"/>
      <c r="W960" s="173"/>
      <c r="X960" s="173"/>
      <c r="Y960" s="173"/>
    </row>
    <row r="961">
      <c r="A961" s="173"/>
      <c r="B961" s="173"/>
      <c r="C961" s="323"/>
      <c r="D961" s="324"/>
      <c r="E961" s="173"/>
      <c r="F961" s="173"/>
      <c r="G961" s="173"/>
      <c r="H961" s="173"/>
      <c r="I961" s="173"/>
      <c r="J961" s="173"/>
      <c r="K961" s="173"/>
      <c r="L961" s="173"/>
      <c r="M961" s="173"/>
      <c r="N961" s="173"/>
      <c r="O961" s="173"/>
      <c r="P961" s="173"/>
      <c r="Q961" s="173"/>
      <c r="R961" s="173"/>
      <c r="S961" s="173"/>
      <c r="T961" s="173"/>
      <c r="U961" s="173"/>
      <c r="V961" s="173"/>
      <c r="W961" s="173"/>
      <c r="X961" s="173"/>
      <c r="Y961" s="173"/>
    </row>
    <row r="962">
      <c r="A962" s="173"/>
      <c r="B962" s="173"/>
      <c r="C962" s="323"/>
      <c r="D962" s="324"/>
      <c r="E962" s="173"/>
      <c r="F962" s="173"/>
      <c r="G962" s="173"/>
      <c r="H962" s="173"/>
      <c r="I962" s="173"/>
      <c r="J962" s="173"/>
      <c r="K962" s="173"/>
      <c r="L962" s="173"/>
      <c r="M962" s="173"/>
      <c r="N962" s="173"/>
      <c r="O962" s="173"/>
      <c r="P962" s="173"/>
      <c r="Q962" s="173"/>
      <c r="R962" s="173"/>
      <c r="S962" s="173"/>
      <c r="T962" s="173"/>
      <c r="U962" s="173"/>
      <c r="V962" s="173"/>
      <c r="W962" s="173"/>
      <c r="X962" s="173"/>
      <c r="Y962" s="173"/>
    </row>
    <row r="963">
      <c r="A963" s="173"/>
      <c r="B963" s="173"/>
      <c r="C963" s="323"/>
      <c r="D963" s="324"/>
      <c r="E963" s="173"/>
      <c r="F963" s="173"/>
      <c r="G963" s="173"/>
      <c r="H963" s="173"/>
      <c r="I963" s="173"/>
      <c r="J963" s="173"/>
      <c r="K963" s="173"/>
      <c r="L963" s="173"/>
      <c r="M963" s="173"/>
      <c r="N963" s="173"/>
      <c r="O963" s="173"/>
      <c r="P963" s="173"/>
      <c r="Q963" s="173"/>
      <c r="R963" s="173"/>
      <c r="S963" s="173"/>
      <c r="T963" s="173"/>
      <c r="U963" s="173"/>
      <c r="V963" s="173"/>
      <c r="W963" s="173"/>
      <c r="X963" s="173"/>
      <c r="Y963" s="173"/>
    </row>
    <row r="964">
      <c r="A964" s="173"/>
      <c r="B964" s="173"/>
      <c r="C964" s="323"/>
      <c r="D964" s="324"/>
      <c r="E964" s="173"/>
      <c r="F964" s="173"/>
      <c r="G964" s="173"/>
      <c r="H964" s="173"/>
      <c r="I964" s="173"/>
      <c r="J964" s="173"/>
      <c r="K964" s="173"/>
      <c r="L964" s="173"/>
      <c r="M964" s="173"/>
      <c r="N964" s="173"/>
      <c r="O964" s="173"/>
      <c r="P964" s="173"/>
      <c r="Q964" s="173"/>
      <c r="R964" s="173"/>
      <c r="S964" s="173"/>
      <c r="T964" s="173"/>
      <c r="U964" s="173"/>
      <c r="V964" s="173"/>
      <c r="W964" s="173"/>
      <c r="X964" s="173"/>
      <c r="Y964" s="173"/>
    </row>
    <row r="965">
      <c r="A965" s="173"/>
      <c r="B965" s="173"/>
      <c r="C965" s="323"/>
      <c r="D965" s="324"/>
      <c r="E965" s="173"/>
      <c r="F965" s="173"/>
      <c r="G965" s="173"/>
      <c r="H965" s="173"/>
      <c r="I965" s="173"/>
      <c r="J965" s="173"/>
      <c r="K965" s="173"/>
      <c r="L965" s="173"/>
      <c r="M965" s="173"/>
      <c r="N965" s="173"/>
      <c r="O965" s="173"/>
      <c r="P965" s="173"/>
      <c r="Q965" s="173"/>
      <c r="R965" s="173"/>
      <c r="S965" s="173"/>
      <c r="T965" s="173"/>
      <c r="U965" s="173"/>
      <c r="V965" s="173"/>
      <c r="W965" s="173"/>
      <c r="X965" s="173"/>
      <c r="Y965" s="173"/>
    </row>
    <row r="966">
      <c r="A966" s="173"/>
      <c r="B966" s="173"/>
      <c r="C966" s="323"/>
      <c r="D966" s="324"/>
      <c r="E966" s="173"/>
      <c r="F966" s="173"/>
      <c r="G966" s="173"/>
      <c r="H966" s="173"/>
      <c r="I966" s="173"/>
      <c r="J966" s="173"/>
      <c r="K966" s="173"/>
      <c r="L966" s="173"/>
      <c r="M966" s="173"/>
      <c r="N966" s="173"/>
      <c r="O966" s="173"/>
      <c r="P966" s="173"/>
      <c r="Q966" s="173"/>
      <c r="R966" s="173"/>
      <c r="S966" s="173"/>
      <c r="T966" s="173"/>
      <c r="U966" s="173"/>
      <c r="V966" s="173"/>
      <c r="W966" s="173"/>
      <c r="X966" s="173"/>
      <c r="Y966" s="173"/>
    </row>
    <row r="967">
      <c r="A967" s="173"/>
      <c r="B967" s="173"/>
      <c r="C967" s="323"/>
      <c r="D967" s="324"/>
      <c r="E967" s="173"/>
      <c r="F967" s="173"/>
      <c r="G967" s="173"/>
      <c r="H967" s="173"/>
      <c r="I967" s="173"/>
      <c r="J967" s="173"/>
      <c r="K967" s="173"/>
      <c r="L967" s="173"/>
      <c r="M967" s="173"/>
      <c r="N967" s="173"/>
      <c r="O967" s="173"/>
      <c r="P967" s="173"/>
      <c r="Q967" s="173"/>
      <c r="R967" s="173"/>
      <c r="S967" s="173"/>
      <c r="T967" s="173"/>
      <c r="U967" s="173"/>
      <c r="V967" s="173"/>
      <c r="W967" s="173"/>
      <c r="X967" s="173"/>
      <c r="Y967" s="173"/>
    </row>
    <row r="968">
      <c r="A968" s="173"/>
      <c r="B968" s="173"/>
      <c r="C968" s="323"/>
      <c r="D968" s="324"/>
      <c r="E968" s="173"/>
      <c r="F968" s="173"/>
      <c r="G968" s="173"/>
      <c r="H968" s="173"/>
      <c r="I968" s="173"/>
      <c r="J968" s="173"/>
      <c r="K968" s="173"/>
      <c r="L968" s="173"/>
      <c r="M968" s="173"/>
      <c r="N968" s="173"/>
      <c r="O968" s="173"/>
      <c r="P968" s="173"/>
      <c r="Q968" s="173"/>
      <c r="R968" s="173"/>
      <c r="S968" s="173"/>
      <c r="T968" s="173"/>
      <c r="U968" s="173"/>
      <c r="V968" s="173"/>
      <c r="W968" s="173"/>
      <c r="X968" s="173"/>
      <c r="Y968" s="173"/>
    </row>
    <row r="969">
      <c r="A969" s="173"/>
      <c r="B969" s="173"/>
      <c r="C969" s="323"/>
      <c r="D969" s="324"/>
      <c r="E969" s="173"/>
      <c r="F969" s="173"/>
      <c r="G969" s="173"/>
      <c r="H969" s="173"/>
      <c r="I969" s="173"/>
      <c r="J969" s="173"/>
      <c r="K969" s="173"/>
      <c r="L969" s="173"/>
      <c r="M969" s="173"/>
      <c r="N969" s="173"/>
      <c r="O969" s="173"/>
      <c r="P969" s="173"/>
      <c r="Q969" s="173"/>
      <c r="R969" s="173"/>
      <c r="S969" s="173"/>
      <c r="T969" s="173"/>
      <c r="U969" s="173"/>
      <c r="V969" s="173"/>
      <c r="W969" s="173"/>
      <c r="X969" s="173"/>
      <c r="Y969" s="173"/>
    </row>
    <row r="970">
      <c r="A970" s="173"/>
      <c r="B970" s="173"/>
      <c r="C970" s="323"/>
      <c r="D970" s="324"/>
      <c r="E970" s="173"/>
      <c r="F970" s="173"/>
      <c r="G970" s="173"/>
      <c r="H970" s="173"/>
      <c r="I970" s="173"/>
      <c r="J970" s="173"/>
      <c r="K970" s="173"/>
      <c r="L970" s="173"/>
      <c r="M970" s="173"/>
      <c r="N970" s="173"/>
      <c r="O970" s="173"/>
      <c r="P970" s="173"/>
      <c r="Q970" s="173"/>
      <c r="R970" s="173"/>
      <c r="S970" s="173"/>
      <c r="T970" s="173"/>
      <c r="U970" s="173"/>
      <c r="V970" s="173"/>
      <c r="W970" s="173"/>
      <c r="X970" s="173"/>
      <c r="Y970" s="173"/>
    </row>
    <row r="971">
      <c r="A971" s="173"/>
      <c r="B971" s="173"/>
      <c r="C971" s="323"/>
      <c r="D971" s="324"/>
      <c r="E971" s="173"/>
      <c r="F971" s="173"/>
      <c r="G971" s="173"/>
      <c r="H971" s="173"/>
      <c r="I971" s="173"/>
      <c r="J971" s="173"/>
      <c r="K971" s="173"/>
      <c r="L971" s="173"/>
      <c r="M971" s="173"/>
      <c r="N971" s="173"/>
      <c r="O971" s="173"/>
      <c r="P971" s="173"/>
      <c r="Q971" s="173"/>
      <c r="R971" s="173"/>
      <c r="S971" s="173"/>
      <c r="T971" s="173"/>
      <c r="U971" s="173"/>
      <c r="V971" s="173"/>
      <c r="W971" s="173"/>
      <c r="X971" s="173"/>
      <c r="Y971" s="173"/>
    </row>
    <row r="972">
      <c r="A972" s="173"/>
      <c r="B972" s="173"/>
      <c r="C972" s="323"/>
      <c r="D972" s="324"/>
      <c r="E972" s="173"/>
      <c r="F972" s="173"/>
      <c r="G972" s="173"/>
      <c r="H972" s="173"/>
      <c r="I972" s="173"/>
      <c r="J972" s="173"/>
      <c r="K972" s="173"/>
      <c r="L972" s="173"/>
      <c r="M972" s="173"/>
      <c r="N972" s="173"/>
      <c r="O972" s="173"/>
      <c r="P972" s="173"/>
      <c r="Q972" s="173"/>
      <c r="R972" s="173"/>
      <c r="S972" s="173"/>
      <c r="T972" s="173"/>
      <c r="U972" s="173"/>
      <c r="V972" s="173"/>
      <c r="W972" s="173"/>
      <c r="X972" s="173"/>
      <c r="Y972" s="173"/>
    </row>
    <row r="973">
      <c r="A973" s="173"/>
      <c r="B973" s="173"/>
      <c r="C973" s="323"/>
      <c r="D973" s="324"/>
      <c r="E973" s="173"/>
      <c r="F973" s="173"/>
      <c r="G973" s="173"/>
      <c r="H973" s="173"/>
      <c r="I973" s="173"/>
      <c r="J973" s="173"/>
      <c r="K973" s="173"/>
      <c r="L973" s="173"/>
      <c r="M973" s="173"/>
      <c r="N973" s="173"/>
      <c r="O973" s="173"/>
      <c r="P973" s="173"/>
      <c r="Q973" s="173"/>
      <c r="R973" s="173"/>
      <c r="S973" s="173"/>
      <c r="T973" s="173"/>
      <c r="U973" s="173"/>
      <c r="V973" s="173"/>
      <c r="W973" s="173"/>
      <c r="X973" s="173"/>
      <c r="Y973" s="173"/>
    </row>
    <row r="974">
      <c r="A974" s="173"/>
      <c r="B974" s="173"/>
      <c r="C974" s="323"/>
      <c r="D974" s="324"/>
      <c r="E974" s="173"/>
      <c r="F974" s="173"/>
      <c r="G974" s="173"/>
      <c r="H974" s="173"/>
      <c r="I974" s="173"/>
      <c r="J974" s="173"/>
      <c r="K974" s="173"/>
      <c r="L974" s="173"/>
      <c r="M974" s="173"/>
      <c r="N974" s="173"/>
      <c r="O974" s="173"/>
      <c r="P974" s="173"/>
      <c r="Q974" s="173"/>
      <c r="R974" s="173"/>
      <c r="S974" s="173"/>
      <c r="T974" s="173"/>
      <c r="U974" s="173"/>
      <c r="V974" s="173"/>
      <c r="W974" s="173"/>
      <c r="X974" s="173"/>
      <c r="Y974" s="173"/>
    </row>
    <row r="975">
      <c r="A975" s="173"/>
      <c r="B975" s="173"/>
      <c r="C975" s="323"/>
      <c r="D975" s="324"/>
      <c r="E975" s="173"/>
      <c r="F975" s="173"/>
      <c r="G975" s="173"/>
      <c r="H975" s="173"/>
      <c r="I975" s="173"/>
      <c r="J975" s="173"/>
      <c r="K975" s="173"/>
      <c r="L975" s="173"/>
      <c r="M975" s="173"/>
      <c r="N975" s="173"/>
      <c r="O975" s="173"/>
      <c r="P975" s="173"/>
      <c r="Q975" s="173"/>
      <c r="R975" s="173"/>
      <c r="S975" s="173"/>
      <c r="T975" s="173"/>
      <c r="U975" s="173"/>
      <c r="V975" s="173"/>
      <c r="W975" s="173"/>
      <c r="X975" s="173"/>
      <c r="Y975" s="173"/>
    </row>
    <row r="976">
      <c r="A976" s="173"/>
      <c r="B976" s="173"/>
      <c r="C976" s="323"/>
      <c r="D976" s="324"/>
      <c r="E976" s="173"/>
      <c r="F976" s="173"/>
      <c r="G976" s="173"/>
      <c r="H976" s="173"/>
      <c r="I976" s="173"/>
      <c r="J976" s="173"/>
      <c r="K976" s="173"/>
      <c r="L976" s="173"/>
      <c r="M976" s="173"/>
      <c r="N976" s="173"/>
      <c r="O976" s="173"/>
      <c r="P976" s="173"/>
      <c r="Q976" s="173"/>
      <c r="R976" s="173"/>
      <c r="S976" s="173"/>
      <c r="T976" s="173"/>
      <c r="U976" s="173"/>
      <c r="V976" s="173"/>
      <c r="W976" s="173"/>
      <c r="X976" s="173"/>
      <c r="Y976" s="173"/>
    </row>
    <row r="977">
      <c r="A977" s="173"/>
      <c r="B977" s="173"/>
      <c r="C977" s="323"/>
      <c r="D977" s="324"/>
      <c r="E977" s="173"/>
      <c r="F977" s="173"/>
      <c r="G977" s="173"/>
      <c r="H977" s="173"/>
      <c r="I977" s="173"/>
      <c r="J977" s="173"/>
      <c r="K977" s="173"/>
      <c r="L977" s="173"/>
      <c r="M977" s="173"/>
      <c r="N977" s="173"/>
      <c r="O977" s="173"/>
      <c r="P977" s="173"/>
      <c r="Q977" s="173"/>
      <c r="R977" s="173"/>
      <c r="S977" s="173"/>
      <c r="T977" s="173"/>
      <c r="U977" s="173"/>
      <c r="V977" s="173"/>
      <c r="W977" s="173"/>
      <c r="X977" s="173"/>
      <c r="Y977" s="173"/>
    </row>
    <row r="978">
      <c r="A978" s="173"/>
      <c r="B978" s="173"/>
      <c r="C978" s="323"/>
      <c r="D978" s="324"/>
      <c r="E978" s="173"/>
      <c r="F978" s="173"/>
      <c r="G978" s="173"/>
      <c r="H978" s="173"/>
      <c r="I978" s="173"/>
      <c r="J978" s="173"/>
      <c r="K978" s="173"/>
      <c r="L978" s="173"/>
      <c r="M978" s="173"/>
      <c r="N978" s="173"/>
      <c r="O978" s="173"/>
      <c r="P978" s="173"/>
      <c r="Q978" s="173"/>
      <c r="R978" s="173"/>
      <c r="S978" s="173"/>
      <c r="T978" s="173"/>
      <c r="U978" s="173"/>
      <c r="V978" s="173"/>
      <c r="W978" s="173"/>
      <c r="X978" s="173"/>
      <c r="Y978" s="173"/>
    </row>
    <row r="979">
      <c r="A979" s="173"/>
      <c r="B979" s="173"/>
      <c r="C979" s="323"/>
      <c r="D979" s="324"/>
      <c r="E979" s="173"/>
      <c r="F979" s="173"/>
      <c r="G979" s="173"/>
      <c r="H979" s="173"/>
      <c r="I979" s="173"/>
      <c r="J979" s="173"/>
      <c r="K979" s="173"/>
      <c r="L979" s="173"/>
      <c r="M979" s="173"/>
      <c r="N979" s="173"/>
      <c r="O979" s="173"/>
      <c r="P979" s="173"/>
      <c r="Q979" s="173"/>
      <c r="R979" s="173"/>
      <c r="S979" s="173"/>
      <c r="T979" s="173"/>
      <c r="U979" s="173"/>
      <c r="V979" s="173"/>
      <c r="W979" s="173"/>
      <c r="X979" s="173"/>
      <c r="Y979" s="173"/>
    </row>
    <row r="980">
      <c r="A980" s="173"/>
      <c r="B980" s="173"/>
      <c r="C980" s="323"/>
      <c r="D980" s="324"/>
      <c r="E980" s="173"/>
      <c r="F980" s="173"/>
      <c r="G980" s="173"/>
      <c r="H980" s="173"/>
      <c r="I980" s="173"/>
      <c r="J980" s="173"/>
      <c r="K980" s="173"/>
      <c r="L980" s="173"/>
      <c r="M980" s="173"/>
      <c r="N980" s="173"/>
      <c r="O980" s="173"/>
      <c r="P980" s="173"/>
      <c r="Q980" s="173"/>
      <c r="R980" s="173"/>
      <c r="S980" s="173"/>
      <c r="T980" s="173"/>
      <c r="U980" s="173"/>
      <c r="V980" s="173"/>
      <c r="W980" s="173"/>
      <c r="X980" s="173"/>
      <c r="Y980" s="173"/>
    </row>
    <row r="981">
      <c r="A981" s="173"/>
      <c r="B981" s="173"/>
      <c r="C981" s="323"/>
      <c r="D981" s="324"/>
      <c r="E981" s="173"/>
      <c r="F981" s="173"/>
      <c r="G981" s="173"/>
      <c r="H981" s="173"/>
      <c r="I981" s="173"/>
      <c r="J981" s="173"/>
      <c r="K981" s="173"/>
      <c r="L981" s="173"/>
      <c r="M981" s="173"/>
      <c r="N981" s="173"/>
      <c r="O981" s="173"/>
      <c r="P981" s="173"/>
      <c r="Q981" s="173"/>
      <c r="R981" s="173"/>
      <c r="S981" s="173"/>
      <c r="T981" s="173"/>
      <c r="U981" s="173"/>
      <c r="V981" s="173"/>
      <c r="W981" s="173"/>
      <c r="X981" s="173"/>
      <c r="Y981" s="173"/>
    </row>
    <row r="982">
      <c r="A982" s="173"/>
      <c r="B982" s="173"/>
      <c r="C982" s="323"/>
      <c r="D982" s="324"/>
      <c r="E982" s="173"/>
      <c r="F982" s="173"/>
      <c r="G982" s="173"/>
      <c r="H982" s="173"/>
      <c r="I982" s="173"/>
      <c r="J982" s="173"/>
      <c r="K982" s="173"/>
      <c r="L982" s="173"/>
      <c r="M982" s="173"/>
      <c r="N982" s="173"/>
      <c r="O982" s="173"/>
      <c r="P982" s="173"/>
      <c r="Q982" s="173"/>
      <c r="R982" s="173"/>
      <c r="S982" s="173"/>
      <c r="T982" s="173"/>
      <c r="U982" s="173"/>
      <c r="V982" s="173"/>
      <c r="W982" s="173"/>
      <c r="X982" s="173"/>
      <c r="Y982" s="173"/>
    </row>
    <row r="983">
      <c r="A983" s="173"/>
      <c r="B983" s="173"/>
      <c r="C983" s="323"/>
      <c r="D983" s="324"/>
      <c r="E983" s="173"/>
      <c r="F983" s="173"/>
      <c r="G983" s="173"/>
      <c r="H983" s="173"/>
      <c r="I983" s="173"/>
      <c r="J983" s="173"/>
      <c r="K983" s="173"/>
      <c r="L983" s="173"/>
      <c r="M983" s="173"/>
      <c r="N983" s="173"/>
      <c r="O983" s="173"/>
      <c r="P983" s="173"/>
      <c r="Q983" s="173"/>
      <c r="R983" s="173"/>
      <c r="S983" s="173"/>
      <c r="T983" s="173"/>
      <c r="U983" s="173"/>
      <c r="V983" s="173"/>
      <c r="W983" s="173"/>
      <c r="X983" s="173"/>
      <c r="Y983" s="173"/>
    </row>
    <row r="984">
      <c r="A984" s="173"/>
      <c r="B984" s="173"/>
      <c r="C984" s="323"/>
      <c r="D984" s="324"/>
      <c r="E984" s="173"/>
      <c r="F984" s="173"/>
      <c r="G984" s="173"/>
      <c r="H984" s="173"/>
      <c r="I984" s="173"/>
      <c r="J984" s="173"/>
      <c r="K984" s="173"/>
      <c r="L984" s="173"/>
      <c r="M984" s="173"/>
      <c r="N984" s="173"/>
      <c r="O984" s="173"/>
      <c r="P984" s="173"/>
      <c r="Q984" s="173"/>
      <c r="R984" s="173"/>
      <c r="S984" s="173"/>
      <c r="T984" s="173"/>
      <c r="U984" s="173"/>
      <c r="V984" s="173"/>
      <c r="W984" s="173"/>
      <c r="X984" s="173"/>
      <c r="Y984" s="173"/>
    </row>
    <row r="985">
      <c r="A985" s="173"/>
      <c r="B985" s="173"/>
      <c r="C985" s="323"/>
      <c r="D985" s="324"/>
      <c r="E985" s="173"/>
      <c r="F985" s="173"/>
      <c r="G985" s="173"/>
      <c r="H985" s="173"/>
      <c r="I985" s="173"/>
      <c r="J985" s="173"/>
      <c r="K985" s="173"/>
      <c r="L985" s="173"/>
      <c r="M985" s="173"/>
      <c r="N985" s="173"/>
      <c r="O985" s="173"/>
      <c r="P985" s="173"/>
      <c r="Q985" s="173"/>
      <c r="R985" s="173"/>
      <c r="S985" s="173"/>
      <c r="T985" s="173"/>
      <c r="U985" s="173"/>
      <c r="V985" s="173"/>
      <c r="W985" s="173"/>
      <c r="X985" s="173"/>
      <c r="Y985" s="173"/>
    </row>
    <row r="986">
      <c r="A986" s="173"/>
      <c r="B986" s="173"/>
      <c r="C986" s="323"/>
      <c r="D986" s="324"/>
      <c r="E986" s="173"/>
      <c r="F986" s="173"/>
      <c r="G986" s="173"/>
      <c r="H986" s="173"/>
      <c r="I986" s="173"/>
      <c r="J986" s="173"/>
      <c r="K986" s="173"/>
      <c r="L986" s="173"/>
      <c r="M986" s="173"/>
      <c r="N986" s="173"/>
      <c r="O986" s="173"/>
      <c r="P986" s="173"/>
      <c r="Q986" s="173"/>
      <c r="R986" s="173"/>
      <c r="S986" s="173"/>
      <c r="T986" s="173"/>
      <c r="U986" s="173"/>
      <c r="V986" s="173"/>
      <c r="W986" s="173"/>
      <c r="X986" s="173"/>
      <c r="Y986" s="173"/>
    </row>
    <row r="987">
      <c r="A987" s="173"/>
      <c r="B987" s="173"/>
      <c r="C987" s="323"/>
      <c r="D987" s="324"/>
      <c r="E987" s="173"/>
      <c r="F987" s="173"/>
      <c r="G987" s="173"/>
      <c r="H987" s="173"/>
      <c r="I987" s="173"/>
      <c r="J987" s="173"/>
      <c r="K987" s="173"/>
      <c r="L987" s="173"/>
      <c r="M987" s="173"/>
      <c r="N987" s="173"/>
      <c r="O987" s="173"/>
      <c r="P987" s="173"/>
      <c r="Q987" s="173"/>
      <c r="R987" s="173"/>
      <c r="S987" s="173"/>
      <c r="T987" s="173"/>
      <c r="U987" s="173"/>
      <c r="V987" s="173"/>
      <c r="W987" s="173"/>
      <c r="X987" s="173"/>
      <c r="Y987" s="173"/>
    </row>
    <row r="988">
      <c r="A988" s="173"/>
      <c r="B988" s="173"/>
      <c r="C988" s="323"/>
      <c r="D988" s="324"/>
      <c r="E988" s="173"/>
      <c r="F988" s="173"/>
      <c r="G988" s="173"/>
      <c r="H988" s="173"/>
      <c r="I988" s="173"/>
      <c r="J988" s="173"/>
      <c r="K988" s="173"/>
      <c r="L988" s="173"/>
      <c r="M988" s="173"/>
      <c r="N988" s="173"/>
      <c r="O988" s="173"/>
      <c r="P988" s="173"/>
      <c r="Q988" s="173"/>
      <c r="R988" s="173"/>
      <c r="S988" s="173"/>
      <c r="T988" s="173"/>
      <c r="U988" s="173"/>
      <c r="V988" s="173"/>
      <c r="W988" s="173"/>
      <c r="X988" s="173"/>
      <c r="Y988" s="173"/>
    </row>
    <row r="989">
      <c r="A989" s="173"/>
      <c r="B989" s="173"/>
      <c r="C989" s="323"/>
      <c r="D989" s="324"/>
      <c r="E989" s="173"/>
      <c r="F989" s="173"/>
      <c r="G989" s="173"/>
      <c r="H989" s="173"/>
      <c r="I989" s="173"/>
      <c r="J989" s="173"/>
      <c r="K989" s="173"/>
      <c r="L989" s="173"/>
      <c r="M989" s="173"/>
      <c r="N989" s="173"/>
      <c r="O989" s="173"/>
      <c r="P989" s="173"/>
      <c r="Q989" s="173"/>
      <c r="R989" s="173"/>
      <c r="S989" s="173"/>
      <c r="T989" s="173"/>
      <c r="U989" s="173"/>
      <c r="V989" s="173"/>
      <c r="W989" s="173"/>
      <c r="X989" s="173"/>
      <c r="Y989" s="173"/>
    </row>
    <row r="990">
      <c r="A990" s="173"/>
      <c r="B990" s="173"/>
      <c r="C990" s="323"/>
      <c r="D990" s="324"/>
      <c r="E990" s="173"/>
      <c r="F990" s="173"/>
      <c r="G990" s="173"/>
      <c r="H990" s="173"/>
      <c r="I990" s="173"/>
      <c r="J990" s="173"/>
      <c r="K990" s="173"/>
      <c r="L990" s="173"/>
      <c r="M990" s="173"/>
      <c r="N990" s="173"/>
      <c r="O990" s="173"/>
      <c r="P990" s="173"/>
      <c r="Q990" s="173"/>
      <c r="R990" s="173"/>
      <c r="S990" s="173"/>
      <c r="T990" s="173"/>
      <c r="U990" s="173"/>
      <c r="V990" s="173"/>
      <c r="W990" s="173"/>
      <c r="X990" s="173"/>
      <c r="Y990" s="173"/>
    </row>
    <row r="991">
      <c r="A991" s="173"/>
      <c r="B991" s="173"/>
      <c r="C991" s="323"/>
      <c r="D991" s="324"/>
      <c r="E991" s="173"/>
      <c r="F991" s="173"/>
      <c r="G991" s="173"/>
      <c r="H991" s="173"/>
      <c r="I991" s="173"/>
      <c r="J991" s="173"/>
      <c r="K991" s="173"/>
      <c r="L991" s="173"/>
      <c r="M991" s="173"/>
      <c r="N991" s="173"/>
      <c r="O991" s="173"/>
      <c r="P991" s="173"/>
      <c r="Q991" s="173"/>
      <c r="R991" s="173"/>
      <c r="S991" s="173"/>
      <c r="T991" s="173"/>
      <c r="U991" s="173"/>
      <c r="V991" s="173"/>
      <c r="W991" s="173"/>
      <c r="X991" s="173"/>
      <c r="Y991" s="173"/>
    </row>
    <row r="992">
      <c r="A992" s="173"/>
      <c r="B992" s="173"/>
      <c r="C992" s="323"/>
      <c r="D992" s="324"/>
      <c r="E992" s="173"/>
      <c r="F992" s="173"/>
      <c r="G992" s="173"/>
      <c r="H992" s="173"/>
      <c r="I992" s="173"/>
      <c r="J992" s="173"/>
      <c r="K992" s="173"/>
      <c r="L992" s="173"/>
      <c r="M992" s="173"/>
      <c r="N992" s="173"/>
      <c r="O992" s="173"/>
      <c r="P992" s="173"/>
      <c r="Q992" s="173"/>
      <c r="R992" s="173"/>
      <c r="S992" s="173"/>
      <c r="T992" s="173"/>
      <c r="U992" s="173"/>
      <c r="V992" s="173"/>
      <c r="W992" s="173"/>
      <c r="X992" s="173"/>
      <c r="Y992" s="173"/>
    </row>
    <row r="993">
      <c r="A993" s="173"/>
      <c r="B993" s="173"/>
      <c r="C993" s="323"/>
      <c r="D993" s="324"/>
      <c r="E993" s="173"/>
      <c r="F993" s="173"/>
      <c r="G993" s="173"/>
      <c r="H993" s="173"/>
      <c r="I993" s="173"/>
      <c r="J993" s="173"/>
      <c r="K993" s="173"/>
      <c r="L993" s="173"/>
      <c r="M993" s="173"/>
      <c r="N993" s="173"/>
      <c r="O993" s="173"/>
      <c r="P993" s="173"/>
      <c r="Q993" s="173"/>
      <c r="R993" s="173"/>
      <c r="S993" s="173"/>
      <c r="T993" s="173"/>
      <c r="U993" s="173"/>
      <c r="V993" s="173"/>
      <c r="W993" s="173"/>
      <c r="X993" s="173"/>
      <c r="Y993" s="173"/>
    </row>
    <row r="994">
      <c r="A994" s="173"/>
      <c r="B994" s="173"/>
      <c r="C994" s="323"/>
      <c r="D994" s="324"/>
      <c r="E994" s="173"/>
      <c r="F994" s="173"/>
      <c r="G994" s="173"/>
      <c r="H994" s="173"/>
      <c r="I994" s="173"/>
      <c r="J994" s="173"/>
      <c r="K994" s="173"/>
      <c r="L994" s="173"/>
      <c r="M994" s="173"/>
      <c r="N994" s="173"/>
      <c r="O994" s="173"/>
      <c r="P994" s="173"/>
      <c r="Q994" s="173"/>
      <c r="R994" s="173"/>
      <c r="S994" s="173"/>
      <c r="T994" s="173"/>
      <c r="U994" s="173"/>
      <c r="V994" s="173"/>
      <c r="W994" s="173"/>
      <c r="X994" s="173"/>
      <c r="Y994" s="173"/>
    </row>
    <row r="995">
      <c r="A995" s="173"/>
      <c r="B995" s="173"/>
      <c r="C995" s="323"/>
      <c r="D995" s="324"/>
      <c r="E995" s="173"/>
      <c r="F995" s="173"/>
      <c r="G995" s="173"/>
      <c r="H995" s="173"/>
      <c r="I995" s="173"/>
      <c r="J995" s="173"/>
      <c r="K995" s="173"/>
      <c r="L995" s="173"/>
      <c r="M995" s="173"/>
      <c r="N995" s="173"/>
      <c r="O995" s="173"/>
      <c r="P995" s="173"/>
      <c r="Q995" s="173"/>
      <c r="R995" s="173"/>
      <c r="S995" s="173"/>
      <c r="T995" s="173"/>
      <c r="U995" s="173"/>
      <c r="V995" s="173"/>
      <c r="W995" s="173"/>
      <c r="X995" s="173"/>
      <c r="Y995" s="173"/>
    </row>
    <row r="996">
      <c r="A996" s="173"/>
      <c r="B996" s="173"/>
      <c r="C996" s="323"/>
      <c r="D996" s="324"/>
      <c r="E996" s="173"/>
      <c r="F996" s="173"/>
      <c r="G996" s="173"/>
      <c r="H996" s="173"/>
      <c r="I996" s="173"/>
      <c r="J996" s="173"/>
      <c r="K996" s="173"/>
      <c r="L996" s="173"/>
      <c r="M996" s="173"/>
      <c r="N996" s="173"/>
      <c r="O996" s="173"/>
      <c r="P996" s="173"/>
      <c r="Q996" s="173"/>
      <c r="R996" s="173"/>
      <c r="S996" s="173"/>
      <c r="T996" s="173"/>
      <c r="U996" s="173"/>
      <c r="V996" s="173"/>
      <c r="W996" s="173"/>
      <c r="X996" s="173"/>
      <c r="Y996" s="173"/>
    </row>
    <row r="997">
      <c r="A997" s="173"/>
      <c r="B997" s="173"/>
      <c r="C997" s="323"/>
      <c r="D997" s="324"/>
      <c r="E997" s="173"/>
      <c r="F997" s="173"/>
      <c r="G997" s="173"/>
      <c r="H997" s="173"/>
      <c r="I997" s="173"/>
      <c r="J997" s="173"/>
      <c r="K997" s="173"/>
      <c r="L997" s="173"/>
      <c r="M997" s="173"/>
      <c r="N997" s="173"/>
      <c r="O997" s="173"/>
      <c r="P997" s="173"/>
      <c r="Q997" s="173"/>
      <c r="R997" s="173"/>
      <c r="S997" s="173"/>
      <c r="T997" s="173"/>
      <c r="U997" s="173"/>
      <c r="V997" s="173"/>
      <c r="W997" s="173"/>
      <c r="X997" s="173"/>
      <c r="Y997" s="173"/>
    </row>
    <row r="998">
      <c r="A998" s="173"/>
      <c r="B998" s="173"/>
      <c r="C998" s="323"/>
      <c r="D998" s="324"/>
      <c r="E998" s="173"/>
      <c r="F998" s="173"/>
      <c r="G998" s="173"/>
      <c r="H998" s="173"/>
      <c r="I998" s="173"/>
      <c r="J998" s="173"/>
      <c r="K998" s="173"/>
      <c r="L998" s="173"/>
      <c r="M998" s="173"/>
      <c r="N998" s="173"/>
      <c r="O998" s="173"/>
      <c r="P998" s="173"/>
      <c r="Q998" s="173"/>
      <c r="R998" s="173"/>
      <c r="S998" s="173"/>
      <c r="T998" s="173"/>
      <c r="U998" s="173"/>
      <c r="V998" s="173"/>
      <c r="W998" s="173"/>
      <c r="X998" s="173"/>
      <c r="Y998" s="173"/>
    </row>
    <row r="999">
      <c r="A999" s="173"/>
      <c r="B999" s="173"/>
      <c r="C999" s="323"/>
      <c r="D999" s="324"/>
      <c r="E999" s="173"/>
      <c r="F999" s="173"/>
      <c r="G999" s="173"/>
      <c r="H999" s="173"/>
      <c r="I999" s="173"/>
      <c r="J999" s="173"/>
      <c r="K999" s="173"/>
      <c r="L999" s="173"/>
      <c r="M999" s="173"/>
      <c r="N999" s="173"/>
      <c r="O999" s="173"/>
      <c r="P999" s="173"/>
      <c r="Q999" s="173"/>
      <c r="R999" s="173"/>
      <c r="S999" s="173"/>
      <c r="T999" s="173"/>
      <c r="U999" s="173"/>
      <c r="V999" s="173"/>
      <c r="W999" s="173"/>
      <c r="X999" s="173"/>
      <c r="Y999" s="173"/>
    </row>
    <row r="1000">
      <c r="A1000" s="173"/>
      <c r="B1000" s="173"/>
      <c r="C1000" s="323"/>
      <c r="D1000" s="324"/>
      <c r="E1000" s="173"/>
      <c r="F1000" s="173"/>
      <c r="G1000" s="173"/>
      <c r="H1000" s="173"/>
      <c r="I1000" s="173"/>
      <c r="J1000" s="173"/>
      <c r="K1000" s="173"/>
      <c r="L1000" s="173"/>
      <c r="M1000" s="173"/>
      <c r="N1000" s="173"/>
      <c r="O1000" s="173"/>
      <c r="P1000" s="173"/>
      <c r="Q1000" s="173"/>
      <c r="R1000" s="173"/>
      <c r="S1000" s="173"/>
      <c r="T1000" s="173"/>
      <c r="U1000" s="173"/>
      <c r="V1000" s="173"/>
      <c r="W1000" s="173"/>
      <c r="X1000" s="173"/>
      <c r="Y1000" s="173"/>
    </row>
  </sheetData>
  <autoFilter ref="$A$1:$G$1000">
    <sortState ref="A1:G1000">
      <sortCondition ref="A1:A1000"/>
    </sortState>
  </autoFilter>
  <conditionalFormatting sqref="D1:F1000 G1">
    <cfRule type="cellIs" dxfId="3" priority="1" operator="equal">
      <formula>"Required"</formula>
    </cfRule>
  </conditionalFormatting>
  <conditionalFormatting sqref="D1:F1000 G1">
    <cfRule type="cellIs" dxfId="4" priority="2" operator="equal">
      <formula>"Recommended"</formula>
    </cfRule>
  </conditionalFormatting>
  <conditionalFormatting sqref="D1:F1000 G1">
    <cfRule type="cellIs" dxfId="5" priority="3"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21.63"/>
    <col customWidth="1" min="2" max="2" width="34.88"/>
    <col customWidth="1" hidden="1" min="3" max="3" width="10.75"/>
    <col customWidth="1" hidden="1" min="4" max="4" width="10.13"/>
    <col customWidth="1" min="5" max="5" width="25.63"/>
    <col customWidth="1" min="6" max="6" width="34.25"/>
    <col customWidth="1" min="7" max="7" width="45.13"/>
    <col customWidth="1" min="8" max="8" width="32.13"/>
    <col customWidth="1" min="9" max="10" width="14.75"/>
  </cols>
  <sheetData>
    <row r="1">
      <c r="A1" s="1" t="s">
        <v>0</v>
      </c>
      <c r="B1" s="1" t="s">
        <v>1</v>
      </c>
      <c r="C1" s="1"/>
      <c r="D1" s="1"/>
      <c r="E1" s="1" t="s">
        <v>2</v>
      </c>
      <c r="F1" s="1" t="s">
        <v>3</v>
      </c>
      <c r="G1" s="1" t="s">
        <v>4</v>
      </c>
      <c r="H1" s="1" t="s">
        <v>5</v>
      </c>
      <c r="I1" s="2" t="s">
        <v>6</v>
      </c>
      <c r="J1" s="2" t="s">
        <v>7</v>
      </c>
      <c r="K1" s="3" t="s">
        <v>8</v>
      </c>
      <c r="L1" s="4"/>
      <c r="M1" s="4"/>
      <c r="N1" s="5" t="s">
        <v>9</v>
      </c>
    </row>
    <row r="2">
      <c r="A2" s="7"/>
      <c r="B2" s="8" t="s">
        <v>10</v>
      </c>
      <c r="C2" s="7"/>
      <c r="D2" s="7"/>
      <c r="E2" s="7"/>
      <c r="F2" s="7"/>
      <c r="G2" s="7"/>
      <c r="H2" s="9"/>
      <c r="I2" s="7"/>
      <c r="J2" s="7"/>
      <c r="K2" s="10" t="s">
        <v>11</v>
      </c>
      <c r="L2" s="10" t="s">
        <v>12</v>
      </c>
      <c r="M2" s="10" t="s">
        <v>13</v>
      </c>
      <c r="N2" s="11"/>
    </row>
    <row r="3" ht="76.5" customHeight="1">
      <c r="A3" s="12"/>
      <c r="B3" s="13" t="s">
        <v>14</v>
      </c>
      <c r="C3" s="7"/>
      <c r="D3" s="7"/>
      <c r="E3" s="7"/>
      <c r="F3" s="7"/>
      <c r="G3" s="7"/>
      <c r="H3" s="9"/>
      <c r="I3" s="14" t="s">
        <v>1057</v>
      </c>
      <c r="K3" s="16"/>
      <c r="L3" s="16"/>
      <c r="M3" s="16"/>
      <c r="N3" s="17"/>
    </row>
    <row r="4">
      <c r="A4" s="12"/>
      <c r="B4" s="19" t="s">
        <v>16</v>
      </c>
      <c r="C4" s="7"/>
      <c r="D4" s="7"/>
      <c r="E4" s="7"/>
      <c r="F4" s="7"/>
      <c r="G4" s="7"/>
      <c r="H4" s="9"/>
      <c r="I4" s="15"/>
      <c r="J4" s="15"/>
      <c r="K4" s="20"/>
      <c r="L4" s="20"/>
      <c r="M4" s="20"/>
      <c r="N4" s="21"/>
    </row>
    <row r="5" ht="21.75" customHeight="1">
      <c r="A5" s="12"/>
      <c r="B5" s="22" t="s">
        <v>17</v>
      </c>
      <c r="C5" s="23"/>
      <c r="D5" s="23"/>
      <c r="E5" s="23"/>
      <c r="F5" s="23"/>
      <c r="G5" s="23"/>
      <c r="H5" s="24"/>
      <c r="I5" s="15"/>
      <c r="J5" s="15"/>
      <c r="K5" s="25"/>
      <c r="L5" s="25"/>
      <c r="M5" s="25"/>
      <c r="N5" s="137"/>
    </row>
    <row r="6">
      <c r="A6" s="137" t="str">
        <f>IFERROR(__xludf.DUMMYFUNCTION("IMPORTRANGE(""https://docs.google.com/spreadsheets/d/1jPQAIJcL_xa3oBVFEsYRGLGf7ESTOwzsTSjKZ-0CTYE/edit?gid=1995294799#gid=1995294799"",""Wastewater-slots!B2:B"")"),"")</f>
        <v/>
      </c>
      <c r="B6" s="138" t="str">
        <f>IFERROR(__xludf.DUMMYFUNCTION("IMPORTRANGE(""https://docs.google.com/spreadsheets/d/1jPQAIJcL_xa3oBVFEsYRGLGf7ESTOwzsTSjKZ-0CTYE/edit?gid=1995294799#gid=1995294799"",""Wastewater-slots!D2:D"")"),"Database Identifiers")</f>
        <v>Database Identifiers</v>
      </c>
      <c r="C6" s="138" t="str">
        <f>IFERROR(__xludf.DUMMYFUNCTION("IMPORTRANGE(""https://docs.google.com/spreadsheets/d/1jPQAIJcL_xa3oBVFEsYRGLGf7ESTOwzsTSjKZ-0CTYE/edit?gid=1995294799#gid=1995294799"",""Wastewater-slots!J2:J"")"),"")</f>
        <v/>
      </c>
      <c r="D6" s="138" t="str">
        <f>IFERROR(__xludf.DUMMYFUNCTION("IMPORTRANGE(""https://docs.google.com/spreadsheets/d/1jPQAIJcL_xa3oBVFEsYRGLGf7ESTOwzsTSjKZ-0CTYE/edit?gid=1995294799#gid=1995294799"",""Wastewater-slots!K2:K"")"),"")</f>
        <v/>
      </c>
      <c r="E6" s="138" t="str">
        <f>IFERROR(__xludf.DUMMYFUNCTION("IMPORTRANGE(""https://docs.google.com/spreadsheets/d/1jPQAIJcL_xa3oBVFEsYRGLGf7ESTOwzsTSjKZ-0CTYE/edit?gid=1995294799#gid=1995294799"",""Wastewater-slots!C2:C"")"),"GENEPIO:0001122")</f>
        <v>GENEPIO:0001122</v>
      </c>
      <c r="F6" s="139" t="str">
        <f>IFERROR(__xludf.DUMMYFUNCTION("IMPORTRANGE(""https://docs.google.com/spreadsheets/d/1jPQAIJcL_xa3oBVFEsYRGLGf7ESTOwzsTSjKZ-0CTYE/edit?gid=1995294799#gid=1995294799"",""Wastewater-slots!P2:P"")"),"")</f>
        <v/>
      </c>
      <c r="G6" s="139" t="str">
        <f>IFERROR(__xludf.DUMMYFUNCTION("IMPORTRANGE(""https://docs.google.com/spreadsheets/d/1jPQAIJcL_xa3oBVFEsYRGLGf7ESTOwzsTSjKZ-0CTYE/edit?gid=1995294799#gid=1995294799"",""Wastewater-slots!Q2:Q"")"),"")</f>
        <v/>
      </c>
      <c r="H6" s="139" t="str">
        <f>IFERROR(__xludf.DUMMYFUNCTION("IMPORTRANGE(""https://docs.google.com/spreadsheets/d/1jPQAIJcL_xa3oBVFEsYRGLGf7ESTOwzsTSjKZ-0CTYE/edit?gid=1995294799#gid=1995294799"",""Wastewater-slots!R2:R"")"),"")</f>
        <v/>
      </c>
      <c r="I6" s="140"/>
      <c r="J6" s="140"/>
      <c r="K6" s="140"/>
      <c r="L6" s="140"/>
      <c r="M6" s="140"/>
      <c r="N6" s="138" t="str">
        <f>IFERROR(__xludf.DUMMYFUNCTION("IMPORTRANGE(""https://docs.google.com/spreadsheets/d/1jPQAIJcL_xa3oBVFEsYRGLGf7ESTOwzsTSjKZ-0CTYE/edit?gid=1995294799#gid=1995294799"",""Wastewater-slots!A2:A"")"),"WastewaterSARS-CoV-2;WastewaterAMR;WastewaterPathogenAgnostic")</f>
        <v>WastewaterSARS-CoV-2;WastewaterAMR;WastewaterPathogenAgnostic</v>
      </c>
    </row>
    <row r="7">
      <c r="A7" s="141" t="str">
        <f>IFERROR(__xludf.DUMMYFUNCTION("""COMPUTED_VALUE"""),"Database identifiers")</f>
        <v>Database identifiers</v>
      </c>
      <c r="B7" s="141" t="str">
        <f>IFERROR(__xludf.DUMMYFUNCTION("""COMPUTED_VALUE"""),"specimen collector sample ID")</f>
        <v>specimen collector sample ID</v>
      </c>
      <c r="C7" s="141" t="b">
        <f>IFERROR(__xludf.DUMMYFUNCTION("""COMPUTED_VALUE"""),TRUE)</f>
        <v>1</v>
      </c>
      <c r="D7" s="141"/>
      <c r="E7" s="141" t="str">
        <f>IFERROR(__xludf.DUMMYFUNCTION("""COMPUTED_VALUE"""),"GENEPIO:0001123")</f>
        <v>GENEPIO:0001123</v>
      </c>
      <c r="F7" s="141" t="str">
        <f>IFERROR(__xludf.DUMMYFUNCTION("""COMPUTED_VALUE"""),"The user-defined name for the sample.")</f>
        <v>The user-defined name for the sample.</v>
      </c>
      <c r="G7" s="141"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H7" s="141" t="str">
        <f>IFERROR(__xludf.DUMMYFUNCTION("""COMPUTED_VALUE"""),"ASDFG123")</f>
        <v>ASDFG123</v>
      </c>
      <c r="K7" s="142" t="s">
        <v>25</v>
      </c>
      <c r="L7" s="142" t="s">
        <v>25</v>
      </c>
      <c r="M7" s="142" t="s">
        <v>25</v>
      </c>
      <c r="N7" s="142" t="str">
        <f>IFERROR(__xludf.DUMMYFUNCTION("""COMPUTED_VALUE"""),"WastewaterSARS-CoV-2;WastewaterAMR;WastewaterPathogenAgnostic")</f>
        <v>WastewaterSARS-CoV-2;WastewaterAMR;WastewaterPathogenAgnostic</v>
      </c>
    </row>
    <row r="8">
      <c r="A8" s="141" t="str">
        <f>IFERROR(__xludf.DUMMYFUNCTION("""COMPUTED_VALUE"""),"Database identifiers")</f>
        <v>Database identifiers</v>
      </c>
      <c r="B8" s="141" t="str">
        <f>IFERROR(__xludf.DUMMYFUNCTION("""COMPUTED_VALUE"""),"specimen collector subsample ID")</f>
        <v>specimen collector subsample ID</v>
      </c>
      <c r="C8" s="141"/>
      <c r="D8" s="141"/>
      <c r="E8" s="141" t="str">
        <f>IFERROR(__xludf.DUMMYFUNCTION("""COMPUTED_VALUE"""),"GENEPIO:0100752")</f>
        <v>GENEPIO:0100752</v>
      </c>
      <c r="F8" s="141" t="str">
        <f>IFERROR(__xludf.DUMMYFUNCTION("""COMPUTED_VALUE"""),"The user-defined identifier assigned to a portion of the original sample.")</f>
        <v>The user-defined identifier assigned to a portion of the original sample.</v>
      </c>
      <c r="G8" s="141" t="str">
        <f>IFERROR(__xludf.DUMMYFUNCTION("""COMPUTED_VALUE"""),"Store the ID for the subsample/aliquot. ")</f>
        <v>Store the ID for the subsample/aliquot. </v>
      </c>
      <c r="H8" s="141" t="str">
        <f>IFERROR(__xludf.DUMMYFUNCTION("""COMPUTED_VALUE"""),"ASDFG123_12")</f>
        <v>ASDFG123_12</v>
      </c>
      <c r="K8" s="142" t="s">
        <v>25</v>
      </c>
      <c r="L8" s="142" t="s">
        <v>25</v>
      </c>
      <c r="M8" s="142" t="s">
        <v>25</v>
      </c>
      <c r="N8" s="142" t="str">
        <f>IFERROR(__xludf.DUMMYFUNCTION("""COMPUTED_VALUE"""),"WastewaterSARS-CoV-2;WastewaterAMR;WastewaterPathogenAgnostic")</f>
        <v>WastewaterSARS-CoV-2;WastewaterAMR;WastewaterPathogenAgnostic</v>
      </c>
    </row>
    <row r="9">
      <c r="A9" s="141" t="str">
        <f>IFERROR(__xludf.DUMMYFUNCTION("""COMPUTED_VALUE"""),"Database identifiers")</f>
        <v>Database identifiers</v>
      </c>
      <c r="B9" s="141" t="str">
        <f>IFERROR(__xludf.DUMMYFUNCTION("""COMPUTED_VALUE"""),"pooled sample ID")</f>
        <v>pooled sample ID</v>
      </c>
      <c r="C9" s="141"/>
      <c r="D9" s="141"/>
      <c r="E9" s="141" t="str">
        <f>IFERROR(__xludf.DUMMYFUNCTION("""COMPUTED_VALUE"""),"GENEPIO:0100996")</f>
        <v>GENEPIO:0100996</v>
      </c>
      <c r="F9" s="141" t="str">
        <f>IFERROR(__xludf.DUMMYFUNCTION("""COMPUTED_VALUE"""),"The user-defined identifier assigned to a combined (pooled) set of samples.")</f>
        <v>The user-defined identifier assigned to a combined (pooled) set of samples.</v>
      </c>
      <c r="G9" s="141" t="str">
        <f>IFERROR(__xludf.DUMMYFUNCTION("""COMPUTED_VALUE"""),"If the sample being analyzed is the result of pooling individual samples, rename the pooled sample with a new identifier. Store the pooled sample ID.")</f>
        <v>If the sample being analyzed is the result of pooling individual samples, rename the pooled sample with a new identifier. Store the pooled sample ID.</v>
      </c>
      <c r="H9" s="141" t="str">
        <f>IFERROR(__xludf.DUMMYFUNCTION("""COMPUTED_VALUE"""),"12345AYZ")</f>
        <v>12345AYZ</v>
      </c>
      <c r="K9" s="142" t="s">
        <v>25</v>
      </c>
      <c r="L9" s="142" t="s">
        <v>25</v>
      </c>
      <c r="M9" s="142" t="s">
        <v>25</v>
      </c>
      <c r="N9" s="142" t="str">
        <f>IFERROR(__xludf.DUMMYFUNCTION("""COMPUTED_VALUE"""),"WastewaterSARS-CoV-2;WastewaterAMR;WastewaterPathogenAgnostic")</f>
        <v>WastewaterSARS-CoV-2;WastewaterAMR;WastewaterPathogenAgnostic</v>
      </c>
    </row>
    <row r="10">
      <c r="A10" s="141" t="str">
        <f>IFERROR(__xludf.DUMMYFUNCTION("""COMPUTED_VALUE"""),"Database identifiers")</f>
        <v>Database identifiers</v>
      </c>
      <c r="B10" s="141" t="str">
        <f>IFERROR(__xludf.DUMMYFUNCTION("""COMPUTED_VALUE"""),"metagenome-assembled genome (MAG) ID")</f>
        <v>metagenome-assembled genome (MAG) ID</v>
      </c>
      <c r="C10" s="141"/>
      <c r="D10" s="141"/>
      <c r="E10" s="141" t="str">
        <f>IFERROR(__xludf.DUMMYFUNCTION("""COMPUTED_VALUE"""),"GENEPIO:0100753")</f>
        <v>GENEPIO:0100753</v>
      </c>
      <c r="F10" s="141" t="str">
        <f>IFERROR(__xludf.DUMMYFUNCTION("""COMPUTED_VALUE"""),"The user-defined identifier assigned to a genome reconstructed from metagenomic data.")</f>
        <v>The user-defined identifier assigned to a genome reconstructed from metagenomic data.</v>
      </c>
      <c r="G10" s="141" t="str">
        <f>IFERROR(__xludf.DUMMYFUNCTION("""COMPUTED_VALUE"""),"Store the MAG ID.")</f>
        <v>Store the MAG ID.</v>
      </c>
      <c r="H10" s="141" t="str">
        <f>IFERROR(__xludf.DUMMYFUNCTION("""COMPUTED_VALUE"""),"XYZ1234.1")</f>
        <v>XYZ1234.1</v>
      </c>
      <c r="K10" s="142" t="s">
        <v>25</v>
      </c>
      <c r="L10" s="142" t="s">
        <v>25</v>
      </c>
      <c r="M10" s="142" t="s">
        <v>25</v>
      </c>
      <c r="N10" s="142" t="str">
        <f>IFERROR(__xludf.DUMMYFUNCTION("""COMPUTED_VALUE"""),"WastewaterAMR;WastewaterPathogenAgnostic")</f>
        <v>WastewaterAMR;WastewaterPathogenAgnostic</v>
      </c>
    </row>
    <row r="11">
      <c r="A11" s="141" t="str">
        <f>IFERROR(__xludf.DUMMYFUNCTION("""COMPUTED_VALUE"""),"Database identifiers")</f>
        <v>Database identifiers</v>
      </c>
      <c r="B11" s="141" t="str">
        <f>IFERROR(__xludf.DUMMYFUNCTION("""COMPUTED_VALUE"""),"specimen collector project ID")</f>
        <v>specimen collector project ID</v>
      </c>
      <c r="C11" s="141"/>
      <c r="D11" s="141"/>
      <c r="E11" s="141" t="str">
        <f>IFERROR(__xludf.DUMMYFUNCTION("""COMPUTED_VALUE"""),"GENEPIO:0100918")</f>
        <v>GENEPIO:0100918</v>
      </c>
      <c r="F11" s="141" t="str">
        <f>IFERROR(__xludf.DUMMYFUNCTION("""COMPUTED_VALUE"""),"The user-defined project name assigned to a sequencing project.")</f>
        <v>The user-defined project name assigned to a sequencing project.</v>
      </c>
      <c r="G11" s="141" t="str">
        <f>IFERROR(__xludf.DUMMYFUNCTION("""COMPUTED_VALUE"""),"If the sample was collected or analyzed under the umbrella of a specific project, include the name of that project here.")</f>
        <v>If the sample was collected or analyzed under the umbrella of a specific project, include the name of that project here.</v>
      </c>
      <c r="H11" s="141"/>
      <c r="K11" s="142" t="s">
        <v>25</v>
      </c>
      <c r="L11" s="142" t="s">
        <v>25</v>
      </c>
      <c r="M11" s="142" t="s">
        <v>25</v>
      </c>
      <c r="N11" s="142" t="str">
        <f>IFERROR(__xludf.DUMMYFUNCTION("""COMPUTED_VALUE"""),"WastewaterSARS-CoV-2;WastewaterAMR;WastewaterPathogenAgnostic")</f>
        <v>WastewaterSARS-CoV-2;WastewaterAMR;WastewaterPathogenAgnostic</v>
      </c>
    </row>
    <row r="12">
      <c r="A12" s="141" t="str">
        <f>IFERROR(__xludf.DUMMYFUNCTION("""COMPUTED_VALUE"""),"Database identifiers")</f>
        <v>Database identifiers</v>
      </c>
      <c r="B12" s="141" t="str">
        <f>IFERROR(__xludf.DUMMYFUNCTION("""COMPUTED_VALUE"""),"BioProject accession")</f>
        <v>BioProject accession</v>
      </c>
      <c r="C12" s="141"/>
      <c r="D12" s="141"/>
      <c r="E12" s="141" t="str">
        <f>IFERROR(__xludf.DUMMYFUNCTION("""COMPUTED_VALUE"""),"GENEPIO:0001136")</f>
        <v>GENEPIO:0001136</v>
      </c>
      <c r="F12" s="141" t="str">
        <f>IFERROR(__xludf.DUMMYFUNCTION("""COMPUTED_VALUE"""),"The INSDC (i.e., ENA, NCBI, or DDBJ) accession number of the BioProject(s) to which the BioSample belongs.")</f>
        <v>The INSDC (i.e., ENA, NCBI, or DDBJ) accession number of the BioProject(s) to which the BioSample belongs.</v>
      </c>
      <c r="G12" s="141" t="str">
        <f>IFERROR(__xludf.DUMMYFUNCTION("""COMPUTED_VALUE"""),"Store the BioProject accession number. BioProjects are an organizing tool that links together raw sequence data, assemblies, and their associated metadata. Each province will be assigned a different bioproject accession number by the National Microbiology"&amp;" Lab. A valid NCBI BioProject accession has prefix PRJN e.g., PRJNA12345, and is created once at the beginning of a new sequencing project.")</f>
        <v>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v>
      </c>
      <c r="H12" s="141" t="str">
        <f>IFERROR(__xludf.DUMMYFUNCTION("""COMPUTED_VALUE"""),"PRJNA608651")</f>
        <v>PRJNA608651</v>
      </c>
      <c r="K12" s="142" t="s">
        <v>25</v>
      </c>
      <c r="L12" s="142" t="s">
        <v>25</v>
      </c>
      <c r="M12" s="142" t="s">
        <v>25</v>
      </c>
      <c r="N12" s="142" t="str">
        <f>IFERROR(__xludf.DUMMYFUNCTION("""COMPUTED_VALUE"""),"WastewaterSARS-CoV-2;WastewaterAMR;WastewaterPathogenAgnostic")</f>
        <v>WastewaterSARS-CoV-2;WastewaterAMR;WastewaterPathogenAgnostic</v>
      </c>
    </row>
    <row r="13">
      <c r="A13" s="141" t="str">
        <f>IFERROR(__xludf.DUMMYFUNCTION("""COMPUTED_VALUE"""),"Database identifiers")</f>
        <v>Database identifiers</v>
      </c>
      <c r="B13" s="141" t="str">
        <f>IFERROR(__xludf.DUMMYFUNCTION("""COMPUTED_VALUE"""),"BioSample accession")</f>
        <v>BioSample accession</v>
      </c>
      <c r="C13" s="141"/>
      <c r="D13" s="141" t="b">
        <f>IFERROR(__xludf.DUMMYFUNCTION("""COMPUTED_VALUE"""),TRUE)</f>
        <v>1</v>
      </c>
      <c r="E13" s="141" t="str">
        <f>IFERROR(__xludf.DUMMYFUNCTION("""COMPUTED_VALUE"""),"GENEPIO:0001139")</f>
        <v>GENEPIO:0001139</v>
      </c>
      <c r="F13" s="141" t="str">
        <f>IFERROR(__xludf.DUMMYFUNCTION("""COMPUTED_VALUE"""),"The identifier assigned to a BioSample in INSDC (i.e., ENA, NCBI, or DDBJ) archives.")</f>
        <v>The identifier assigned to a BioSample in INSDC (i.e., ENA, NCBI, or DDBJ) archives.</v>
      </c>
      <c r="G13" s="141" t="str">
        <f>IFERROR(__xludf.DUMMYFUNCTION("""COMPUTED_VALUE"""),"Store the accession returned from the BioSample submission. NCBI BioSamples will have the prefix SAMN, ENA have the prefix SAMEA, DDBJ have SAMD")</f>
        <v>Store the accession returned from the BioSample submission. NCBI BioSamples will have the prefix SAMN, ENA have the prefix SAMEA, DDBJ have SAMD</v>
      </c>
      <c r="H13" s="141" t="str">
        <f>IFERROR(__xludf.DUMMYFUNCTION("""COMPUTED_VALUE"""),"SAMN14180202, SAMEA00000002, SAMD00000001")</f>
        <v>SAMN14180202, SAMEA00000002, SAMD00000001</v>
      </c>
      <c r="K13" s="142" t="s">
        <v>25</v>
      </c>
      <c r="L13" s="142" t="s">
        <v>25</v>
      </c>
      <c r="M13" s="142" t="s">
        <v>25</v>
      </c>
      <c r="N13" s="142" t="str">
        <f>IFERROR(__xludf.DUMMYFUNCTION("""COMPUTED_VALUE"""),"WastewaterSARS-CoV-2;WastewaterAMR;WastewaterPathogenAgnostic")</f>
        <v>WastewaterSARS-CoV-2;WastewaterAMR;WastewaterPathogenAgnostic</v>
      </c>
    </row>
    <row r="14">
      <c r="A14" s="141" t="str">
        <f>IFERROR(__xludf.DUMMYFUNCTION("""COMPUTED_VALUE"""),"Database identifiers")</f>
        <v>Database identifiers</v>
      </c>
      <c r="B14" s="141" t="str">
        <f>IFERROR(__xludf.DUMMYFUNCTION("""COMPUTED_VALUE"""),"INSDC sequence read accession")</f>
        <v>INSDC sequence read accession</v>
      </c>
      <c r="C14" s="141"/>
      <c r="D14" s="141"/>
      <c r="E14" s="143" t="str">
        <f>IFERROR(__xludf.DUMMYFUNCTION("""COMPUTED_VALUE"""),"GENEPIO:0101203")</f>
        <v>GENEPIO:0101203</v>
      </c>
      <c r="F14" s="141" t="str">
        <f>IFERROR(__xludf.DUMMYFUNCTION("""COMPUTED_VALUE"""),"The identifier assigned to a sequence in one of the International Nucleotide Sequence Database Collaboration (INSDC) repositories.")</f>
        <v>The identifier assigned to a sequence in one of the International Nucleotide Sequence Database Collaboration (INSDC) repositories.</v>
      </c>
      <c r="G14" s="141" t="str">
        <f>IFERROR(__xludf.DUMMYFUNCTION("""COMPUTED_VALUE"""),"Store the accession assigned to the submitted sequence. European Nucleotide Archive (ENA) sequence accessions start with ERR, NCBI-SRA accessions start with SRR,  DNA Data Bank of Japan (DDBJ) accessions start with DRR and Genome Sequence Archive (GSA) ac"&amp;"cessions start with CRR.")</f>
        <v>Store the accession assigned to the submitted sequence. European Nucleotide Archive (ENA) sequence accessions start with ERR, NCBI-SRA accessions start with SRR,  DNA Data Bank of Japan (DDBJ) accessions start with DRR and Genome Sequence Archive (GSA) accessions start with CRR.</v>
      </c>
      <c r="H14" s="141" t="str">
        <f>IFERROR(__xludf.DUMMYFUNCTION("""COMPUTED_VALUE"""),"ERR123456, DRR123456, CRR123456")</f>
        <v>ERR123456, DRR123456, CRR123456</v>
      </c>
      <c r="K14" s="144" t="s">
        <v>1058</v>
      </c>
      <c r="L14" s="144" t="s">
        <v>1058</v>
      </c>
      <c r="M14" s="144" t="s">
        <v>1058</v>
      </c>
      <c r="N14" s="142" t="str">
        <f>IFERROR(__xludf.DUMMYFUNCTION("""COMPUTED_VALUE"""),"WastewaterSARS-CoV-2;WastewaterAMR;WastewaterPathogenAgnostic")</f>
        <v>WastewaterSARS-CoV-2;WastewaterAMR;WastewaterPathogenAgnostic</v>
      </c>
    </row>
    <row r="15">
      <c r="A15" s="141" t="str">
        <f>IFERROR(__xludf.DUMMYFUNCTION("""COMPUTED_VALUE"""),"Database identifiers")</f>
        <v>Database identifiers</v>
      </c>
      <c r="B15" s="141" t="str">
        <f>IFERROR(__xludf.DUMMYFUNCTION("""COMPUTED_VALUE"""),"Enterobase accession")</f>
        <v>Enterobase accession</v>
      </c>
      <c r="C15" s="141"/>
      <c r="D15" s="141"/>
      <c r="E15" s="141" t="str">
        <f>IFERROR(__xludf.DUMMYFUNCTION("""COMPUTED_VALUE"""),"GENEPIO:0100759")</f>
        <v>GENEPIO:0100759</v>
      </c>
      <c r="F15" s="141" t="str">
        <f>IFERROR(__xludf.DUMMYFUNCTION("""COMPUTED_VALUE"""),"The identifier assigned to a sequence in Enterobase archives.")</f>
        <v>The identifier assigned to a sequence in Enterobase archives.</v>
      </c>
      <c r="G15" s="141" t="str">
        <f>IFERROR(__xludf.DUMMYFUNCTION("""COMPUTED_VALUE"""),"Store the barcode assigned to the submitted sequence. Enterobase barcodes start with different 3 letter codes depending on the organism.")</f>
        <v>Store the barcode assigned to the submitted sequence. Enterobase barcodes start with different 3 letter codes depending on the organism.</v>
      </c>
      <c r="H15" s="141" t="str">
        <f>IFERROR(__xludf.DUMMYFUNCTION("""COMPUTED_VALUE"""),"SAL_AA0019AA_ST")</f>
        <v>SAL_AA0019AA_ST</v>
      </c>
      <c r="K15" s="142" t="s">
        <v>25</v>
      </c>
      <c r="L15" s="142" t="s">
        <v>25</v>
      </c>
      <c r="M15" s="142" t="s">
        <v>25</v>
      </c>
      <c r="N15" s="142" t="str">
        <f>IFERROR(__xludf.DUMMYFUNCTION("""COMPUTED_VALUE"""),"WastewaterSARS-CoV-2;WastewaterAMR;WastewaterPathogenAgnostic")</f>
        <v>WastewaterSARS-CoV-2;WastewaterAMR;WastewaterPathogenAgnostic</v>
      </c>
    </row>
    <row r="16">
      <c r="A16" s="141" t="str">
        <f>IFERROR(__xludf.DUMMYFUNCTION("""COMPUTED_VALUE"""),"Database identifiers")</f>
        <v>Database identifiers</v>
      </c>
      <c r="B16" s="141" t="str">
        <f>IFERROR(__xludf.DUMMYFUNCTION("""COMPUTED_VALUE"""),"INSDC assembly accession")</f>
        <v>INSDC assembly accession</v>
      </c>
      <c r="C16" s="141"/>
      <c r="D16" s="141"/>
      <c r="E16" s="143" t="str">
        <f>IFERROR(__xludf.DUMMYFUNCTION("""COMPUTED_VALUE"""),"GENEPIO:0101204")</f>
        <v>GENEPIO:0101204</v>
      </c>
      <c r="F16" s="141" t="str">
        <f>IFERROR(__xludf.DUMMYFUNCTION("""COMPUTED_VALUE"""),"The versioned identifier assigned to an assembly or consensus sequence in  one of the International Nucleotide Sequence Database Collaboration (INSDC) repositories.")</f>
        <v>The versioned identifier assigned to an assembly or consensus sequence in  one of the International Nucleotide Sequence Database Collaboration (INSDC) repositories.</v>
      </c>
      <c r="G16" s="141" t="str">
        <f>IFERROR(__xludf.DUMMYFUNCTION("""COMPUTED_VALUE"""),"Store the versioned accession assigned to the submitted sequence e.g. the GenBank accession version.")</f>
        <v>Store the versioned accession assigned to the submitted sequence e.g. the GenBank accession version.</v>
      </c>
      <c r="H16" s="141" t="str">
        <f>IFERROR(__xludf.DUMMYFUNCTION("""COMPUTED_VALUE"""),"LZ986655.1")</f>
        <v>LZ986655.1</v>
      </c>
      <c r="K16" s="144" t="s">
        <v>1058</v>
      </c>
      <c r="L16" s="144" t="s">
        <v>1058</v>
      </c>
      <c r="M16" s="144" t="s">
        <v>1058</v>
      </c>
      <c r="N16" s="142" t="str">
        <f>IFERROR(__xludf.DUMMYFUNCTION("""COMPUTED_VALUE"""),"WastewaterSARS-CoV-2;WastewaterAMR;WastewaterPathogenAgnostic")</f>
        <v>WastewaterSARS-CoV-2;WastewaterAMR;WastewaterPathogenAgnostic</v>
      </c>
    </row>
    <row r="17">
      <c r="A17" s="141" t="str">
        <f>IFERROR(__xludf.DUMMYFUNCTION("""COMPUTED_VALUE"""),"Database identifiers")</f>
        <v>Database identifiers</v>
      </c>
      <c r="B17" s="141" t="str">
        <f>IFERROR(__xludf.DUMMYFUNCTION("""COMPUTED_VALUE"""),"GISAID accession")</f>
        <v>GISAID accession</v>
      </c>
      <c r="C17" s="141"/>
      <c r="D17" s="141"/>
      <c r="E17" s="141" t="str">
        <f>IFERROR(__xludf.DUMMYFUNCTION("""COMPUTED_VALUE"""),"GENEPIO:0001147")</f>
        <v>GENEPIO:0001147</v>
      </c>
      <c r="F17" s="141" t="str">
        <f>IFERROR(__xludf.DUMMYFUNCTION("""COMPUTED_VALUE"""),"The identifier assigned to a sequence in GISAID (the Global Initiative on Sharing All Influenza Data) archives.")</f>
        <v>The identifier assigned to a sequence in GISAID (the Global Initiative on Sharing All Influenza Data) archives.</v>
      </c>
      <c r="G17" s="141" t="str">
        <f>IFERROR(__xludf.DUMMYFUNCTION("""COMPUTED_VALUE"""),"Store the accession assigned to the submitted sequence. GISAID accessions start with EPI.")</f>
        <v>Store the accession assigned to the submitted sequence. GISAID accessions start with EPI.</v>
      </c>
      <c r="H17" s="141" t="str">
        <f>IFERROR(__xludf.DUMMYFUNCTION("""COMPUTED_VALUE"""),"EPI_ISL_402131")</f>
        <v>EPI_ISL_402131</v>
      </c>
      <c r="K17" s="142" t="s">
        <v>25</v>
      </c>
      <c r="L17" s="142" t="s">
        <v>25</v>
      </c>
      <c r="M17" s="142" t="s">
        <v>25</v>
      </c>
      <c r="N17" s="142" t="str">
        <f>IFERROR(__xludf.DUMMYFUNCTION("""COMPUTED_VALUE"""),"WastewaterSARS-CoV-2;WastewaterAMR;WastewaterPathogenAgnostic")</f>
        <v>WastewaterSARS-CoV-2;WastewaterAMR;WastewaterPathogenAgnostic</v>
      </c>
    </row>
    <row r="18">
      <c r="A18" s="141" t="str">
        <f>IFERROR(__xludf.DUMMYFUNCTION("""COMPUTED_VALUE"""),"Database identifiers")</f>
        <v>Database identifiers</v>
      </c>
      <c r="B18" s="141" t="str">
        <f>IFERROR(__xludf.DUMMYFUNCTION("""COMPUTED_VALUE"""),"GISAID virus name")</f>
        <v>GISAID virus name</v>
      </c>
      <c r="C18" s="141"/>
      <c r="D18" s="141"/>
      <c r="E18" s="141" t="str">
        <f>IFERROR(__xludf.DUMMYFUNCTION("""COMPUTED_VALUE"""),"GENEPIO:0100282")</f>
        <v>GENEPIO:0100282</v>
      </c>
      <c r="F18" s="141" t="str">
        <f>IFERROR(__xludf.DUMMYFUNCTION("""COMPUTED_VALUE"""),"The user-defined GISAID virus name assigned to the sequence.")</f>
        <v>The user-defined GISAID virus name assigned to the sequence.</v>
      </c>
      <c r="G18" s="141" t="str">
        <f>IFERROR(__xludf.DUMMYFUNCTION("""COMPUTED_VALUE"""),"GISAID virus names should be in the format ""hCoV-19/Country/Identifier/year"".")</f>
        <v>GISAID virus names should be in the format "hCoV-19/Country/Identifier/year".</v>
      </c>
      <c r="H18" s="141" t="str">
        <f>IFERROR(__xludf.DUMMYFUNCTION("""COMPUTED_VALUE"""),"hCoV-19/Canada/prov_rona_99/2020")</f>
        <v>hCoV-19/Canada/prov_rona_99/2020</v>
      </c>
      <c r="K18" s="142" t="s">
        <v>25</v>
      </c>
      <c r="L18" s="142" t="s">
        <v>25</v>
      </c>
      <c r="M18" s="142" t="s">
        <v>25</v>
      </c>
      <c r="N18" s="142" t="str">
        <f>IFERROR(__xludf.DUMMYFUNCTION("""COMPUTED_VALUE"""),"WastewaterSARS-CoV-2;WastewaterAMR;WastewaterPathogenAgnostic")</f>
        <v>WastewaterSARS-CoV-2;WastewaterAMR;WastewaterPathogenAgnostic</v>
      </c>
    </row>
    <row r="19">
      <c r="A19" s="141" t="str">
        <f>IFERROR(__xludf.DUMMYFUNCTION("""COMPUTED_VALUE"""),"Database identifiers")</f>
        <v>Database identifiers</v>
      </c>
      <c r="B19" s="141" t="str">
        <f>IFERROR(__xludf.DUMMYFUNCTION("""COMPUTED_VALUE"""),"sampling site ID")</f>
        <v>sampling site ID</v>
      </c>
      <c r="C19" s="141"/>
      <c r="D19" s="141" t="b">
        <f>IFERROR(__xludf.DUMMYFUNCTION("""COMPUTED_VALUE"""),TRUE)</f>
        <v>1</v>
      </c>
      <c r="E19" s="141" t="str">
        <f>IFERROR(__xludf.DUMMYFUNCTION("""COMPUTED_VALUE"""),"GENEPIO:0100760")</f>
        <v>GENEPIO:0100760</v>
      </c>
      <c r="F19" s="141" t="str">
        <f>IFERROR(__xludf.DUMMYFUNCTION("""COMPUTED_VALUE"""),"The user-defined identifier assigned to a specific location from which samples are taken.")</f>
        <v>The user-defined identifier assigned to a specific location from which samples are taken.</v>
      </c>
      <c r="G19" s="141" t="str">
        <f>IFERROR(__xludf.DUMMYFUNCTION("""COMPUTED_VALUE"""),"Store the ID for the site from which a sample was taken. The ""site"" is user defined (e.g. it may be a building and its environs, a specific entity within an environment). Please use the same site ID for all samples from a given site, regardless of when "&amp;"these samples were taken. Any important changes in site location, should be represented with a new site ID.")</f>
        <v>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v>
      </c>
      <c r="H19" s="141" t="str">
        <f>IFERROR(__xludf.DUMMYFUNCTION("""COMPUTED_VALUE"""),"Site 12A")</f>
        <v>Site 12A</v>
      </c>
      <c r="K19" s="142" t="s">
        <v>25</v>
      </c>
      <c r="L19" s="142" t="s">
        <v>25</v>
      </c>
      <c r="M19" s="142" t="s">
        <v>25</v>
      </c>
      <c r="N19" s="142" t="str">
        <f>IFERROR(__xludf.DUMMYFUNCTION("""COMPUTED_VALUE"""),"WastewaterSARS-CoV-2;WastewaterAMR;WastewaterPathogenAgnostic")</f>
        <v>WastewaterSARS-CoV-2;WastewaterAMR;WastewaterPathogenAgnostic</v>
      </c>
    </row>
    <row r="20">
      <c r="A20" s="141" t="str">
        <f>IFERROR(__xludf.DUMMYFUNCTION("""COMPUTED_VALUE"""),"Database identifiers")</f>
        <v>Database identifiers</v>
      </c>
      <c r="B20" s="141" t="str">
        <f>IFERROR(__xludf.DUMMYFUNCTION("""COMPUTED_VALUE"""),"sampling event ID")</f>
        <v>sampling event ID</v>
      </c>
      <c r="C20" s="141"/>
      <c r="D20" s="141" t="b">
        <f>IFERROR(__xludf.DUMMYFUNCTION("""COMPUTED_VALUE"""),TRUE)</f>
        <v>1</v>
      </c>
      <c r="E20" s="141" t="str">
        <f>IFERROR(__xludf.DUMMYFUNCTION("""COMPUTED_VALUE"""),"GENEPIO:0100761")</f>
        <v>GENEPIO:0100761</v>
      </c>
      <c r="F20" s="141" t="str">
        <f>IFERROR(__xludf.DUMMYFUNCTION("""COMPUTED_VALUE"""),"The user-defined identifier assigned to a specific event during which one or more samples are taken, from one or more sites.")</f>
        <v>The user-defined identifier assigned to a specific event during which one or more samples are taken, from one or more sites.</v>
      </c>
      <c r="G20" s="141" t="str">
        <f>IFERROR(__xludf.DUMMYFUNCTION("""COMPUTED_VALUE"""),"Store the ID for the event during which a sample or samples were taken. For example, an event could be one person taking samples from multiple sites, or multiple people taking samples from one site.")</f>
        <v>Store the ID for the event during which a sample or samples were taken. For example, an event could be one person taking samples from multiple sites, or multiple people taking samples from one site.</v>
      </c>
      <c r="H20" s="141" t="str">
        <f>IFERROR(__xludf.DUMMYFUNCTION("""COMPUTED_VALUE"""),"Event 120522.1")</f>
        <v>Event 120522.1</v>
      </c>
      <c r="K20" s="142" t="s">
        <v>25</v>
      </c>
      <c r="L20" s="142" t="s">
        <v>25</v>
      </c>
      <c r="M20" s="142" t="s">
        <v>25</v>
      </c>
      <c r="N20" s="142" t="str">
        <f>IFERROR(__xludf.DUMMYFUNCTION("""COMPUTED_VALUE"""),"WastewaterSARS-CoV-2;WastewaterAMR;WastewaterPathogenAgnostic")</f>
        <v>WastewaterSARS-CoV-2;WastewaterAMR;WastewaterPathogenAgnostic</v>
      </c>
    </row>
    <row r="21">
      <c r="A21" s="141"/>
      <c r="B21" s="141" t="str">
        <f>IFERROR(__xludf.DUMMYFUNCTION("""COMPUTED_VALUE"""),"Sample collection and processing")</f>
        <v>Sample collection and processing</v>
      </c>
      <c r="C21" s="141" t="str">
        <f>IFERROR(__xludf.DUMMYFUNCTION("""COMPUTED_VALUE"""),"")</f>
        <v/>
      </c>
      <c r="D21" s="141" t="str">
        <f>IFERROR(__xludf.DUMMYFUNCTION("""COMPUTED_VALUE"""),"")</f>
        <v/>
      </c>
      <c r="E21" s="141" t="str">
        <f>IFERROR(__xludf.DUMMYFUNCTION("""COMPUTED_VALUE"""),"GENEPIO:0001150")</f>
        <v>GENEPIO:0001150</v>
      </c>
      <c r="F21" s="141"/>
      <c r="G21" s="141"/>
      <c r="H21" s="141"/>
      <c r="I21" s="142"/>
      <c r="J21" s="142"/>
      <c r="K21" s="142"/>
      <c r="L21" s="142"/>
      <c r="M21" s="142"/>
      <c r="N21" s="142" t="str">
        <f>IFERROR(__xludf.DUMMYFUNCTION("""COMPUTED_VALUE"""),"WastewaterSARS-CoV-2;WastewaterAMR;WastewaterPathogenAgnostic")</f>
        <v>WastewaterSARS-CoV-2;WastewaterAMR;WastewaterPathogenAgnostic</v>
      </c>
    </row>
    <row r="22">
      <c r="A22" s="141" t="str">
        <f>IFERROR(__xludf.DUMMYFUNCTION("""COMPUTED_VALUE"""),"Sample collection and processing")</f>
        <v>Sample collection and processing</v>
      </c>
      <c r="B22" s="141" t="str">
        <f>IFERROR(__xludf.DUMMYFUNCTION("""COMPUTED_VALUE"""),"sample collection data steward name")</f>
        <v>sample collection data steward name</v>
      </c>
      <c r="C22" s="141"/>
      <c r="D22" s="141"/>
      <c r="E22" s="143" t="str">
        <f>IFERROR(__xludf.DUMMYFUNCTION("""COMPUTED_VALUE"""),"GENEPIO:0100762")</f>
        <v>GENEPIO:0100762</v>
      </c>
      <c r="F22" s="141" t="str">
        <f>IFERROR(__xludf.DUMMYFUNCTION("""COMPUTED_VALUE"""),"The name of the individual responsible for the data governance, (meta)data usage and distribution of the sample.")</f>
        <v>The name of the individual responsible for the data governance, (meta)data usage and distribution of the sample.</v>
      </c>
      <c r="G22" s="141" t="str">
        <f>IFERROR(__xludf.DUMMYFUNCTION("""COMPUTED_VALUE"""),"Provide the name of the sample collection data steward.")</f>
        <v>Provide the name of the sample collection data steward.</v>
      </c>
      <c r="H22" s="141" t="str">
        <f>IFERROR(__xludf.DUMMYFUNCTION("""COMPUTED_VALUE"""),"Joe Bloggs")</f>
        <v>Joe Bloggs</v>
      </c>
      <c r="K22" s="142" t="s">
        <v>25</v>
      </c>
      <c r="L22" s="142" t="s">
        <v>25</v>
      </c>
      <c r="M22" s="142" t="s">
        <v>25</v>
      </c>
      <c r="N22" s="142" t="str">
        <f>IFERROR(__xludf.DUMMYFUNCTION("""COMPUTED_VALUE"""),"WastewaterSARS-CoV-2;WastewaterAMR;WastewaterPathogenAgnostic")</f>
        <v>WastewaterSARS-CoV-2;WastewaterAMR;WastewaterPathogenAgnostic</v>
      </c>
    </row>
    <row r="23">
      <c r="A23" s="141" t="str">
        <f>IFERROR(__xludf.DUMMYFUNCTION("""COMPUTED_VALUE"""),"Sample collection and processing")</f>
        <v>Sample collection and processing</v>
      </c>
      <c r="B23" s="141" t="str">
        <f>IFERROR(__xludf.DUMMYFUNCTION("""COMPUTED_VALUE"""),"sample collected by laboratory name")</f>
        <v>sample collected by laboratory name</v>
      </c>
      <c r="C23" s="141"/>
      <c r="D23" s="141"/>
      <c r="E23" s="141" t="str">
        <f>IFERROR(__xludf.DUMMYFUNCTION("""COMPUTED_VALUE"""),"GENEPIO:0100428")</f>
        <v>GENEPIO:0100428</v>
      </c>
      <c r="F23" s="141" t="str">
        <f>IFERROR(__xludf.DUMMYFUNCTION("""COMPUTED_VALUE"""),"The specific laboratory affiliation of the sample collector.")</f>
        <v>The specific laboratory affiliation of the sample collector.</v>
      </c>
      <c r="G23" s="141" t="str">
        <f>IFERROR(__xludf.DUMMYFUNCTION("""COMPUTED_VALUE"""),"Provide the name of the specific laboratory that collected the sample (avoid abbreviations). If the information is unknown or cannot be provided, leave blank or provide a null value.")</f>
        <v>Provide the name of the specific laboratory that collected the sample (avoid abbreviations). If the information is unknown or cannot be provided, leave blank or provide a null value.</v>
      </c>
      <c r="H23" s="141" t="str">
        <f>IFERROR(__xludf.DUMMYFUNCTION("""COMPUTED_VALUE"""),"Topp Lab")</f>
        <v>Topp Lab</v>
      </c>
      <c r="K23" s="144" t="s">
        <v>1058</v>
      </c>
      <c r="L23" s="144" t="s">
        <v>1058</v>
      </c>
      <c r="M23" s="144" t="s">
        <v>1058</v>
      </c>
      <c r="N23" s="142" t="str">
        <f>IFERROR(__xludf.DUMMYFUNCTION("""COMPUTED_VALUE"""),"WastewaterSARS-CoV-2;WastewaterAMR;WastewaterPathogenAgnostic")</f>
        <v>WastewaterSARS-CoV-2;WastewaterAMR;WastewaterPathogenAgnostic</v>
      </c>
    </row>
    <row r="24">
      <c r="A24" s="141" t="str">
        <f>IFERROR(__xludf.DUMMYFUNCTION("""COMPUTED_VALUE"""),"Sample collection and processing")</f>
        <v>Sample collection and processing</v>
      </c>
      <c r="B24" s="141" t="str">
        <f>IFERROR(__xludf.DUMMYFUNCTION("""COMPUTED_VALUE"""),"sample collected by")</f>
        <v>sample collected by</v>
      </c>
      <c r="C24" s="141" t="b">
        <f>IFERROR(__xludf.DUMMYFUNCTION("""COMPUTED_VALUE"""),TRUE)</f>
        <v>1</v>
      </c>
      <c r="D24" s="141"/>
      <c r="E24" s="141" t="str">
        <f>IFERROR(__xludf.DUMMYFUNCTION("""COMPUTED_VALUE"""),"GENEPIO:0001153")</f>
        <v>GENEPIO:0001153</v>
      </c>
      <c r="F24" s="141" t="str">
        <f>IFERROR(__xludf.DUMMYFUNCTION("""COMPUTED_VALUE"""),"The name of the organization with which the sample collector is affiliated.")</f>
        <v>The name of the organization with which the sample collector is affiliated.</v>
      </c>
      <c r="G24" s="141" t="str">
        <f>IFERROR(__xludf.DUMMYFUNCTION("""COMPUTED_VALUE"""),"The name of the agency should be written out in full, (with minor exceptions) and be consistent across multiple submissions.")</f>
        <v>The name of the agency should be written out in full, (with minor exceptions) and be consistent across multiple submissions.</v>
      </c>
      <c r="H24" s="141" t="str">
        <f>IFERROR(__xludf.DUMMYFUNCTION("""COMPUTED_VALUE"""),"Public Health Agency of Canada")</f>
        <v>Public Health Agency of Canada</v>
      </c>
      <c r="K24" s="142" t="s">
        <v>25</v>
      </c>
      <c r="L24" s="142" t="s">
        <v>25</v>
      </c>
      <c r="M24" s="142" t="s">
        <v>25</v>
      </c>
      <c r="N24" s="142" t="str">
        <f>IFERROR(__xludf.DUMMYFUNCTION("""COMPUTED_VALUE"""),"WastewaterSARS-CoV-2;WastewaterAMR;WastewaterPathogenAgnostic")</f>
        <v>WastewaterSARS-CoV-2;WastewaterAMR;WastewaterPathogenAgnostic</v>
      </c>
    </row>
    <row r="25">
      <c r="A25" s="141" t="str">
        <f>IFERROR(__xludf.DUMMYFUNCTION("""COMPUTED_VALUE"""),"Sample collection and processing")</f>
        <v>Sample collection and processing</v>
      </c>
      <c r="B25" s="141" t="str">
        <f>IFERROR(__xludf.DUMMYFUNCTION("""COMPUTED_VALUE"""),"sample collector contact name")</f>
        <v>sample collector contact name</v>
      </c>
      <c r="C25" s="141"/>
      <c r="D25" s="141"/>
      <c r="E25" s="141" t="str">
        <f>IFERROR(__xludf.DUMMYFUNCTION("""COMPUTED_VALUE"""),"GENEPIO:0100432")</f>
        <v>GENEPIO:0100432</v>
      </c>
      <c r="F25" s="141" t="str">
        <f>IFERROR(__xludf.DUMMYFUNCTION("""COMPUTED_VALUE"""),"The name or job title of the contact responsible for follow-up regarding the sample.")</f>
        <v>The name or job title of the contact responsible for follow-up regarding the sample.</v>
      </c>
      <c r="G25" s="141" t="str">
        <f>IFERROR(__xludf.DUMMYFUNCTION("""COMPUTED_VALUE"""),"Provide the name of an individual or their job title. As personnel turnover may render the contact's name obsolete, it is more preferable to provide a job title for ensuring accuracy of information and institutional memory. If the information is unknown o"&amp;"r cannot be provided, leave blank or provide a null value.")</f>
        <v>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v>
      </c>
      <c r="H25" s="141" t="str">
        <f>IFERROR(__xludf.DUMMYFUNCTION("""COMPUTED_VALUE"""),"Joe Bloggs, Enterics Lab Manager")</f>
        <v>Joe Bloggs, Enterics Lab Manager</v>
      </c>
      <c r="K25" s="144" t="s">
        <v>1058</v>
      </c>
      <c r="L25" s="144" t="s">
        <v>1058</v>
      </c>
      <c r="M25" s="144" t="s">
        <v>1058</v>
      </c>
      <c r="N25" s="142" t="str">
        <f>IFERROR(__xludf.DUMMYFUNCTION("""COMPUTED_VALUE"""),"WastewaterSARS-CoV-2;WastewaterAMR;WastewaterPathogenAgnostic")</f>
        <v>WastewaterSARS-CoV-2;WastewaterAMR;WastewaterPathogenAgnostic</v>
      </c>
    </row>
    <row r="26">
      <c r="A26" s="141" t="str">
        <f>IFERROR(__xludf.DUMMYFUNCTION("""COMPUTED_VALUE"""),"Sample collection and processing")</f>
        <v>Sample collection and processing</v>
      </c>
      <c r="B26" s="141" t="str">
        <f>IFERROR(__xludf.DUMMYFUNCTION("""COMPUTED_VALUE"""),"sample collector contact email")</f>
        <v>sample collector contact email</v>
      </c>
      <c r="C26" s="141"/>
      <c r="D26" s="141"/>
      <c r="E26" s="141" t="str">
        <f>IFERROR(__xludf.DUMMYFUNCTION("""COMPUTED_VALUE"""),"GENEPIO:0001156")</f>
        <v>GENEPIO:0001156</v>
      </c>
      <c r="F26" s="141" t="str">
        <f>IFERROR(__xludf.DUMMYFUNCTION("""COMPUTED_VALUE"""),"The email address of the contact responsible for follow-up regarding the sample.")</f>
        <v>The email address of the contact responsible for follow-up regarding the sample.</v>
      </c>
      <c r="G26" s="141" t="str">
        <f>IFERROR(__xludf.DUMMYFUNCTION("""COMPUTED_VALUE"""),"The email address can represent a specific individual or lab e.g. johnnyblogs@lab.ca, or RespLab@lab.ca")</f>
        <v>The email address can represent a specific individual or lab e.g. johnnyblogs@lab.ca, or RespLab@lab.ca</v>
      </c>
      <c r="H26" s="141" t="str">
        <f>IFERROR(__xludf.DUMMYFUNCTION("""COMPUTED_VALUE"""),"WaterTester@facility.ca")</f>
        <v>WaterTester@facility.ca</v>
      </c>
      <c r="K26" s="142" t="s">
        <v>25</v>
      </c>
      <c r="L26" s="142" t="s">
        <v>25</v>
      </c>
      <c r="M26" s="142" t="s">
        <v>25</v>
      </c>
      <c r="N26" s="142" t="str">
        <f>IFERROR(__xludf.DUMMYFUNCTION("""COMPUTED_VALUE"""),"WastewaterSARS-CoV-2;WastewaterAMR;WastewaterPathogenAgnostic")</f>
        <v>WastewaterSARS-CoV-2;WastewaterAMR;WastewaterPathogenAgnostic</v>
      </c>
    </row>
    <row r="27">
      <c r="A27" s="141" t="str">
        <f>IFERROR(__xludf.DUMMYFUNCTION("""COMPUTED_VALUE"""),"Sample collection and processing")</f>
        <v>Sample collection and processing</v>
      </c>
      <c r="B27" s="141" t="str">
        <f>IFERROR(__xludf.DUMMYFUNCTION("""COMPUTED_VALUE"""),"geo loc name (country)")</f>
        <v>geo loc name (country)</v>
      </c>
      <c r="C27" s="141" t="b">
        <f>IFERROR(__xludf.DUMMYFUNCTION("""COMPUTED_VALUE"""),TRUE)</f>
        <v>1</v>
      </c>
      <c r="D27" s="141"/>
      <c r="E27" s="141" t="str">
        <f>IFERROR(__xludf.DUMMYFUNCTION("""COMPUTED_VALUE"""),"GENEPIO:0001181")</f>
        <v>GENEPIO:0001181</v>
      </c>
      <c r="F27" s="141" t="str">
        <f>IFERROR(__xludf.DUMMYFUNCTION("""COMPUTED_VALUE"""),"The country of origin of the sample.")</f>
        <v>The country of origin of the sample.</v>
      </c>
      <c r="G27" s="141" t="str">
        <f>IFERROR(__xludf.DUMMYFUNCTION("""COMPUTED_VALUE"""),"If known, select a value from the pick list.")</f>
        <v>If known, select a value from the pick list.</v>
      </c>
      <c r="H27" s="141" t="str">
        <f>IFERROR(__xludf.DUMMYFUNCTION("""COMPUTED_VALUE"""),"Canada")</f>
        <v>Canada</v>
      </c>
      <c r="K27" s="142" t="s">
        <v>25</v>
      </c>
      <c r="L27" s="142" t="s">
        <v>25</v>
      </c>
      <c r="M27" s="142" t="s">
        <v>25</v>
      </c>
      <c r="N27" s="142" t="str">
        <f>IFERROR(__xludf.DUMMYFUNCTION("""COMPUTED_VALUE"""),"WastewaterSARS-CoV-2;WastewaterAMR;WastewaterPathogenAgnostic")</f>
        <v>WastewaterSARS-CoV-2;WastewaterAMR;WastewaterPathogenAgnostic</v>
      </c>
    </row>
    <row r="28">
      <c r="A28" s="141" t="str">
        <f>IFERROR(__xludf.DUMMYFUNCTION("""COMPUTED_VALUE"""),"Sample collection and processing")</f>
        <v>Sample collection and processing</v>
      </c>
      <c r="B28" s="141" t="str">
        <f>IFERROR(__xludf.DUMMYFUNCTION("""COMPUTED_VALUE"""),"geo loc name (state/province/territory)")</f>
        <v>geo loc name (state/province/territory)</v>
      </c>
      <c r="C28" s="141" t="b">
        <f>IFERROR(__xludf.DUMMYFUNCTION("""COMPUTED_VALUE"""),TRUE)</f>
        <v>1</v>
      </c>
      <c r="D28" s="141"/>
      <c r="E28" s="141" t="str">
        <f>IFERROR(__xludf.DUMMYFUNCTION("""COMPUTED_VALUE"""),"GENEPIO:0001185")</f>
        <v>GENEPIO:0001185</v>
      </c>
      <c r="F28" s="141" t="str">
        <f>IFERROR(__xludf.DUMMYFUNCTION("""COMPUTED_VALUE"""),"The state/province/territory of origin of the sample.")</f>
        <v>The state/province/territory of origin of the sample.</v>
      </c>
      <c r="G28" s="141" t="str">
        <f>IFERROR(__xludf.DUMMYFUNCTION("""COMPUTED_VALUE"""),"Provide the state/province/territory name from the GAZ geography ontology. Search for geography terms here: https://www.ebi.ac.uk/ols/ontologies/ga")</f>
        <v>Provide the state/province/territory name from the GAZ geography ontology. Search for geography terms here: https://www.ebi.ac.uk/ols/ontologies/ga</v>
      </c>
      <c r="H28" s="141" t="str">
        <f>IFERROR(__xludf.DUMMYFUNCTION("""COMPUTED_VALUE"""),"Western Cape")</f>
        <v>Western Cape</v>
      </c>
      <c r="K28" s="142" t="s">
        <v>25</v>
      </c>
      <c r="L28" s="142" t="s">
        <v>25</v>
      </c>
      <c r="M28" s="142" t="s">
        <v>25</v>
      </c>
      <c r="N28" s="142" t="str">
        <f>IFERROR(__xludf.DUMMYFUNCTION("""COMPUTED_VALUE"""),"WastewaterSARS-CoV-2;WastewaterAMR;WastewaterPathogenAgnostic")</f>
        <v>WastewaterSARS-CoV-2;WastewaterAMR;WastewaterPathogenAgnostic</v>
      </c>
    </row>
    <row r="29">
      <c r="A29" s="141" t="str">
        <f>IFERROR(__xludf.DUMMYFUNCTION("""COMPUTED_VALUE"""),"Sample collection and processing")</f>
        <v>Sample collection and processing</v>
      </c>
      <c r="B29" s="141" t="str">
        <f>IFERROR(__xludf.DUMMYFUNCTION("""COMPUTED_VALUE"""),"geo loc name (county/region)")</f>
        <v>geo loc name (county/region)</v>
      </c>
      <c r="C29" s="141"/>
      <c r="D29" s="141"/>
      <c r="E29" s="141" t="str">
        <f>IFERROR(__xludf.DUMMYFUNCTION("""COMPUTED_VALUE"""),"GENEPIO:0100280")</f>
        <v>GENEPIO:0100280</v>
      </c>
      <c r="F29" s="141" t="str">
        <f>IFERROR(__xludf.DUMMYFUNCTION("""COMPUTED_VALUE"""),"The county/region of origin of the sample.")</f>
        <v>The county/region of origin of the sample.</v>
      </c>
      <c r="G29" s="141" t="str">
        <f>IFERROR(__xludf.DUMMYFUNCTION("""COMPUTED_VALUE"""),"Provide the county/region name from the GAZ geography ontology. Search for geography terms here: https://www.ebi.ac.uk/ols/ontologies/gaz")</f>
        <v>Provide the county/region name from the GAZ geography ontology. Search for geography terms here: https://www.ebi.ac.uk/ols/ontologies/gaz</v>
      </c>
      <c r="H29" s="141" t="str">
        <f>IFERROR(__xludf.DUMMYFUNCTION("""COMPUTED_VALUE"""),"Derbyshire")</f>
        <v>Derbyshire</v>
      </c>
      <c r="K29" s="144" t="s">
        <v>25</v>
      </c>
      <c r="L29" s="144" t="s">
        <v>25</v>
      </c>
      <c r="M29" s="144" t="s">
        <v>25</v>
      </c>
      <c r="N29" s="142" t="str">
        <f>IFERROR(__xludf.DUMMYFUNCTION("""COMPUTED_VALUE"""),"WastewaterSARS-CoV-2;WastewaterAMR;WastewaterPathogenAgnostic")</f>
        <v>WastewaterSARS-CoV-2;WastewaterAMR;WastewaterPathogenAgnostic</v>
      </c>
    </row>
    <row r="30">
      <c r="A30" s="141" t="str">
        <f>IFERROR(__xludf.DUMMYFUNCTION("""COMPUTED_VALUE"""),"Sample collection and processing")</f>
        <v>Sample collection and processing</v>
      </c>
      <c r="B30" s="141" t="str">
        <f>IFERROR(__xludf.DUMMYFUNCTION("""COMPUTED_VALUE"""),"geo loc name (city)")</f>
        <v>geo loc name (city)</v>
      </c>
      <c r="C30" s="141"/>
      <c r="D30" s="141"/>
      <c r="E30" s="141" t="str">
        <f>IFERROR(__xludf.DUMMYFUNCTION("""COMPUTED_VALUE"""),"GENEPIO:0001189")</f>
        <v>GENEPIO:0001189</v>
      </c>
      <c r="F30" s="141" t="str">
        <f>IFERROR(__xludf.DUMMYFUNCTION("""COMPUTED_VALUE"""),"The city of origin of the sample.")</f>
        <v>The city of origin of the sample.</v>
      </c>
      <c r="G30" s="141" t="str">
        <f>IFERROR(__xludf.DUMMYFUNCTION("""COMPUTED_VALUE"""),"Provide the city name from the GAZ geography ontology. Search for geography terms here: https://www.ebi.ac.uk/ols/ontologies/gaz")</f>
        <v>Provide the city name from the GAZ geography ontology. Search for geography terms here: https://www.ebi.ac.uk/ols/ontologies/gaz</v>
      </c>
      <c r="H30" s="141" t="str">
        <f>IFERROR(__xludf.DUMMYFUNCTION("""COMPUTED_VALUE"""),"Vancouver")</f>
        <v>Vancouver</v>
      </c>
      <c r="K30" s="142" t="s">
        <v>25</v>
      </c>
      <c r="L30" s="142" t="s">
        <v>25</v>
      </c>
      <c r="M30" s="142" t="s">
        <v>25</v>
      </c>
      <c r="N30" s="142" t="str">
        <f>IFERROR(__xludf.DUMMYFUNCTION("""COMPUTED_VALUE"""),"WastewaterSARS-CoV-2;WastewaterAMR;WastewaterPathogenAgnostic")</f>
        <v>WastewaterSARS-CoV-2;WastewaterAMR;WastewaterPathogenAgnostic</v>
      </c>
    </row>
    <row r="31">
      <c r="A31" s="141" t="str">
        <f>IFERROR(__xludf.DUMMYFUNCTION("""COMPUTED_VALUE"""),"Sample collection and processing")</f>
        <v>Sample collection and processing</v>
      </c>
      <c r="B31" s="141" t="str">
        <f>IFERROR(__xludf.DUMMYFUNCTION("""COMPUTED_VALUE"""),"geo loc name (site)")</f>
        <v>geo loc name (site)</v>
      </c>
      <c r="C31" s="141"/>
      <c r="D31" s="141"/>
      <c r="E31" s="141" t="str">
        <f>IFERROR(__xludf.DUMMYFUNCTION("""COMPUTED_VALUE"""),"GENEPIO:0100436")</f>
        <v>GENEPIO:0100436</v>
      </c>
      <c r="F31" s="141" t="str">
        <f>IFERROR(__xludf.DUMMYFUNCTION("""COMPUTED_VALUE"""),"The name of a specific geographical location e.g. Credit River (rather than river).")</f>
        <v>The name of a specific geographical location e.g. Credit River (rather than river).</v>
      </c>
      <c r="G31" s="141" t="str">
        <f>IFERROR(__xludf.DUMMYFUNCTION("""COMPUTED_VALUE"""),"Provide the name of the specific geographical site using a specific noun (a word that names a certain place, thing).")</f>
        <v>Provide the name of the specific geographical site using a specific noun (a word that names a certain place, thing).</v>
      </c>
      <c r="H31" s="141" t="str">
        <f>IFERROR(__xludf.DUMMYFUNCTION("""COMPUTED_VALUE"""),"Credit River")</f>
        <v>Credit River</v>
      </c>
      <c r="K31" s="142" t="s">
        <v>25</v>
      </c>
      <c r="L31" s="142" t="s">
        <v>25</v>
      </c>
      <c r="M31" s="142" t="s">
        <v>25</v>
      </c>
      <c r="N31" s="142" t="str">
        <f>IFERROR(__xludf.DUMMYFUNCTION("""COMPUTED_VALUE"""),"WastewaterSARS-CoV-2;WastewaterAMR;WastewaterPathogenAgnostic")</f>
        <v>WastewaterSARS-CoV-2;WastewaterAMR;WastewaterPathogenAgnostic</v>
      </c>
    </row>
    <row r="32">
      <c r="A32" s="141" t="str">
        <f>IFERROR(__xludf.DUMMYFUNCTION("""COMPUTED_VALUE"""),"Sample collection and processing")</f>
        <v>Sample collection and processing</v>
      </c>
      <c r="B32" s="141" t="str">
        <f>IFERROR(__xludf.DUMMYFUNCTION("""COMPUTED_VALUE"""),"geo loc latitude")</f>
        <v>geo loc latitude</v>
      </c>
      <c r="C32" s="141"/>
      <c r="D32" s="141"/>
      <c r="E32" s="141" t="str">
        <f>IFERROR(__xludf.DUMMYFUNCTION("""COMPUTED_VALUE"""),"GENEPIO:0100309")</f>
        <v>GENEPIO:0100309</v>
      </c>
      <c r="F32" s="141" t="str">
        <f>IFERROR(__xludf.DUMMYFUNCTION("""COMPUTED_VALUE"""),"The latitude coordinates of the geographical location of sample collection.")</f>
        <v>The latitude coordinates of the geographical location of sample collection.</v>
      </c>
      <c r="G32" s="141"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H32" s="141" t="str">
        <f>IFERROR(__xludf.DUMMYFUNCTION("""COMPUTED_VALUE"""),"38.98 N")</f>
        <v>38.98 N</v>
      </c>
      <c r="K32" s="142" t="s">
        <v>25</v>
      </c>
      <c r="L32" s="142" t="s">
        <v>25</v>
      </c>
      <c r="M32" s="142" t="s">
        <v>25</v>
      </c>
      <c r="N32" s="142" t="str">
        <f>IFERROR(__xludf.DUMMYFUNCTION("""COMPUTED_VALUE"""),"WastewaterSARS-CoV-2;WastewaterAMR;WastewaterPathogenAgnostic")</f>
        <v>WastewaterSARS-CoV-2;WastewaterAMR;WastewaterPathogenAgnostic</v>
      </c>
    </row>
    <row r="33">
      <c r="A33" s="141" t="str">
        <f>IFERROR(__xludf.DUMMYFUNCTION("""COMPUTED_VALUE"""),"Sample collection and processing")</f>
        <v>Sample collection and processing</v>
      </c>
      <c r="B33" s="141" t="str">
        <f>IFERROR(__xludf.DUMMYFUNCTION("""COMPUTED_VALUE"""),"geo loc longitude")</f>
        <v>geo loc longitude</v>
      </c>
      <c r="C33" s="141"/>
      <c r="D33" s="141"/>
      <c r="E33" s="141" t="str">
        <f>IFERROR(__xludf.DUMMYFUNCTION("""COMPUTED_VALUE"""),"GENEPIO:0100310")</f>
        <v>GENEPIO:0100310</v>
      </c>
      <c r="F33" s="141" t="str">
        <f>IFERROR(__xludf.DUMMYFUNCTION("""COMPUTED_VALUE"""),"The longitude coordinates of the geographical location of sample collection.")</f>
        <v>The longitude coordinates of the geographical location of sample collection.</v>
      </c>
      <c r="G33" s="141"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H33" s="141" t="str">
        <f>IFERROR(__xludf.DUMMYFUNCTION("""COMPUTED_VALUE"""),"77.11 W")</f>
        <v>77.11 W</v>
      </c>
      <c r="K33" s="142" t="s">
        <v>25</v>
      </c>
      <c r="L33" s="142" t="s">
        <v>25</v>
      </c>
      <c r="M33" s="142" t="s">
        <v>25</v>
      </c>
      <c r="N33" s="142" t="str">
        <f>IFERROR(__xludf.DUMMYFUNCTION("""COMPUTED_VALUE"""),"WastewaterSARS-CoV-2;WastewaterAMR;WastewaterPathogenAgnostic")</f>
        <v>WastewaterSARS-CoV-2;WastewaterAMR;WastewaterPathogenAgnostic</v>
      </c>
    </row>
    <row r="34">
      <c r="A34" s="141" t="str">
        <f>IFERROR(__xludf.DUMMYFUNCTION("""COMPUTED_VALUE"""),"Sample collection and processing")</f>
        <v>Sample collection and processing</v>
      </c>
      <c r="B34" s="141" t="str">
        <f>IFERROR(__xludf.DUMMYFUNCTION("""COMPUTED_VALUE"""),"watershed shapefile availability")</f>
        <v>watershed shapefile availability</v>
      </c>
      <c r="C34" s="141"/>
      <c r="D34" s="141"/>
      <c r="E34" s="143" t="str">
        <f>IFERROR(__xludf.DUMMYFUNCTION("""COMPUTED_VALUE"""),"GENEPIO:0100919")</f>
        <v>GENEPIO:0100919</v>
      </c>
      <c r="F34" s="141" t="str">
        <f>IFERROR(__xludf.DUMMYFUNCTION("""COMPUTED_VALUE"""),"The availability status of a shapefile descriping the catchment contributing to a watershed.")</f>
        <v>The availability status of a shapefile descriping the catchment contributing to a watershed.</v>
      </c>
      <c r="G34" s="141" t="str">
        <f>IFERROR(__xludf.DUMMYFUNCTION("""COMPUTED_VALUE"""),"Select a value from the picklist to describe whether or not a watershed shapefile would be available upon request.")</f>
        <v>Select a value from the picklist to describe whether or not a watershed shapefile would be available upon request.</v>
      </c>
      <c r="H34" s="141" t="str">
        <f>IFERROR(__xludf.DUMMYFUNCTION("""COMPUTED_VALUE"""),"watershed shapefile available")</f>
        <v>watershed shapefile available</v>
      </c>
      <c r="K34" s="142" t="s">
        <v>25</v>
      </c>
      <c r="L34" s="142" t="s">
        <v>25</v>
      </c>
      <c r="M34" s="142" t="s">
        <v>25</v>
      </c>
      <c r="N34" s="142" t="str">
        <f>IFERROR(__xludf.DUMMYFUNCTION("""COMPUTED_VALUE"""),"WastewaterSARS-CoV-2;WastewaterAMR;WastewaterPathogenAgnostic")</f>
        <v>WastewaterSARS-CoV-2;WastewaterAMR;WastewaterPathogenAgnostic</v>
      </c>
    </row>
    <row r="35" hidden="1">
      <c r="A35" s="141" t="str">
        <f>IFERROR(__xludf.DUMMYFUNCTION("""COMPUTED_VALUE"""),"Sample collection and processing")</f>
        <v>Sample collection and processing</v>
      </c>
      <c r="B35" s="141" t="str">
        <f>IFERROR(__xludf.DUMMYFUNCTION("""COMPUTED_VALUE"""),"watershed shapefile filename")</f>
        <v>watershed shapefile filename</v>
      </c>
      <c r="C35" s="141"/>
      <c r="D35" s="141"/>
      <c r="E35" s="143" t="str">
        <f>IFERROR(__xludf.DUMMYFUNCTION("""COMPUTED_VALUE"""),"GENEPIO:0100920")</f>
        <v>GENEPIO:0100920</v>
      </c>
      <c r="F35" s="141" t="str">
        <f>IFERROR(__xludf.DUMMYFUNCTION("""COMPUTED_VALUE"""),"The name of the watershed shapefile.")</f>
        <v>The name of the watershed shapefile.</v>
      </c>
      <c r="G35" s="141" t="str">
        <f>IFERROR(__xludf.DUMMYFUNCTION("""COMPUTED_VALUE"""),"Provide the shapefile filename corresponding to the watershed from which the sample was taken. If there are multiple files associated with the watershed, provide all names separated by commas.")</f>
        <v>Provide the shapefile filename corresponding to the watershed from which the sample was taken. If there are multiple files associated with the watershed, provide all names separated by commas.</v>
      </c>
      <c r="H35" s="141" t="str">
        <f>IFERROR(__xludf.DUMMYFUNCTION("""COMPUTED_VALUE"""),"siteAD17.shp, siteAD17.kml")</f>
        <v>siteAD17.shp, siteAD17.kml</v>
      </c>
      <c r="K35" s="142" t="s">
        <v>25</v>
      </c>
      <c r="L35" s="142" t="s">
        <v>25</v>
      </c>
      <c r="M35" s="142" t="s">
        <v>25</v>
      </c>
      <c r="N35" s="142" t="str">
        <f>IFERROR(__xludf.DUMMYFUNCTION("""COMPUTED_VALUE"""),"WastewaterSARS-CoV-2;WastewaterAMR;WastewaterPathogenAgnostic")</f>
        <v>WastewaterSARS-CoV-2;WastewaterAMR;WastewaterPathogenAgnostic</v>
      </c>
    </row>
    <row r="36" hidden="1">
      <c r="A36" s="141" t="str">
        <f>IFERROR(__xludf.DUMMYFUNCTION("""COMPUTED_VALUE"""),"Sample collection and processing")</f>
        <v>Sample collection and processing</v>
      </c>
      <c r="B36" s="141" t="str">
        <f>IFERROR(__xludf.DUMMYFUNCTION("""COMPUTED_VALUE"""),"organism")</f>
        <v>organism</v>
      </c>
      <c r="C36" s="141" t="b">
        <f>IFERROR(__xludf.DUMMYFUNCTION("""COMPUTED_VALUE"""),TRUE)</f>
        <v>1</v>
      </c>
      <c r="D36" s="141"/>
      <c r="E36" s="141" t="str">
        <f>IFERROR(__xludf.DUMMYFUNCTION("""COMPUTED_VALUE"""),"GENEPIO:0001191")</f>
        <v>GENEPIO:0001191</v>
      </c>
      <c r="F36" s="141" t="str">
        <f>IFERROR(__xludf.DUMMYFUNCTION("""COMPUTED_VALUE"""),"Taxonomic name of the organism.")</f>
        <v>Taxonomic name of the organism.</v>
      </c>
      <c r="G36" s="141" t="str">
        <f>IFERROR(__xludf.DUMMYFUNCTION("""COMPUTED_VALUE"""),"Provide the official nomenclature for the organism present in the sample. For SARS-CoV-2, use ""Severe acute respiratory syndrome coronavirus 2"" provided in the picklist.")</f>
        <v>Provide the official nomenclature for the organism present in the sample. For SARS-CoV-2, use "Severe acute respiratory syndrome coronavirus 2" provided in the picklist.</v>
      </c>
      <c r="H36" s="141" t="str">
        <f>IFERROR(__xludf.DUMMYFUNCTION("""COMPUTED_VALUE"""),"Severe acute respiratory syndrome coronavirus 2")</f>
        <v>Severe acute respiratory syndrome coronavirus 2</v>
      </c>
      <c r="K36" s="142" t="s">
        <v>25</v>
      </c>
      <c r="L36" s="142" t="s">
        <v>25</v>
      </c>
      <c r="M36" s="142" t="s">
        <v>25</v>
      </c>
      <c r="N36" s="142" t="str">
        <f>IFERROR(__xludf.DUMMYFUNCTION("""COMPUTED_VALUE"""),"WastewaterSARS-CoV-2")</f>
        <v>WastewaterSARS-CoV-2</v>
      </c>
    </row>
    <row r="37">
      <c r="A37" s="141" t="str">
        <f>IFERROR(__xludf.DUMMYFUNCTION("""COMPUTED_VALUE"""),"Sample collection and processing")</f>
        <v>Sample collection and processing</v>
      </c>
      <c r="B37" s="141" t="str">
        <f>IFERROR(__xludf.DUMMYFUNCTION("""COMPUTED_VALUE"""),"organism")</f>
        <v>organism</v>
      </c>
      <c r="C37" s="141" t="b">
        <f>IFERROR(__xludf.DUMMYFUNCTION("""COMPUTED_VALUE"""),TRUE)</f>
        <v>1</v>
      </c>
      <c r="D37" s="141"/>
      <c r="E37" s="141" t="str">
        <f>IFERROR(__xludf.DUMMYFUNCTION("""COMPUTED_VALUE"""),"GENEPIO:0001191")</f>
        <v>GENEPIO:0001191</v>
      </c>
      <c r="F37" s="141" t="str">
        <f>IFERROR(__xludf.DUMMYFUNCTION("""COMPUTED_VALUE"""),"Taxonomic name of the organism.")</f>
        <v>Taxonomic name of the organism.</v>
      </c>
      <c r="G37" s="141" t="str">
        <f>IFERROR(__xludf.DUMMYFUNCTION("""COMPUTED_VALUE"""),"Provide the official nomenclature for the organism(s) present in the sample. Multiple organisms can be entered, separated by semicolons. Avoid abbreviations. Search for taxonomic names here: ncbi.nlm.nih.gov/taxonomy.")</f>
        <v>Provide the official nomenclature for the organism(s) present in the sample. Multiple organisms can be entered, separated by semicolons. Avoid abbreviations. Search for taxonomic names here: ncbi.nlm.nih.gov/taxonomy.</v>
      </c>
      <c r="H37" s="141" t="str">
        <f>IFERROR(__xludf.DUMMYFUNCTION("""COMPUTED_VALUE"""),"Vibrio cholerae")</f>
        <v>Vibrio cholerae</v>
      </c>
      <c r="K37" s="142" t="s">
        <v>25</v>
      </c>
      <c r="L37" s="142" t="s">
        <v>25</v>
      </c>
      <c r="M37" s="142" t="s">
        <v>25</v>
      </c>
      <c r="N37" s="142" t="str">
        <f>IFERROR(__xludf.DUMMYFUNCTION("""COMPUTED_VALUE"""),"WastewaterPathogenAgnostic")</f>
        <v>WastewaterPathogenAgnostic</v>
      </c>
    </row>
    <row r="38">
      <c r="A38" s="141" t="str">
        <f>IFERROR(__xludf.DUMMYFUNCTION("""COMPUTED_VALUE"""),"Sample collection and processing")</f>
        <v>Sample collection and processing</v>
      </c>
      <c r="B38" s="141" t="str">
        <f>IFERROR(__xludf.DUMMYFUNCTION("""COMPUTED_VALUE"""),"organism")</f>
        <v>organism</v>
      </c>
      <c r="C38" s="141"/>
      <c r="D38" s="141" t="b">
        <f>IFERROR(__xludf.DUMMYFUNCTION("""COMPUTED_VALUE"""),TRUE)</f>
        <v>1</v>
      </c>
      <c r="E38" s="141" t="str">
        <f>IFERROR(__xludf.DUMMYFUNCTION("""COMPUTED_VALUE"""),"GENEPIO:0001191")</f>
        <v>GENEPIO:0001191</v>
      </c>
      <c r="F38" s="141" t="str">
        <f>IFERROR(__xludf.DUMMYFUNCTION("""COMPUTED_VALUE"""),"Taxonomic name of the organism.")</f>
        <v>Taxonomic name of the organism.</v>
      </c>
      <c r="G38" s="141" t="str">
        <f>IFERROR(__xludf.DUMMYFUNCTION("""COMPUTED_VALUE"""),"Provide the official nomenclature for the organism(s) present in the sample if AMR profiles are assigned to organisms. Multiple organisms can be entered, separated by semicolons. Avoid abbreviations. Search for taxonomic names here: ncbi.nlm.nih.gov/taxon"&amp;"omy.")</f>
        <v>Provide the official nomenclature for the organism(s) present in the sample if AMR profiles are assigned to organisms. Multiple organisms can be entered, separated by semicolons. Avoid abbreviations. Search for taxonomic names here: ncbi.nlm.nih.gov/taxonomy.</v>
      </c>
      <c r="H38" s="141" t="str">
        <f>IFERROR(__xludf.DUMMYFUNCTION("""COMPUTED_VALUE"""),"Vibrio cholerae")</f>
        <v>Vibrio cholerae</v>
      </c>
      <c r="K38" s="142" t="s">
        <v>25</v>
      </c>
      <c r="L38" s="142" t="s">
        <v>25</v>
      </c>
      <c r="M38" s="142" t="s">
        <v>25</v>
      </c>
      <c r="N38" s="142" t="str">
        <f>IFERROR(__xludf.DUMMYFUNCTION("""COMPUTED_VALUE"""),"WastewaterAMR")</f>
        <v>WastewaterAMR</v>
      </c>
    </row>
    <row r="39">
      <c r="A39" s="141" t="str">
        <f>IFERROR(__xludf.DUMMYFUNCTION("""COMPUTED_VALUE"""),"Sample collection and processing")</f>
        <v>Sample collection and processing</v>
      </c>
      <c r="B39" s="141" t="str">
        <f>IFERROR(__xludf.DUMMYFUNCTION("""COMPUTED_VALUE"""),"purpose of sampling")</f>
        <v>purpose of sampling</v>
      </c>
      <c r="C39" s="141" t="b">
        <f>IFERROR(__xludf.DUMMYFUNCTION("""COMPUTED_VALUE"""),TRUE)</f>
        <v>1</v>
      </c>
      <c r="D39" s="141"/>
      <c r="E39" s="141" t="str">
        <f>IFERROR(__xludf.DUMMYFUNCTION("""COMPUTED_VALUE"""),"GENEPIO:0001198")</f>
        <v>GENEPIO:0001198</v>
      </c>
      <c r="F39" s="141" t="str">
        <f>IFERROR(__xludf.DUMMYFUNCTION("""COMPUTED_VALUE"""),"The reason that the sample was collected.")</f>
        <v>The reason that the sample was collected.</v>
      </c>
      <c r="G39" s="141" t="str">
        <f>IFERROR(__xludf.DUMMYFUNCTION("""COMPUTED_VALUE"""),"The reason a sample was collected may provide information about potential biases in sampling strategy. Provide the purpose of sampling from the picklist in the template. Most likely, the sample was collected for Public health surveillance. The reason why "&amp;"a sample was originally collected may differ from the reason why it was selected for sequencing, which should be indicated in the ""purpose of sequencing"" field.")</f>
        <v>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v>
      </c>
      <c r="H39" s="141" t="str">
        <f>IFERROR(__xludf.DUMMYFUNCTION("""COMPUTED_VALUE"""),"Public health surveillance")</f>
        <v>Public health surveillance</v>
      </c>
      <c r="K39" s="142" t="s">
        <v>25</v>
      </c>
      <c r="L39" s="142" t="s">
        <v>25</v>
      </c>
      <c r="M39" s="142" t="s">
        <v>25</v>
      </c>
      <c r="N39" s="142" t="str">
        <f>IFERROR(__xludf.DUMMYFUNCTION("""COMPUTED_VALUE"""),"WastewaterSARS-CoV-2;WastewaterAMR;WastewaterPathogenAgnostic")</f>
        <v>WastewaterSARS-CoV-2;WastewaterAMR;WastewaterPathogenAgnostic</v>
      </c>
    </row>
    <row r="40">
      <c r="A40" s="141" t="str">
        <f>IFERROR(__xludf.DUMMYFUNCTION("""COMPUTED_VALUE"""),"Sample collection and processing")</f>
        <v>Sample collection and processing</v>
      </c>
      <c r="B40" s="141" t="str">
        <f>IFERROR(__xludf.DUMMYFUNCTION("""COMPUTED_VALUE"""),"scale of sampling")</f>
        <v>scale of sampling</v>
      </c>
      <c r="C40" s="141"/>
      <c r="D40" s="141" t="b">
        <f>IFERROR(__xludf.DUMMYFUNCTION("""COMPUTED_VALUE"""),TRUE)</f>
        <v>1</v>
      </c>
      <c r="E40" s="143" t="str">
        <f>IFERROR(__xludf.DUMMYFUNCTION("""COMPUTED_VALUE"""),"GENEPIO:0100877")</f>
        <v>GENEPIO:0100877</v>
      </c>
      <c r="F40" s="141" t="str">
        <f>IFERROR(__xludf.DUMMYFUNCTION("""COMPUTED_VALUE"""),"The range of locations or entities sampled expressed in general terms.")</f>
        <v>The range of locations or entities sampled expressed in general terms.</v>
      </c>
      <c r="G40" s="141" t="str">
        <f>IFERROR(__xludf.DUMMYFUNCTION("""COMPUTED_VALUE"""),"Provide the scale of wastewater sampling by selecting a value from the picklist.")</f>
        <v>Provide the scale of wastewater sampling by selecting a value from the picklist.</v>
      </c>
      <c r="H40" s="141" t="str">
        <f>IFERROR(__xludf.DUMMYFUNCTION("""COMPUTED_VALUE"""),"Community-level surveillance")</f>
        <v>Community-level surveillance</v>
      </c>
      <c r="K40" s="144" t="s">
        <v>25</v>
      </c>
      <c r="L40" s="144" t="s">
        <v>25</v>
      </c>
      <c r="M40" s="144" t="s">
        <v>25</v>
      </c>
      <c r="N40" s="142" t="str">
        <f>IFERROR(__xludf.DUMMYFUNCTION("""COMPUTED_VALUE"""),"WastewaterSARS-CoV-2;WastewaterAMR;WastewaterPathogenAgnostic")</f>
        <v>WastewaterSARS-CoV-2;WastewaterAMR;WastewaterPathogenAgnostic</v>
      </c>
    </row>
    <row r="41">
      <c r="A41" s="141" t="str">
        <f>IFERROR(__xludf.DUMMYFUNCTION("""COMPUTED_VALUE"""),"Sample collection and processing")</f>
        <v>Sample collection and processing</v>
      </c>
      <c r="B41" s="141" t="str">
        <f>IFERROR(__xludf.DUMMYFUNCTION("""COMPUTED_VALUE"""),"sample received date")</f>
        <v>sample received date</v>
      </c>
      <c r="C41" s="141"/>
      <c r="D41" s="141"/>
      <c r="E41" s="141" t="str">
        <f>IFERROR(__xludf.DUMMYFUNCTION("""COMPUTED_VALUE"""),"GENEPIO:0001179")</f>
        <v>GENEPIO:0001179</v>
      </c>
      <c r="F41" s="141" t="str">
        <f>IFERROR(__xludf.DUMMYFUNCTION("""COMPUTED_VALUE"""),"The date on which the sample was received.")</f>
        <v>The date on which the sample was received.</v>
      </c>
      <c r="G41" s="141" t="str">
        <f>IFERROR(__xludf.DUMMYFUNCTION("""COMPUTED_VALUE"""),"Provide the sample received date in ISO 8601 format, i.e. ""YYYY-MM-DD"".")</f>
        <v>Provide the sample received date in ISO 8601 format, i.e. "YYYY-MM-DD".</v>
      </c>
      <c r="H41" s="145">
        <f>IFERROR(__xludf.DUMMYFUNCTION("""COMPUTED_VALUE"""),43918.0)</f>
        <v>43918</v>
      </c>
      <c r="K41" s="142" t="s">
        <v>25</v>
      </c>
      <c r="L41" s="142" t="s">
        <v>25</v>
      </c>
      <c r="M41" s="142" t="s">
        <v>25</v>
      </c>
      <c r="N41" s="142" t="str">
        <f>IFERROR(__xludf.DUMMYFUNCTION("""COMPUTED_VALUE"""),"WastewaterSARS-CoV-2;WastewaterAMR;WastewaterPathogenAgnostic")</f>
        <v>WastewaterSARS-CoV-2;WastewaterAMR;WastewaterPathogenAgnostic</v>
      </c>
    </row>
    <row r="42">
      <c r="A42" s="141" t="str">
        <f>IFERROR(__xludf.DUMMYFUNCTION("""COMPUTED_VALUE"""),"Sample collection and processing")</f>
        <v>Sample collection and processing</v>
      </c>
      <c r="B42" s="141" t="str">
        <f>IFERROR(__xludf.DUMMYFUNCTION("""COMPUTED_VALUE"""),"sample collection start date")</f>
        <v>sample collection start date</v>
      </c>
      <c r="C42" s="141" t="b">
        <f>IFERROR(__xludf.DUMMYFUNCTION("""COMPUTED_VALUE"""),TRUE)</f>
        <v>1</v>
      </c>
      <c r="D42" s="141"/>
      <c r="E42" s="141" t="str">
        <f>IFERROR(__xludf.DUMMYFUNCTION("""COMPUTED_VALUE"""),"GENEPIO:0001174")</f>
        <v>GENEPIO:0001174</v>
      </c>
      <c r="F42" s="141" t="str">
        <f>IFERROR(__xludf.DUMMYFUNCTION("""COMPUTED_VALUE"""),"The date on which the sample was collected, or sampling began for a continuous sample.")</f>
        <v>The date on which the sample was collected, or sampling began for a continuous sample.</v>
      </c>
      <c r="G42" s="141" t="str">
        <f>IFERROR(__xludf.DUMMYFUNCTION("""COMPUTED_VALUE"""),"If your sample is a continuous sample please use this field to capture your start date. Sample collection date is critical for surveillance and many types of analyses. Required granularity includes year, month and day. The date should be provided in ISO 8"&amp;"601 standard format ""YYYY-MM-DD"".")</f>
        <v>If your sample is a continuous sample please use this field to capture your start date. Sample collection date is critical for surveillance and many types of analyses. Required granularity includes year, month and day. The date should be provided in ISO 8601 standard format "YYYY-MM-DD".</v>
      </c>
      <c r="H42" s="145">
        <f>IFERROR(__xludf.DUMMYFUNCTION("""COMPUTED_VALUE"""),43906.0)</f>
        <v>43906</v>
      </c>
      <c r="K42" s="142" t="s">
        <v>25</v>
      </c>
      <c r="L42" s="142" t="s">
        <v>25</v>
      </c>
      <c r="M42" s="142" t="s">
        <v>25</v>
      </c>
      <c r="N42" s="142" t="str">
        <f>IFERROR(__xludf.DUMMYFUNCTION("""COMPUTED_VALUE"""),"WastewaterSARS-CoV-2;WastewaterAMR;WastewaterPathogenAgnostic")</f>
        <v>WastewaterSARS-CoV-2;WastewaterAMR;WastewaterPathogenAgnostic</v>
      </c>
    </row>
    <row r="43">
      <c r="A43" s="141" t="str">
        <f>IFERROR(__xludf.DUMMYFUNCTION("""COMPUTED_VALUE"""),"Sample collection and processing")</f>
        <v>Sample collection and processing</v>
      </c>
      <c r="B43" s="141" t="str">
        <f>IFERROR(__xludf.DUMMYFUNCTION("""COMPUTED_VALUE"""),"sample collection end date")</f>
        <v>sample collection end date</v>
      </c>
      <c r="C43" s="141"/>
      <c r="D43" s="141" t="b">
        <f>IFERROR(__xludf.DUMMYFUNCTION("""COMPUTED_VALUE"""),TRUE)</f>
        <v>1</v>
      </c>
      <c r="E43" s="143" t="str">
        <f>IFERROR(__xludf.DUMMYFUNCTION("""COMPUTED_VALUE"""),"GENEPIO:0101071")</f>
        <v>GENEPIO:0101071</v>
      </c>
      <c r="F43" s="141" t="str">
        <f>IFERROR(__xludf.DUMMYFUNCTION("""COMPUTED_VALUE"""),"The date on which sample collection ended for a continuous sample.")</f>
        <v>The date on which sample collection ended for a continuous sample.</v>
      </c>
      <c r="G43" s="141" t="str">
        <f>IFERROR(__xludf.DUMMYFUNCTION("""COMPUTED_VALUE"""),"Provide the date that sample collection ended in ISO 8601 format i.e. YYYY-MM-DD")</f>
        <v>Provide the date that sample collection ended in ISO 8601 format i.e. YYYY-MM-DD</v>
      </c>
      <c r="H43" s="145">
        <f>IFERROR(__xludf.DUMMYFUNCTION("""COMPUTED_VALUE"""),43908.0)</f>
        <v>43908</v>
      </c>
      <c r="K43" s="142" t="s">
        <v>25</v>
      </c>
      <c r="L43" s="142" t="s">
        <v>25</v>
      </c>
      <c r="M43" s="142" t="s">
        <v>25</v>
      </c>
      <c r="N43" s="142" t="str">
        <f>IFERROR(__xludf.DUMMYFUNCTION("""COMPUTED_VALUE"""),"WastewaterSARS-CoV-2;WastewaterAMR;WastewaterPathogenAgnostic")</f>
        <v>WastewaterSARS-CoV-2;WastewaterAMR;WastewaterPathogenAgnostic</v>
      </c>
    </row>
    <row r="44">
      <c r="A44" s="141" t="str">
        <f>IFERROR(__xludf.DUMMYFUNCTION("""COMPUTED_VALUE"""),"Sample collection and processing")</f>
        <v>Sample collection and processing</v>
      </c>
      <c r="B44" s="141" t="str">
        <f>IFERROR(__xludf.DUMMYFUNCTION("""COMPUTED_VALUE"""),"sample processing date")</f>
        <v>sample processing date</v>
      </c>
      <c r="C44" s="141"/>
      <c r="D44" s="141"/>
      <c r="E44" s="143" t="str">
        <f>IFERROR(__xludf.DUMMYFUNCTION("""COMPUTED_VALUE"""),"GENEPIO:0100763")</f>
        <v>GENEPIO:0100763</v>
      </c>
      <c r="F44" s="141" t="str">
        <f>IFERROR(__xludf.DUMMYFUNCTION("""COMPUTED_VALUE"""),"The date on which the sample was processed.")</f>
        <v>The date on which the sample was processed.</v>
      </c>
      <c r="G44" s="141" t="str">
        <f>IFERROR(__xludf.DUMMYFUNCTION("""COMPUTED_VALUE"""),"Provide the sample processed date in ISO 8601 format, i.e. ""YYYY-MM-DD"". The sample may be collected and processed (e.g. filtered, extraction) on the same day, or on different dates.")</f>
        <v>Provide the sample processed date in ISO 8601 format, i.e. "YYYY-MM-DD". The sample may be collected and processed (e.g. filtered, extraction) on the same day, or on different dates.</v>
      </c>
      <c r="H44" s="145">
        <f>IFERROR(__xludf.DUMMYFUNCTION("""COMPUTED_VALUE"""),43906.0)</f>
        <v>43906</v>
      </c>
      <c r="K44" s="142" t="s">
        <v>25</v>
      </c>
      <c r="L44" s="142" t="s">
        <v>25</v>
      </c>
      <c r="M44" s="142" t="s">
        <v>25</v>
      </c>
      <c r="N44" s="142" t="str">
        <f>IFERROR(__xludf.DUMMYFUNCTION("""COMPUTED_VALUE"""),"WastewaterSARS-CoV-2;WastewaterAMR;WastewaterPathogenAgnostic")</f>
        <v>WastewaterSARS-CoV-2;WastewaterAMR;WastewaterPathogenAgnostic</v>
      </c>
    </row>
    <row r="45">
      <c r="A45" s="141" t="str">
        <f>IFERROR(__xludf.DUMMYFUNCTION("""COMPUTED_VALUE"""),"Sample collection and processing")</f>
        <v>Sample collection and processing</v>
      </c>
      <c r="B45" s="141" t="str">
        <f>IFERROR(__xludf.DUMMYFUNCTION("""COMPUTED_VALUE"""),"sample collection start time")</f>
        <v>sample collection start time</v>
      </c>
      <c r="C45" s="141"/>
      <c r="D45" s="141" t="b">
        <f>IFERROR(__xludf.DUMMYFUNCTION("""COMPUTED_VALUE"""),TRUE)</f>
        <v>1</v>
      </c>
      <c r="E45" s="143" t="str">
        <f>IFERROR(__xludf.DUMMYFUNCTION("""COMPUTED_VALUE"""),"GENEPIO:0101072")</f>
        <v>GENEPIO:0101072</v>
      </c>
      <c r="F45" s="141" t="str">
        <f>IFERROR(__xludf.DUMMYFUNCTION("""COMPUTED_VALUE"""),"The time at which sample collection began.")</f>
        <v>The time at which sample collection began.</v>
      </c>
      <c r="G45" s="141" t="str">
        <f>IFERROR(__xludf.DUMMYFUNCTION("""COMPUTED_VALUE"""),"Provide this time in ISO 8601 24hr format, in your local time.")</f>
        <v>Provide this time in ISO 8601 24hr format, in your local time.</v>
      </c>
      <c r="H45" s="141" t="str">
        <f>IFERROR(__xludf.DUMMYFUNCTION("""COMPUTED_VALUE"""),"17:15 PST")</f>
        <v>17:15 PST</v>
      </c>
      <c r="K45" s="142" t="s">
        <v>25</v>
      </c>
      <c r="L45" s="142" t="s">
        <v>25</v>
      </c>
      <c r="M45" s="142" t="s">
        <v>25</v>
      </c>
      <c r="N45" s="142" t="str">
        <f>IFERROR(__xludf.DUMMYFUNCTION("""COMPUTED_VALUE"""),"WastewaterSARS-CoV-2;WastewaterAMR;WastewaterPathogenAgnostic")</f>
        <v>WastewaterSARS-CoV-2;WastewaterAMR;WastewaterPathogenAgnostic</v>
      </c>
    </row>
    <row r="46">
      <c r="A46" s="141" t="str">
        <f>IFERROR(__xludf.DUMMYFUNCTION("""COMPUTED_VALUE"""),"Sample collection and processing")</f>
        <v>Sample collection and processing</v>
      </c>
      <c r="B46" s="141" t="str">
        <f>IFERROR(__xludf.DUMMYFUNCTION("""COMPUTED_VALUE"""),"sample collection end time")</f>
        <v>sample collection end time</v>
      </c>
      <c r="C46" s="141"/>
      <c r="D46" s="141" t="b">
        <f>IFERROR(__xludf.DUMMYFUNCTION("""COMPUTED_VALUE"""),TRUE)</f>
        <v>1</v>
      </c>
      <c r="E46" s="143" t="str">
        <f>IFERROR(__xludf.DUMMYFUNCTION("""COMPUTED_VALUE"""),"GENEPIO:0101073")</f>
        <v>GENEPIO:0101073</v>
      </c>
      <c r="F46" s="141" t="str">
        <f>IFERROR(__xludf.DUMMYFUNCTION("""COMPUTED_VALUE"""),"The time at which sample collection ended.")</f>
        <v>The time at which sample collection ended.</v>
      </c>
      <c r="G46" s="141" t="str">
        <f>IFERROR(__xludf.DUMMYFUNCTION("""COMPUTED_VALUE"""),"Provide this time in ISO 8601 24hr format, in your local time.")</f>
        <v>Provide this time in ISO 8601 24hr format, in your local time.</v>
      </c>
      <c r="H46" s="141" t="str">
        <f>IFERROR(__xludf.DUMMYFUNCTION("""COMPUTED_VALUE"""),"19:15 PST")</f>
        <v>19:15 PST</v>
      </c>
      <c r="K46" s="142" t="s">
        <v>25</v>
      </c>
      <c r="L46" s="142" t="s">
        <v>25</v>
      </c>
      <c r="M46" s="142" t="s">
        <v>25</v>
      </c>
      <c r="N46" s="142" t="str">
        <f>IFERROR(__xludf.DUMMYFUNCTION("""COMPUTED_VALUE"""),"WastewaterSARS-CoV-2;WastewaterAMR;WastewaterPathogenAgnostic")</f>
        <v>WastewaterSARS-CoV-2;WastewaterAMR;WastewaterPathogenAgnostic</v>
      </c>
    </row>
    <row r="47">
      <c r="A47" s="141" t="str">
        <f>IFERROR(__xludf.DUMMYFUNCTION("""COMPUTED_VALUE"""),"Sample collection and processing")</f>
        <v>Sample collection and processing</v>
      </c>
      <c r="B47" s="141" t="str">
        <f>IFERROR(__xludf.DUMMYFUNCTION("""COMPUTED_VALUE"""),"sample collection time of day")</f>
        <v>sample collection time of day</v>
      </c>
      <c r="C47" s="141"/>
      <c r="D47" s="141"/>
      <c r="E47" s="143" t="str">
        <f>IFERROR(__xludf.DUMMYFUNCTION("""COMPUTED_VALUE"""),"GENEPIO:0100765")</f>
        <v>GENEPIO:0100765</v>
      </c>
      <c r="F47" s="141" t="str">
        <f>IFERROR(__xludf.DUMMYFUNCTION("""COMPUTED_VALUE"""),"The descriptive time of day during which the sample was collected.")</f>
        <v>The descriptive time of day during which the sample was collected.</v>
      </c>
      <c r="G47" s="141" t="str">
        <f>IFERROR(__xludf.DUMMYFUNCTION("""COMPUTED_VALUE"""),"If known, select a value from the pick list. The time of sample processing matters especially for grab samples, as fecal concentration in wastewater fluctuates over the course of the day.")</f>
        <v>If known, select a value from the pick list. The time of sample processing matters especially for grab samples, as fecal concentration in wastewater fluctuates over the course of the day.</v>
      </c>
      <c r="H47" s="141" t="str">
        <f>IFERROR(__xludf.DUMMYFUNCTION("""COMPUTED_VALUE"""),"Morning")</f>
        <v>Morning</v>
      </c>
      <c r="K47" s="142" t="s">
        <v>25</v>
      </c>
      <c r="L47" s="142" t="s">
        <v>25</v>
      </c>
      <c r="M47" s="142" t="s">
        <v>25</v>
      </c>
      <c r="N47" s="142" t="str">
        <f>IFERROR(__xludf.DUMMYFUNCTION("""COMPUTED_VALUE"""),"WastewaterSARS-CoV-2;WastewaterAMR;WastewaterPathogenAgnostic")</f>
        <v>WastewaterSARS-CoV-2;WastewaterAMR;WastewaterPathogenAgnostic</v>
      </c>
    </row>
    <row r="48">
      <c r="A48" s="141" t="str">
        <f>IFERROR(__xludf.DUMMYFUNCTION("""COMPUTED_VALUE"""),"Sample collection and processing")</f>
        <v>Sample collection and processing</v>
      </c>
      <c r="B48" s="141" t="str">
        <f>IFERROR(__xludf.DUMMYFUNCTION("""COMPUTED_VALUE"""),"sample collection time duration value")</f>
        <v>sample collection time duration value</v>
      </c>
      <c r="C48" s="141"/>
      <c r="D48" s="141" t="b">
        <f>IFERROR(__xludf.DUMMYFUNCTION("""COMPUTED_VALUE"""),TRUE)</f>
        <v>1</v>
      </c>
      <c r="E48" s="143" t="str">
        <f>IFERROR(__xludf.DUMMYFUNCTION("""COMPUTED_VALUE"""),"GENEPIO:0100766")</f>
        <v>GENEPIO:0100766</v>
      </c>
      <c r="F48" s="141" t="str">
        <f>IFERROR(__xludf.DUMMYFUNCTION("""COMPUTED_VALUE"""),"The amount of time over which the sample was collected.")</f>
        <v>The amount of time over which the sample was collected.</v>
      </c>
      <c r="G48" s="141" t="str">
        <f>IFERROR(__xludf.DUMMYFUNCTION("""COMPUTED_VALUE"""),"Provide the numerical value of time.")</f>
        <v>Provide the numerical value of time.</v>
      </c>
      <c r="H48" s="141">
        <f>IFERROR(__xludf.DUMMYFUNCTION("""COMPUTED_VALUE"""),4.0)</f>
        <v>4</v>
      </c>
      <c r="K48" s="142" t="s">
        <v>25</v>
      </c>
      <c r="L48" s="142" t="s">
        <v>25</v>
      </c>
      <c r="M48" s="142" t="s">
        <v>25</v>
      </c>
      <c r="N48" s="142" t="str">
        <f>IFERROR(__xludf.DUMMYFUNCTION("""COMPUTED_VALUE"""),"WastewaterSARS-CoV-2;WastewaterAMR;WastewaterPathogenAgnostic")</f>
        <v>WastewaterSARS-CoV-2;WastewaterAMR;WastewaterPathogenAgnostic</v>
      </c>
    </row>
    <row r="49">
      <c r="A49" s="141" t="str">
        <f>IFERROR(__xludf.DUMMYFUNCTION("""COMPUTED_VALUE"""),"Sample collection and processing")</f>
        <v>Sample collection and processing</v>
      </c>
      <c r="B49" s="141" t="str">
        <f>IFERROR(__xludf.DUMMYFUNCTION("""COMPUTED_VALUE"""),"sample collection time duration unit")</f>
        <v>sample collection time duration unit</v>
      </c>
      <c r="C49" s="141"/>
      <c r="D49" s="141" t="b">
        <f>IFERROR(__xludf.DUMMYFUNCTION("""COMPUTED_VALUE"""),TRUE)</f>
        <v>1</v>
      </c>
      <c r="E49" s="143" t="str">
        <f>IFERROR(__xludf.DUMMYFUNCTION("""COMPUTED_VALUE"""),"GENEPIO:0100767")</f>
        <v>GENEPIO:0100767</v>
      </c>
      <c r="F49" s="141" t="str">
        <f>IFERROR(__xludf.DUMMYFUNCTION("""COMPUTED_VALUE"""),"The units of the time duration measurement of sample collection.")</f>
        <v>The units of the time duration measurement of sample collection.</v>
      </c>
      <c r="G49" s="141" t="str">
        <f>IFERROR(__xludf.DUMMYFUNCTION("""COMPUTED_VALUE"""),"Provide the units from the pick list.")</f>
        <v>Provide the units from the pick list.</v>
      </c>
      <c r="H49" s="141" t="str">
        <f>IFERROR(__xludf.DUMMYFUNCTION("""COMPUTED_VALUE"""),"Hour")</f>
        <v>Hour</v>
      </c>
      <c r="K49" s="142" t="s">
        <v>25</v>
      </c>
      <c r="L49" s="142" t="s">
        <v>25</v>
      </c>
      <c r="M49" s="142" t="s">
        <v>25</v>
      </c>
      <c r="N49" s="142" t="str">
        <f>IFERROR(__xludf.DUMMYFUNCTION("""COMPUTED_VALUE"""),"WastewaterSARS-CoV-2;WastewaterAMR;WastewaterPathogenAgnostic")</f>
        <v>WastewaterSARS-CoV-2;WastewaterAMR;WastewaterPathogenAgnostic</v>
      </c>
    </row>
    <row r="50">
      <c r="A50" s="141" t="str">
        <f>IFERROR(__xludf.DUMMYFUNCTION("""COMPUTED_VALUE"""),"Sample collection and processing")</f>
        <v>Sample collection and processing</v>
      </c>
      <c r="B50" s="141" t="str">
        <f>IFERROR(__xludf.DUMMYFUNCTION("""COMPUTED_VALUE"""),"presampling activity")</f>
        <v>presampling activity</v>
      </c>
      <c r="C50" s="141"/>
      <c r="D50" s="141"/>
      <c r="E50" s="141" t="str">
        <f>IFERROR(__xludf.DUMMYFUNCTION("""COMPUTED_VALUE"""),"GENEPIO:0100433")</f>
        <v>GENEPIO:0100433</v>
      </c>
      <c r="F50" s="141" t="str">
        <f>IFERROR(__xludf.DUMMYFUNCTION("""COMPUTED_VALUE"""),"The activities or variables upstream of sample collection that may affect the sample.")</f>
        <v>The activities or variables upstream of sample collection that may affect the sample.</v>
      </c>
      <c r="G50" s="141" t="str">
        <f>IFERROR(__xludf.DUMMYFUNCTION("""COMPUTED_VALUE"""),"If there was an activity that would affect the sample prior to collection (this is different than sample processing), provide the activities by selecting one or more values from the template pick list. If the information is unknown or cannot be provided, "&amp;"leave blank or provide a null value.")</f>
        <v>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v>
      </c>
      <c r="H50" s="141" t="str">
        <f>IFERROR(__xludf.DUMMYFUNCTION("""COMPUTED_VALUE"""),"Agricultural activity")</f>
        <v>Agricultural activity</v>
      </c>
      <c r="K50" s="142" t="s">
        <v>25</v>
      </c>
      <c r="L50" s="142" t="s">
        <v>25</v>
      </c>
      <c r="M50" s="142" t="s">
        <v>25</v>
      </c>
      <c r="N50" s="142" t="str">
        <f>IFERROR(__xludf.DUMMYFUNCTION("""COMPUTED_VALUE"""),"WastewaterSARS-CoV-2;WastewaterAMR;WastewaterPathogenAgnostic")</f>
        <v>WastewaterSARS-CoV-2;WastewaterAMR;WastewaterPathogenAgnostic</v>
      </c>
    </row>
    <row r="51">
      <c r="A51" s="141" t="str">
        <f>IFERROR(__xludf.DUMMYFUNCTION("""COMPUTED_VALUE"""),"Sample collection and processing")</f>
        <v>Sample collection and processing</v>
      </c>
      <c r="B51" s="141" t="str">
        <f>IFERROR(__xludf.DUMMYFUNCTION("""COMPUTED_VALUE"""),"presampling activity details")</f>
        <v>presampling activity details</v>
      </c>
      <c r="C51" s="141"/>
      <c r="D51" s="141"/>
      <c r="E51" s="141" t="str">
        <f>IFERROR(__xludf.DUMMYFUNCTION("""COMPUTED_VALUE"""),"GENEPIO:0100434")</f>
        <v>GENEPIO:0100434</v>
      </c>
      <c r="F51" s="141" t="str">
        <f>IFERROR(__xludf.DUMMYFUNCTION("""COMPUTED_VALUE"""),"The details of the activities or variables that affected the sample collected.")</f>
        <v>The details of the activities or variables that affected the sample collected.</v>
      </c>
      <c r="G51" s="141" t="str">
        <f>IFERROR(__xludf.DUMMYFUNCTION("""COMPUTED_VALUE"""),"Briefly describe the presampling activities using free text.")</f>
        <v>Briefly describe the presampling activities using free text.</v>
      </c>
      <c r="H51" s="141" t="str">
        <f>IFERROR(__xludf.DUMMYFUNCTION("""COMPUTED_VALUE"""),"Agricultural waste from large farm contributes waste to the site sampled.")</f>
        <v>Agricultural waste from large farm contributes waste to the site sampled.</v>
      </c>
      <c r="K51" s="142" t="s">
        <v>25</v>
      </c>
      <c r="L51" s="142" t="s">
        <v>25</v>
      </c>
      <c r="M51" s="142" t="s">
        <v>25</v>
      </c>
      <c r="N51" s="142" t="str">
        <f>IFERROR(__xludf.DUMMYFUNCTION("""COMPUTED_VALUE"""),"WastewaterSARS-CoV-2;WastewaterAMR;WastewaterPathogenAgnostic")</f>
        <v>WastewaterSARS-CoV-2;WastewaterAMR;WastewaterPathogenAgnostic</v>
      </c>
    </row>
    <row r="52">
      <c r="A52" s="141" t="str">
        <f>IFERROR(__xludf.DUMMYFUNCTION("""COMPUTED_VALUE"""),"Sample collection and processing")</f>
        <v>Sample collection and processing</v>
      </c>
      <c r="B52" s="141" t="str">
        <f>IFERROR(__xludf.DUMMYFUNCTION("""COMPUTED_VALUE"""),"sample volume measurement value")</f>
        <v>sample volume measurement value</v>
      </c>
      <c r="C52" s="141"/>
      <c r="D52" s="141"/>
      <c r="E52" s="143" t="str">
        <f>IFERROR(__xludf.DUMMYFUNCTION("""COMPUTED_VALUE"""),"GENEPIO:0100768")</f>
        <v>GENEPIO:0100768</v>
      </c>
      <c r="F52" s="141" t="str">
        <f>IFERROR(__xludf.DUMMYFUNCTION("""COMPUTED_VALUE"""),"The numerical value of the volume measurement of the sample collected.")</f>
        <v>The numerical value of the volume measurement of the sample collected.</v>
      </c>
      <c r="G52" s="141" t="str">
        <f>IFERROR(__xludf.DUMMYFUNCTION("""COMPUTED_VALUE"""),"Provide the numerical value of volume.")</f>
        <v>Provide the numerical value of volume.</v>
      </c>
      <c r="H52" s="141">
        <f>IFERROR(__xludf.DUMMYFUNCTION("""COMPUTED_VALUE"""),5.0)</f>
        <v>5</v>
      </c>
      <c r="K52" s="142" t="s">
        <v>25</v>
      </c>
      <c r="L52" s="142" t="s">
        <v>25</v>
      </c>
      <c r="M52" s="142" t="s">
        <v>25</v>
      </c>
      <c r="N52" s="142" t="str">
        <f>IFERROR(__xludf.DUMMYFUNCTION("""COMPUTED_VALUE"""),"WastewaterSARS-CoV-2;WastewaterAMR;WastewaterPathogenAgnostic")</f>
        <v>WastewaterSARS-CoV-2;WastewaterAMR;WastewaterPathogenAgnostic</v>
      </c>
    </row>
    <row r="53">
      <c r="A53" s="141" t="str">
        <f>IFERROR(__xludf.DUMMYFUNCTION("""COMPUTED_VALUE"""),"Sample collection and processing")</f>
        <v>Sample collection and processing</v>
      </c>
      <c r="B53" s="141" t="str">
        <f>IFERROR(__xludf.DUMMYFUNCTION("""COMPUTED_VALUE"""),"sample volume measurement unit")</f>
        <v>sample volume measurement unit</v>
      </c>
      <c r="C53" s="141"/>
      <c r="D53" s="141"/>
      <c r="E53" s="143" t="str">
        <f>IFERROR(__xludf.DUMMYFUNCTION("""COMPUTED_VALUE"""),"GENEPIO:0100769")</f>
        <v>GENEPIO:0100769</v>
      </c>
      <c r="F53" s="141" t="str">
        <f>IFERROR(__xludf.DUMMYFUNCTION("""COMPUTED_VALUE"""),"The units of the volume measurement of the sample collected.")</f>
        <v>The units of the volume measurement of the sample collected.</v>
      </c>
      <c r="G53" s="141" t="str">
        <f>IFERROR(__xludf.DUMMYFUNCTION("""COMPUTED_VALUE"""),"Provide the units from the pick list.")</f>
        <v>Provide the units from the pick list.</v>
      </c>
      <c r="H53" s="141" t="str">
        <f>IFERROR(__xludf.DUMMYFUNCTION("""COMPUTED_VALUE"""),"mL")</f>
        <v>mL</v>
      </c>
      <c r="K53" s="142" t="s">
        <v>25</v>
      </c>
      <c r="L53" s="142" t="s">
        <v>25</v>
      </c>
      <c r="M53" s="142" t="s">
        <v>25</v>
      </c>
      <c r="N53" s="142" t="str">
        <f>IFERROR(__xludf.DUMMYFUNCTION("""COMPUTED_VALUE"""),"WastewaterSARS-CoV-2;WastewaterAMR;WastewaterPathogenAgnostic")</f>
        <v>WastewaterSARS-CoV-2;WastewaterAMR;WastewaterPathogenAgnostic</v>
      </c>
    </row>
    <row r="54">
      <c r="A54" s="141" t="str">
        <f>IFERROR(__xludf.DUMMYFUNCTION("""COMPUTED_VALUE"""),"Sample collection and processing")</f>
        <v>Sample collection and processing</v>
      </c>
      <c r="B54" s="141" t="str">
        <f>IFERROR(__xludf.DUMMYFUNCTION("""COMPUTED_VALUE"""),"sample storage method")</f>
        <v>sample storage method</v>
      </c>
      <c r="C54" s="141"/>
      <c r="D54" s="141"/>
      <c r="E54" s="141" t="str">
        <f>IFERROR(__xludf.DUMMYFUNCTION("""COMPUTED_VALUE"""),"GENEPIO:0100448")</f>
        <v>GENEPIO:0100448</v>
      </c>
      <c r="F54" s="141" t="str">
        <f>IFERROR(__xludf.DUMMYFUNCTION("""COMPUTED_VALUE"""),"The process used to store the sample.")</f>
        <v>The process used to store the sample.</v>
      </c>
      <c r="G54" s="141" t="str">
        <f>IFERROR(__xludf.DUMMYFUNCTION("""COMPUTED_VALUE"""),"Provide details of how the sample was stored from time of collection until time of processing. If there were issues with the cold chain storage, note those here.")</f>
        <v>Provide details of how the sample was stored from time of collection until time of processing. If there were issues with the cold chain storage, note those here.</v>
      </c>
      <c r="H54" s="141" t="str">
        <f>IFERROR(__xludf.DUMMYFUNCTION("""COMPUTED_VALUE"""),"The sample was placed in a tube in a cooler bag during transportation (~3 hours) to the lab site. At this point the sample was placed in storage medium and put in a -10C freezer until it was processed and extracted 5 days later.")</f>
        <v>The sample was placed in a tube in a cooler bag during transportation (~3 hours) to the lab site. At this point the sample was placed in storage medium and put in a -10C freezer until it was processed and extracted 5 days later.</v>
      </c>
      <c r="K54" s="142" t="s">
        <v>25</v>
      </c>
      <c r="L54" s="142" t="s">
        <v>25</v>
      </c>
      <c r="M54" s="142" t="s">
        <v>25</v>
      </c>
      <c r="N54" s="142" t="str">
        <f>IFERROR(__xludf.DUMMYFUNCTION("""COMPUTED_VALUE"""),"WastewaterSARS-CoV-2;WastewaterAMR;WastewaterPathogenAgnostic")</f>
        <v>WastewaterSARS-CoV-2;WastewaterAMR;WastewaterPathogenAgnostic</v>
      </c>
    </row>
    <row r="55">
      <c r="A55" s="141" t="str">
        <f>IFERROR(__xludf.DUMMYFUNCTION("""COMPUTED_VALUE"""),"Sample collection and processing")</f>
        <v>Sample collection and processing</v>
      </c>
      <c r="B55" s="141" t="str">
        <f>IFERROR(__xludf.DUMMYFUNCTION("""COMPUTED_VALUE"""),"sample storage medium")</f>
        <v>sample storage medium</v>
      </c>
      <c r="C55" s="141"/>
      <c r="D55" s="141"/>
      <c r="E55" s="141" t="str">
        <f>IFERROR(__xludf.DUMMYFUNCTION("""COMPUTED_VALUE"""),"GENEPIO:0100449")</f>
        <v>GENEPIO:0100449</v>
      </c>
      <c r="F55" s="141" t="str">
        <f>IFERROR(__xludf.DUMMYFUNCTION("""COMPUTED_VALUE"""),"The medium in which a sample is stored.")</f>
        <v>The medium in which a sample is stored.</v>
      </c>
      <c r="G55" s="141" t="str">
        <f>IFERROR(__xludf.DUMMYFUNCTION("""COMPUTED_VALUE"""),"Provide the name of the transport medium or storage medium used for this sample. If none was used, leave blank or write ""None"".")</f>
        <v>Provide the name of the transport medium or storage medium used for this sample. If none was used, leave blank or write "None".</v>
      </c>
      <c r="H55" s="141" t="str">
        <f>IFERROR(__xludf.DUMMYFUNCTION("""COMPUTED_VALUE"""),"Cary-Blair transport medium")</f>
        <v>Cary-Blair transport medium</v>
      </c>
      <c r="K55" s="142" t="s">
        <v>25</v>
      </c>
      <c r="L55" s="142" t="s">
        <v>25</v>
      </c>
      <c r="M55" s="142" t="s">
        <v>25</v>
      </c>
      <c r="N55" s="142" t="str">
        <f>IFERROR(__xludf.DUMMYFUNCTION("""COMPUTED_VALUE"""),"WastewaterSARS-CoV-2;WastewaterAMR;WastewaterPathogenAgnostic")</f>
        <v>WastewaterSARS-CoV-2;WastewaterAMR;WastewaterPathogenAgnostic</v>
      </c>
    </row>
    <row r="56">
      <c r="A56" s="141" t="str">
        <f>IFERROR(__xludf.DUMMYFUNCTION("""COMPUTED_VALUE"""),"Sample collection and processing")</f>
        <v>Sample collection and processing</v>
      </c>
      <c r="B56" s="141" t="str">
        <f>IFERROR(__xludf.DUMMYFUNCTION("""COMPUTED_VALUE"""),"sample storage duration value")</f>
        <v>sample storage duration value</v>
      </c>
      <c r="C56" s="141"/>
      <c r="D56" s="141"/>
      <c r="E56" s="143" t="str">
        <f>IFERROR(__xludf.DUMMYFUNCTION("""COMPUTED_VALUE"""),"GENEPIO:0101014")</f>
        <v>GENEPIO:0101014</v>
      </c>
      <c r="F56" s="141" t="str">
        <f>IFERROR(__xludf.DUMMYFUNCTION("""COMPUTED_VALUE"""),"The numerical value of the time measurement during which a sample is in storage.")</f>
        <v>The numerical value of the time measurement during which a sample is in storage.</v>
      </c>
      <c r="G56" s="141" t="str">
        <f>IFERROR(__xludf.DUMMYFUNCTION("""COMPUTED_VALUE"""),"Provide the numerical value of time.")</f>
        <v>Provide the numerical value of time.</v>
      </c>
      <c r="H56" s="141">
        <f>IFERROR(__xludf.DUMMYFUNCTION("""COMPUTED_VALUE"""),5.0)</f>
        <v>5</v>
      </c>
      <c r="K56" s="142" t="s">
        <v>25</v>
      </c>
      <c r="L56" s="142" t="s">
        <v>25</v>
      </c>
      <c r="M56" s="142" t="s">
        <v>25</v>
      </c>
      <c r="N56" s="142" t="str">
        <f>IFERROR(__xludf.DUMMYFUNCTION("""COMPUTED_VALUE"""),"WastewaterSARS-CoV-2;WastewaterAMR;WastewaterPathogenAgnostic")</f>
        <v>WastewaterSARS-CoV-2;WastewaterAMR;WastewaterPathogenAgnostic</v>
      </c>
    </row>
    <row r="57">
      <c r="A57" s="141" t="str">
        <f>IFERROR(__xludf.DUMMYFUNCTION("""COMPUTED_VALUE"""),"Sample collection and processing")</f>
        <v>Sample collection and processing</v>
      </c>
      <c r="B57" s="141" t="str">
        <f>IFERROR(__xludf.DUMMYFUNCTION("""COMPUTED_VALUE"""),"sample storage duration unit")</f>
        <v>sample storage duration unit</v>
      </c>
      <c r="C57" s="141"/>
      <c r="D57" s="141"/>
      <c r="E57" s="143" t="str">
        <f>IFERROR(__xludf.DUMMYFUNCTION("""COMPUTED_VALUE"""),"GENEPIO:0101015")</f>
        <v>GENEPIO:0101015</v>
      </c>
      <c r="F57" s="141" t="str">
        <f>IFERROR(__xludf.DUMMYFUNCTION("""COMPUTED_VALUE"""),"The units of a measured sample storage duration.")</f>
        <v>The units of a measured sample storage duration.</v>
      </c>
      <c r="G57" s="141" t="str">
        <f>IFERROR(__xludf.DUMMYFUNCTION("""COMPUTED_VALUE"""),"Provide the units from the pick list.")</f>
        <v>Provide the units from the pick list.</v>
      </c>
      <c r="H57" s="141" t="str">
        <f>IFERROR(__xludf.DUMMYFUNCTION("""COMPUTED_VALUE"""),"Day")</f>
        <v>Day</v>
      </c>
      <c r="K57" s="142" t="s">
        <v>25</v>
      </c>
      <c r="L57" s="142" t="s">
        <v>25</v>
      </c>
      <c r="M57" s="142" t="s">
        <v>25</v>
      </c>
      <c r="N57" s="142" t="str">
        <f>IFERROR(__xludf.DUMMYFUNCTION("""COMPUTED_VALUE"""),"WastewaterSARS-CoV-2;WastewaterAMR;WastewaterPathogenAgnostic")</f>
        <v>WastewaterSARS-CoV-2;WastewaterAMR;WastewaterPathogenAgnostic</v>
      </c>
    </row>
    <row r="58">
      <c r="A58" s="141" t="str">
        <f>IFERROR(__xludf.DUMMYFUNCTION("""COMPUTED_VALUE"""),"Sample collection and processing")</f>
        <v>Sample collection and processing</v>
      </c>
      <c r="B58" s="141" t="str">
        <f>IFERROR(__xludf.DUMMYFUNCTION("""COMPUTED_VALUE"""),"specimen processing")</f>
        <v>specimen processing</v>
      </c>
      <c r="C58" s="141"/>
      <c r="D58" s="141"/>
      <c r="E58" s="141" t="str">
        <f>IFERROR(__xludf.DUMMYFUNCTION("""COMPUTED_VALUE"""),"GENEPIO:0001253")</f>
        <v>GENEPIO:0001253</v>
      </c>
      <c r="F58" s="141" t="str">
        <f>IFERROR(__xludf.DUMMYFUNCTION("""COMPUTED_VALUE"""),"Any processing applied to the sample during or after receiving the sample.")</f>
        <v>Any processing applied to the sample during or after receiving the sample.</v>
      </c>
      <c r="G58" s="141" t="str">
        <f>IFERROR(__xludf.DUMMYFUNCTION("""COMPUTED_VALUE"""),"Select processes from the picklist that were applied to this sample.")</f>
        <v>Select processes from the picklist that were applied to this sample.</v>
      </c>
      <c r="H58" s="141" t="str">
        <f>IFERROR(__xludf.DUMMYFUNCTION("""COMPUTED_VALUE"""),"Centrifugation")</f>
        <v>Centrifugation</v>
      </c>
      <c r="K58" s="142" t="s">
        <v>25</v>
      </c>
      <c r="L58" s="142" t="s">
        <v>25</v>
      </c>
      <c r="M58" s="142" t="s">
        <v>25</v>
      </c>
      <c r="N58" s="142" t="str">
        <f>IFERROR(__xludf.DUMMYFUNCTION("""COMPUTED_VALUE"""),"WastewaterSARS-CoV-2;WastewaterAMR;WastewaterPathogenAgnostic")</f>
        <v>WastewaterSARS-CoV-2;WastewaterAMR;WastewaterPathogenAgnostic</v>
      </c>
    </row>
    <row r="59">
      <c r="A59" s="141" t="str">
        <f>IFERROR(__xludf.DUMMYFUNCTION("""COMPUTED_VALUE"""),"Sample collection and processing")</f>
        <v>Sample collection and processing</v>
      </c>
      <c r="B59" s="141" t="str">
        <f>IFERROR(__xludf.DUMMYFUNCTION("""COMPUTED_VALUE"""),"specimen processing details")</f>
        <v>specimen processing details</v>
      </c>
      <c r="C59" s="141"/>
      <c r="D59" s="141"/>
      <c r="E59" s="141" t="str">
        <f>IFERROR(__xludf.DUMMYFUNCTION("""COMPUTED_VALUE"""),"GENEPIO:0100311")</f>
        <v>GENEPIO:0100311</v>
      </c>
      <c r="F59" s="141" t="str">
        <f>IFERROR(__xludf.DUMMYFUNCTION("""COMPUTED_VALUE"""),"The details of the processing applied to the sample during or after receiving the sample.")</f>
        <v>The details of the processing applied to the sample during or after receiving the sample.</v>
      </c>
      <c r="G59" s="141" t="str">
        <f>IFERROR(__xludf.DUMMYFUNCTION("""COMPUTED_VALUE"""),"Briefly describe the processes applied to the sample.")</f>
        <v>Briefly describe the processes applied to the sample.</v>
      </c>
      <c r="H59" s="141" t="str">
        <f>IFERROR(__xludf.DUMMYFUNCTION("""COMPUTED_VALUE"""),"25 samples were pooled and further prepared as a single sample during library prep.")</f>
        <v>25 samples were pooled and further prepared as a single sample during library prep.</v>
      </c>
      <c r="K59" s="142" t="s">
        <v>25</v>
      </c>
      <c r="L59" s="142" t="s">
        <v>25</v>
      </c>
      <c r="M59" s="142" t="s">
        <v>25</v>
      </c>
      <c r="N59" s="142" t="str">
        <f>IFERROR(__xludf.DUMMYFUNCTION("""COMPUTED_VALUE"""),"WastewaterSARS-CoV-2;WastewaterAMR;WastewaterPathogenAgnostic")</f>
        <v>WastewaterSARS-CoV-2;WastewaterAMR;WastewaterPathogenAgnostic</v>
      </c>
    </row>
    <row r="60">
      <c r="A60" s="141" t="str">
        <f>IFERROR(__xludf.DUMMYFUNCTION("""COMPUTED_VALUE"""),"Sample collection and processing")</f>
        <v>Sample collection and processing</v>
      </c>
      <c r="B60" s="141" t="str">
        <f>IFERROR(__xludf.DUMMYFUNCTION("""COMPUTED_VALUE"""),"experimental protocol field")</f>
        <v>experimental protocol field</v>
      </c>
      <c r="C60" s="141"/>
      <c r="D60" s="141"/>
      <c r="E60" s="143" t="str">
        <f>IFERROR(__xludf.DUMMYFUNCTION("""COMPUTED_VALUE"""),"GENEPIO:0101029")</f>
        <v>GENEPIO:0101029</v>
      </c>
      <c r="F60" s="141" t="str">
        <f>IFERROR(__xludf.DUMMYFUNCTION("""COMPUTED_VALUE"""),"The name of the overarching experimental methodology that was used to process the biomaterial.")</f>
        <v>The name of the overarching experimental methodology that was used to process the biomaterial.</v>
      </c>
      <c r="G60" s="141" t="str">
        <f>IFERROR(__xludf.DUMMYFUNCTION("""COMPUTED_VALUE"""),"Provide the name of the methodology used in your study. If available, provide a link to the protocol.")</f>
        <v>Provide the name of the methodology used in your study. If available, provide a link to the protocol.</v>
      </c>
      <c r="H60" s="141"/>
      <c r="K60" s="142" t="s">
        <v>25</v>
      </c>
      <c r="L60" s="142" t="s">
        <v>25</v>
      </c>
      <c r="M60" s="142" t="s">
        <v>25</v>
      </c>
      <c r="N60" s="142" t="str">
        <f>IFERROR(__xludf.DUMMYFUNCTION("""COMPUTED_VALUE"""),"WastewaterSARS-CoV-2;WastewaterAMR;WastewaterPathogenAgnostic")</f>
        <v>WastewaterSARS-CoV-2;WastewaterAMR;WastewaterPathogenAgnostic</v>
      </c>
    </row>
    <row r="61">
      <c r="A61" s="141" t="str">
        <f>IFERROR(__xludf.DUMMYFUNCTION("""COMPUTED_VALUE"""),"Sample collection and processing")</f>
        <v>Sample collection and processing</v>
      </c>
      <c r="B61" s="141" t="str">
        <f>IFERROR(__xludf.DUMMYFUNCTION("""COMPUTED_VALUE"""),"environmental site")</f>
        <v>environmental site</v>
      </c>
      <c r="C61" s="141"/>
      <c r="D61" s="141" t="b">
        <f>IFERROR(__xludf.DUMMYFUNCTION("""COMPUTED_VALUE"""),TRUE)</f>
        <v>1</v>
      </c>
      <c r="E61" s="141" t="str">
        <f>IFERROR(__xludf.DUMMYFUNCTION("""COMPUTED_VALUE"""),"GENEPIO:0001232")</f>
        <v>GENEPIO:0001232</v>
      </c>
      <c r="F61" s="141" t="str">
        <f>IFERROR(__xludf.DUMMYFUNCTION("""COMPUTED_VALUE"""),"An environmental location may describe a site in the natural or built environment e.g. contact surface, metal can, hospital, wet market, bat cave.")</f>
        <v>An environmental location may describe a site in the natural or built environment e.g. contact surface, metal can, hospital, wet market, bat cave.</v>
      </c>
      <c r="G61" s="141" t="str">
        <f>IFERROR(__xludf.DUMMYFUNCTION("""COMPUTED_VALUE"""),"Provide a descriptor of the environmental site sampled. Use the picklist provided in the template. If not applicable, choose a null value.")</f>
        <v>Provide a descriptor of the environmental site sampled. Use the picklist provided in the template. If not applicable, choose a null value.</v>
      </c>
      <c r="H61" s="141" t="str">
        <f>IFERROR(__xludf.DUMMYFUNCTION("""COMPUTED_VALUE"""),"Meat processing plant")</f>
        <v>Meat processing plant</v>
      </c>
      <c r="K61" s="142" t="s">
        <v>25</v>
      </c>
      <c r="L61" s="142" t="s">
        <v>25</v>
      </c>
      <c r="M61" s="142" t="s">
        <v>25</v>
      </c>
      <c r="N61" s="142" t="str">
        <f>IFERROR(__xludf.DUMMYFUNCTION("""COMPUTED_VALUE"""),"WastewaterSARS-CoV-2;WastewaterAMR;WastewaterPathogenAgnostic")</f>
        <v>WastewaterSARS-CoV-2;WastewaterAMR;WastewaterPathogenAgnostic</v>
      </c>
    </row>
    <row r="62">
      <c r="A62" s="141" t="str">
        <f>IFERROR(__xludf.DUMMYFUNCTION("""COMPUTED_VALUE"""),"Sample collection and processing")</f>
        <v>Sample collection and processing</v>
      </c>
      <c r="B62" s="141" t="str">
        <f>IFERROR(__xludf.DUMMYFUNCTION("""COMPUTED_VALUE"""),"proximal environmental site")</f>
        <v>proximal environmental site</v>
      </c>
      <c r="C62" s="141"/>
      <c r="D62" s="141"/>
      <c r="E62" s="143" t="str">
        <f>IFERROR(__xludf.DUMMYFUNCTION("""COMPUTED_VALUE"""),"GENEPIO:0101205")</f>
        <v>GENEPIO:0101205</v>
      </c>
      <c r="F62" s="141" t="str">
        <f>IFERROR(__xludf.DUMMYFUNCTION("""COMPUTED_VALUE"""),"An environmental location in the natural or built environment, that is proximal to a sampling location and which can impact a sample.")</f>
        <v>An environmental location in the natural or built environment, that is proximal to a sampling location and which can impact a sample.</v>
      </c>
      <c r="G62" s="141" t="str">
        <f>IFERROR(__xludf.DUMMYFUNCTION("""COMPUTED_VALUE"""),"Provide a descriptor of the environmental site close to the sampling site. Use the picklist provided in the template. If not applicable, choose a null value.")</f>
        <v>Provide a descriptor of the environmental site close to the sampling site. Use the picklist provided in the template. If not applicable, choose a null value.</v>
      </c>
      <c r="H62" s="141" t="str">
        <f>IFERROR(__xludf.DUMMYFUNCTION("""COMPUTED_VALUE"""),"Farm")</f>
        <v>Farm</v>
      </c>
      <c r="K62" s="144" t="s">
        <v>1058</v>
      </c>
      <c r="L62" s="144" t="s">
        <v>1058</v>
      </c>
      <c r="M62" s="144" t="s">
        <v>1058</v>
      </c>
      <c r="N62" s="142" t="str">
        <f>IFERROR(__xludf.DUMMYFUNCTION("""COMPUTED_VALUE"""),"WastewaterSARS-CoV-2;WastewaterAMR;WastewaterPathogenAgnostic")</f>
        <v>WastewaterSARS-CoV-2;WastewaterAMR;WastewaterPathogenAgnostic</v>
      </c>
    </row>
    <row r="63">
      <c r="A63" s="141" t="str">
        <f>IFERROR(__xludf.DUMMYFUNCTION("""COMPUTED_VALUE"""),"Sample collection and processing")</f>
        <v>Sample collection and processing</v>
      </c>
      <c r="B63" s="141" t="str">
        <f>IFERROR(__xludf.DUMMYFUNCTION("""COMPUTED_VALUE"""),"environmental material")</f>
        <v>environmental material</v>
      </c>
      <c r="C63" s="141"/>
      <c r="D63" s="141" t="b">
        <f>IFERROR(__xludf.DUMMYFUNCTION("""COMPUTED_VALUE"""),TRUE)</f>
        <v>1</v>
      </c>
      <c r="E63" s="141" t="str">
        <f>IFERROR(__xludf.DUMMYFUNCTION("""COMPUTED_VALUE"""),"GENEPIO:0001223")</f>
        <v>GENEPIO:0001223</v>
      </c>
      <c r="F63" s="141" t="str">
        <f>IFERROR(__xludf.DUMMYFUNCTION("""COMPUTED_VALUE"""),"A substance obtained from the natural or man-made environment e.g. soil, water, sewage.")</f>
        <v>A substance obtained from the natural or man-made environment e.g. soil, water, sewage.</v>
      </c>
      <c r="G63" s="141" t="str">
        <f>IFERROR(__xludf.DUMMYFUNCTION("""COMPUTED_VALUE"""),"Provide a descriptor of the environmental material sampled. Use the picklist provided in the template. If not applicable, choose a null value.")</f>
        <v>Provide a descriptor of the environmental material sampled. Use the picklist provided in the template. If not applicable, choose a null value.</v>
      </c>
      <c r="H63" s="141" t="str">
        <f>IFERROR(__xludf.DUMMYFUNCTION("""COMPUTED_VALUE"""),"Raw wastewater")</f>
        <v>Raw wastewater</v>
      </c>
      <c r="K63" s="142" t="s">
        <v>25</v>
      </c>
      <c r="L63" s="142" t="s">
        <v>25</v>
      </c>
      <c r="M63" s="142" t="s">
        <v>25</v>
      </c>
      <c r="N63" s="142" t="str">
        <f>IFERROR(__xludf.DUMMYFUNCTION("""COMPUTED_VALUE"""),"WastewaterSARS-CoV-2;WastewaterAMR;WastewaterPathogenAgnostic")</f>
        <v>WastewaterSARS-CoV-2;WastewaterAMR;WastewaterPathogenAgnostic</v>
      </c>
    </row>
    <row r="64">
      <c r="A64" s="141" t="str">
        <f>IFERROR(__xludf.DUMMYFUNCTION("""COMPUTED_VALUE"""),"Sample collection and processing")</f>
        <v>Sample collection and processing</v>
      </c>
      <c r="B64" s="141" t="str">
        <f>IFERROR(__xludf.DUMMYFUNCTION("""COMPUTED_VALUE"""),"environmental material properties")</f>
        <v>environmental material properties</v>
      </c>
      <c r="C64" s="141"/>
      <c r="D64" s="141" t="b">
        <f>IFERROR(__xludf.DUMMYFUNCTION("""COMPUTED_VALUE"""),TRUE)</f>
        <v>1</v>
      </c>
      <c r="E64" s="143" t="str">
        <f>IFERROR(__xludf.DUMMYFUNCTION("""COMPUTED_VALUE"""),"GENEPIO:0100770")</f>
        <v>GENEPIO:0100770</v>
      </c>
      <c r="F64" s="141" t="str">
        <f>IFERROR(__xludf.DUMMYFUNCTION("""COMPUTED_VALUE"""),"The properties, characteristics and qualities of a substance obtained from the natural or man-made environment.")</f>
        <v>The properties, characteristics and qualities of a substance obtained from the natural or man-made environment.</v>
      </c>
      <c r="G64" s="141" t="str">
        <f>IFERROR(__xludf.DUMMYFUNCTION("""COMPUTED_VALUE"""),"Provide the environmental material properties by selecting descriptors from the pick list.")</f>
        <v>Provide the environmental material properties by selecting descriptors from the pick list.</v>
      </c>
      <c r="H64" s="141" t="str">
        <f>IFERROR(__xludf.DUMMYFUNCTION("""COMPUTED_VALUE"""),"Stagnant")</f>
        <v>Stagnant</v>
      </c>
      <c r="K64" s="142" t="s">
        <v>25</v>
      </c>
      <c r="L64" s="142" t="s">
        <v>25</v>
      </c>
      <c r="M64" s="142" t="s">
        <v>25</v>
      </c>
      <c r="N64" s="142" t="str">
        <f>IFERROR(__xludf.DUMMYFUNCTION("""COMPUTED_VALUE"""),"WastewaterSARS-CoV-2;WastewaterAMR;WastewaterPathogenAgnostic")</f>
        <v>WastewaterSARS-CoV-2;WastewaterAMR;WastewaterPathogenAgnostic</v>
      </c>
    </row>
    <row r="65">
      <c r="A65" s="141" t="str">
        <f>IFERROR(__xludf.DUMMYFUNCTION("""COMPUTED_VALUE"""),"Sample collection and processing")</f>
        <v>Sample collection and processing</v>
      </c>
      <c r="B65" s="141" t="str">
        <f>IFERROR(__xludf.DUMMYFUNCTION("""COMPUTED_VALUE"""),"wastewater system type")</f>
        <v>wastewater system type</v>
      </c>
      <c r="C65" s="141"/>
      <c r="D65" s="141" t="b">
        <f>IFERROR(__xludf.DUMMYFUNCTION("""COMPUTED_VALUE"""),TRUE)</f>
        <v>1</v>
      </c>
      <c r="E65" s="143" t="str">
        <f>IFERROR(__xludf.DUMMYFUNCTION("""COMPUTED_VALUE"""),"GENEPIO:0100771")</f>
        <v>GENEPIO:0100771</v>
      </c>
      <c r="F65" s="141" t="str">
        <f>IFERROR(__xludf.DUMMYFUNCTION("""COMPUTED_VALUE"""),"The type or classification of a wastewater system e.g. sanitary sewer, combined sewer, latrine")</f>
        <v>The type or classification of a wastewater system e.g. sanitary sewer, combined sewer, latrine</v>
      </c>
      <c r="G65" s="141" t="str">
        <f>IFERROR(__xludf.DUMMYFUNCTION("""COMPUTED_VALUE"""),"Provide the classification of the wastewater system by selecting from the provided pick list.")</f>
        <v>Provide the classification of the wastewater system by selecting from the provided pick list.</v>
      </c>
      <c r="H65" s="141" t="str">
        <f>IFERROR(__xludf.DUMMYFUNCTION("""COMPUTED_VALUE"""),"Sanitary sewer")</f>
        <v>Sanitary sewer</v>
      </c>
      <c r="K65" s="142" t="s">
        <v>25</v>
      </c>
      <c r="L65" s="142" t="s">
        <v>25</v>
      </c>
      <c r="M65" s="142" t="s">
        <v>25</v>
      </c>
      <c r="N65" s="142" t="str">
        <f>IFERROR(__xludf.DUMMYFUNCTION("""COMPUTED_VALUE"""),"WastewaterSARS-CoV-2;WastewaterAMR;WastewaterPathogenAgnostic")</f>
        <v>WastewaterSARS-CoV-2;WastewaterAMR;WastewaterPathogenAgnostic</v>
      </c>
    </row>
    <row r="66">
      <c r="A66" s="141" t="str">
        <f>IFERROR(__xludf.DUMMYFUNCTION("""COMPUTED_VALUE"""),"Sample collection and processing")</f>
        <v>Sample collection and processing</v>
      </c>
      <c r="B66" s="141" t="str">
        <f>IFERROR(__xludf.DUMMYFUNCTION("""COMPUTED_VALUE"""),"experimental specimen role type")</f>
        <v>experimental specimen role type</v>
      </c>
      <c r="C66" s="141"/>
      <c r="D66" s="141"/>
      <c r="E66" s="143" t="str">
        <f>IFERROR(__xludf.DUMMYFUNCTION("""COMPUTED_VALUE"""),"GENEPIO:0100921")</f>
        <v>GENEPIO:0100921</v>
      </c>
      <c r="F66" s="141" t="str">
        <f>IFERROR(__xludf.DUMMYFUNCTION("""COMPUTED_VALUE"""),"The type of role that the sample represents in the experiment.")</f>
        <v>The type of role that the sample represents in the experiment.</v>
      </c>
      <c r="G66" s="141"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66" s="141" t="str">
        <f>IFERROR(__xludf.DUMMYFUNCTION("""COMPUTED_VALUE"""),"Positive experimental control")</f>
        <v>Positive experimental control</v>
      </c>
      <c r="K66" s="142" t="s">
        <v>25</v>
      </c>
      <c r="L66" s="142" t="s">
        <v>25</v>
      </c>
      <c r="M66" s="142" t="s">
        <v>25</v>
      </c>
      <c r="N66" s="142" t="str">
        <f>IFERROR(__xludf.DUMMYFUNCTION("""COMPUTED_VALUE"""),"WastewaterSARS-CoV-2;WastewaterAMR;WastewaterPathogenAgnostic")</f>
        <v>WastewaterSARS-CoV-2;WastewaterAMR;WastewaterPathogenAgnostic</v>
      </c>
    </row>
    <row r="67">
      <c r="A67" s="141" t="str">
        <f>IFERROR(__xludf.DUMMYFUNCTION("""COMPUTED_VALUE"""),"Sample collection and processing")</f>
        <v>Sample collection and processing</v>
      </c>
      <c r="B67" s="141" t="str">
        <f>IFERROR(__xludf.DUMMYFUNCTION("""COMPUTED_VALUE"""),"experimental control details")</f>
        <v>experimental control details</v>
      </c>
      <c r="C67" s="141"/>
      <c r="D67" s="141"/>
      <c r="E67" s="143" t="str">
        <f>IFERROR(__xludf.DUMMYFUNCTION("""COMPUTED_VALUE"""),"GENEPIO:0100922")</f>
        <v>GENEPIO:0100922</v>
      </c>
      <c r="F67" s="141" t="str">
        <f>IFERROR(__xludf.DUMMYFUNCTION("""COMPUTED_VALUE"""),"The details regarding the experimental control contained in the sample.")</f>
        <v>The details regarding the experimental control contained in the sample.</v>
      </c>
      <c r="G67" s="141" t="str">
        <f>IFERROR(__xludf.DUMMYFUNCTION("""COMPUTED_VALUE"""),"Provide details regarding the nature of the reference strain used as a control, or what is was used to monitor.")</f>
        <v>Provide details regarding the nature of the reference strain used as a control, or what is was used to monitor.</v>
      </c>
      <c r="H67" s="141" t="str">
        <f>IFERROR(__xludf.DUMMYFUNCTION("""COMPUTED_VALUE"""),"Human coronavirus 229E (HCoV-229E) spiked in sample as process control")</f>
        <v>Human coronavirus 229E (HCoV-229E) spiked in sample as process control</v>
      </c>
      <c r="K67" s="144" t="s">
        <v>25</v>
      </c>
      <c r="L67" s="144" t="s">
        <v>25</v>
      </c>
      <c r="M67" s="144" t="s">
        <v>25</v>
      </c>
      <c r="N67" s="142" t="str">
        <f>IFERROR(__xludf.DUMMYFUNCTION("""COMPUTED_VALUE"""),"WastewaterSARS-CoV-2;WastewaterAMR;WastewaterPathogenAgnostic")</f>
        <v>WastewaterSARS-CoV-2;WastewaterAMR;WastewaterPathogenAgnostic</v>
      </c>
    </row>
    <row r="68">
      <c r="A68" s="141" t="str">
        <f>IFERROR(__xludf.DUMMYFUNCTION("""COMPUTED_VALUE"""),"Sample collection and processing")</f>
        <v>Sample collection and processing</v>
      </c>
      <c r="B68" s="141" t="str">
        <f>IFERROR(__xludf.DUMMYFUNCTION("""COMPUTED_VALUE"""),"collection device")</f>
        <v>collection device</v>
      </c>
      <c r="C68" s="141"/>
      <c r="D68" s="141"/>
      <c r="E68" s="141" t="str">
        <f>IFERROR(__xludf.DUMMYFUNCTION("""COMPUTED_VALUE"""),"GENEPIO:0001234")</f>
        <v>GENEPIO:0001234</v>
      </c>
      <c r="F68" s="141" t="str">
        <f>IFERROR(__xludf.DUMMYFUNCTION("""COMPUTED_VALUE"""),"The instrument or container used to collect the sample e.g. grab sampler.")</f>
        <v>The instrument or container used to collect the sample e.g. grab sampler.</v>
      </c>
      <c r="G68" s="141" t="str">
        <f>IFERROR(__xludf.DUMMYFUNCTION("""COMPUTED_VALUE"""),"Provide a descriptor of the device used for sampling. Use the picklist provided in the template. If not applicable, choose a null value.")</f>
        <v>Provide a descriptor of the device used for sampling. Use the picklist provided in the template. If not applicable, choose a null value.</v>
      </c>
      <c r="H68" s="141" t="str">
        <f>IFERROR(__xludf.DUMMYFUNCTION("""COMPUTED_VALUE"""),"Automatic flow-proportional sampler")</f>
        <v>Automatic flow-proportional sampler</v>
      </c>
      <c r="K68" s="142" t="s">
        <v>25</v>
      </c>
      <c r="L68" s="142" t="s">
        <v>25</v>
      </c>
      <c r="M68" s="142" t="s">
        <v>25</v>
      </c>
      <c r="N68" s="142" t="str">
        <f>IFERROR(__xludf.DUMMYFUNCTION("""COMPUTED_VALUE"""),"WastewaterSARS-CoV-2;WastewaterAMR;WastewaterPathogenAgnostic")</f>
        <v>WastewaterSARS-CoV-2;WastewaterAMR;WastewaterPathogenAgnostic</v>
      </c>
    </row>
    <row r="69">
      <c r="A69" s="141" t="str">
        <f>IFERROR(__xludf.DUMMYFUNCTION("""COMPUTED_VALUE"""),"Sample collection and processing")</f>
        <v>Sample collection and processing</v>
      </c>
      <c r="B69" s="141" t="str">
        <f>IFERROR(__xludf.DUMMYFUNCTION("""COMPUTED_VALUE"""),"collection method")</f>
        <v>collection method</v>
      </c>
      <c r="C69" s="141"/>
      <c r="D69" s="141" t="b">
        <f>IFERROR(__xludf.DUMMYFUNCTION("""COMPUTED_VALUE"""),TRUE)</f>
        <v>1</v>
      </c>
      <c r="E69" s="141" t="str">
        <f>IFERROR(__xludf.DUMMYFUNCTION("""COMPUTED_VALUE"""),"GENEPIO:0001241")</f>
        <v>GENEPIO:0001241</v>
      </c>
      <c r="F69" s="141" t="str">
        <f>IFERROR(__xludf.DUMMYFUNCTION("""COMPUTED_VALUE"""),"The process used to collect the sample.")</f>
        <v>The process used to collect the sample.</v>
      </c>
      <c r="G69" s="141" t="str">
        <f>IFERROR(__xludf.DUMMYFUNCTION("""COMPUTED_VALUE"""),"Provide a descriptor of the collection method used for sampling. Use the picklist provided in the template. If not applicable, choose a null value.")</f>
        <v>Provide a descriptor of the collection method used for sampling. Use the picklist provided in the template. If not applicable, choose a null value.</v>
      </c>
      <c r="H69" s="141" t="str">
        <f>IFERROR(__xludf.DUMMYFUNCTION("""COMPUTED_VALUE"""),"Automatic composite sampling")</f>
        <v>Automatic composite sampling</v>
      </c>
      <c r="K69" s="142" t="s">
        <v>25</v>
      </c>
      <c r="L69" s="142" t="s">
        <v>25</v>
      </c>
      <c r="M69" s="142" t="s">
        <v>25</v>
      </c>
      <c r="N69" s="142" t="str">
        <f>IFERROR(__xludf.DUMMYFUNCTION("""COMPUTED_VALUE"""),"WastewaterSARS-CoV-2;WastewaterAMR;WastewaterPathogenAgnostic")</f>
        <v>WastewaterSARS-CoV-2;WastewaterAMR;WastewaterPathogenAgnostic</v>
      </c>
    </row>
    <row r="70">
      <c r="A70" s="141" t="str">
        <f>IFERROR(__xludf.DUMMYFUNCTION("""COMPUTED_VALUE"""),"Sample collection and processing")</f>
        <v>Sample collection and processing</v>
      </c>
      <c r="B70" s="141" t="str">
        <f>IFERROR(__xludf.DUMMYFUNCTION("""COMPUTED_VALUE"""),"nucleic acid extraction method")</f>
        <v>nucleic acid extraction method</v>
      </c>
      <c r="C70" s="141"/>
      <c r="D70" s="141"/>
      <c r="E70" s="143" t="str">
        <f>IFERROR(__xludf.DUMMYFUNCTION("""COMPUTED_VALUE"""),"GENEPIO:0100939")</f>
        <v>GENEPIO:0100939</v>
      </c>
      <c r="F70" s="141" t="str">
        <f>IFERROR(__xludf.DUMMYFUNCTION("""COMPUTED_VALUE"""),"The process used to extract genomic material from a sample.")</f>
        <v>The process used to extract genomic material from a sample.</v>
      </c>
      <c r="G70" s="141" t="str">
        <f>IFERROR(__xludf.DUMMYFUNCTION("""COMPUTED_VALUE"""),"Briefly describe the extraction method used.")</f>
        <v>Briefly describe the extraction method used.</v>
      </c>
      <c r="H70" s="141" t="str">
        <f>IFERROR(__xludf.DUMMYFUNCTION("""COMPUTED_VALUE"""),"Direct wastewater RNA capture and purification via the ""Sewage, Salt, Silica and SARS-CoV-2 (4S)"" method v4 found at https://www.protocols.io/view/v-4-direct-wastewater-rna-capture-and-purification-36wgq581ygk5/v4")</f>
        <v>Direct wastewater RNA capture and purification via the "Sewage, Salt, Silica and SARS-CoV-2 (4S)" method v4 found at https://www.protocols.io/view/v-4-direct-wastewater-rna-capture-and-purification-36wgq581ygk5/v4</v>
      </c>
      <c r="K70" s="142" t="s">
        <v>25</v>
      </c>
      <c r="L70" s="142" t="s">
        <v>25</v>
      </c>
      <c r="M70" s="142" t="s">
        <v>25</v>
      </c>
      <c r="N70" s="142" t="str">
        <f>IFERROR(__xludf.DUMMYFUNCTION("""COMPUTED_VALUE"""),"WastewaterSARS-CoV-2;WastewaterAMR;WastewaterPathogenAgnostic")</f>
        <v>WastewaterSARS-CoV-2;WastewaterAMR;WastewaterPathogenAgnostic</v>
      </c>
    </row>
    <row r="71">
      <c r="A71" s="141" t="str">
        <f>IFERROR(__xludf.DUMMYFUNCTION("""COMPUTED_VALUE"""),"Sample collection and processing")</f>
        <v>Sample collection and processing</v>
      </c>
      <c r="B71" s="141" t="str">
        <f>IFERROR(__xludf.DUMMYFUNCTION("""COMPUTED_VALUE"""),"nucleic acid extraction kit")</f>
        <v>nucleic acid extraction kit</v>
      </c>
      <c r="C71" s="141"/>
      <c r="D71" s="141"/>
      <c r="E71" s="143" t="str">
        <f>IFERROR(__xludf.DUMMYFUNCTION("""COMPUTED_VALUE"""),"GENEPIO:0100772")</f>
        <v>GENEPIO:0100772</v>
      </c>
      <c r="F71" s="141" t="str">
        <f>IFERROR(__xludf.DUMMYFUNCTION("""COMPUTED_VALUE"""),"The kit used to extract genomic material from a sample")</f>
        <v>The kit used to extract genomic material from a sample</v>
      </c>
      <c r="G71" s="141" t="str">
        <f>IFERROR(__xludf.DUMMYFUNCTION("""COMPUTED_VALUE"""),"Provide the name of the genomic extraction kit used.")</f>
        <v>Provide the name of the genomic extraction kit used.</v>
      </c>
      <c r="H71" s="141" t="str">
        <f>IFERROR(__xludf.DUMMYFUNCTION("""COMPUTED_VALUE"""),"QIAamp PowerFecal Pro DNA Kit")</f>
        <v>QIAamp PowerFecal Pro DNA Kit</v>
      </c>
      <c r="K71" s="142" t="s">
        <v>25</v>
      </c>
      <c r="L71" s="142" t="s">
        <v>25</v>
      </c>
      <c r="M71" s="142" t="s">
        <v>25</v>
      </c>
      <c r="N71" s="142" t="str">
        <f>IFERROR(__xludf.DUMMYFUNCTION("""COMPUTED_VALUE"""),"WastewaterSARS-CoV-2;WastewaterAMR;WastewaterPathogenAgnostic")</f>
        <v>WastewaterSARS-CoV-2;WastewaterAMR;WastewaterPathogenAgnostic</v>
      </c>
    </row>
    <row r="72">
      <c r="A72" s="141" t="str">
        <f>IFERROR(__xludf.DUMMYFUNCTION("""COMPUTED_VALUE"""),"Sample collection and processing")</f>
        <v>Sample collection and processing</v>
      </c>
      <c r="B72" s="141" t="str">
        <f>IFERROR(__xludf.DUMMYFUNCTION("""COMPUTED_VALUE"""),"endogenous control details")</f>
        <v>endogenous control details</v>
      </c>
      <c r="C72" s="141"/>
      <c r="D72" s="141" t="b">
        <f>IFERROR(__xludf.DUMMYFUNCTION("""COMPUTED_VALUE"""),TRUE)</f>
        <v>1</v>
      </c>
      <c r="E72" s="143" t="str">
        <f>IFERROR(__xludf.DUMMYFUNCTION("""COMPUTED_VALUE"""),"GENEPIO:0100923")</f>
        <v>GENEPIO:0100923</v>
      </c>
      <c r="F72" s="141" t="str">
        <f>IFERROR(__xludf.DUMMYFUNCTION("""COMPUTED_VALUE"""),"The description of the endogenous controls included when extracting a sample.")</f>
        <v>The description of the endogenous controls included when extracting a sample.</v>
      </c>
      <c r="G72" s="141" t="str">
        <f>IFERROR(__xludf.DUMMYFUNCTION("""COMPUTED_VALUE"""),"Provide the names of endogenous controls that were used as a reference during extraction. If relevant, include titers of these controls, as well as whether any controls were expected but not identified in the sample.")</f>
        <v>Provide the names of endogenous controls that were used as a reference during extraction. If relevant, include titers of these controls, as well as whether any controls were expected but not identified in the sample.</v>
      </c>
      <c r="H72" s="141"/>
      <c r="K72" s="142" t="s">
        <v>25</v>
      </c>
      <c r="L72" s="142" t="s">
        <v>25</v>
      </c>
      <c r="M72" s="142" t="s">
        <v>25</v>
      </c>
      <c r="N72" s="142" t="str">
        <f>IFERROR(__xludf.DUMMYFUNCTION("""COMPUTED_VALUE"""),"WastewaterSARS-CoV-2;WastewaterAMR;WastewaterPathogenAgnostic")</f>
        <v>WastewaterSARS-CoV-2;WastewaterAMR;WastewaterPathogenAgnostic</v>
      </c>
    </row>
    <row r="73">
      <c r="A73" s="141" t="str">
        <f>IFERROR(__xludf.DUMMYFUNCTION("""COMPUTED_VALUE"""),"Sample collection and processing")</f>
        <v>Sample collection and processing</v>
      </c>
      <c r="B73" s="141" t="str">
        <f>IFERROR(__xludf.DUMMYFUNCTION("""COMPUTED_VALUE"""),"extraction recovery efficiency measurement value")</f>
        <v>extraction recovery efficiency measurement value</v>
      </c>
      <c r="C73" s="141"/>
      <c r="D73" s="141"/>
      <c r="E73" s="143" t="str">
        <f>IFERROR(__xludf.DUMMYFUNCTION("""COMPUTED_VALUE"""),"GENEPIO:0100924")</f>
        <v>GENEPIO:0100924</v>
      </c>
      <c r="F73" s="141" t="str">
        <f>IFERROR(__xludf.DUMMYFUNCTION("""COMPUTED_VALUE"""),"The recovery efficiency of an extraction, calculated as the amount of a synthetic or endogenous compound identified in the sample relative to the amount expected.")</f>
        <v>The recovery efficiency of an extraction, calculated as the amount of a synthetic or endogenous compound identified in the sample relative to the amount expected.</v>
      </c>
      <c r="G73" s="141" t="str">
        <f>IFERROR(__xludf.DUMMYFUNCTION("""COMPUTED_VALUE"""),"Provide value as a percent.")</f>
        <v>Provide value as a percent.</v>
      </c>
      <c r="H73" s="141"/>
      <c r="K73" s="142" t="s">
        <v>25</v>
      </c>
      <c r="L73" s="142" t="s">
        <v>25</v>
      </c>
      <c r="M73" s="142" t="s">
        <v>25</v>
      </c>
      <c r="N73" s="142" t="str">
        <f>IFERROR(__xludf.DUMMYFUNCTION("""COMPUTED_VALUE"""),"WastewaterSARS-CoV-2;WastewaterAMR;WastewaterPathogenAgnostic")</f>
        <v>WastewaterSARS-CoV-2;WastewaterAMR;WastewaterPathogenAgnostic</v>
      </c>
    </row>
    <row r="74">
      <c r="A74" s="141" t="str">
        <f>IFERROR(__xludf.DUMMYFUNCTION("""COMPUTED_VALUE"""),"Sample collection and processing")</f>
        <v>Sample collection and processing</v>
      </c>
      <c r="B74" s="141" t="str">
        <f>IFERROR(__xludf.DUMMYFUNCTION("""COMPUTED_VALUE"""),"extraction recovery efficiency measurement method")</f>
        <v>extraction recovery efficiency measurement method</v>
      </c>
      <c r="C74" s="141"/>
      <c r="D74" s="141"/>
      <c r="E74" s="143" t="str">
        <f>IFERROR(__xludf.DUMMYFUNCTION("""COMPUTED_VALUE"""),"GENEPIO:0100925")</f>
        <v>GENEPIO:0100925</v>
      </c>
      <c r="F74" s="141" t="str">
        <f>IFERROR(__xludf.DUMMYFUNCTION("""COMPUTED_VALUE"""),"The method by which recovery efficiency of an extraction was calculated.")</f>
        <v>The method by which recovery efficiency of an extraction was calculated.</v>
      </c>
      <c r="G74" s="141" t="str">
        <f>IFERROR(__xludf.DUMMYFUNCTION("""COMPUTED_VALUE"""),"Provide a brief description of how extraction recovery efficiency was measured or estimated.")</f>
        <v>Provide a brief description of how extraction recovery efficiency was measured or estimated.</v>
      </c>
      <c r="H74" s="141"/>
      <c r="K74" s="142" t="s">
        <v>25</v>
      </c>
      <c r="L74" s="142" t="s">
        <v>25</v>
      </c>
      <c r="M74" s="142" t="s">
        <v>25</v>
      </c>
      <c r="N74" s="142" t="str">
        <f>IFERROR(__xludf.DUMMYFUNCTION("""COMPUTED_VALUE"""),"WastewaterSARS-CoV-2;WastewaterAMR;WastewaterPathogenAgnostic")</f>
        <v>WastewaterSARS-CoV-2;WastewaterAMR;WastewaterPathogenAgnostic</v>
      </c>
    </row>
    <row r="75">
      <c r="A75" s="141"/>
      <c r="B75" s="141" t="str">
        <f>IFERROR(__xludf.DUMMYFUNCTION("""COMPUTED_VALUE"""),"Strain and isolation information")</f>
        <v>Strain and isolation information</v>
      </c>
      <c r="C75" s="141" t="str">
        <f>IFERROR(__xludf.DUMMYFUNCTION("""COMPUTED_VALUE"""),"")</f>
        <v/>
      </c>
      <c r="D75" s="141" t="str">
        <f>IFERROR(__xludf.DUMMYFUNCTION("""COMPUTED_VALUE"""),"")</f>
        <v/>
      </c>
      <c r="E75" s="141" t="str">
        <f>IFERROR(__xludf.DUMMYFUNCTION("""COMPUTED_VALUE"""),"GENEPIO:0100453")</f>
        <v>GENEPIO:0100453</v>
      </c>
      <c r="F75" s="141"/>
      <c r="G75" s="141"/>
      <c r="H75" s="141"/>
      <c r="I75" s="142"/>
      <c r="J75" s="142"/>
      <c r="K75" s="142"/>
      <c r="L75" s="142"/>
      <c r="M75" s="142"/>
      <c r="N75" s="142" t="str">
        <f>IFERROR(__xludf.DUMMYFUNCTION("""COMPUTED_VALUE"""),"WastewaterPathogenAgnostic")</f>
        <v>WastewaterPathogenAgnostic</v>
      </c>
    </row>
    <row r="76">
      <c r="A76" s="141" t="str">
        <f>IFERROR(__xludf.DUMMYFUNCTION("""COMPUTED_VALUE"""),"Strain and isolation information")</f>
        <v>Strain and isolation information</v>
      </c>
      <c r="B76" s="141" t="str">
        <f>IFERROR(__xludf.DUMMYFUNCTION("""COMPUTED_VALUE"""),"microbiological method")</f>
        <v>microbiological method</v>
      </c>
      <c r="C76" s="141"/>
      <c r="D76" s="141" t="b">
        <f>IFERROR(__xludf.DUMMYFUNCTION("""COMPUTED_VALUE"""),TRUE)</f>
        <v>1</v>
      </c>
      <c r="E76" s="141" t="str">
        <f>IFERROR(__xludf.DUMMYFUNCTION("""COMPUTED_VALUE"""),"GENEPIO:0100454")</f>
        <v>GENEPIO:0100454</v>
      </c>
      <c r="F76" s="141" t="str">
        <f>IFERROR(__xludf.DUMMYFUNCTION("""COMPUTED_VALUE"""),"The laboratory method used to grow, prepare, and/or isolate the microbial isolate.")</f>
        <v>The laboratory method used to grow, prepare, and/or isolate the microbial isolate.</v>
      </c>
      <c r="G76" s="141" t="str">
        <f>IFERROR(__xludf.DUMMYFUNCTION("""COMPUTED_VALUE"""),"Provide the name and version number of the microbiological method. The ID of the method is also acceptable if the ID can be linked to the laboratory that created the procedure.")</f>
        <v>Provide the name and version number of the microbiological method. The ID of the method is also acceptable if the ID can be linked to the laboratory that created the procedure.</v>
      </c>
      <c r="H76" s="141" t="str">
        <f>IFERROR(__xludf.DUMMYFUNCTION("""COMPUTED_VALUE"""),"MFHPB-30")</f>
        <v>MFHPB-30</v>
      </c>
      <c r="K76" s="142" t="s">
        <v>25</v>
      </c>
      <c r="L76" s="142" t="s">
        <v>25</v>
      </c>
      <c r="M76" s="142" t="s">
        <v>25</v>
      </c>
      <c r="N76" s="142" t="str">
        <f>IFERROR(__xludf.DUMMYFUNCTION("""COMPUTED_VALUE"""),"WastewaterPathogenAgnostic")</f>
        <v>WastewaterPathogenAgnostic</v>
      </c>
    </row>
    <row r="77">
      <c r="A77" s="141" t="str">
        <f>IFERROR(__xludf.DUMMYFUNCTION("""COMPUTED_VALUE"""),"Strain and isolation information")</f>
        <v>Strain and isolation information</v>
      </c>
      <c r="B77" s="141" t="str">
        <f>IFERROR(__xludf.DUMMYFUNCTION("""COMPUTED_VALUE"""),"strain")</f>
        <v>strain</v>
      </c>
      <c r="C77" s="141"/>
      <c r="D77" s="141"/>
      <c r="E77" s="141" t="str">
        <f>IFERROR(__xludf.DUMMYFUNCTION("""COMPUTED_VALUE"""),"GENEPIO:0100455")</f>
        <v>GENEPIO:0100455</v>
      </c>
      <c r="F77" s="141" t="str">
        <f>IFERROR(__xludf.DUMMYFUNCTION("""COMPUTED_VALUE"""),"The strain identifier.")</f>
        <v>The strain identifier.</v>
      </c>
      <c r="G77" s="141" t="str">
        <f>IFERROR(__xludf.DUMMYFUNCTION("""COMPUTED_VALUE"""),"If the isolate represents or is derived from, a lab reference strain or strain from a type culture collection, provide the strain identifier.")</f>
        <v>If the isolate represents or is derived from, a lab reference strain or strain from a type culture collection, provide the strain identifier.</v>
      </c>
      <c r="H77" s="141" t="str">
        <f>IFERROR(__xludf.DUMMYFUNCTION("""COMPUTED_VALUE"""),"K12")</f>
        <v>K12</v>
      </c>
      <c r="K77" s="142" t="s">
        <v>25</v>
      </c>
      <c r="L77" s="142" t="s">
        <v>25</v>
      </c>
      <c r="M77" s="142" t="s">
        <v>25</v>
      </c>
      <c r="N77" s="142" t="str">
        <f>IFERROR(__xludf.DUMMYFUNCTION("""COMPUTED_VALUE"""),"WastewaterPathogenAgnostic")</f>
        <v>WastewaterPathogenAgnostic</v>
      </c>
    </row>
    <row r="78">
      <c r="A78" s="141" t="str">
        <f>IFERROR(__xludf.DUMMYFUNCTION("""COMPUTED_VALUE"""),"Strain and isolation information")</f>
        <v>Strain and isolation information</v>
      </c>
      <c r="B78" s="141" t="str">
        <f>IFERROR(__xludf.DUMMYFUNCTION("""COMPUTED_VALUE"""),"isolate ID")</f>
        <v>isolate ID</v>
      </c>
      <c r="C78" s="141" t="b">
        <f>IFERROR(__xludf.DUMMYFUNCTION("""COMPUTED_VALUE"""),TRUE)</f>
        <v>1</v>
      </c>
      <c r="D78" s="141"/>
      <c r="E78" s="141" t="str">
        <f>IFERROR(__xludf.DUMMYFUNCTION("""COMPUTED_VALUE"""),"GENEPIO:0100456")</f>
        <v>GENEPIO:0100456</v>
      </c>
      <c r="F78" s="141" t="str">
        <f>IFERROR(__xludf.DUMMYFUNCTION("""COMPUTED_VALUE"""),"The user-defined identifier for the isolate, as provided by the laboratory that originally isolated the isolate.")</f>
        <v>The user-defined identifier for the isolate, as provided by the laboratory that originally isolated the isolate.</v>
      </c>
      <c r="G78" s="141" t="str">
        <f>IFERROR(__xludf.DUMMYFUNCTION("""COMPUTED_VALUE"""),"Provide the isolate_ID created by the lab that first isolated the isolate (i.e. the original isolate ID). If the information is unknown or cannot be provided, leave blank or provide a null value. If only an alternate isolate ID is known (e.g. the ID from "&amp;"your lab, if your lab did not isolate the isolate from the original sample), make asure to include it in the alternative_isolate_ID field.")</f>
        <v>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v>
      </c>
      <c r="H78" s="141" t="str">
        <f>IFERROR(__xludf.DUMMYFUNCTION("""COMPUTED_VALUE"""),"SA20131043")</f>
        <v>SA20131043</v>
      </c>
      <c r="K78" s="142" t="s">
        <v>25</v>
      </c>
      <c r="L78" s="142" t="s">
        <v>25</v>
      </c>
      <c r="M78" s="142" t="s">
        <v>25</v>
      </c>
      <c r="N78" s="142" t="str">
        <f>IFERROR(__xludf.DUMMYFUNCTION("""COMPUTED_VALUE"""),"WastewaterPathogenAgnostic")</f>
        <v>WastewaterPathogenAgnostic</v>
      </c>
    </row>
    <row r="79">
      <c r="A79" s="141" t="str">
        <f>IFERROR(__xludf.DUMMYFUNCTION("""COMPUTED_VALUE"""),"Strain and isolation information")</f>
        <v>Strain and isolation information</v>
      </c>
      <c r="B79" s="141" t="str">
        <f>IFERROR(__xludf.DUMMYFUNCTION("""COMPUTED_VALUE"""),"alternative isolate ID")</f>
        <v>alternative isolate ID</v>
      </c>
      <c r="C79" s="141"/>
      <c r="D79" s="141" t="b">
        <f>IFERROR(__xludf.DUMMYFUNCTION("""COMPUTED_VALUE"""),TRUE)</f>
        <v>1</v>
      </c>
      <c r="E79" s="141" t="str">
        <f>IFERROR(__xludf.DUMMYFUNCTION("""COMPUTED_VALUE"""),"GENEPIO:0100457")</f>
        <v>GENEPIO:0100457</v>
      </c>
      <c r="F79" s="141" t="str">
        <f>IFERROR(__xludf.DUMMYFUNCTION("""COMPUTED_VALUE"""),"An alternative isolate_ID assigned to the isolate by another organization.")</f>
        <v>An alternative isolate_ID assigned to the isolate by another organization.</v>
      </c>
      <c r="G79" s="141" t="str">
        <f>IFERROR(__xludf.DUMMYFUNCTION("""COMPUTED_VALUE"""),"Alternative isolate IDs should be provided in the in a prescribed format which consists of the ID followed by square brackets (no space in between the ID and bracket) containing the short form of ID provider’s agency name i.e. ID[short organization code]."&amp;" An example of a properly formatted alternative_isolate_identifier would be e.g. XYZ4567[CFIA]. Multiple alternative isolate IDs can be provided, separated by semi-colons.")</f>
        <v>Alternative isolate IDs should be provided in the in a prescribed format which consists of the ID followed by square brackets (no space in between the ID and bracket) containing the short form of ID provider’s agency name i.e. ID[short organization code]. An example of a properly formatted alternative_isolate_identifier would be e.g. XYZ4567[CFIA]. Multiple alternative isolate IDs can be provided, separated by semi-colons.</v>
      </c>
      <c r="H79" s="141" t="str">
        <f>IFERROR(__xludf.DUMMYFUNCTION("""COMPUTED_VALUE"""),"GHIF3456[PHAC]; QWICK222[CFIA]")</f>
        <v>GHIF3456[PHAC]; QWICK222[CFIA]</v>
      </c>
      <c r="K79" s="142" t="s">
        <v>25</v>
      </c>
      <c r="L79" s="142" t="s">
        <v>25</v>
      </c>
      <c r="M79" s="142" t="s">
        <v>25</v>
      </c>
      <c r="N79" s="142" t="str">
        <f>IFERROR(__xludf.DUMMYFUNCTION("""COMPUTED_VALUE"""),"WastewaterPathogenAgnostic")</f>
        <v>WastewaterPathogenAgnostic</v>
      </c>
    </row>
    <row r="80">
      <c r="A80" s="141" t="str">
        <f>IFERROR(__xludf.DUMMYFUNCTION("""COMPUTED_VALUE"""),"Strain and isolation information")</f>
        <v>Strain and isolation information</v>
      </c>
      <c r="B80" s="141" t="str">
        <f>IFERROR(__xludf.DUMMYFUNCTION("""COMPUTED_VALUE"""),"progeny isolate ID")</f>
        <v>progeny isolate ID</v>
      </c>
      <c r="C80" s="141"/>
      <c r="D80" s="141"/>
      <c r="E80" s="141" t="str">
        <f>IFERROR(__xludf.DUMMYFUNCTION("""COMPUTED_VALUE"""),"GENEPIO:0100458")</f>
        <v>GENEPIO:0100458</v>
      </c>
      <c r="F80" s="141" t="str">
        <f>IFERROR(__xludf.DUMMYFUNCTION("""COMPUTED_VALUE"""),"The identifier assigned to a progenitor isolate derived from an isolate that was directly obtained from a sample.")</f>
        <v>The identifier assigned to a progenitor isolate derived from an isolate that was directly obtained from a sample.</v>
      </c>
      <c r="G80" s="141" t="str">
        <f>IFERROR(__xludf.DUMMYFUNCTION("""COMPUTED_VALUE"""),"If your sequence data pertains to progeny of an original isolate, provide the progeny_isolate_ID.")</f>
        <v>If your sequence data pertains to progeny of an original isolate, provide the progeny_isolate_ID.</v>
      </c>
      <c r="H80" s="141" t="str">
        <f>IFERROR(__xludf.DUMMYFUNCTION("""COMPUTED_VALUE"""),"SUB_ON_1526")</f>
        <v>SUB_ON_1526</v>
      </c>
      <c r="K80" s="142" t="s">
        <v>25</v>
      </c>
      <c r="L80" s="142" t="s">
        <v>25</v>
      </c>
      <c r="M80" s="142" t="s">
        <v>25</v>
      </c>
      <c r="N80" s="142" t="str">
        <f>IFERROR(__xludf.DUMMYFUNCTION("""COMPUTED_VALUE"""),"WastewaterPathogenAgnostic")</f>
        <v>WastewaterPathogenAgnostic</v>
      </c>
    </row>
    <row r="81">
      <c r="A81" s="141" t="str">
        <f>IFERROR(__xludf.DUMMYFUNCTION("""COMPUTED_VALUE"""),"Strain and isolation information")</f>
        <v>Strain and isolation information</v>
      </c>
      <c r="B81" s="141" t="str">
        <f>IFERROR(__xludf.DUMMYFUNCTION("""COMPUTED_VALUE"""),"isolated by")</f>
        <v>isolated by</v>
      </c>
      <c r="C81" s="141"/>
      <c r="D81" s="141"/>
      <c r="E81" s="141" t="str">
        <f>IFERROR(__xludf.DUMMYFUNCTION("""COMPUTED_VALUE"""),"GENEPIO:0100461")</f>
        <v>GENEPIO:0100461</v>
      </c>
      <c r="F81" s="141" t="str">
        <f>IFERROR(__xludf.DUMMYFUNCTION("""COMPUTED_VALUE"""),"The name of the agency, organization or institution with which the individual who performed the isolation procedure is affiliated.")</f>
        <v>The name of the agency, organization or institution with which the individual who performed the isolation procedure is affiliated.</v>
      </c>
      <c r="G81" s="141" t="str">
        <f>IFERROR(__xludf.DUMMYFUNCTION("""COMPUTED_VALUE"""),"Provide the name of the agency, organization or institution that isolated the original isolate in full (avoid abbreviations). If the information is unknown or cannot be provided, leave blank or provide a null value.")</f>
        <v>Provide the name of the agency, organization or institution that isolated the original isolate in full (avoid abbreviations). If the information is unknown or cannot be provided, leave blank or provide a null value.</v>
      </c>
      <c r="H81" s="141" t="str">
        <f>IFERROR(__xludf.DUMMYFUNCTION("""COMPUTED_VALUE"""),"Public Health Agency of Canada (PHAC) [GENEPIO:0100551]")</f>
        <v>Public Health Agency of Canada (PHAC) [GENEPIO:0100551]</v>
      </c>
      <c r="K81" s="142" t="s">
        <v>25</v>
      </c>
      <c r="L81" s="142" t="s">
        <v>25</v>
      </c>
      <c r="M81" s="142" t="s">
        <v>25</v>
      </c>
      <c r="N81" s="142" t="str">
        <f>IFERROR(__xludf.DUMMYFUNCTION("""COMPUTED_VALUE"""),"WastewaterPathogenAgnostic")</f>
        <v>WastewaterPathogenAgnostic</v>
      </c>
    </row>
    <row r="82">
      <c r="A82" s="141" t="str">
        <f>IFERROR(__xludf.DUMMYFUNCTION("""COMPUTED_VALUE"""),"Strain and isolation information")</f>
        <v>Strain and isolation information</v>
      </c>
      <c r="B82" s="141" t="str">
        <f>IFERROR(__xludf.DUMMYFUNCTION("""COMPUTED_VALUE"""),"isolated by laboratory name")</f>
        <v>isolated by laboratory name</v>
      </c>
      <c r="C82" s="141"/>
      <c r="D82" s="141"/>
      <c r="E82" s="141" t="str">
        <f>IFERROR(__xludf.DUMMYFUNCTION("""COMPUTED_VALUE"""),"GENEPIO:0100462")</f>
        <v>GENEPIO:0100462</v>
      </c>
      <c r="F82" s="141" t="str">
        <f>IFERROR(__xludf.DUMMYFUNCTION("""COMPUTED_VALUE"""),"The specific laboratory affiliation of the individual who performed the isolation procedure.")</f>
        <v>The specific laboratory affiliation of the individual who performed the isolation procedure.</v>
      </c>
      <c r="G82" s="141" t="str">
        <f>IFERROR(__xludf.DUMMYFUNCTION("""COMPUTED_VALUE"""),"Provide the name of the specific laboratory that that isolated the original isolate (avoid abbreviations). If the information is unknown or cannot be provided, leave blank or provide a null value.")</f>
        <v>Provide the name of the specific laboratory that that isolated the original isolate (avoid abbreviations). If the information is unknown or cannot be provided, leave blank or provide a null value.</v>
      </c>
      <c r="H82" s="141" t="str">
        <f>IFERROR(__xludf.DUMMYFUNCTION("""COMPUTED_VALUE"""),"Topp Lab")</f>
        <v>Topp Lab</v>
      </c>
      <c r="K82" s="142" t="s">
        <v>25</v>
      </c>
      <c r="L82" s="142" t="s">
        <v>25</v>
      </c>
      <c r="M82" s="142" t="s">
        <v>25</v>
      </c>
      <c r="N82" s="142" t="str">
        <f>IFERROR(__xludf.DUMMYFUNCTION("""COMPUTED_VALUE"""),"WastewaterPathogenAgnostic")</f>
        <v>WastewaterPathogenAgnostic</v>
      </c>
    </row>
    <row r="83">
      <c r="A83" s="141" t="str">
        <f>IFERROR(__xludf.DUMMYFUNCTION("""COMPUTED_VALUE"""),"Strain and isolation information")</f>
        <v>Strain and isolation information</v>
      </c>
      <c r="B83" s="141" t="str">
        <f>IFERROR(__xludf.DUMMYFUNCTION("""COMPUTED_VALUE"""),"isolated by contact name")</f>
        <v>isolated by contact name</v>
      </c>
      <c r="C83" s="141"/>
      <c r="D83" s="141"/>
      <c r="E83" s="141" t="str">
        <f>IFERROR(__xludf.DUMMYFUNCTION("""COMPUTED_VALUE"""),"GENEPIO:0100463")</f>
        <v>GENEPIO:0100463</v>
      </c>
      <c r="F83" s="141" t="str">
        <f>IFERROR(__xludf.DUMMYFUNCTION("""COMPUTED_VALUE"""),"The name or title of the contact responsible for follow-up regarding the isolate.")</f>
        <v>The name or title of the contact responsible for follow-up regarding the isolate.</v>
      </c>
      <c r="G83" s="141" t="str">
        <f>IFERROR(__xludf.DUMMYFUNCTION("""COMPUTED_VALUE"""),"Provide the name of an individual or their job title. As personnel turnover may render the contact's name obsolete, it is prefereable to provide a job title for ensuring accuracy of information and institutional memory. If the information is unknown or ca"&amp;"nnot be provided, leave blank or provide a null value.")</f>
        <v>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v>
      </c>
      <c r="H83" s="141" t="str">
        <f>IFERROR(__xludf.DUMMYFUNCTION("""COMPUTED_VALUE"""),"Enterics Lab Manager")</f>
        <v>Enterics Lab Manager</v>
      </c>
      <c r="K83" s="142" t="s">
        <v>25</v>
      </c>
      <c r="L83" s="142" t="s">
        <v>25</v>
      </c>
      <c r="M83" s="142" t="s">
        <v>25</v>
      </c>
      <c r="N83" s="142" t="str">
        <f>IFERROR(__xludf.DUMMYFUNCTION("""COMPUTED_VALUE"""),"WastewaterPathogenAgnostic")</f>
        <v>WastewaterPathogenAgnostic</v>
      </c>
    </row>
    <row r="84">
      <c r="A84" s="141" t="str">
        <f>IFERROR(__xludf.DUMMYFUNCTION("""COMPUTED_VALUE"""),"Strain and isolation information")</f>
        <v>Strain and isolation information</v>
      </c>
      <c r="B84" s="141" t="str">
        <f>IFERROR(__xludf.DUMMYFUNCTION("""COMPUTED_VALUE"""),"isolated by contact email")</f>
        <v>isolated by contact email</v>
      </c>
      <c r="C84" s="141"/>
      <c r="D84" s="141"/>
      <c r="E84" s="141" t="str">
        <f>IFERROR(__xludf.DUMMYFUNCTION("""COMPUTED_VALUE"""),"GENEPIO:0100464")</f>
        <v>GENEPIO:0100464</v>
      </c>
      <c r="F84" s="141" t="str">
        <f>IFERROR(__xludf.DUMMYFUNCTION("""COMPUTED_VALUE"""),"The email address of the contact responsible for follow-up regarding the isolate.")</f>
        <v>The email address of the contact responsible for follow-up regarding the isolate.</v>
      </c>
      <c r="G84" s="141" t="str">
        <f>IFERROR(__xludf.DUMMYFUNCTION("""COMPUTED_VALUE"""),"Provide the email associated with the listed contact. As personnel turnover may render an individual's email obsolete, it is more prefereable to provide an address for a position or lab, to ensure accuracy of information and institutional memory. If the i"&amp;"nformation is unknown or cannot be provided, leave blank or provide a null value.")</f>
        <v>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v>
      </c>
      <c r="H84" s="141" t="str">
        <f>IFERROR(__xludf.DUMMYFUNCTION("""COMPUTED_VALUE"""),"enterics@lab.ca")</f>
        <v>enterics@lab.ca</v>
      </c>
      <c r="K84" s="142" t="s">
        <v>25</v>
      </c>
      <c r="L84" s="142" t="s">
        <v>25</v>
      </c>
      <c r="M84" s="142" t="s">
        <v>25</v>
      </c>
      <c r="N84" s="142" t="str">
        <f>IFERROR(__xludf.DUMMYFUNCTION("""COMPUTED_VALUE"""),"WastewaterPathogenAgnostic")</f>
        <v>WastewaterPathogenAgnostic</v>
      </c>
    </row>
    <row r="85">
      <c r="A85" s="141" t="str">
        <f>IFERROR(__xludf.DUMMYFUNCTION("""COMPUTED_VALUE"""),"Strain and isolation information")</f>
        <v>Strain and isolation information</v>
      </c>
      <c r="B85" s="141" t="str">
        <f>IFERROR(__xludf.DUMMYFUNCTION("""COMPUTED_VALUE"""),"isolation date")</f>
        <v>isolation date</v>
      </c>
      <c r="C85" s="141"/>
      <c r="D85" s="141"/>
      <c r="E85" s="141" t="str">
        <f>IFERROR(__xludf.DUMMYFUNCTION("""COMPUTED_VALUE"""),"GENEPIO:0100465")</f>
        <v>GENEPIO:0100465</v>
      </c>
      <c r="F85" s="141" t="str">
        <f>IFERROR(__xludf.DUMMYFUNCTION("""COMPUTED_VALUE"""),"The date on which the isolate was isolated from a sample.")</f>
        <v>The date on which the isolate was isolated from a sample.</v>
      </c>
      <c r="G85" s="141" t="str">
        <f>IFERROR(__xludf.DUMMYFUNCTION("""COMPUTED_VALUE"""),"Provide the date according to the ISO 8601 standard ""YYYY-MM-DD"", ""YYYY-MM"" or ""YYYY"".")</f>
        <v>Provide the date according to the ISO 8601 standard "YYYY-MM-DD", "YYYY-MM" or "YYYY".</v>
      </c>
      <c r="H85" s="145">
        <f>IFERROR(__xludf.DUMMYFUNCTION("""COMPUTED_VALUE"""),44134.0)</f>
        <v>44134</v>
      </c>
      <c r="K85" s="142" t="s">
        <v>25</v>
      </c>
      <c r="L85" s="142" t="s">
        <v>25</v>
      </c>
      <c r="M85" s="142" t="s">
        <v>25</v>
      </c>
      <c r="N85" s="142" t="str">
        <f>IFERROR(__xludf.DUMMYFUNCTION("""COMPUTED_VALUE"""),"WastewaterPathogenAgnostic")</f>
        <v>WastewaterPathogenAgnostic</v>
      </c>
    </row>
    <row r="86">
      <c r="A86" s="141" t="str">
        <f>IFERROR(__xludf.DUMMYFUNCTION("""COMPUTED_VALUE"""),"Strain and isolation information")</f>
        <v>Strain and isolation information</v>
      </c>
      <c r="B86" s="141" t="str">
        <f>IFERROR(__xludf.DUMMYFUNCTION("""COMPUTED_VALUE"""),"isolate received date")</f>
        <v>isolate received date</v>
      </c>
      <c r="C86" s="141"/>
      <c r="D86" s="141"/>
      <c r="E86" s="141" t="str">
        <f>IFERROR(__xludf.DUMMYFUNCTION("""COMPUTED_VALUE"""),"GENEPIO:0100466")</f>
        <v>GENEPIO:0100466</v>
      </c>
      <c r="F86" s="141" t="str">
        <f>IFERROR(__xludf.DUMMYFUNCTION("""COMPUTED_VALUE"""),"The date on which the isolate was received by the laboratory.")</f>
        <v>The date on which the isolate was received by the laboratory.</v>
      </c>
      <c r="G86" s="141" t="str">
        <f>IFERROR(__xludf.DUMMYFUNCTION("""COMPUTED_VALUE"""),"Provide the date according to the ISO 8601 standard ""YYYY-MM-DD"", ""YYYY-MM"" or ""YYYY"".")</f>
        <v>Provide the date according to the ISO 8601 standard "YYYY-MM-DD", "YYYY-MM" or "YYYY".</v>
      </c>
      <c r="H86" s="145">
        <f>IFERROR(__xludf.DUMMYFUNCTION("""COMPUTED_VALUE"""),44150.0)</f>
        <v>44150</v>
      </c>
      <c r="K86" s="142" t="s">
        <v>25</v>
      </c>
      <c r="L86" s="142" t="s">
        <v>25</v>
      </c>
      <c r="M86" s="142" t="s">
        <v>25</v>
      </c>
      <c r="N86" s="142" t="str">
        <f>IFERROR(__xludf.DUMMYFUNCTION("""COMPUTED_VALUE"""),"WastewaterPathogenAgnostic")</f>
        <v>WastewaterPathogenAgnostic</v>
      </c>
    </row>
    <row r="87">
      <c r="A87" s="141" t="str">
        <f>IFERROR(__xludf.DUMMYFUNCTION("""COMPUTED_VALUE"""),"Strain and isolation information")</f>
        <v>Strain and isolation information</v>
      </c>
      <c r="B87" s="141" t="str">
        <f>IFERROR(__xludf.DUMMYFUNCTION("""COMPUTED_VALUE"""),"serovar")</f>
        <v>serovar</v>
      </c>
      <c r="C87" s="141"/>
      <c r="D87" s="141" t="b">
        <f>IFERROR(__xludf.DUMMYFUNCTION("""COMPUTED_VALUE"""),TRUE)</f>
        <v>1</v>
      </c>
      <c r="E87" s="141" t="str">
        <f>IFERROR(__xludf.DUMMYFUNCTION("""COMPUTED_VALUE"""),"GENEPIO:0100467")</f>
        <v>GENEPIO:0100467</v>
      </c>
      <c r="F87" s="141" t="str">
        <f>IFERROR(__xludf.DUMMYFUNCTION("""COMPUTED_VALUE"""),"The serovar of the organism.")</f>
        <v>The serovar of the organism.</v>
      </c>
      <c r="G87" s="141" t="str">
        <f>IFERROR(__xludf.DUMMYFUNCTION("""COMPUTED_VALUE"""),"Only include this information if it has been determined by traditional serological methods or a validated in silico prediction tool e.g. SISTR.")</f>
        <v>Only include this information if it has been determined by traditional serological methods or a validated in silico prediction tool e.g. SISTR.</v>
      </c>
      <c r="H87" s="141" t="str">
        <f>IFERROR(__xludf.DUMMYFUNCTION("""COMPUTED_VALUE"""),"Heidelberg")</f>
        <v>Heidelberg</v>
      </c>
      <c r="K87" s="142" t="s">
        <v>25</v>
      </c>
      <c r="L87" s="142" t="s">
        <v>25</v>
      </c>
      <c r="M87" s="142" t="s">
        <v>25</v>
      </c>
      <c r="N87" s="142" t="str">
        <f>IFERROR(__xludf.DUMMYFUNCTION("""COMPUTED_VALUE"""),"WastewaterPathogenAgnostic")</f>
        <v>WastewaterPathogenAgnostic</v>
      </c>
    </row>
    <row r="88">
      <c r="A88" s="141" t="str">
        <f>IFERROR(__xludf.DUMMYFUNCTION("""COMPUTED_VALUE"""),"Strain and isolation information")</f>
        <v>Strain and isolation information</v>
      </c>
      <c r="B88" s="141" t="str">
        <f>IFERROR(__xludf.DUMMYFUNCTION("""COMPUTED_VALUE"""),"serotyping method")</f>
        <v>serotyping method</v>
      </c>
      <c r="C88" s="141"/>
      <c r="D88" s="141" t="b">
        <f>IFERROR(__xludf.DUMMYFUNCTION("""COMPUTED_VALUE"""),TRUE)</f>
        <v>1</v>
      </c>
      <c r="E88" s="141" t="str">
        <f>IFERROR(__xludf.DUMMYFUNCTION("""COMPUTED_VALUE"""),"GENEPIO:0100468")</f>
        <v>GENEPIO:0100468</v>
      </c>
      <c r="F88" s="141" t="str">
        <f>IFERROR(__xludf.DUMMYFUNCTION("""COMPUTED_VALUE"""),"The method used to determine the serovar.")</f>
        <v>The method used to determine the serovar.</v>
      </c>
      <c r="G88" s="141" t="str">
        <f>IFERROR(__xludf.DUMMYFUNCTION("""COMPUTED_VALUE"""),"If the serovar was determined via traditional serotyping methods, put “Traditional serotyping”. If the serovar was determined via in silico methods, provide the name and version number of the software.")</f>
        <v>If the serovar was determined via traditional serotyping methods, put “Traditional serotyping”. If the serovar was determined via in silico methods, provide the name and version number of the software.</v>
      </c>
      <c r="H88" s="141" t="str">
        <f>IFERROR(__xludf.DUMMYFUNCTION("""COMPUTED_VALUE"""),"SISTR 1.0.1")</f>
        <v>SISTR 1.0.1</v>
      </c>
      <c r="K88" s="144" t="s">
        <v>25</v>
      </c>
      <c r="L88" s="144" t="s">
        <v>25</v>
      </c>
      <c r="M88" s="144" t="s">
        <v>25</v>
      </c>
      <c r="N88" s="142" t="str">
        <f>IFERROR(__xludf.DUMMYFUNCTION("""COMPUTED_VALUE"""),"WastewaterPathogenAgnostic")</f>
        <v>WastewaterPathogenAgnostic</v>
      </c>
    </row>
    <row r="89">
      <c r="A89" s="141" t="str">
        <f>IFERROR(__xludf.DUMMYFUNCTION("""COMPUTED_VALUE"""),"Strain and isolation information")</f>
        <v>Strain and isolation information</v>
      </c>
      <c r="B89" s="141" t="str">
        <f>IFERROR(__xludf.DUMMYFUNCTION("""COMPUTED_VALUE"""),"phagetype")</f>
        <v>phagetype</v>
      </c>
      <c r="C89" s="141"/>
      <c r="D89" s="141"/>
      <c r="E89" s="141" t="str">
        <f>IFERROR(__xludf.DUMMYFUNCTION("""COMPUTED_VALUE"""),"GENEPIO:0100469")</f>
        <v>GENEPIO:0100469</v>
      </c>
      <c r="F89" s="141" t="str">
        <f>IFERROR(__xludf.DUMMYFUNCTION("""COMPUTED_VALUE"""),"The phagetype of the organism.")</f>
        <v>The phagetype of the organism.</v>
      </c>
      <c r="G89" s="141" t="str">
        <f>IFERROR(__xludf.DUMMYFUNCTION("""COMPUTED_VALUE"""),"Provide if known. If unknown, put “missing”.")</f>
        <v>Provide if known. If unknown, put “missing”.</v>
      </c>
      <c r="H89" s="141">
        <f>IFERROR(__xludf.DUMMYFUNCTION("""COMPUTED_VALUE"""),47.0)</f>
        <v>47</v>
      </c>
      <c r="K89" s="142" t="s">
        <v>25</v>
      </c>
      <c r="L89" s="142" t="s">
        <v>25</v>
      </c>
      <c r="M89" s="142" t="s">
        <v>25</v>
      </c>
      <c r="N89" s="142" t="str">
        <f>IFERROR(__xludf.DUMMYFUNCTION("""COMPUTED_VALUE"""),"WastewaterPathogenAgnostic")</f>
        <v>WastewaterPathogenAgnostic</v>
      </c>
    </row>
    <row r="90">
      <c r="A90" s="141"/>
      <c r="B90" s="141" t="str">
        <f>IFERROR(__xludf.DUMMYFUNCTION("""COMPUTED_VALUE"""),"Environmental conditions and measurements")</f>
        <v>Environmental conditions and measurements</v>
      </c>
      <c r="C90" s="141" t="str">
        <f>IFERROR(__xludf.DUMMYFUNCTION("""COMPUTED_VALUE"""),"")</f>
        <v/>
      </c>
      <c r="D90" s="141" t="str">
        <f>IFERROR(__xludf.DUMMYFUNCTION("""COMPUTED_VALUE"""),"")</f>
        <v/>
      </c>
      <c r="E90" s="141"/>
      <c r="F90" s="141"/>
      <c r="G90" s="141"/>
      <c r="H90" s="141"/>
      <c r="I90" s="142"/>
      <c r="J90" s="142"/>
      <c r="K90" s="142"/>
      <c r="L90" s="142"/>
      <c r="M90" s="142"/>
      <c r="N90" s="142" t="str">
        <f>IFERROR(__xludf.DUMMYFUNCTION("""COMPUTED_VALUE"""),"WastewaterSARS-CoV-2;WastewaterAMR;WastewaterPathogenAgnostic")</f>
        <v>WastewaterSARS-CoV-2;WastewaterAMR;WastewaterPathogenAgnostic</v>
      </c>
    </row>
    <row r="91">
      <c r="A91" s="141" t="str">
        <f>IFERROR(__xludf.DUMMYFUNCTION("""COMPUTED_VALUE"""),"Environmental conditions and measurements")</f>
        <v>Environmental conditions and measurements</v>
      </c>
      <c r="B91" s="141" t="str">
        <f>IFERROR(__xludf.DUMMYFUNCTION("""COMPUTED_VALUE"""),"water catchment area human population measurement value")</f>
        <v>water catchment area human population measurement value</v>
      </c>
      <c r="C91" s="141"/>
      <c r="D91" s="141" t="b">
        <f>IFERROR(__xludf.DUMMYFUNCTION("""COMPUTED_VALUE"""),TRUE)</f>
        <v>1</v>
      </c>
      <c r="E91" s="143" t="str">
        <f>IFERROR(__xludf.DUMMYFUNCTION("""COMPUTED_VALUE"""),"GENEPIO:0100773")</f>
        <v>GENEPIO:0100773</v>
      </c>
      <c r="F91" s="141" t="str">
        <f>IFERROR(__xludf.DUMMYFUNCTION("""COMPUTED_VALUE"""),"The numerical value of the human population measurement that contributes to the composition of water in a catchment area.")</f>
        <v>The numerical value of the human population measurement that contributes to the composition of water in a catchment area.</v>
      </c>
      <c r="G91" s="141" t="str">
        <f>IFERROR(__xludf.DUMMYFUNCTION("""COMPUTED_VALUE"""),"Where known, provide the numerical value of population size, i.e. the number of people.")</f>
        <v>Where known, provide the numerical value of population size, i.e. the number of people.</v>
      </c>
      <c r="H91" s="146">
        <f>IFERROR(__xludf.DUMMYFUNCTION("""COMPUTED_VALUE"""),10500.0)</f>
        <v>10500</v>
      </c>
      <c r="K91" s="142" t="s">
        <v>25</v>
      </c>
      <c r="L91" s="142" t="s">
        <v>25</v>
      </c>
      <c r="M91" s="142" t="s">
        <v>25</v>
      </c>
      <c r="N91" s="142" t="str">
        <f>IFERROR(__xludf.DUMMYFUNCTION("""COMPUTED_VALUE"""),"WastewaterSARS-CoV-2;WastewaterAMR;WastewaterPathogenAgnostic")</f>
        <v>WastewaterSARS-CoV-2;WastewaterAMR;WastewaterPathogenAgnostic</v>
      </c>
    </row>
    <row r="92">
      <c r="A92" s="141" t="str">
        <f>IFERROR(__xludf.DUMMYFUNCTION("""COMPUTED_VALUE"""),"Environmental conditions and measurements")</f>
        <v>Environmental conditions and measurements</v>
      </c>
      <c r="B92" s="141" t="str">
        <f>IFERROR(__xludf.DUMMYFUNCTION("""COMPUTED_VALUE"""),"water catchment area human population range")</f>
        <v>water catchment area human population range</v>
      </c>
      <c r="C92" s="141"/>
      <c r="D92" s="141"/>
      <c r="E92" s="143" t="str">
        <f>IFERROR(__xludf.DUMMYFUNCTION("""COMPUTED_VALUE"""),"GENEPIO:0100774")</f>
        <v>GENEPIO:0100774</v>
      </c>
      <c r="F92" s="141" t="str">
        <f>IFERROR(__xludf.DUMMYFUNCTION("""COMPUTED_VALUE"""),"The human population range of the water catchment that contributes effluent to a wastewater site.")</f>
        <v>The human population range of the water catchment that contributes effluent to a wastewater site.</v>
      </c>
      <c r="G92" s="141" t="str">
        <f>IFERROR(__xludf.DUMMYFUNCTION("""COMPUTED_VALUE"""),"Where catchment population is not well known, provide an estimation of population size by selecting a value from the picklist.")</f>
        <v>Where catchment population is not well known, provide an estimation of population size by selecting a value from the picklist.</v>
      </c>
      <c r="H92" s="141" t="str">
        <f>IFERROR(__xludf.DUMMYFUNCTION("""COMPUTED_VALUE"""),"1,000 - 10,000 people")</f>
        <v>1,000 - 10,000 people</v>
      </c>
      <c r="K92" s="142" t="s">
        <v>25</v>
      </c>
      <c r="L92" s="142" t="s">
        <v>25</v>
      </c>
      <c r="M92" s="142" t="s">
        <v>25</v>
      </c>
      <c r="N92" s="142" t="str">
        <f>IFERROR(__xludf.DUMMYFUNCTION("""COMPUTED_VALUE"""),"WastewaterSARS-CoV-2;WastewaterAMR;WastewaterPathogenAgnostic")</f>
        <v>WastewaterSARS-CoV-2;WastewaterAMR;WastewaterPathogenAgnostic</v>
      </c>
    </row>
    <row r="93">
      <c r="A93" s="141" t="str">
        <f>IFERROR(__xludf.DUMMYFUNCTION("""COMPUTED_VALUE"""),"Environmental conditions and measurements")</f>
        <v>Environmental conditions and measurements</v>
      </c>
      <c r="B93" s="141" t="str">
        <f>IFERROR(__xludf.DUMMYFUNCTION("""COMPUTED_VALUE"""),"water catchment area human population measurement method")</f>
        <v>water catchment area human population measurement method</v>
      </c>
      <c r="C93" s="141"/>
      <c r="D93" s="141"/>
      <c r="E93" s="143" t="str">
        <f>IFERROR(__xludf.DUMMYFUNCTION("""COMPUTED_VALUE"""),"GENEPIO:0100775")</f>
        <v>GENEPIO:0100775</v>
      </c>
      <c r="F93" s="141" t="str">
        <f>IFERROR(__xludf.DUMMYFUNCTION("""COMPUTED_VALUE"""),"The method by which a water catchment 's human population size was measured or estimated")</f>
        <v>The method by which a water catchment 's human population size was measured or estimated</v>
      </c>
      <c r="G93" s="141" t="str">
        <f>IFERROR(__xludf.DUMMYFUNCTION("""COMPUTED_VALUE"""),"Provide a brief description of how catchment population size was measured or estimated.")</f>
        <v>Provide a brief description of how catchment population size was measured or estimated.</v>
      </c>
      <c r="H93" s="141" t="str">
        <f>IFERROR(__xludf.DUMMYFUNCTION("""COMPUTED_VALUE"""),"population of jurisdiction encompassing the wastewater service area")</f>
        <v>population of jurisdiction encompassing the wastewater service area</v>
      </c>
      <c r="K93" s="142" t="s">
        <v>25</v>
      </c>
      <c r="L93" s="142" t="s">
        <v>25</v>
      </c>
      <c r="M93" s="142" t="s">
        <v>25</v>
      </c>
      <c r="N93" s="142" t="str">
        <f>IFERROR(__xludf.DUMMYFUNCTION("""COMPUTED_VALUE"""),"WastewaterSARS-CoV-2;WastewaterAMR;WastewaterPathogenAgnostic")</f>
        <v>WastewaterSARS-CoV-2;WastewaterAMR;WastewaterPathogenAgnostic</v>
      </c>
    </row>
    <row r="94">
      <c r="A94" s="141" t="str">
        <f>IFERROR(__xludf.DUMMYFUNCTION("""COMPUTED_VALUE"""),"Environmental conditions and measurements")</f>
        <v>Environmental conditions and measurements</v>
      </c>
      <c r="B94" s="141" t="str">
        <f>IFERROR(__xludf.DUMMYFUNCTION("""COMPUTED_VALUE"""),"water catchment area human population density value")</f>
        <v>water catchment area human population density value</v>
      </c>
      <c r="C94" s="141"/>
      <c r="D94" s="141"/>
      <c r="E94" s="143" t="str">
        <f>IFERROR(__xludf.DUMMYFUNCTION("""COMPUTED_VALUE"""),"GENEPIO:0100776")</f>
        <v>GENEPIO:0100776</v>
      </c>
      <c r="F94" s="141" t="str">
        <f>IFERROR(__xludf.DUMMYFUNCTION("""COMPUTED_VALUE"""),"The numerical value describing the number of humans per geographical area in a water catchment. ")</f>
        <v>The numerical value describing the number of humans per geographical area in a water catchment. </v>
      </c>
      <c r="G94" s="141" t="str">
        <f>IFERROR(__xludf.DUMMYFUNCTION("""COMPUTED_VALUE"""),"Provide the numerical value of the population density in the catchement area. ")</f>
        <v>Provide the numerical value of the population density in the catchement area. </v>
      </c>
      <c r="H94" s="141">
        <f>IFERROR(__xludf.DUMMYFUNCTION("""COMPUTED_VALUE"""),4.0)</f>
        <v>4</v>
      </c>
      <c r="K94" s="142" t="s">
        <v>25</v>
      </c>
      <c r="L94" s="142" t="s">
        <v>25</v>
      </c>
      <c r="M94" s="142" t="s">
        <v>25</v>
      </c>
      <c r="N94" s="142" t="str">
        <f>IFERROR(__xludf.DUMMYFUNCTION("""COMPUTED_VALUE"""),"WastewaterSARS-CoV-2;WastewaterAMR;WastewaterPathogenAgnostic")</f>
        <v>WastewaterSARS-CoV-2;WastewaterAMR;WastewaterPathogenAgnostic</v>
      </c>
    </row>
    <row r="95">
      <c r="A95" s="141" t="str">
        <f>IFERROR(__xludf.DUMMYFUNCTION("""COMPUTED_VALUE"""),"Environmental conditions and measurements")</f>
        <v>Environmental conditions and measurements</v>
      </c>
      <c r="B95" s="141" t="str">
        <f>IFERROR(__xludf.DUMMYFUNCTION("""COMPUTED_VALUE"""),"water catchment area human population density unit")</f>
        <v>water catchment area human population density unit</v>
      </c>
      <c r="C95" s="141"/>
      <c r="D95" s="141"/>
      <c r="E95" s="143" t="str">
        <f>IFERROR(__xludf.DUMMYFUNCTION("""COMPUTED_VALUE"""),"GENEPIO:0100777")</f>
        <v>GENEPIO:0100777</v>
      </c>
      <c r="F95" s="141" t="str">
        <f>IFERROR(__xludf.DUMMYFUNCTION("""COMPUTED_VALUE"""),"The unit describing the number of humans per geographical area in a water catchment. ")</f>
        <v>The unit describing the number of humans per geographical area in a water catchment. </v>
      </c>
      <c r="G95" s="141" t="str">
        <f>IFERROR(__xludf.DUMMYFUNCTION("""COMPUTED_VALUE"""),"Provide the unit of the population density in the catchement area. ")</f>
        <v>Provide the unit of the population density in the catchement area. </v>
      </c>
      <c r="H95" s="141" t="str">
        <f>IFERROR(__xludf.DUMMYFUNCTION("""COMPUTED_VALUE"""),"persons per Km^2")</f>
        <v>persons per Km^2</v>
      </c>
      <c r="K95" s="142" t="s">
        <v>25</v>
      </c>
      <c r="L95" s="142" t="s">
        <v>25</v>
      </c>
      <c r="M95" s="142" t="s">
        <v>25</v>
      </c>
      <c r="N95" s="142" t="str">
        <f>IFERROR(__xludf.DUMMYFUNCTION("""COMPUTED_VALUE"""),"WastewaterSARS-CoV-2;WastewaterAMR;WastewaterPathogenAgnostic")</f>
        <v>WastewaterSARS-CoV-2;WastewaterAMR;WastewaterPathogenAgnostic</v>
      </c>
    </row>
    <row r="96">
      <c r="A96" s="141" t="str">
        <f>IFERROR(__xludf.DUMMYFUNCTION("""COMPUTED_VALUE"""),"Environmental conditions and measurements")</f>
        <v>Environmental conditions and measurements</v>
      </c>
      <c r="B96" s="141" t="str">
        <f>IFERROR(__xludf.DUMMYFUNCTION("""COMPUTED_VALUE"""),"populated area type")</f>
        <v>populated area type</v>
      </c>
      <c r="C96" s="141"/>
      <c r="D96" s="141"/>
      <c r="E96" s="143" t="str">
        <f>IFERROR(__xludf.DUMMYFUNCTION("""COMPUTED_VALUE"""),"GENEPIO:0100778")</f>
        <v>GENEPIO:0100778</v>
      </c>
      <c r="F96" s="141" t="str">
        <f>IFERROR(__xludf.DUMMYFUNCTION("""COMPUTED_VALUE"""),"A type of area that is populated by humans to different degrees.")</f>
        <v>A type of area that is populated by humans to different degrees.</v>
      </c>
      <c r="G96" s="141" t="str">
        <f>IFERROR(__xludf.DUMMYFUNCTION("""COMPUTED_VALUE"""),"Provide the populated area type from the pick list.")</f>
        <v>Provide the populated area type from the pick list.</v>
      </c>
      <c r="H96" s="141" t="str">
        <f>IFERROR(__xludf.DUMMYFUNCTION("""COMPUTED_VALUE"""),"Urban area")</f>
        <v>Urban area</v>
      </c>
      <c r="K96" s="142" t="s">
        <v>25</v>
      </c>
      <c r="L96" s="142" t="s">
        <v>25</v>
      </c>
      <c r="M96" s="142" t="s">
        <v>25</v>
      </c>
      <c r="N96" s="142" t="str">
        <f>IFERROR(__xludf.DUMMYFUNCTION("""COMPUTED_VALUE"""),"WastewaterSARS-CoV-2;WastewaterAMR;WastewaterPathogenAgnostic")</f>
        <v>WastewaterSARS-CoV-2;WastewaterAMR;WastewaterPathogenAgnostic</v>
      </c>
    </row>
    <row r="97">
      <c r="A97" s="141" t="str">
        <f>IFERROR(__xludf.DUMMYFUNCTION("""COMPUTED_VALUE"""),"Environmental conditions and measurements")</f>
        <v>Environmental conditions and measurements</v>
      </c>
      <c r="B97" s="141" t="str">
        <f>IFERROR(__xludf.DUMMYFUNCTION("""COMPUTED_VALUE"""),"sampling weather conditions")</f>
        <v>sampling weather conditions</v>
      </c>
      <c r="C97" s="141"/>
      <c r="D97" s="141"/>
      <c r="E97" s="143" t="str">
        <f>IFERROR(__xludf.DUMMYFUNCTION("""COMPUTED_VALUE"""),"GENEPIO:0100779")</f>
        <v>GENEPIO:0100779</v>
      </c>
      <c r="F97" s="141" t="str">
        <f>IFERROR(__xludf.DUMMYFUNCTION("""COMPUTED_VALUE"""),"The state of the atmosphere at a place and time as regards heat, dryness, sunshine, wind, rain, etc.")</f>
        <v>The state of the atmosphere at a place and time as regards heat, dryness, sunshine, wind, rain, etc.</v>
      </c>
      <c r="G97" s="141" t="str">
        <f>IFERROR(__xludf.DUMMYFUNCTION("""COMPUTED_VALUE"""),"Provide the weather conditions at the time of sample collection.")</f>
        <v>Provide the weather conditions at the time of sample collection.</v>
      </c>
      <c r="H97" s="141" t="str">
        <f>IFERROR(__xludf.DUMMYFUNCTION("""COMPUTED_VALUE"""),"Rain ")</f>
        <v>Rain </v>
      </c>
      <c r="K97" s="142" t="s">
        <v>25</v>
      </c>
      <c r="L97" s="142" t="s">
        <v>25</v>
      </c>
      <c r="M97" s="142" t="s">
        <v>25</v>
      </c>
      <c r="N97" s="142" t="str">
        <f>IFERROR(__xludf.DUMMYFUNCTION("""COMPUTED_VALUE"""),"WastewaterSARS-CoV-2;WastewaterAMR;WastewaterPathogenAgnostic")</f>
        <v>WastewaterSARS-CoV-2;WastewaterAMR;WastewaterPathogenAgnostic</v>
      </c>
    </row>
    <row r="98">
      <c r="A98" s="141" t="str">
        <f>IFERROR(__xludf.DUMMYFUNCTION("""COMPUTED_VALUE"""),"Environmental conditions and measurements")</f>
        <v>Environmental conditions and measurements</v>
      </c>
      <c r="B98" s="141" t="str">
        <f>IFERROR(__xludf.DUMMYFUNCTION("""COMPUTED_VALUE"""),"presampling weather conditions")</f>
        <v>presampling weather conditions</v>
      </c>
      <c r="C98" s="141"/>
      <c r="D98" s="141"/>
      <c r="E98" s="143" t="str">
        <f>IFERROR(__xludf.DUMMYFUNCTION("""COMPUTED_VALUE"""),"GENEPIO:0100780")</f>
        <v>GENEPIO:0100780</v>
      </c>
      <c r="F98" s="141" t="str">
        <f>IFERROR(__xludf.DUMMYFUNCTION("""COMPUTED_VALUE"""),"Weather conditions prior to collection that may affect the sample.")</f>
        <v>Weather conditions prior to collection that may affect the sample.</v>
      </c>
      <c r="G98" s="141" t="str">
        <f>IFERROR(__xludf.DUMMYFUNCTION("""COMPUTED_VALUE"""),"Provide the weather conditions prior to sample collection.")</f>
        <v>Provide the weather conditions prior to sample collection.</v>
      </c>
      <c r="H98" s="141" t="str">
        <f>IFERROR(__xludf.DUMMYFUNCTION("""COMPUTED_VALUE"""),"Drizzle")</f>
        <v>Drizzle</v>
      </c>
      <c r="K98" s="142" t="s">
        <v>25</v>
      </c>
      <c r="L98" s="142" t="s">
        <v>25</v>
      </c>
      <c r="M98" s="142" t="s">
        <v>25</v>
      </c>
      <c r="N98" s="142" t="str">
        <f>IFERROR(__xludf.DUMMYFUNCTION("""COMPUTED_VALUE"""),"WastewaterSARS-CoV-2;WastewaterAMR;WastewaterPathogenAgnostic")</f>
        <v>WastewaterSARS-CoV-2;WastewaterAMR;WastewaterPathogenAgnostic</v>
      </c>
    </row>
    <row r="99">
      <c r="A99" s="141" t="str">
        <f>IFERROR(__xludf.DUMMYFUNCTION("""COMPUTED_VALUE"""),"Environmental conditions and measurements")</f>
        <v>Environmental conditions and measurements</v>
      </c>
      <c r="B99" s="141" t="str">
        <f>IFERROR(__xludf.DUMMYFUNCTION("""COMPUTED_VALUE"""),"precipitation measurement value")</f>
        <v>precipitation measurement value</v>
      </c>
      <c r="C99" s="141"/>
      <c r="D99" s="141" t="b">
        <f>IFERROR(__xludf.DUMMYFUNCTION("""COMPUTED_VALUE"""),TRUE)</f>
        <v>1</v>
      </c>
      <c r="E99" s="143" t="str">
        <f>IFERROR(__xludf.DUMMYFUNCTION("""COMPUTED_VALUE"""),"GENEPIO:0100911")</f>
        <v>GENEPIO:0100911</v>
      </c>
      <c r="F99" s="141" t="str">
        <f>IFERROR(__xludf.DUMMYFUNCTION("""COMPUTED_VALUE"""),"The amount of water which has fallen during a precipitation process.")</f>
        <v>The amount of water which has fallen during a precipitation process.</v>
      </c>
      <c r="G99" s="141" t="str">
        <f>IFERROR(__xludf.DUMMYFUNCTION("""COMPUTED_VALUE"""),"Provide the quantity of precipitation in the area leading up to the time of sample collection.")</f>
        <v>Provide the quantity of precipitation in the area leading up to the time of sample collection.</v>
      </c>
      <c r="H99" s="141">
        <f>IFERROR(__xludf.DUMMYFUNCTION("""COMPUTED_VALUE"""),12.0)</f>
        <v>12</v>
      </c>
      <c r="K99" s="142" t="s">
        <v>25</v>
      </c>
      <c r="L99" s="142" t="s">
        <v>25</v>
      </c>
      <c r="M99" s="142" t="s">
        <v>25</v>
      </c>
      <c r="N99" s="142" t="str">
        <f>IFERROR(__xludf.DUMMYFUNCTION("""COMPUTED_VALUE"""),"WastewaterSARS-CoV-2;WastewaterAMR;WastewaterPathogenAgnostic")</f>
        <v>WastewaterSARS-CoV-2;WastewaterAMR;WastewaterPathogenAgnostic</v>
      </c>
    </row>
    <row r="100">
      <c r="A100" s="141" t="str">
        <f>IFERROR(__xludf.DUMMYFUNCTION("""COMPUTED_VALUE"""),"Environmental conditions and measurements")</f>
        <v>Environmental conditions and measurements</v>
      </c>
      <c r="B100" s="141" t="str">
        <f>IFERROR(__xludf.DUMMYFUNCTION("""COMPUTED_VALUE"""),"precipitation measurement unit")</f>
        <v>precipitation measurement unit</v>
      </c>
      <c r="C100" s="141"/>
      <c r="D100" s="141" t="b">
        <f>IFERROR(__xludf.DUMMYFUNCTION("""COMPUTED_VALUE"""),TRUE)</f>
        <v>1</v>
      </c>
      <c r="E100" s="143" t="str">
        <f>IFERROR(__xludf.DUMMYFUNCTION("""COMPUTED_VALUE"""),"GENEPIO:0100912")</f>
        <v>GENEPIO:0100912</v>
      </c>
      <c r="F100" s="141" t="str">
        <f>IFERROR(__xludf.DUMMYFUNCTION("""COMPUTED_VALUE"""),"The units of measurement for the amount of water which has fallen during a precipitation process.")</f>
        <v>The units of measurement for the amount of water which has fallen during a precipitation process.</v>
      </c>
      <c r="G100" s="141" t="str">
        <f>IFERROR(__xludf.DUMMYFUNCTION("""COMPUTED_VALUE"""),"Provide the units of precipitation by selecting a value from the pick list.")</f>
        <v>Provide the units of precipitation by selecting a value from the pick list.</v>
      </c>
      <c r="H100" s="141" t="str">
        <f>IFERROR(__xludf.DUMMYFUNCTION("""COMPUTED_VALUE"""),"inch")</f>
        <v>inch</v>
      </c>
      <c r="K100" s="142" t="s">
        <v>25</v>
      </c>
      <c r="L100" s="142" t="s">
        <v>25</v>
      </c>
      <c r="M100" s="142" t="s">
        <v>25</v>
      </c>
      <c r="N100" s="142" t="str">
        <f>IFERROR(__xludf.DUMMYFUNCTION("""COMPUTED_VALUE"""),"WastewaterSARS-CoV-2;WastewaterAMR;WastewaterPathogenAgnostic")</f>
        <v>WastewaterSARS-CoV-2;WastewaterAMR;WastewaterPathogenAgnostic</v>
      </c>
    </row>
    <row r="101">
      <c r="A101" s="141" t="str">
        <f>IFERROR(__xludf.DUMMYFUNCTION("""COMPUTED_VALUE"""),"Environmental conditions and measurements")</f>
        <v>Environmental conditions and measurements</v>
      </c>
      <c r="B101" s="141" t="str">
        <f>IFERROR(__xludf.DUMMYFUNCTION("""COMPUTED_VALUE"""),"precipitation measurement method")</f>
        <v>precipitation measurement method</v>
      </c>
      <c r="C101" s="141"/>
      <c r="D101" s="141"/>
      <c r="E101" s="143" t="str">
        <f>IFERROR(__xludf.DUMMYFUNCTION("""COMPUTED_VALUE"""),"GENEPIO:0100913")</f>
        <v>GENEPIO:0100913</v>
      </c>
      <c r="F101" s="141" t="str">
        <f>IFERROR(__xludf.DUMMYFUNCTION("""COMPUTED_VALUE"""),"The process used to measure the amount of water which has fallen during a precipitation process.")</f>
        <v>The process used to measure the amount of water which has fallen during a precipitation process.</v>
      </c>
      <c r="G101" s="141" t="str">
        <f>IFERROR(__xludf.DUMMYFUNCTION("""COMPUTED_VALUE"""),"Provide the name of the procedure or method used to measure precipitation.")</f>
        <v>Provide the name of the procedure or method used to measure precipitation.</v>
      </c>
      <c r="H101" s="141" t="str">
        <f>IFERROR(__xludf.DUMMYFUNCTION("""COMPUTED_VALUE"""),"Rain gauge over a 12 hour period prior to sample collection")</f>
        <v>Rain gauge over a 12 hour period prior to sample collection</v>
      </c>
      <c r="K101" s="142" t="s">
        <v>25</v>
      </c>
      <c r="L101" s="142" t="s">
        <v>25</v>
      </c>
      <c r="M101" s="142" t="s">
        <v>25</v>
      </c>
      <c r="N101" s="142" t="str">
        <f>IFERROR(__xludf.DUMMYFUNCTION("""COMPUTED_VALUE"""),"WastewaterSARS-CoV-2;WastewaterAMR;WastewaterPathogenAgnostic")</f>
        <v>WastewaterSARS-CoV-2;WastewaterAMR;WastewaterPathogenAgnostic</v>
      </c>
    </row>
    <row r="102">
      <c r="A102" s="141" t="str">
        <f>IFERROR(__xludf.DUMMYFUNCTION("""COMPUTED_VALUE"""),"Environmental conditions and measurements")</f>
        <v>Environmental conditions and measurements</v>
      </c>
      <c r="B102" s="141" t="str">
        <f>IFERROR(__xludf.DUMMYFUNCTION("""COMPUTED_VALUE"""),"ambient temperature measurement value")</f>
        <v>ambient temperature measurement value</v>
      </c>
      <c r="C102" s="141"/>
      <c r="D102" s="141"/>
      <c r="E102" s="143" t="str">
        <f>IFERROR(__xludf.DUMMYFUNCTION("""COMPUTED_VALUE"""),"GENEPIO:0100935")</f>
        <v>GENEPIO:0100935</v>
      </c>
      <c r="F102" s="141" t="str">
        <f>IFERROR(__xludf.DUMMYFUNCTION("""COMPUTED_VALUE"""),"The numerical value of a measurement of the ambient temperature.")</f>
        <v>The numerical value of a measurement of the ambient temperature.</v>
      </c>
      <c r="G102" s="141" t="str">
        <f>IFERROR(__xludf.DUMMYFUNCTION("""COMPUTED_VALUE"""),"Provide the numerical value of the measured temperature.")</f>
        <v>Provide the numerical value of the measured temperature.</v>
      </c>
      <c r="H102" s="141">
        <f>IFERROR(__xludf.DUMMYFUNCTION("""COMPUTED_VALUE"""),70.0)</f>
        <v>70</v>
      </c>
      <c r="K102" s="142" t="s">
        <v>25</v>
      </c>
      <c r="L102" s="142" t="s">
        <v>25</v>
      </c>
      <c r="M102" s="142" t="s">
        <v>25</v>
      </c>
      <c r="N102" s="142" t="str">
        <f>IFERROR(__xludf.DUMMYFUNCTION("""COMPUTED_VALUE"""),"WastewaterSARS-CoV-2;WastewaterAMR;WastewaterPathogenAgnostic")</f>
        <v>WastewaterSARS-CoV-2;WastewaterAMR;WastewaterPathogenAgnostic</v>
      </c>
    </row>
    <row r="103">
      <c r="A103" s="141" t="str">
        <f>IFERROR(__xludf.DUMMYFUNCTION("""COMPUTED_VALUE"""),"Environmental conditions and measurements")</f>
        <v>Environmental conditions and measurements</v>
      </c>
      <c r="B103" s="141" t="str">
        <f>IFERROR(__xludf.DUMMYFUNCTION("""COMPUTED_VALUE"""),"ambient temperature measurement unit")</f>
        <v>ambient temperature measurement unit</v>
      </c>
      <c r="C103" s="141"/>
      <c r="D103" s="141"/>
      <c r="E103" s="143" t="str">
        <f>IFERROR(__xludf.DUMMYFUNCTION("""COMPUTED_VALUE"""),"GENEPIO:0100936")</f>
        <v>GENEPIO:0100936</v>
      </c>
      <c r="F103" s="141" t="str">
        <f>IFERROR(__xludf.DUMMYFUNCTION("""COMPUTED_VALUE"""),"The units of a measurement of the ambient temperature.")</f>
        <v>The units of a measurement of the ambient temperature.</v>
      </c>
      <c r="G103" s="141" t="str">
        <f>IFERROR(__xludf.DUMMYFUNCTION("""COMPUTED_VALUE"""),"Provide the units of the measured temperature.")</f>
        <v>Provide the units of the measured temperature.</v>
      </c>
      <c r="H103" s="141" t="str">
        <f>IFERROR(__xludf.DUMMYFUNCTION("""COMPUTED_VALUE"""),"degree Celsius (C)")</f>
        <v>degree Celsius (C)</v>
      </c>
      <c r="K103" s="142" t="s">
        <v>25</v>
      </c>
      <c r="L103" s="142" t="s">
        <v>25</v>
      </c>
      <c r="M103" s="142" t="s">
        <v>25</v>
      </c>
      <c r="N103" s="142" t="str">
        <f>IFERROR(__xludf.DUMMYFUNCTION("""COMPUTED_VALUE"""),"WastewaterSARS-CoV-2;WastewaterAMR;WastewaterPathogenAgnostic")</f>
        <v>WastewaterSARS-CoV-2;WastewaterAMR;WastewaterPathogenAgnostic</v>
      </c>
    </row>
    <row r="104">
      <c r="A104" s="141" t="str">
        <f>IFERROR(__xludf.DUMMYFUNCTION("""COMPUTED_VALUE"""),"Environmental conditions and measurements")</f>
        <v>Environmental conditions and measurements</v>
      </c>
      <c r="B104" s="141" t="str">
        <f>IFERROR(__xludf.DUMMYFUNCTION("""COMPUTED_VALUE"""),"pH measurement value")</f>
        <v>pH measurement value</v>
      </c>
      <c r="C104" s="141"/>
      <c r="D104" s="141"/>
      <c r="E104" s="141" t="str">
        <f>IFERROR(__xludf.DUMMYFUNCTION("""COMPUTED_VALUE"""),"GENEPIO:0001736")</f>
        <v>GENEPIO:0001736</v>
      </c>
      <c r="F104" s="141" t="str">
        <f>IFERROR(__xludf.DUMMYFUNCTION("""COMPUTED_VALUE"""),"The measured pH value indicating the acidity or basicity(alkalinity) of an aqueous solution.")</f>
        <v>The measured pH value indicating the acidity or basicity(alkalinity) of an aqueous solution.</v>
      </c>
      <c r="G104" s="141" t="str">
        <f>IFERROR(__xludf.DUMMYFUNCTION("""COMPUTED_VALUE"""),"Provide the numerical value of the measured pH.")</f>
        <v>Provide the numerical value of the measured pH.</v>
      </c>
      <c r="H104" s="141">
        <f>IFERROR(__xludf.DUMMYFUNCTION("""COMPUTED_VALUE"""),7.4)</f>
        <v>7.4</v>
      </c>
      <c r="K104" s="142" t="s">
        <v>25</v>
      </c>
      <c r="L104" s="142" t="s">
        <v>25</v>
      </c>
      <c r="M104" s="142" t="s">
        <v>25</v>
      </c>
      <c r="N104" s="142" t="str">
        <f>IFERROR(__xludf.DUMMYFUNCTION("""COMPUTED_VALUE"""),"WastewaterSARS-CoV-2;WastewaterAMR;WastewaterPathogenAgnostic")</f>
        <v>WastewaterSARS-CoV-2;WastewaterAMR;WastewaterPathogenAgnostic</v>
      </c>
    </row>
    <row r="105">
      <c r="A105" s="141" t="str">
        <f>IFERROR(__xludf.DUMMYFUNCTION("""COMPUTED_VALUE"""),"Environmental conditions and measurements")</f>
        <v>Environmental conditions and measurements</v>
      </c>
      <c r="B105" s="141" t="str">
        <f>IFERROR(__xludf.DUMMYFUNCTION("""COMPUTED_VALUE"""),"pH measurement method")</f>
        <v>pH measurement method</v>
      </c>
      <c r="C105" s="141"/>
      <c r="D105" s="141"/>
      <c r="E105" s="143" t="str">
        <f>IFERROR(__xludf.DUMMYFUNCTION("""COMPUTED_VALUE"""),"GENEPIO:0100781")</f>
        <v>GENEPIO:0100781</v>
      </c>
      <c r="F105" s="141" t="str">
        <f>IFERROR(__xludf.DUMMYFUNCTION("""COMPUTED_VALUE"""),"The process used to measure pH value.")</f>
        <v>The process used to measure pH value.</v>
      </c>
      <c r="G105" s="141" t="str">
        <f>IFERROR(__xludf.DUMMYFUNCTION("""COMPUTED_VALUE"""),"Provide the name of the procedure or technology used to measure pH.")</f>
        <v>Provide the name of the procedure or technology used to measure pH.</v>
      </c>
      <c r="H105" s="141" t="str">
        <f>IFERROR(__xludf.DUMMYFUNCTION("""COMPUTED_VALUE"""),"pH test strip (litmus test)")</f>
        <v>pH test strip (litmus test)</v>
      </c>
      <c r="K105" s="142" t="s">
        <v>25</v>
      </c>
      <c r="L105" s="142" t="s">
        <v>25</v>
      </c>
      <c r="M105" s="142" t="s">
        <v>25</v>
      </c>
      <c r="N105" s="142" t="str">
        <f>IFERROR(__xludf.DUMMYFUNCTION("""COMPUTED_VALUE"""),"WastewaterSARS-CoV-2;WastewaterAMR;WastewaterPathogenAgnostic")</f>
        <v>WastewaterSARS-CoV-2;WastewaterAMR;WastewaterPathogenAgnostic</v>
      </c>
    </row>
    <row r="106">
      <c r="A106" s="141" t="str">
        <f>IFERROR(__xludf.DUMMYFUNCTION("""COMPUTED_VALUE"""),"Environmental conditions and measurements")</f>
        <v>Environmental conditions and measurements</v>
      </c>
      <c r="B106" s="141" t="str">
        <f>IFERROR(__xludf.DUMMYFUNCTION("""COMPUTED_VALUE"""),"total daily flow rate measurement value")</f>
        <v>total daily flow rate measurement value</v>
      </c>
      <c r="C106" s="141"/>
      <c r="D106" s="141"/>
      <c r="E106" s="143" t="str">
        <f>IFERROR(__xludf.DUMMYFUNCTION("""COMPUTED_VALUE"""),"GENEPIO:0100905")</f>
        <v>GENEPIO:0100905</v>
      </c>
      <c r="F106" s="141" t="str">
        <f>IFERROR(__xludf.DUMMYFUNCTION("""COMPUTED_VALUE"""),"The numerical value of a measured fluid flow rate over the course of a day.")</f>
        <v>The numerical value of a measured fluid flow rate over the course of a day.</v>
      </c>
      <c r="G106" s="141" t="str">
        <f>IFERROR(__xludf.DUMMYFUNCTION("""COMPUTED_VALUE"""),"Provide the numerical value of the measured flow rate.")</f>
        <v>Provide the numerical value of the measured flow rate.</v>
      </c>
      <c r="H106" s="141">
        <f>IFERROR(__xludf.DUMMYFUNCTION("""COMPUTED_VALUE"""),10.0)</f>
        <v>10</v>
      </c>
      <c r="K106" s="142" t="s">
        <v>25</v>
      </c>
      <c r="L106" s="142" t="s">
        <v>25</v>
      </c>
      <c r="M106" s="142" t="s">
        <v>25</v>
      </c>
      <c r="N106" s="142" t="str">
        <f>IFERROR(__xludf.DUMMYFUNCTION("""COMPUTED_VALUE"""),"WastewaterSARS-CoV-2;WastewaterAMR;WastewaterPathogenAgnostic")</f>
        <v>WastewaterSARS-CoV-2;WastewaterAMR;WastewaterPathogenAgnostic</v>
      </c>
    </row>
    <row r="107">
      <c r="A107" s="141" t="str">
        <f>IFERROR(__xludf.DUMMYFUNCTION("""COMPUTED_VALUE"""),"Environmental conditions and measurements")</f>
        <v>Environmental conditions and measurements</v>
      </c>
      <c r="B107" s="141" t="str">
        <f>IFERROR(__xludf.DUMMYFUNCTION("""COMPUTED_VALUE"""),"total daily flow rate measurement unit")</f>
        <v>total daily flow rate measurement unit</v>
      </c>
      <c r="C107" s="141"/>
      <c r="D107" s="141"/>
      <c r="E107" s="143" t="str">
        <f>IFERROR(__xludf.DUMMYFUNCTION("""COMPUTED_VALUE"""),"GENEPIO:0100906")</f>
        <v>GENEPIO:0100906</v>
      </c>
      <c r="F107" s="141" t="str">
        <f>IFERROR(__xludf.DUMMYFUNCTION("""COMPUTED_VALUE"""),"The units of a measured fluid flow rate over the course of a day.")</f>
        <v>The units of a measured fluid flow rate over the course of a day.</v>
      </c>
      <c r="G107" s="141" t="str">
        <f>IFERROR(__xludf.DUMMYFUNCTION("""COMPUTED_VALUE"""),"Provide the units of the measured flow rate by selecting a value from the pick list.")</f>
        <v>Provide the units of the measured flow rate by selecting a value from the pick list.</v>
      </c>
      <c r="H107" s="141" t="str">
        <f>IFERROR(__xludf.DUMMYFUNCTION("""COMPUTED_VALUE"""),"million gallons per day (MGD)")</f>
        <v>million gallons per day (MGD)</v>
      </c>
      <c r="K107" s="142" t="s">
        <v>25</v>
      </c>
      <c r="L107" s="142" t="s">
        <v>25</v>
      </c>
      <c r="M107" s="142" t="s">
        <v>25</v>
      </c>
      <c r="N107" s="142" t="str">
        <f>IFERROR(__xludf.DUMMYFUNCTION("""COMPUTED_VALUE"""),"WastewaterSARS-CoV-2;WastewaterAMR;WastewaterPathogenAgnostic")</f>
        <v>WastewaterSARS-CoV-2;WastewaterAMR;WastewaterPathogenAgnostic</v>
      </c>
    </row>
    <row r="108">
      <c r="A108" s="141" t="str">
        <f>IFERROR(__xludf.DUMMYFUNCTION("""COMPUTED_VALUE"""),"Environmental conditions and measurements")</f>
        <v>Environmental conditions and measurements</v>
      </c>
      <c r="B108" s="141" t="str">
        <f>IFERROR(__xludf.DUMMYFUNCTION("""COMPUTED_VALUE"""),"total daily flow rate measurement method")</f>
        <v>total daily flow rate measurement method</v>
      </c>
      <c r="C108" s="141"/>
      <c r="D108" s="141"/>
      <c r="E108" s="143" t="str">
        <f>IFERROR(__xludf.DUMMYFUNCTION("""COMPUTED_VALUE"""),"GENEPIO:0100907")</f>
        <v>GENEPIO:0100907</v>
      </c>
      <c r="F108" s="141" t="str">
        <f>IFERROR(__xludf.DUMMYFUNCTION("""COMPUTED_VALUE"""),"The process used to measure total daily fluid flow rate.")</f>
        <v>The process used to measure total daily fluid flow rate.</v>
      </c>
      <c r="G108" s="141" t="str">
        <f>IFERROR(__xludf.DUMMYFUNCTION("""COMPUTED_VALUE"""),"Provide the name of the procedure or technology used to measure flow rate.")</f>
        <v>Provide the name of the procedure or technology used to measure flow rate.</v>
      </c>
      <c r="H108" s="141" t="str">
        <f>IFERROR(__xludf.DUMMYFUNCTION("""COMPUTED_VALUE"""),"Flow meter")</f>
        <v>Flow meter</v>
      </c>
      <c r="K108" s="142" t="s">
        <v>25</v>
      </c>
      <c r="L108" s="142" t="s">
        <v>25</v>
      </c>
      <c r="M108" s="142" t="s">
        <v>25</v>
      </c>
      <c r="N108" s="142" t="str">
        <f>IFERROR(__xludf.DUMMYFUNCTION("""COMPUTED_VALUE"""),"WastewaterSARS-CoV-2;WastewaterAMR;WastewaterPathogenAgnostic")</f>
        <v>WastewaterSARS-CoV-2;WastewaterAMR;WastewaterPathogenAgnostic</v>
      </c>
    </row>
    <row r="109">
      <c r="A109" s="141" t="str">
        <f>IFERROR(__xludf.DUMMYFUNCTION("""COMPUTED_VALUE"""),"Environmental conditions and measurements")</f>
        <v>Environmental conditions and measurements</v>
      </c>
      <c r="B109" s="141" t="str">
        <f>IFERROR(__xludf.DUMMYFUNCTION("""COMPUTED_VALUE"""),"instantaneous flow rate measurement value")</f>
        <v>instantaneous flow rate measurement value</v>
      </c>
      <c r="C109" s="141"/>
      <c r="D109" s="141"/>
      <c r="E109" s="143" t="str">
        <f>IFERROR(__xludf.DUMMYFUNCTION("""COMPUTED_VALUE"""),"GENEPIO:0100908")</f>
        <v>GENEPIO:0100908</v>
      </c>
      <c r="F109" s="141" t="str">
        <f>IFERROR(__xludf.DUMMYFUNCTION("""COMPUTED_VALUE"""),"The numerical value of a measured instantaneous fluid flow rate.")</f>
        <v>The numerical value of a measured instantaneous fluid flow rate.</v>
      </c>
      <c r="G109" s="141" t="str">
        <f>IFERROR(__xludf.DUMMYFUNCTION("""COMPUTED_VALUE"""),"Provide the numerical value of the measured flow rate.")</f>
        <v>Provide the numerical value of the measured flow rate.</v>
      </c>
      <c r="H109" s="141">
        <f>IFERROR(__xludf.DUMMYFUNCTION("""COMPUTED_VALUE"""),25.0)</f>
        <v>25</v>
      </c>
      <c r="K109" s="142" t="s">
        <v>25</v>
      </c>
      <c r="L109" s="142" t="s">
        <v>25</v>
      </c>
      <c r="M109" s="142" t="s">
        <v>25</v>
      </c>
      <c r="N109" s="142" t="str">
        <f>IFERROR(__xludf.DUMMYFUNCTION("""COMPUTED_VALUE"""),"WastewaterSARS-CoV-2;WastewaterAMR;WastewaterPathogenAgnostic")</f>
        <v>WastewaterSARS-CoV-2;WastewaterAMR;WastewaterPathogenAgnostic</v>
      </c>
    </row>
    <row r="110">
      <c r="A110" s="141" t="str">
        <f>IFERROR(__xludf.DUMMYFUNCTION("""COMPUTED_VALUE"""),"Environmental conditions and measurements")</f>
        <v>Environmental conditions and measurements</v>
      </c>
      <c r="B110" s="141" t="str">
        <f>IFERROR(__xludf.DUMMYFUNCTION("""COMPUTED_VALUE"""),"instantaneous flow rate measurement unit")</f>
        <v>instantaneous flow rate measurement unit</v>
      </c>
      <c r="C110" s="141"/>
      <c r="D110" s="141"/>
      <c r="E110" s="143" t="str">
        <f>IFERROR(__xludf.DUMMYFUNCTION("""COMPUTED_VALUE"""),"GENEPIO:0100909")</f>
        <v>GENEPIO:0100909</v>
      </c>
      <c r="F110" s="141" t="str">
        <f>IFERROR(__xludf.DUMMYFUNCTION("""COMPUTED_VALUE"""),"The units of a measured instantaneous fluid flow rate.")</f>
        <v>The units of a measured instantaneous fluid flow rate.</v>
      </c>
      <c r="G110" s="141" t="str">
        <f>IFERROR(__xludf.DUMMYFUNCTION("""COMPUTED_VALUE"""),"Provide the units of the measured flow rate by selecting a value from the pick list.")</f>
        <v>Provide the units of the measured flow rate by selecting a value from the pick list.</v>
      </c>
      <c r="H110" s="141" t="str">
        <f>IFERROR(__xludf.DUMMYFUNCTION("""COMPUTED_VALUE"""),"cubic meter per hour (m^3/h)")</f>
        <v>cubic meter per hour (m^3/h)</v>
      </c>
      <c r="K110" s="142" t="s">
        <v>25</v>
      </c>
      <c r="L110" s="142" t="s">
        <v>25</v>
      </c>
      <c r="M110" s="142" t="s">
        <v>25</v>
      </c>
      <c r="N110" s="142" t="str">
        <f>IFERROR(__xludf.DUMMYFUNCTION("""COMPUTED_VALUE"""),"WastewaterSARS-CoV-2;WastewaterAMR;WastewaterPathogenAgnostic")</f>
        <v>WastewaterSARS-CoV-2;WastewaterAMR;WastewaterPathogenAgnostic</v>
      </c>
    </row>
    <row r="111">
      <c r="A111" s="141" t="str">
        <f>IFERROR(__xludf.DUMMYFUNCTION("""COMPUTED_VALUE"""),"Environmental conditions and measurements")</f>
        <v>Environmental conditions and measurements</v>
      </c>
      <c r="B111" s="141" t="str">
        <f>IFERROR(__xludf.DUMMYFUNCTION("""COMPUTED_VALUE"""),"instantaneous flow rate measurement method")</f>
        <v>instantaneous flow rate measurement method</v>
      </c>
      <c r="C111" s="141"/>
      <c r="D111" s="141"/>
      <c r="E111" s="143" t="str">
        <f>IFERROR(__xludf.DUMMYFUNCTION("""COMPUTED_VALUE"""),"GENEPIO:0100910")</f>
        <v>GENEPIO:0100910</v>
      </c>
      <c r="F111" s="141" t="str">
        <f>IFERROR(__xludf.DUMMYFUNCTION("""COMPUTED_VALUE"""),"The process used to measure instantaneous fluid flow rate.")</f>
        <v>The process used to measure instantaneous fluid flow rate.</v>
      </c>
      <c r="G111" s="141" t="str">
        <f>IFERROR(__xludf.DUMMYFUNCTION("""COMPUTED_VALUE"""),"Provide the name of the procedure or technology used to measure flow rate.")</f>
        <v>Provide the name of the procedure or technology used to measure flow rate.</v>
      </c>
      <c r="H111" s="141" t="str">
        <f>IFERROR(__xludf.DUMMYFUNCTION("""COMPUTED_VALUE"""),"Flow meter")</f>
        <v>Flow meter</v>
      </c>
      <c r="K111" s="142" t="s">
        <v>25</v>
      </c>
      <c r="L111" s="142" t="s">
        <v>25</v>
      </c>
      <c r="M111" s="142" t="s">
        <v>25</v>
      </c>
      <c r="N111" s="142" t="str">
        <f>IFERROR(__xludf.DUMMYFUNCTION("""COMPUTED_VALUE"""),"WastewaterSARS-CoV-2;WastewaterAMR;WastewaterPathogenAgnostic")</f>
        <v>WastewaterSARS-CoV-2;WastewaterAMR;WastewaterPathogenAgnostic</v>
      </c>
    </row>
    <row r="112">
      <c r="A112" s="141" t="str">
        <f>IFERROR(__xludf.DUMMYFUNCTION("""COMPUTED_VALUE"""),"Environmental conditions and measurements")</f>
        <v>Environmental conditions and measurements</v>
      </c>
      <c r="B112" s="141" t="str">
        <f>IFERROR(__xludf.DUMMYFUNCTION("""COMPUTED_VALUE"""),"turbidity measurement value")</f>
        <v>turbidity measurement value</v>
      </c>
      <c r="C112" s="141"/>
      <c r="D112" s="141" t="b">
        <f>IFERROR(__xludf.DUMMYFUNCTION("""COMPUTED_VALUE"""),TRUE)</f>
        <v>1</v>
      </c>
      <c r="E112" s="143" t="str">
        <f>IFERROR(__xludf.DUMMYFUNCTION("""COMPUTED_VALUE"""),"GENEPIO:0100783")</f>
        <v>GENEPIO:0100783</v>
      </c>
      <c r="F112" s="141" t="str">
        <f>IFERROR(__xludf.DUMMYFUNCTION("""COMPUTED_VALUE"""),"The numerical value of a measurement of turbidity.")</f>
        <v>The numerical value of a measurement of turbidity.</v>
      </c>
      <c r="G112" s="141" t="str">
        <f>IFERROR(__xludf.DUMMYFUNCTION("""COMPUTED_VALUE"""),"Provide the numerical value of the measured turbidity.")</f>
        <v>Provide the numerical value of the measured turbidity.</v>
      </c>
      <c r="H112" s="141">
        <f>IFERROR(__xludf.DUMMYFUNCTION("""COMPUTED_VALUE"""),0.02)</f>
        <v>0.02</v>
      </c>
      <c r="K112" s="142" t="s">
        <v>25</v>
      </c>
      <c r="L112" s="142" t="s">
        <v>25</v>
      </c>
      <c r="M112" s="142" t="s">
        <v>25</v>
      </c>
      <c r="N112" s="142" t="str">
        <f>IFERROR(__xludf.DUMMYFUNCTION("""COMPUTED_VALUE"""),"WastewaterSARS-CoV-2;WastewaterAMR;WastewaterPathogenAgnostic")</f>
        <v>WastewaterSARS-CoV-2;WastewaterAMR;WastewaterPathogenAgnostic</v>
      </c>
    </row>
    <row r="113">
      <c r="A113" s="141" t="str">
        <f>IFERROR(__xludf.DUMMYFUNCTION("""COMPUTED_VALUE"""),"Environmental conditions and measurements")</f>
        <v>Environmental conditions and measurements</v>
      </c>
      <c r="B113" s="141" t="str">
        <f>IFERROR(__xludf.DUMMYFUNCTION("""COMPUTED_VALUE"""),"turbidity measurement unit")</f>
        <v>turbidity measurement unit</v>
      </c>
      <c r="C113" s="141"/>
      <c r="D113" s="141" t="b">
        <f>IFERROR(__xludf.DUMMYFUNCTION("""COMPUTED_VALUE"""),TRUE)</f>
        <v>1</v>
      </c>
      <c r="E113" s="143" t="str">
        <f>IFERROR(__xludf.DUMMYFUNCTION("""COMPUTED_VALUE"""),"GENEPIO:0100914")</f>
        <v>GENEPIO:0100914</v>
      </c>
      <c r="F113" s="141" t="str">
        <f>IFERROR(__xludf.DUMMYFUNCTION("""COMPUTED_VALUE"""),"The units of a measurement of turbidity.")</f>
        <v>The units of a measurement of turbidity.</v>
      </c>
      <c r="G113" s="141" t="str">
        <f>IFERROR(__xludf.DUMMYFUNCTION("""COMPUTED_VALUE"""),"Provide the units of the measured turbidity by selecting a value from the pick list.")</f>
        <v>Provide the units of the measured turbidity by selecting a value from the pick list.</v>
      </c>
      <c r="H113" s="141" t="str">
        <f>IFERROR(__xludf.DUMMYFUNCTION("""COMPUTED_VALUE"""),"nephelometric turbidity unit (NTU)")</f>
        <v>nephelometric turbidity unit (NTU)</v>
      </c>
      <c r="K113" s="142" t="s">
        <v>25</v>
      </c>
      <c r="L113" s="142" t="s">
        <v>25</v>
      </c>
      <c r="M113" s="142" t="s">
        <v>25</v>
      </c>
      <c r="N113" s="142" t="str">
        <f>IFERROR(__xludf.DUMMYFUNCTION("""COMPUTED_VALUE"""),"WastewaterSARS-CoV-2;WastewaterAMR;WastewaterPathogenAgnostic")</f>
        <v>WastewaterSARS-CoV-2;WastewaterAMR;WastewaterPathogenAgnostic</v>
      </c>
    </row>
    <row r="114">
      <c r="A114" s="141" t="str">
        <f>IFERROR(__xludf.DUMMYFUNCTION("""COMPUTED_VALUE"""),"Environmental conditions and measurements")</f>
        <v>Environmental conditions and measurements</v>
      </c>
      <c r="B114" s="141" t="str">
        <f>IFERROR(__xludf.DUMMYFUNCTION("""COMPUTED_VALUE"""),"turbidity measurement method")</f>
        <v>turbidity measurement method</v>
      </c>
      <c r="C114" s="141"/>
      <c r="D114" s="141"/>
      <c r="E114" s="143" t="str">
        <f>IFERROR(__xludf.DUMMYFUNCTION("""COMPUTED_VALUE"""),"GENEPIO:0101013")</f>
        <v>GENEPIO:0101013</v>
      </c>
      <c r="F114" s="141" t="str">
        <f>IFERROR(__xludf.DUMMYFUNCTION("""COMPUTED_VALUE"""),"The process used to measure turbidity.")</f>
        <v>The process used to measure turbidity.</v>
      </c>
      <c r="G114" s="141" t="str">
        <f>IFERROR(__xludf.DUMMYFUNCTION("""COMPUTED_VALUE"""),"Provide the name of the procedure or technology used to measure turbidity.")</f>
        <v>Provide the name of the procedure or technology used to measure turbidity.</v>
      </c>
      <c r="H114" s="141" t="str">
        <f>IFERROR(__xludf.DUMMYFUNCTION("""COMPUTED_VALUE"""),"Nephelometric method")</f>
        <v>Nephelometric method</v>
      </c>
      <c r="K114" s="142" t="s">
        <v>25</v>
      </c>
      <c r="L114" s="142" t="s">
        <v>25</v>
      </c>
      <c r="M114" s="142" t="s">
        <v>25</v>
      </c>
      <c r="N114" s="142" t="str">
        <f>IFERROR(__xludf.DUMMYFUNCTION("""COMPUTED_VALUE"""),"WastewaterSARS-CoV-2;WastewaterAMR;WastewaterPathogenAgnostic")</f>
        <v>WastewaterSARS-CoV-2;WastewaterAMR;WastewaterPathogenAgnostic</v>
      </c>
    </row>
    <row r="115">
      <c r="A115" s="141" t="str">
        <f>IFERROR(__xludf.DUMMYFUNCTION("""COMPUTED_VALUE"""),"Environmental conditions and measurements")</f>
        <v>Environmental conditions and measurements</v>
      </c>
      <c r="B115" s="141" t="str">
        <f>IFERROR(__xludf.DUMMYFUNCTION("""COMPUTED_VALUE"""),"dissolved oxygen measurement value")</f>
        <v>dissolved oxygen measurement value</v>
      </c>
      <c r="C115" s="141"/>
      <c r="D115" s="141"/>
      <c r="E115" s="141" t="str">
        <f>IFERROR(__xludf.DUMMYFUNCTION("""COMPUTED_VALUE"""),"GENEPIO:0000035")</f>
        <v>GENEPIO:0000035</v>
      </c>
      <c r="F115" s="141" t="str">
        <f>IFERROR(__xludf.DUMMYFUNCTION("""COMPUTED_VALUE"""),"The numerical value of a measurement of dissolved oxygen.")</f>
        <v>The numerical value of a measurement of dissolved oxygen.</v>
      </c>
      <c r="G115" s="141" t="str">
        <f>IFERROR(__xludf.DUMMYFUNCTION("""COMPUTED_VALUE"""),"Provide the numerical value of the measured dissolved oxygen.")</f>
        <v>Provide the numerical value of the measured dissolved oxygen.</v>
      </c>
      <c r="H115" s="141">
        <f>IFERROR(__xludf.DUMMYFUNCTION("""COMPUTED_VALUE"""),5.0)</f>
        <v>5</v>
      </c>
      <c r="K115" s="142" t="s">
        <v>25</v>
      </c>
      <c r="L115" s="142" t="s">
        <v>25</v>
      </c>
      <c r="M115" s="142" t="s">
        <v>25</v>
      </c>
      <c r="N115" s="142" t="str">
        <f>IFERROR(__xludf.DUMMYFUNCTION("""COMPUTED_VALUE"""),"WastewaterSARS-CoV-2;WastewaterAMR;WastewaterPathogenAgnostic")</f>
        <v>WastewaterSARS-CoV-2;WastewaterAMR;WastewaterPathogenAgnostic</v>
      </c>
    </row>
    <row r="116">
      <c r="A116" s="141" t="str">
        <f>IFERROR(__xludf.DUMMYFUNCTION("""COMPUTED_VALUE"""),"Environmental conditions and measurements")</f>
        <v>Environmental conditions and measurements</v>
      </c>
      <c r="B116" s="141" t="str">
        <f>IFERROR(__xludf.DUMMYFUNCTION("""COMPUTED_VALUE"""),"dissolved oxygen measurement unit")</f>
        <v>dissolved oxygen measurement unit</v>
      </c>
      <c r="C116" s="141"/>
      <c r="D116" s="141"/>
      <c r="E116" s="143" t="str">
        <f>IFERROR(__xludf.DUMMYFUNCTION("""COMPUTED_VALUE"""),"GENEPIO:0100784")</f>
        <v>GENEPIO:0100784</v>
      </c>
      <c r="F116" s="141" t="str">
        <f>IFERROR(__xludf.DUMMYFUNCTION("""COMPUTED_VALUE"""),"The units of a measurement of dissolved oxygen.")</f>
        <v>The units of a measurement of dissolved oxygen.</v>
      </c>
      <c r="G116" s="141" t="str">
        <f>IFERROR(__xludf.DUMMYFUNCTION("""COMPUTED_VALUE"""),"Provide the units of the measured dissolved oxygen by selecting a value from the pick list.")</f>
        <v>Provide the units of the measured dissolved oxygen by selecting a value from the pick list.</v>
      </c>
      <c r="H116" s="141" t="str">
        <f>IFERROR(__xludf.DUMMYFUNCTION("""COMPUTED_VALUE"""),"part per million (ppm)")</f>
        <v>part per million (ppm)</v>
      </c>
      <c r="K116" s="142" t="s">
        <v>25</v>
      </c>
      <c r="L116" s="142" t="s">
        <v>25</v>
      </c>
      <c r="M116" s="142" t="s">
        <v>25</v>
      </c>
      <c r="N116" s="142" t="str">
        <f>IFERROR(__xludf.DUMMYFUNCTION("""COMPUTED_VALUE"""),"WastewaterSARS-CoV-2;WastewaterAMR;WastewaterPathogenAgnostic")</f>
        <v>WastewaterSARS-CoV-2;WastewaterAMR;WastewaterPathogenAgnostic</v>
      </c>
    </row>
    <row r="117">
      <c r="A117" s="141" t="str">
        <f>IFERROR(__xludf.DUMMYFUNCTION("""COMPUTED_VALUE"""),"Environmental conditions and measurements")</f>
        <v>Environmental conditions and measurements</v>
      </c>
      <c r="B117" s="141" t="str">
        <f>IFERROR(__xludf.DUMMYFUNCTION("""COMPUTED_VALUE"""),"dissolved oxygen measurement method")</f>
        <v>dissolved oxygen measurement method</v>
      </c>
      <c r="C117" s="141"/>
      <c r="D117" s="141"/>
      <c r="E117" s="143" t="str">
        <f>IFERROR(__xludf.DUMMYFUNCTION("""COMPUTED_VALUE"""),"GENEPIO:0100785")</f>
        <v>GENEPIO:0100785</v>
      </c>
      <c r="F117" s="141" t="str">
        <f>IFERROR(__xludf.DUMMYFUNCTION("""COMPUTED_VALUE"""),"The method used to measure dissolved oxygen.")</f>
        <v>The method used to measure dissolved oxygen.</v>
      </c>
      <c r="G117" s="141" t="str">
        <f>IFERROR(__xludf.DUMMYFUNCTION("""COMPUTED_VALUE"""),"Provide the name of the procedure or technology used to measure dissolved oxygen.")</f>
        <v>Provide the name of the procedure or technology used to measure dissolved oxygen.</v>
      </c>
      <c r="H117" s="141" t="str">
        <f>IFERROR(__xludf.DUMMYFUNCTION("""COMPUTED_VALUE"""),"Dissolved oxygen meter in vertical direction")</f>
        <v>Dissolved oxygen meter in vertical direction</v>
      </c>
      <c r="K117" s="142" t="s">
        <v>25</v>
      </c>
      <c r="L117" s="142" t="s">
        <v>25</v>
      </c>
      <c r="M117" s="142" t="s">
        <v>25</v>
      </c>
      <c r="N117" s="142" t="str">
        <f>IFERROR(__xludf.DUMMYFUNCTION("""COMPUTED_VALUE"""),"WastewaterSARS-CoV-2;WastewaterAMR;WastewaterPathogenAgnostic")</f>
        <v>WastewaterSARS-CoV-2;WastewaterAMR;WastewaterPathogenAgnostic</v>
      </c>
    </row>
    <row r="118">
      <c r="A118" s="141" t="str">
        <f>IFERROR(__xludf.DUMMYFUNCTION("""COMPUTED_VALUE"""),"Environmental conditions and measurements")</f>
        <v>Environmental conditions and measurements</v>
      </c>
      <c r="B118" s="141" t="str">
        <f>IFERROR(__xludf.DUMMYFUNCTION("""COMPUTED_VALUE"""),"oxygen reduction potential (ORP) measurement value")</f>
        <v>oxygen reduction potential (ORP) measurement value</v>
      </c>
      <c r="C118" s="141"/>
      <c r="D118" s="141"/>
      <c r="E118" s="143" t="str">
        <f>IFERROR(__xludf.DUMMYFUNCTION("""COMPUTED_VALUE"""),"FIX:0000278")</f>
        <v>FIX:0000278</v>
      </c>
      <c r="F118" s="141" t="str">
        <f>IFERROR(__xludf.DUMMYFUNCTION("""COMPUTED_VALUE"""),"The numerical value of a measurement of oxygen reduction potential (ORP).")</f>
        <v>The numerical value of a measurement of oxygen reduction potential (ORP).</v>
      </c>
      <c r="G118" s="141" t="str">
        <f>IFERROR(__xludf.DUMMYFUNCTION("""COMPUTED_VALUE"""),"Provide the numerical value of the measured oxygen reduction potential.")</f>
        <v>Provide the numerical value of the measured oxygen reduction potential.</v>
      </c>
      <c r="H118" s="141">
        <f>IFERROR(__xludf.DUMMYFUNCTION("""COMPUTED_VALUE"""),-50.0)</f>
        <v>-50</v>
      </c>
      <c r="K118" s="142" t="s">
        <v>25</v>
      </c>
      <c r="L118" s="142" t="s">
        <v>25</v>
      </c>
      <c r="M118" s="142" t="s">
        <v>25</v>
      </c>
      <c r="N118" s="142" t="str">
        <f>IFERROR(__xludf.DUMMYFUNCTION("""COMPUTED_VALUE"""),"WastewaterSARS-CoV-2;WastewaterAMR;WastewaterPathogenAgnostic")</f>
        <v>WastewaterSARS-CoV-2;WastewaterAMR;WastewaterPathogenAgnostic</v>
      </c>
    </row>
    <row r="119">
      <c r="A119" s="141" t="str">
        <f>IFERROR(__xludf.DUMMYFUNCTION("""COMPUTED_VALUE"""),"Environmental conditions and measurements")</f>
        <v>Environmental conditions and measurements</v>
      </c>
      <c r="B119" s="141" t="str">
        <f>IFERROR(__xludf.DUMMYFUNCTION("""COMPUTED_VALUE"""),"oxygen reduction potential (ORP) measurement unit")</f>
        <v>oxygen reduction potential (ORP) measurement unit</v>
      </c>
      <c r="C119" s="141"/>
      <c r="D119" s="141"/>
      <c r="E119" s="143" t="str">
        <f>IFERROR(__xludf.DUMMYFUNCTION("""COMPUTED_VALUE"""),"GENEPIO:0100786")</f>
        <v>GENEPIO:0100786</v>
      </c>
      <c r="F119" s="141" t="str">
        <f>IFERROR(__xludf.DUMMYFUNCTION("""COMPUTED_VALUE"""),"The units of a measurement of oxygen reduction potential (ORP).")</f>
        <v>The units of a measurement of oxygen reduction potential (ORP).</v>
      </c>
      <c r="G119" s="141" t="str">
        <f>IFERROR(__xludf.DUMMYFUNCTION("""COMPUTED_VALUE"""),"Provide the units of the measured oxygen reduction potential by selecting a value from the pick list.")</f>
        <v>Provide the units of the measured oxygen reduction potential by selecting a value from the pick list.</v>
      </c>
      <c r="H119" s="141" t="str">
        <f>IFERROR(__xludf.DUMMYFUNCTION("""COMPUTED_VALUE"""),"milliVolt (mV)")</f>
        <v>milliVolt (mV)</v>
      </c>
      <c r="K119" s="142" t="s">
        <v>25</v>
      </c>
      <c r="L119" s="142" t="s">
        <v>25</v>
      </c>
      <c r="M119" s="142" t="s">
        <v>25</v>
      </c>
      <c r="N119" s="142" t="str">
        <f>IFERROR(__xludf.DUMMYFUNCTION("""COMPUTED_VALUE"""),"WastewaterSARS-CoV-2;WastewaterAMR;WastewaterPathogenAgnostic")</f>
        <v>WastewaterSARS-CoV-2;WastewaterAMR;WastewaterPathogenAgnostic</v>
      </c>
    </row>
    <row r="120">
      <c r="A120" s="141" t="str">
        <f>IFERROR(__xludf.DUMMYFUNCTION("""COMPUTED_VALUE"""),"Environmental conditions and measurements")</f>
        <v>Environmental conditions and measurements</v>
      </c>
      <c r="B120" s="141" t="str">
        <f>IFERROR(__xludf.DUMMYFUNCTION("""COMPUTED_VALUE"""),"oxygen reduction potential (ORP) measurement method")</f>
        <v>oxygen reduction potential (ORP) measurement method</v>
      </c>
      <c r="C120" s="141"/>
      <c r="D120" s="141"/>
      <c r="E120" s="143" t="str">
        <f>IFERROR(__xludf.DUMMYFUNCTION("""COMPUTED_VALUE"""),"GENEPIO:0100787")</f>
        <v>GENEPIO:0100787</v>
      </c>
      <c r="F120" s="141" t="str">
        <f>IFERROR(__xludf.DUMMYFUNCTION("""COMPUTED_VALUE"""),"The method used to measure oxygen reduction potential (ORP).")</f>
        <v>The method used to measure oxygen reduction potential (ORP).</v>
      </c>
      <c r="G120" s="141" t="str">
        <f>IFERROR(__xludf.DUMMYFUNCTION("""COMPUTED_VALUE"""),"Provide the name of the procedure or technology used to measure oxygen reduction potential.")</f>
        <v>Provide the name of the procedure or technology used to measure oxygen reduction potential.</v>
      </c>
      <c r="H120" s="141" t="str">
        <f>IFERROR(__xludf.DUMMYFUNCTION("""COMPUTED_VALUE"""),"ORP sensor")</f>
        <v>ORP sensor</v>
      </c>
      <c r="K120" s="142" t="s">
        <v>25</v>
      </c>
      <c r="L120" s="142" t="s">
        <v>25</v>
      </c>
      <c r="M120" s="142" t="s">
        <v>25</v>
      </c>
      <c r="N120" s="142" t="str">
        <f>IFERROR(__xludf.DUMMYFUNCTION("""COMPUTED_VALUE"""),"WastewaterSARS-CoV-2;WastewaterAMR;WastewaterPathogenAgnostic")</f>
        <v>WastewaterSARS-CoV-2;WastewaterAMR;WastewaterPathogenAgnostic</v>
      </c>
    </row>
    <row r="121">
      <c r="A121" s="141" t="str">
        <f>IFERROR(__xludf.DUMMYFUNCTION("""COMPUTED_VALUE"""),"Environmental conditions and measurements")</f>
        <v>Environmental conditions and measurements</v>
      </c>
      <c r="B121" s="141" t="str">
        <f>IFERROR(__xludf.DUMMYFUNCTION("""COMPUTED_VALUE"""),"chemical oxygen demand (COD) measurement value")</f>
        <v>chemical oxygen demand (COD) measurement value</v>
      </c>
      <c r="C121" s="141"/>
      <c r="D121" s="141"/>
      <c r="E121" s="143" t="str">
        <f>IFERROR(__xludf.DUMMYFUNCTION("""COMPUTED_VALUE"""),"GENEPIO:0100788")</f>
        <v>GENEPIO:0100788</v>
      </c>
      <c r="F121" s="141" t="str">
        <f>IFERROR(__xludf.DUMMYFUNCTION("""COMPUTED_VALUE"""),"The measured value from a chemical oxygen demand (COD) test.")</f>
        <v>The measured value from a chemical oxygen demand (COD) test.</v>
      </c>
      <c r="G121" s="141" t="str">
        <f>IFERROR(__xludf.DUMMYFUNCTION("""COMPUTED_VALUE"""),"Provide the numerical value of the COD test result.")</f>
        <v>Provide the numerical value of the COD test result.</v>
      </c>
      <c r="H121" s="141">
        <f>IFERROR(__xludf.DUMMYFUNCTION("""COMPUTED_VALUE"""),26.0)</f>
        <v>26</v>
      </c>
      <c r="K121" s="142" t="s">
        <v>25</v>
      </c>
      <c r="L121" s="142" t="s">
        <v>25</v>
      </c>
      <c r="M121" s="142" t="s">
        <v>25</v>
      </c>
      <c r="N121" s="142" t="str">
        <f>IFERROR(__xludf.DUMMYFUNCTION("""COMPUTED_VALUE"""),"WastewaterSARS-CoV-2;WastewaterAMR;WastewaterPathogenAgnostic")</f>
        <v>WastewaterSARS-CoV-2;WastewaterAMR;WastewaterPathogenAgnostic</v>
      </c>
    </row>
    <row r="122">
      <c r="A122" s="141" t="str">
        <f>IFERROR(__xludf.DUMMYFUNCTION("""COMPUTED_VALUE"""),"Environmental conditions and measurements")</f>
        <v>Environmental conditions and measurements</v>
      </c>
      <c r="B122" s="141" t="str">
        <f>IFERROR(__xludf.DUMMYFUNCTION("""COMPUTED_VALUE"""),"chemical oxygen demand (COD) measurement unit")</f>
        <v>chemical oxygen demand (COD) measurement unit</v>
      </c>
      <c r="C122" s="141"/>
      <c r="D122" s="141"/>
      <c r="E122" s="143" t="str">
        <f>IFERROR(__xludf.DUMMYFUNCTION("""COMPUTED_VALUE"""),"GENEPIO:0100789")</f>
        <v>GENEPIO:0100789</v>
      </c>
      <c r="F122" s="141" t="str">
        <f>IFERROR(__xludf.DUMMYFUNCTION("""COMPUTED_VALUE"""),"The units associated with a value from a chemical oxygen demand (COD) test.")</f>
        <v>The units associated with a value from a chemical oxygen demand (COD) test.</v>
      </c>
      <c r="G122" s="141" t="str">
        <f>IFERROR(__xludf.DUMMYFUNCTION("""COMPUTED_VALUE"""),"Provide the units of the COD test result.")</f>
        <v>Provide the units of the COD test result.</v>
      </c>
      <c r="H122" s="141" t="str">
        <f>IFERROR(__xludf.DUMMYFUNCTION("""COMPUTED_VALUE"""),"milligram per liter (mg/L)")</f>
        <v>milligram per liter (mg/L)</v>
      </c>
      <c r="K122" s="142" t="s">
        <v>25</v>
      </c>
      <c r="L122" s="142" t="s">
        <v>25</v>
      </c>
      <c r="M122" s="142" t="s">
        <v>25</v>
      </c>
      <c r="N122" s="142" t="str">
        <f>IFERROR(__xludf.DUMMYFUNCTION("""COMPUTED_VALUE"""),"WastewaterSARS-CoV-2;WastewaterAMR;WastewaterPathogenAgnostic")</f>
        <v>WastewaterSARS-CoV-2;WastewaterAMR;WastewaterPathogenAgnostic</v>
      </c>
    </row>
    <row r="123">
      <c r="A123" s="141" t="str">
        <f>IFERROR(__xludf.DUMMYFUNCTION("""COMPUTED_VALUE"""),"Environmental conditions and measurements")</f>
        <v>Environmental conditions and measurements</v>
      </c>
      <c r="B123" s="141" t="str">
        <f>IFERROR(__xludf.DUMMYFUNCTION("""COMPUTED_VALUE"""),"chemical oxygen demand (COD) measurement method")</f>
        <v>chemical oxygen demand (COD) measurement method</v>
      </c>
      <c r="C123" s="141"/>
      <c r="D123" s="141"/>
      <c r="E123" s="143" t="str">
        <f>IFERROR(__xludf.DUMMYFUNCTION("""COMPUTED_VALUE"""),"GENEPIO:0100790")</f>
        <v>GENEPIO:0100790</v>
      </c>
      <c r="F123" s="141" t="str">
        <f>IFERROR(__xludf.DUMMYFUNCTION("""COMPUTED_VALUE"""),"The method used to measure chemical oxygen demand (COD).")</f>
        <v>The method used to measure chemical oxygen demand (COD).</v>
      </c>
      <c r="G123" s="141" t="str">
        <f>IFERROR(__xludf.DUMMYFUNCTION("""COMPUTED_VALUE"""),"Provide the name of the procedure or technology used to measure COD.")</f>
        <v>Provide the name of the procedure or technology used to measure COD.</v>
      </c>
      <c r="H123" s="141" t="str">
        <f>IFERROR(__xludf.DUMMYFUNCTION("""COMPUTED_VALUE"""),"Hach LCK test kit")</f>
        <v>Hach LCK test kit</v>
      </c>
      <c r="K123" s="142" t="s">
        <v>25</v>
      </c>
      <c r="L123" s="142" t="s">
        <v>25</v>
      </c>
      <c r="M123" s="142" t="s">
        <v>25</v>
      </c>
      <c r="N123" s="142" t="str">
        <f>IFERROR(__xludf.DUMMYFUNCTION("""COMPUTED_VALUE"""),"WastewaterSARS-CoV-2;WastewaterAMR;WastewaterPathogenAgnostic")</f>
        <v>WastewaterSARS-CoV-2;WastewaterAMR;WastewaterPathogenAgnostic</v>
      </c>
    </row>
    <row r="124">
      <c r="A124" s="141" t="str">
        <f>IFERROR(__xludf.DUMMYFUNCTION("""COMPUTED_VALUE"""),"Environmental conditions and measurements")</f>
        <v>Environmental conditions and measurements</v>
      </c>
      <c r="B124" s="141" t="str">
        <f>IFERROR(__xludf.DUMMYFUNCTION("""COMPUTED_VALUE"""),"carbonaceous biochemical oxygen demand (CBOD) measurement value")</f>
        <v>carbonaceous biochemical oxygen demand (CBOD) measurement value</v>
      </c>
      <c r="C124" s="141"/>
      <c r="D124" s="141"/>
      <c r="E124" s="143" t="str">
        <f>IFERROR(__xludf.DUMMYFUNCTION("""COMPUTED_VALUE"""),"GENEPIO:0100791")</f>
        <v>GENEPIO:0100791</v>
      </c>
      <c r="F124" s="141" t="str">
        <f>IFERROR(__xludf.DUMMYFUNCTION("""COMPUTED_VALUE"""),"The numerical value of a measurement of carbonaceous biochemical oxygen demand (CBOD).")</f>
        <v>The numerical value of a measurement of carbonaceous biochemical oxygen demand (CBOD).</v>
      </c>
      <c r="G124" s="141" t="str">
        <f>IFERROR(__xludf.DUMMYFUNCTION("""COMPUTED_VALUE"""),"Provide the numerical value of the measured CBOD.")</f>
        <v>Provide the numerical value of the measured CBOD.</v>
      </c>
      <c r="H124" s="141">
        <f>IFERROR(__xludf.DUMMYFUNCTION("""COMPUTED_VALUE"""),20.0)</f>
        <v>20</v>
      </c>
      <c r="K124" s="142" t="s">
        <v>25</v>
      </c>
      <c r="L124" s="142" t="s">
        <v>25</v>
      </c>
      <c r="M124" s="142" t="s">
        <v>25</v>
      </c>
      <c r="N124" s="142" t="str">
        <f>IFERROR(__xludf.DUMMYFUNCTION("""COMPUTED_VALUE"""),"WastewaterSARS-CoV-2;WastewaterAMR;WastewaterPathogenAgnostic")</f>
        <v>WastewaterSARS-CoV-2;WastewaterAMR;WastewaterPathogenAgnostic</v>
      </c>
    </row>
    <row r="125">
      <c r="A125" s="141" t="str">
        <f>IFERROR(__xludf.DUMMYFUNCTION("""COMPUTED_VALUE"""),"Environmental conditions and measurements")</f>
        <v>Environmental conditions and measurements</v>
      </c>
      <c r="B125" s="141" t="str">
        <f>IFERROR(__xludf.DUMMYFUNCTION("""COMPUTED_VALUE"""),"carbonaceous biochemical oxygen demand (CBOD) measurement unit")</f>
        <v>carbonaceous biochemical oxygen demand (CBOD) measurement unit</v>
      </c>
      <c r="C125" s="141"/>
      <c r="D125" s="141"/>
      <c r="E125" s="143" t="str">
        <f>IFERROR(__xludf.DUMMYFUNCTION("""COMPUTED_VALUE"""),"GENEPIO:0100792")</f>
        <v>GENEPIO:0100792</v>
      </c>
      <c r="F125" s="141" t="str">
        <f>IFERROR(__xludf.DUMMYFUNCTION("""COMPUTED_VALUE"""),"The units of a measurement of carbonaceous biochemical oxygen demand (CBOD).")</f>
        <v>The units of a measurement of carbonaceous biochemical oxygen demand (CBOD).</v>
      </c>
      <c r="G125" s="141" t="str">
        <f>IFERROR(__xludf.DUMMYFUNCTION("""COMPUTED_VALUE"""),"Provide the units of the measured CBOD by selecting a value from the pick list.")</f>
        <v>Provide the units of the measured CBOD by selecting a value from the pick list.</v>
      </c>
      <c r="H125" s="141" t="str">
        <f>IFERROR(__xludf.DUMMYFUNCTION("""COMPUTED_VALUE"""),"milligram per liter (mg/L)")</f>
        <v>milligram per liter (mg/L)</v>
      </c>
      <c r="K125" s="142" t="s">
        <v>25</v>
      </c>
      <c r="L125" s="142" t="s">
        <v>25</v>
      </c>
      <c r="M125" s="142" t="s">
        <v>25</v>
      </c>
      <c r="N125" s="142" t="str">
        <f>IFERROR(__xludf.DUMMYFUNCTION("""COMPUTED_VALUE"""),"WastewaterSARS-CoV-2;WastewaterAMR;WastewaterPathogenAgnostic")</f>
        <v>WastewaterSARS-CoV-2;WastewaterAMR;WastewaterPathogenAgnostic</v>
      </c>
    </row>
    <row r="126">
      <c r="A126" s="141" t="str">
        <f>IFERROR(__xludf.DUMMYFUNCTION("""COMPUTED_VALUE"""),"Environmental conditions and measurements")</f>
        <v>Environmental conditions and measurements</v>
      </c>
      <c r="B126" s="141" t="str">
        <f>IFERROR(__xludf.DUMMYFUNCTION("""COMPUTED_VALUE"""),"carbonaceous biochemical oxygen demand (CBOD) measurement method")</f>
        <v>carbonaceous biochemical oxygen demand (CBOD) measurement method</v>
      </c>
      <c r="C126" s="141"/>
      <c r="D126" s="141"/>
      <c r="E126" s="143" t="str">
        <f>IFERROR(__xludf.DUMMYFUNCTION("""COMPUTED_VALUE"""),"GENEPIO:0100793")</f>
        <v>GENEPIO:0100793</v>
      </c>
      <c r="F126" s="141" t="str">
        <f>IFERROR(__xludf.DUMMYFUNCTION("""COMPUTED_VALUE"""),"The method used to measure carbonaceous biochemical oxygen demand (CBOD).")</f>
        <v>The method used to measure carbonaceous biochemical oxygen demand (CBOD).</v>
      </c>
      <c r="G126" s="141" t="str">
        <f>IFERROR(__xludf.DUMMYFUNCTION("""COMPUTED_VALUE"""),"Provide the name of the procedure or technology used to measure CBOD.")</f>
        <v>Provide the name of the procedure or technology used to measure CBOD.</v>
      </c>
      <c r="H126" s="141" t="str">
        <f>IFERROR(__xludf.DUMMYFUNCTION("""COMPUTED_VALUE"""),"CBOD measurement by optical probe")</f>
        <v>CBOD measurement by optical probe</v>
      </c>
      <c r="K126" s="142" t="s">
        <v>25</v>
      </c>
      <c r="L126" s="142" t="s">
        <v>25</v>
      </c>
      <c r="M126" s="142" t="s">
        <v>25</v>
      </c>
      <c r="N126" s="142" t="str">
        <f>IFERROR(__xludf.DUMMYFUNCTION("""COMPUTED_VALUE"""),"WastewaterSARS-CoV-2;WastewaterAMR;WastewaterPathogenAgnostic")</f>
        <v>WastewaterSARS-CoV-2;WastewaterAMR;WastewaterPathogenAgnostic</v>
      </c>
    </row>
    <row r="127">
      <c r="A127" s="141" t="str">
        <f>IFERROR(__xludf.DUMMYFUNCTION("""COMPUTED_VALUE"""),"Environmental conditions and measurements")</f>
        <v>Environmental conditions and measurements</v>
      </c>
      <c r="B127" s="141" t="str">
        <f>IFERROR(__xludf.DUMMYFUNCTION("""COMPUTED_VALUE"""),"total suspended solids (TSS) measurement value")</f>
        <v>total suspended solids (TSS) measurement value</v>
      </c>
      <c r="C127" s="141"/>
      <c r="D127" s="141"/>
      <c r="E127" s="143" t="str">
        <f>IFERROR(__xludf.DUMMYFUNCTION("""COMPUTED_VALUE"""),"GENEPIO:0100794")</f>
        <v>GENEPIO:0100794</v>
      </c>
      <c r="F127" s="141" t="str">
        <f>IFERROR(__xludf.DUMMYFUNCTION("""COMPUTED_VALUE"""),"The numerical value from a total suspended solids (TSS) test.")</f>
        <v>The numerical value from a total suspended solids (TSS) test.</v>
      </c>
      <c r="G127" s="141" t="str">
        <f>IFERROR(__xludf.DUMMYFUNCTION("""COMPUTED_VALUE"""),"Provide the numerical value of the measured TSS.")</f>
        <v>Provide the numerical value of the measured TSS.</v>
      </c>
      <c r="H127" s="141">
        <f>IFERROR(__xludf.DUMMYFUNCTION("""COMPUTED_VALUE"""),8.0)</f>
        <v>8</v>
      </c>
      <c r="K127" s="142" t="s">
        <v>25</v>
      </c>
      <c r="L127" s="142" t="s">
        <v>25</v>
      </c>
      <c r="M127" s="142" t="s">
        <v>25</v>
      </c>
      <c r="N127" s="142" t="str">
        <f>IFERROR(__xludf.DUMMYFUNCTION("""COMPUTED_VALUE"""),"WastewaterSARS-CoV-2;WastewaterAMR;WastewaterPathogenAgnostic")</f>
        <v>WastewaterSARS-CoV-2;WastewaterAMR;WastewaterPathogenAgnostic</v>
      </c>
    </row>
    <row r="128">
      <c r="A128" s="141" t="str">
        <f>IFERROR(__xludf.DUMMYFUNCTION("""COMPUTED_VALUE"""),"Environmental conditions and measurements")</f>
        <v>Environmental conditions and measurements</v>
      </c>
      <c r="B128" s="141" t="str">
        <f>IFERROR(__xludf.DUMMYFUNCTION("""COMPUTED_VALUE"""),"total suspended solids (TSS) measurement unit")</f>
        <v>total suspended solids (TSS) measurement unit</v>
      </c>
      <c r="C128" s="141"/>
      <c r="D128" s="141"/>
      <c r="E128" s="143" t="str">
        <f>IFERROR(__xludf.DUMMYFUNCTION("""COMPUTED_VALUE"""),"GENEPIO:0100795")</f>
        <v>GENEPIO:0100795</v>
      </c>
      <c r="F128" s="141" t="str">
        <f>IFERROR(__xludf.DUMMYFUNCTION("""COMPUTED_VALUE"""),"The units associated with a value from a total suspended solids (TSS) test.")</f>
        <v>The units associated with a value from a total suspended solids (TSS) test.</v>
      </c>
      <c r="G128" s="141" t="str">
        <f>IFERROR(__xludf.DUMMYFUNCTION("""COMPUTED_VALUE"""),"Provide the units of the measured TSS.")</f>
        <v>Provide the units of the measured TSS.</v>
      </c>
      <c r="H128" s="141" t="str">
        <f>IFERROR(__xludf.DUMMYFUNCTION("""COMPUTED_VALUE"""),"percent (%)")</f>
        <v>percent (%)</v>
      </c>
      <c r="K128" s="142" t="s">
        <v>25</v>
      </c>
      <c r="L128" s="142" t="s">
        <v>25</v>
      </c>
      <c r="M128" s="142" t="s">
        <v>25</v>
      </c>
      <c r="N128" s="142" t="str">
        <f>IFERROR(__xludf.DUMMYFUNCTION("""COMPUTED_VALUE"""),"WastewaterSARS-CoV-2;WastewaterAMR;WastewaterPathogenAgnostic")</f>
        <v>WastewaterSARS-CoV-2;WastewaterAMR;WastewaterPathogenAgnostic</v>
      </c>
    </row>
    <row r="129">
      <c r="A129" s="141" t="str">
        <f>IFERROR(__xludf.DUMMYFUNCTION("""COMPUTED_VALUE"""),"Environmental conditions and measurements")</f>
        <v>Environmental conditions and measurements</v>
      </c>
      <c r="B129" s="141" t="str">
        <f>IFERROR(__xludf.DUMMYFUNCTION("""COMPUTED_VALUE"""),"total suspended solids (TSS) measurement method")</f>
        <v>total suspended solids (TSS) measurement method</v>
      </c>
      <c r="C129" s="141"/>
      <c r="D129" s="141"/>
      <c r="E129" s="143" t="str">
        <f>IFERROR(__xludf.DUMMYFUNCTION("""COMPUTED_VALUE"""),"GENEPIO:0100796")</f>
        <v>GENEPIO:0100796</v>
      </c>
      <c r="F129" s="141" t="str">
        <f>IFERROR(__xludf.DUMMYFUNCTION("""COMPUTED_VALUE"""),"The method used to measure total suspended solids (TSS).")</f>
        <v>The method used to measure total suspended solids (TSS).</v>
      </c>
      <c r="G129" s="141" t="str">
        <f>IFERROR(__xludf.DUMMYFUNCTION("""COMPUTED_VALUE"""),"Provide the name of the procedure or technology used to measure TSS.")</f>
        <v>Provide the name of the procedure or technology used to measure TSS.</v>
      </c>
      <c r="H129" s="141" t="str">
        <f>IFERROR(__xludf.DUMMYFUNCTION("""COMPUTED_VALUE"""),"Vacuum filter through a 2-micron filter, then oven-dried and weighed sample")</f>
        <v>Vacuum filter through a 2-micron filter, then oven-dried and weighed sample</v>
      </c>
      <c r="K129" s="142" t="s">
        <v>25</v>
      </c>
      <c r="L129" s="142" t="s">
        <v>25</v>
      </c>
      <c r="M129" s="142" t="s">
        <v>25</v>
      </c>
      <c r="N129" s="142" t="str">
        <f>IFERROR(__xludf.DUMMYFUNCTION("""COMPUTED_VALUE"""),"WastewaterSARS-CoV-2;WastewaterAMR;WastewaterPathogenAgnostic")</f>
        <v>WastewaterSARS-CoV-2;WastewaterAMR;WastewaterPathogenAgnostic</v>
      </c>
    </row>
    <row r="130">
      <c r="A130" s="141" t="str">
        <f>IFERROR(__xludf.DUMMYFUNCTION("""COMPUTED_VALUE"""),"Environmental conditions and measurements")</f>
        <v>Environmental conditions and measurements</v>
      </c>
      <c r="B130" s="141" t="str">
        <f>IFERROR(__xludf.DUMMYFUNCTION("""COMPUTED_VALUE"""),"total dissolved solids (TDS) measurement value")</f>
        <v>total dissolved solids (TDS) measurement value</v>
      </c>
      <c r="C130" s="141"/>
      <c r="D130" s="141"/>
      <c r="E130" s="143" t="str">
        <f>IFERROR(__xludf.DUMMYFUNCTION("""COMPUTED_VALUE"""),"GENEPIO:0100797")</f>
        <v>GENEPIO:0100797</v>
      </c>
      <c r="F130" s="141" t="str">
        <f>IFERROR(__xludf.DUMMYFUNCTION("""COMPUTED_VALUE"""),"The numerical value from a total dissolved solids (TDS) test.")</f>
        <v>The numerical value from a total dissolved solids (TDS) test.</v>
      </c>
      <c r="G130" s="141" t="str">
        <f>IFERROR(__xludf.DUMMYFUNCTION("""COMPUTED_VALUE"""),"Provide the numerical value of the measured TDS.")</f>
        <v>Provide the numerical value of the measured TDS.</v>
      </c>
      <c r="H130" s="141">
        <f>IFERROR(__xludf.DUMMYFUNCTION("""COMPUTED_VALUE"""),2.0)</f>
        <v>2</v>
      </c>
      <c r="K130" s="142" t="s">
        <v>25</v>
      </c>
      <c r="L130" s="142" t="s">
        <v>25</v>
      </c>
      <c r="M130" s="142" t="s">
        <v>25</v>
      </c>
      <c r="N130" s="142" t="str">
        <f>IFERROR(__xludf.DUMMYFUNCTION("""COMPUTED_VALUE"""),"WastewaterSARS-CoV-2;WastewaterAMR;WastewaterPathogenAgnostic")</f>
        <v>WastewaterSARS-CoV-2;WastewaterAMR;WastewaterPathogenAgnostic</v>
      </c>
    </row>
    <row r="131">
      <c r="A131" s="141" t="str">
        <f>IFERROR(__xludf.DUMMYFUNCTION("""COMPUTED_VALUE"""),"Environmental conditions and measurements")</f>
        <v>Environmental conditions and measurements</v>
      </c>
      <c r="B131" s="141" t="str">
        <f>IFERROR(__xludf.DUMMYFUNCTION("""COMPUTED_VALUE"""),"total dissolved solids (TDS) measurement unit")</f>
        <v>total dissolved solids (TDS) measurement unit</v>
      </c>
      <c r="C131" s="141"/>
      <c r="D131" s="141"/>
      <c r="E131" s="143" t="str">
        <f>IFERROR(__xludf.DUMMYFUNCTION("""COMPUTED_VALUE"""),"GENEPIO:0100798")</f>
        <v>GENEPIO:0100798</v>
      </c>
      <c r="F131" s="141" t="str">
        <f>IFERROR(__xludf.DUMMYFUNCTION("""COMPUTED_VALUE"""),"The units associated with a value from a total dissolved solids (TDS) test.")</f>
        <v>The units associated with a value from a total dissolved solids (TDS) test.</v>
      </c>
      <c r="G131" s="141" t="str">
        <f>IFERROR(__xludf.DUMMYFUNCTION("""COMPUTED_VALUE"""),"Provide the units of the measured TDS.")</f>
        <v>Provide the units of the measured TDS.</v>
      </c>
      <c r="H131" s="141" t="str">
        <f>IFERROR(__xludf.DUMMYFUNCTION("""COMPUTED_VALUE"""),"percent (%)")</f>
        <v>percent (%)</v>
      </c>
      <c r="K131" s="142" t="s">
        <v>25</v>
      </c>
      <c r="L131" s="142" t="s">
        <v>25</v>
      </c>
      <c r="M131" s="142" t="s">
        <v>25</v>
      </c>
      <c r="N131" s="142" t="str">
        <f>IFERROR(__xludf.DUMMYFUNCTION("""COMPUTED_VALUE"""),"WastewaterSARS-CoV-2;WastewaterAMR;WastewaterPathogenAgnostic")</f>
        <v>WastewaterSARS-CoV-2;WastewaterAMR;WastewaterPathogenAgnostic</v>
      </c>
    </row>
    <row r="132">
      <c r="A132" s="141" t="str">
        <f>IFERROR(__xludf.DUMMYFUNCTION("""COMPUTED_VALUE"""),"Environmental conditions and measurements")</f>
        <v>Environmental conditions and measurements</v>
      </c>
      <c r="B132" s="141" t="str">
        <f>IFERROR(__xludf.DUMMYFUNCTION("""COMPUTED_VALUE"""),"total dissolved solids (TDS) measurement method")</f>
        <v>total dissolved solids (TDS) measurement method</v>
      </c>
      <c r="C132" s="141"/>
      <c r="D132" s="141"/>
      <c r="E132" s="143" t="str">
        <f>IFERROR(__xludf.DUMMYFUNCTION("""COMPUTED_VALUE"""),"GENEPIO:0100799")</f>
        <v>GENEPIO:0100799</v>
      </c>
      <c r="F132" s="141" t="str">
        <f>IFERROR(__xludf.DUMMYFUNCTION("""COMPUTED_VALUE"""),"The method used to measure total dissolved solids (TDS).")</f>
        <v>The method used to measure total dissolved solids (TDS).</v>
      </c>
      <c r="G132" s="141" t="str">
        <f>IFERROR(__xludf.DUMMYFUNCTION("""COMPUTED_VALUE"""),"Provide the name of the procedure or technology used to measure TDS.")</f>
        <v>Provide the name of the procedure or technology used to measure TDS.</v>
      </c>
      <c r="H132" s="141" t="str">
        <f>IFERROR(__xludf.DUMMYFUNCTION("""COMPUTED_VALUE"""),"Subtract calculated TSS from calculated TS")</f>
        <v>Subtract calculated TSS from calculated TS</v>
      </c>
      <c r="K132" s="142" t="s">
        <v>25</v>
      </c>
      <c r="L132" s="142" t="s">
        <v>25</v>
      </c>
      <c r="M132" s="142" t="s">
        <v>25</v>
      </c>
      <c r="N132" s="142" t="str">
        <f>IFERROR(__xludf.DUMMYFUNCTION("""COMPUTED_VALUE"""),"WastewaterSARS-CoV-2;WastewaterAMR;WastewaterPathogenAgnostic")</f>
        <v>WastewaterSARS-CoV-2;WastewaterAMR;WastewaterPathogenAgnostic</v>
      </c>
    </row>
    <row r="133">
      <c r="A133" s="141" t="str">
        <f>IFERROR(__xludf.DUMMYFUNCTION("""COMPUTED_VALUE"""),"Environmental conditions and measurements")</f>
        <v>Environmental conditions and measurements</v>
      </c>
      <c r="B133" s="141" t="str">
        <f>IFERROR(__xludf.DUMMYFUNCTION("""COMPUTED_VALUE"""),"total solids (TS) measurement value")</f>
        <v>total solids (TS) measurement value</v>
      </c>
      <c r="C133" s="141"/>
      <c r="D133" s="141"/>
      <c r="E133" s="143" t="str">
        <f>IFERROR(__xludf.DUMMYFUNCTION("""COMPUTED_VALUE"""),"GENEPIO:0100800")</f>
        <v>GENEPIO:0100800</v>
      </c>
      <c r="F133" s="141" t="str">
        <f>IFERROR(__xludf.DUMMYFUNCTION("""COMPUTED_VALUE"""),"The numerical value from a total solids (TS) test.")</f>
        <v>The numerical value from a total solids (TS) test.</v>
      </c>
      <c r="G133" s="141" t="str">
        <f>IFERROR(__xludf.DUMMYFUNCTION("""COMPUTED_VALUE"""),"Provide the numerical value of the measured TS.")</f>
        <v>Provide the numerical value of the measured TS.</v>
      </c>
      <c r="H133" s="141">
        <f>IFERROR(__xludf.DUMMYFUNCTION("""COMPUTED_VALUE"""),10.0)</f>
        <v>10</v>
      </c>
      <c r="K133" s="142" t="s">
        <v>25</v>
      </c>
      <c r="L133" s="142" t="s">
        <v>25</v>
      </c>
      <c r="M133" s="142" t="s">
        <v>25</v>
      </c>
      <c r="N133" s="142" t="str">
        <f>IFERROR(__xludf.DUMMYFUNCTION("""COMPUTED_VALUE"""),"WastewaterSARS-CoV-2;WastewaterAMR;WastewaterPathogenAgnostic")</f>
        <v>WastewaterSARS-CoV-2;WastewaterAMR;WastewaterPathogenAgnostic</v>
      </c>
    </row>
    <row r="134">
      <c r="A134" s="141" t="str">
        <f>IFERROR(__xludf.DUMMYFUNCTION("""COMPUTED_VALUE"""),"Environmental conditions and measurements")</f>
        <v>Environmental conditions and measurements</v>
      </c>
      <c r="B134" s="141" t="str">
        <f>IFERROR(__xludf.DUMMYFUNCTION("""COMPUTED_VALUE"""),"total solids (TS) measurement unit")</f>
        <v>total solids (TS) measurement unit</v>
      </c>
      <c r="C134" s="141"/>
      <c r="D134" s="141"/>
      <c r="E134" s="143" t="str">
        <f>IFERROR(__xludf.DUMMYFUNCTION("""COMPUTED_VALUE"""),"GENEPIO:0100801")</f>
        <v>GENEPIO:0100801</v>
      </c>
      <c r="F134" s="141" t="str">
        <f>IFERROR(__xludf.DUMMYFUNCTION("""COMPUTED_VALUE"""),"The units associated with a value from a total solids (TS) test.")</f>
        <v>The units associated with a value from a total solids (TS) test.</v>
      </c>
      <c r="G134" s="141" t="str">
        <f>IFERROR(__xludf.DUMMYFUNCTION("""COMPUTED_VALUE"""),"Provide the units of the measured TS.")</f>
        <v>Provide the units of the measured TS.</v>
      </c>
      <c r="H134" s="141" t="str">
        <f>IFERROR(__xludf.DUMMYFUNCTION("""COMPUTED_VALUE"""),"percent (%)")</f>
        <v>percent (%)</v>
      </c>
      <c r="K134" s="142" t="s">
        <v>25</v>
      </c>
      <c r="L134" s="142" t="s">
        <v>25</v>
      </c>
      <c r="M134" s="142" t="s">
        <v>25</v>
      </c>
      <c r="N134" s="142" t="str">
        <f>IFERROR(__xludf.DUMMYFUNCTION("""COMPUTED_VALUE"""),"WastewaterSARS-CoV-2;WastewaterAMR;WastewaterPathogenAgnostic")</f>
        <v>WastewaterSARS-CoV-2;WastewaterAMR;WastewaterPathogenAgnostic</v>
      </c>
    </row>
    <row r="135">
      <c r="A135" s="141" t="str">
        <f>IFERROR(__xludf.DUMMYFUNCTION("""COMPUTED_VALUE"""),"Environmental conditions and measurements")</f>
        <v>Environmental conditions and measurements</v>
      </c>
      <c r="B135" s="141" t="str">
        <f>IFERROR(__xludf.DUMMYFUNCTION("""COMPUTED_VALUE"""),"total solids (TS) measurement method")</f>
        <v>total solids (TS) measurement method</v>
      </c>
      <c r="C135" s="141"/>
      <c r="D135" s="141"/>
      <c r="E135" s="143" t="str">
        <f>IFERROR(__xludf.DUMMYFUNCTION("""COMPUTED_VALUE"""),"GENEPIO:0100802")</f>
        <v>GENEPIO:0100802</v>
      </c>
      <c r="F135" s="141" t="str">
        <f>IFERROR(__xludf.DUMMYFUNCTION("""COMPUTED_VALUE"""),"The method used to measure total solids (TS).")</f>
        <v>The method used to measure total solids (TS).</v>
      </c>
      <c r="G135" s="141" t="str">
        <f>IFERROR(__xludf.DUMMYFUNCTION("""COMPUTED_VALUE"""),"Provide the name of the procedure or technology used to measure TS.")</f>
        <v>Provide the name of the procedure or technology used to measure TS.</v>
      </c>
      <c r="H135" s="141" t="str">
        <f>IFERROR(__xludf.DUMMYFUNCTION("""COMPUTED_VALUE"""),"Gravimetric method by oven drying, then weighing")</f>
        <v>Gravimetric method by oven drying, then weighing</v>
      </c>
      <c r="K135" s="142" t="s">
        <v>25</v>
      </c>
      <c r="L135" s="142" t="s">
        <v>25</v>
      </c>
      <c r="M135" s="142" t="s">
        <v>25</v>
      </c>
      <c r="N135" s="142" t="str">
        <f>IFERROR(__xludf.DUMMYFUNCTION("""COMPUTED_VALUE"""),"WastewaterSARS-CoV-2;WastewaterAMR;WastewaterPathogenAgnostic")</f>
        <v>WastewaterSARS-CoV-2;WastewaterAMR;WastewaterPathogenAgnostic</v>
      </c>
    </row>
    <row r="136">
      <c r="A136" s="141" t="str">
        <f>IFERROR(__xludf.DUMMYFUNCTION("""COMPUTED_VALUE"""),"Environmental conditions and measurements")</f>
        <v>Environmental conditions and measurements</v>
      </c>
      <c r="B136" s="141" t="str">
        <f>IFERROR(__xludf.DUMMYFUNCTION("""COMPUTED_VALUE"""),"alkalinity measurement value")</f>
        <v>alkalinity measurement value</v>
      </c>
      <c r="C136" s="141"/>
      <c r="D136" s="141"/>
      <c r="E136" s="143" t="str">
        <f>IFERROR(__xludf.DUMMYFUNCTION("""COMPUTED_VALUE"""),"GENEPIO:0100878")</f>
        <v>GENEPIO:0100878</v>
      </c>
      <c r="F136" s="141" t="str">
        <f>IFERROR(__xludf.DUMMYFUNCTION("""COMPUTED_VALUE"""),"The numerical value of a measurement of alkalinity.")</f>
        <v>The numerical value of a measurement of alkalinity.</v>
      </c>
      <c r="G136" s="141" t="str">
        <f>IFERROR(__xludf.DUMMYFUNCTION("""COMPUTED_VALUE"""),"Provide the numerical value of the measured alkalinity.")</f>
        <v>Provide the numerical value of the measured alkalinity.</v>
      </c>
      <c r="H136" s="141">
        <f>IFERROR(__xludf.DUMMYFUNCTION("""COMPUTED_VALUE"""),3.0)</f>
        <v>3</v>
      </c>
      <c r="K136" s="142" t="s">
        <v>25</v>
      </c>
      <c r="L136" s="142" t="s">
        <v>25</v>
      </c>
      <c r="M136" s="142" t="s">
        <v>25</v>
      </c>
      <c r="N136" s="142" t="str">
        <f>IFERROR(__xludf.DUMMYFUNCTION("""COMPUTED_VALUE"""),"WastewaterSARS-CoV-2;WastewaterAMR;WastewaterPathogenAgnostic")</f>
        <v>WastewaterSARS-CoV-2;WastewaterAMR;WastewaterPathogenAgnostic</v>
      </c>
    </row>
    <row r="137">
      <c r="A137" s="141" t="str">
        <f>IFERROR(__xludf.DUMMYFUNCTION("""COMPUTED_VALUE"""),"Environmental conditions and measurements")</f>
        <v>Environmental conditions and measurements</v>
      </c>
      <c r="B137" s="141" t="str">
        <f>IFERROR(__xludf.DUMMYFUNCTION("""COMPUTED_VALUE"""),"alkalinity measurement unit")</f>
        <v>alkalinity measurement unit</v>
      </c>
      <c r="C137" s="141"/>
      <c r="D137" s="141"/>
      <c r="E137" s="143" t="str">
        <f>IFERROR(__xludf.DUMMYFUNCTION("""COMPUTED_VALUE"""),"GENEPIO:0100879")</f>
        <v>GENEPIO:0100879</v>
      </c>
      <c r="F137" s="141" t="str">
        <f>IFERROR(__xludf.DUMMYFUNCTION("""COMPUTED_VALUE"""),"The units of a measurement of alkalinity.")</f>
        <v>The units of a measurement of alkalinity.</v>
      </c>
      <c r="G137" s="141" t="str">
        <f>IFERROR(__xludf.DUMMYFUNCTION("""COMPUTED_VALUE"""),"Provide the units of the measured alkalinity.")</f>
        <v>Provide the units of the measured alkalinity.</v>
      </c>
      <c r="H137" s="141" t="str">
        <f>IFERROR(__xludf.DUMMYFUNCTION("""COMPUTED_VALUE"""),"milligram per liter of calcium carbonate (mg/L CaCO3)")</f>
        <v>milligram per liter of calcium carbonate (mg/L CaCO3)</v>
      </c>
      <c r="K137" s="142" t="s">
        <v>25</v>
      </c>
      <c r="L137" s="142" t="s">
        <v>25</v>
      </c>
      <c r="M137" s="142" t="s">
        <v>25</v>
      </c>
      <c r="N137" s="142" t="str">
        <f>IFERROR(__xludf.DUMMYFUNCTION("""COMPUTED_VALUE"""),"WastewaterSARS-CoV-2;WastewaterAMR;WastewaterPathogenAgnostic")</f>
        <v>WastewaterSARS-CoV-2;WastewaterAMR;WastewaterPathogenAgnostic</v>
      </c>
    </row>
    <row r="138">
      <c r="A138" s="141" t="str">
        <f>IFERROR(__xludf.DUMMYFUNCTION("""COMPUTED_VALUE"""),"Environmental conditions and measurements")</f>
        <v>Environmental conditions and measurements</v>
      </c>
      <c r="B138" s="141" t="str">
        <f>IFERROR(__xludf.DUMMYFUNCTION("""COMPUTED_VALUE"""),"alkalinity measurement method")</f>
        <v>alkalinity measurement method</v>
      </c>
      <c r="C138" s="141"/>
      <c r="D138" s="141"/>
      <c r="E138" s="143" t="str">
        <f>IFERROR(__xludf.DUMMYFUNCTION("""COMPUTED_VALUE"""),"GENEPIO:0100880")</f>
        <v>GENEPIO:0100880</v>
      </c>
      <c r="F138" s="141" t="str">
        <f>IFERROR(__xludf.DUMMYFUNCTION("""COMPUTED_VALUE"""),"The process used to measure alkalinity.")</f>
        <v>The process used to measure alkalinity.</v>
      </c>
      <c r="G138" s="141" t="str">
        <f>IFERROR(__xludf.DUMMYFUNCTION("""COMPUTED_VALUE"""),"Provide the name of the procedure or technology used to measure alkalinity.")</f>
        <v>Provide the name of the procedure or technology used to measure alkalinity.</v>
      </c>
      <c r="H138" s="141" t="str">
        <f>IFERROR(__xludf.DUMMYFUNCTION("""COMPUTED_VALUE"""),"Titration method")</f>
        <v>Titration method</v>
      </c>
      <c r="K138" s="142" t="s">
        <v>25</v>
      </c>
      <c r="L138" s="142" t="s">
        <v>25</v>
      </c>
      <c r="M138" s="142" t="s">
        <v>25</v>
      </c>
      <c r="N138" s="142" t="str">
        <f>IFERROR(__xludf.DUMMYFUNCTION("""COMPUTED_VALUE"""),"WastewaterSARS-CoV-2;WastewaterAMR;WastewaterPathogenAgnostic")</f>
        <v>WastewaterSARS-CoV-2;WastewaterAMR;WastewaterPathogenAgnostic</v>
      </c>
    </row>
    <row r="139">
      <c r="A139" s="141" t="str">
        <f>IFERROR(__xludf.DUMMYFUNCTION("""COMPUTED_VALUE"""),"Environmental conditions and measurements")</f>
        <v>Environmental conditions and measurements</v>
      </c>
      <c r="B139" s="141" t="str">
        <f>IFERROR(__xludf.DUMMYFUNCTION("""COMPUTED_VALUE"""),"conductivity measurement value")</f>
        <v>conductivity measurement value</v>
      </c>
      <c r="C139" s="141"/>
      <c r="D139" s="141"/>
      <c r="E139" s="143" t="str">
        <f>IFERROR(__xludf.DUMMYFUNCTION("""COMPUTED_VALUE"""),"GENEPIO:0100916")</f>
        <v>GENEPIO:0100916</v>
      </c>
      <c r="F139" s="141" t="str">
        <f>IFERROR(__xludf.DUMMYFUNCTION("""COMPUTED_VALUE"""),"The numerical value of a measurement of conductivity.")</f>
        <v>The numerical value of a measurement of conductivity.</v>
      </c>
      <c r="G139" s="141" t="str">
        <f>IFERROR(__xludf.DUMMYFUNCTION("""COMPUTED_VALUE"""),"Provide the numerical value of the measured conductivity.")</f>
        <v>Provide the numerical value of the measured conductivity.</v>
      </c>
      <c r="H139" s="141">
        <f>IFERROR(__xludf.DUMMYFUNCTION("""COMPUTED_VALUE"""),1412.0)</f>
        <v>1412</v>
      </c>
      <c r="K139" s="142" t="s">
        <v>25</v>
      </c>
      <c r="L139" s="142" t="s">
        <v>25</v>
      </c>
      <c r="M139" s="142" t="s">
        <v>25</v>
      </c>
      <c r="N139" s="142" t="str">
        <f>IFERROR(__xludf.DUMMYFUNCTION("""COMPUTED_VALUE"""),"WastewaterSARS-CoV-2;WastewaterAMR;WastewaterPathogenAgnostic")</f>
        <v>WastewaterSARS-CoV-2;WastewaterAMR;WastewaterPathogenAgnostic</v>
      </c>
    </row>
    <row r="140">
      <c r="A140" s="141" t="str">
        <f>IFERROR(__xludf.DUMMYFUNCTION("""COMPUTED_VALUE"""),"Environmental conditions and measurements")</f>
        <v>Environmental conditions and measurements</v>
      </c>
      <c r="B140" s="141" t="str">
        <f>IFERROR(__xludf.DUMMYFUNCTION("""COMPUTED_VALUE"""),"conductivity measurement unit")</f>
        <v>conductivity measurement unit</v>
      </c>
      <c r="C140" s="141"/>
      <c r="D140" s="141"/>
      <c r="E140" s="143" t="str">
        <f>IFERROR(__xludf.DUMMYFUNCTION("""COMPUTED_VALUE"""),"GENEPIO:0100803")</f>
        <v>GENEPIO:0100803</v>
      </c>
      <c r="F140" s="141" t="str">
        <f>IFERROR(__xludf.DUMMYFUNCTION("""COMPUTED_VALUE"""),"The units of a measurement of conductivity.")</f>
        <v>The units of a measurement of conductivity.</v>
      </c>
      <c r="G140" s="141" t="str">
        <f>IFERROR(__xludf.DUMMYFUNCTION("""COMPUTED_VALUE"""),"Provide the units of the measured conductivity.")</f>
        <v>Provide the units of the measured conductivity.</v>
      </c>
      <c r="H140" s="141" t="str">
        <f>IFERROR(__xludf.DUMMYFUNCTION("""COMPUTED_VALUE"""),"microSiemen per centimeter (μS/cm)")</f>
        <v>microSiemen per centimeter (μS/cm)</v>
      </c>
      <c r="K140" s="142" t="s">
        <v>25</v>
      </c>
      <c r="L140" s="142" t="s">
        <v>25</v>
      </c>
      <c r="M140" s="142" t="s">
        <v>25</v>
      </c>
      <c r="N140" s="142" t="str">
        <f>IFERROR(__xludf.DUMMYFUNCTION("""COMPUTED_VALUE"""),"WastewaterSARS-CoV-2;WastewaterAMR;WastewaterPathogenAgnostic")</f>
        <v>WastewaterSARS-CoV-2;WastewaterAMR;WastewaterPathogenAgnostic</v>
      </c>
    </row>
    <row r="141">
      <c r="A141" s="141" t="str">
        <f>IFERROR(__xludf.DUMMYFUNCTION("""COMPUTED_VALUE"""),"Environmental conditions and measurements")</f>
        <v>Environmental conditions and measurements</v>
      </c>
      <c r="B141" s="141" t="str">
        <f>IFERROR(__xludf.DUMMYFUNCTION("""COMPUTED_VALUE"""),"conductivity measurement method")</f>
        <v>conductivity measurement method</v>
      </c>
      <c r="C141" s="141"/>
      <c r="D141" s="141"/>
      <c r="E141" s="143" t="str">
        <f>IFERROR(__xludf.DUMMYFUNCTION("""COMPUTED_VALUE"""),"GENEPIO:0100804")</f>
        <v>GENEPIO:0100804</v>
      </c>
      <c r="F141" s="141" t="str">
        <f>IFERROR(__xludf.DUMMYFUNCTION("""COMPUTED_VALUE"""),"The method used to measure conductivity.")</f>
        <v>The method used to measure conductivity.</v>
      </c>
      <c r="G141" s="141" t="str">
        <f>IFERROR(__xludf.DUMMYFUNCTION("""COMPUTED_VALUE"""),"Provide the name of the procedure or technology used to measure conductivity.")</f>
        <v>Provide the name of the procedure or technology used to measure conductivity.</v>
      </c>
      <c r="H141" s="141" t="str">
        <f>IFERROR(__xludf.DUMMYFUNCTION("""COMPUTED_VALUE"""),"Conductivity electrode and meter")</f>
        <v>Conductivity electrode and meter</v>
      </c>
      <c r="K141" s="142" t="s">
        <v>25</v>
      </c>
      <c r="L141" s="142" t="s">
        <v>25</v>
      </c>
      <c r="M141" s="142" t="s">
        <v>25</v>
      </c>
      <c r="N141" s="142" t="str">
        <f>IFERROR(__xludf.DUMMYFUNCTION("""COMPUTED_VALUE"""),"WastewaterSARS-CoV-2;WastewaterAMR;WastewaterPathogenAgnostic")</f>
        <v>WastewaterSARS-CoV-2;WastewaterAMR;WastewaterPathogenAgnostic</v>
      </c>
    </row>
    <row r="142">
      <c r="A142" s="141" t="str">
        <f>IFERROR(__xludf.DUMMYFUNCTION("""COMPUTED_VALUE"""),"Environmental conditions and measurements")</f>
        <v>Environmental conditions and measurements</v>
      </c>
      <c r="B142" s="141" t="str">
        <f>IFERROR(__xludf.DUMMYFUNCTION("""COMPUTED_VALUE"""),"salinity measurement value")</f>
        <v>salinity measurement value</v>
      </c>
      <c r="C142" s="141"/>
      <c r="D142" s="141"/>
      <c r="E142" s="143" t="str">
        <f>IFERROR(__xludf.DUMMYFUNCTION("""COMPUTED_VALUE"""),"GENEPIO:0100805")</f>
        <v>GENEPIO:0100805</v>
      </c>
      <c r="F142" s="141" t="str">
        <f>IFERROR(__xludf.DUMMYFUNCTION("""COMPUTED_VALUE"""),"The numerical value of a measurement of salinity.")</f>
        <v>The numerical value of a measurement of salinity.</v>
      </c>
      <c r="G142" s="141" t="str">
        <f>IFERROR(__xludf.DUMMYFUNCTION("""COMPUTED_VALUE"""),"Provide the numerical value of the measured salinity.")</f>
        <v>Provide the numerical value of the measured salinity.</v>
      </c>
      <c r="H142" s="141">
        <f>IFERROR(__xludf.DUMMYFUNCTION("""COMPUTED_VALUE"""),35.0)</f>
        <v>35</v>
      </c>
      <c r="K142" s="142" t="s">
        <v>25</v>
      </c>
      <c r="L142" s="142" t="s">
        <v>25</v>
      </c>
      <c r="M142" s="142" t="s">
        <v>25</v>
      </c>
      <c r="N142" s="142" t="str">
        <f>IFERROR(__xludf.DUMMYFUNCTION("""COMPUTED_VALUE"""),"WastewaterSARS-CoV-2;WastewaterAMR;WastewaterPathogenAgnostic")</f>
        <v>WastewaterSARS-CoV-2;WastewaterAMR;WastewaterPathogenAgnostic</v>
      </c>
    </row>
    <row r="143">
      <c r="A143" s="141" t="str">
        <f>IFERROR(__xludf.DUMMYFUNCTION("""COMPUTED_VALUE"""),"Environmental conditions and measurements")</f>
        <v>Environmental conditions and measurements</v>
      </c>
      <c r="B143" s="141" t="str">
        <f>IFERROR(__xludf.DUMMYFUNCTION("""COMPUTED_VALUE"""),"salinity measurement unit")</f>
        <v>salinity measurement unit</v>
      </c>
      <c r="C143" s="141"/>
      <c r="D143" s="141"/>
      <c r="E143" s="143" t="str">
        <f>IFERROR(__xludf.DUMMYFUNCTION("""COMPUTED_VALUE"""),"GENEPIO:0100806")</f>
        <v>GENEPIO:0100806</v>
      </c>
      <c r="F143" s="141" t="str">
        <f>IFERROR(__xludf.DUMMYFUNCTION("""COMPUTED_VALUE"""),"The units of a measurement of salinity.")</f>
        <v>The units of a measurement of salinity.</v>
      </c>
      <c r="G143" s="141" t="str">
        <f>IFERROR(__xludf.DUMMYFUNCTION("""COMPUTED_VALUE"""),"Provide the units of the measured salinity.")</f>
        <v>Provide the units of the measured salinity.</v>
      </c>
      <c r="H143" s="141" t="str">
        <f>IFERROR(__xludf.DUMMYFUNCTION("""COMPUTED_VALUE"""),"practical salinity unit (PSU)")</f>
        <v>practical salinity unit (PSU)</v>
      </c>
      <c r="K143" s="142" t="s">
        <v>25</v>
      </c>
      <c r="L143" s="142" t="s">
        <v>25</v>
      </c>
      <c r="M143" s="142" t="s">
        <v>25</v>
      </c>
      <c r="N143" s="142" t="str">
        <f>IFERROR(__xludf.DUMMYFUNCTION("""COMPUTED_VALUE"""),"WastewaterSARS-CoV-2;WastewaterAMR;WastewaterPathogenAgnostic")</f>
        <v>WastewaterSARS-CoV-2;WastewaterAMR;WastewaterPathogenAgnostic</v>
      </c>
    </row>
    <row r="144">
      <c r="A144" s="141" t="str">
        <f>IFERROR(__xludf.DUMMYFUNCTION("""COMPUTED_VALUE"""),"Environmental conditions and measurements")</f>
        <v>Environmental conditions and measurements</v>
      </c>
      <c r="B144" s="141" t="str">
        <f>IFERROR(__xludf.DUMMYFUNCTION("""COMPUTED_VALUE"""),"salinity measurement method")</f>
        <v>salinity measurement method</v>
      </c>
      <c r="C144" s="141"/>
      <c r="D144" s="141"/>
      <c r="E144" s="143" t="str">
        <f>IFERROR(__xludf.DUMMYFUNCTION("""COMPUTED_VALUE"""),"GENEPIO:0100807")</f>
        <v>GENEPIO:0100807</v>
      </c>
      <c r="F144" s="141" t="str">
        <f>IFERROR(__xludf.DUMMYFUNCTION("""COMPUTED_VALUE"""),"The method used to measure salinity.")</f>
        <v>The method used to measure salinity.</v>
      </c>
      <c r="G144" s="141" t="str">
        <f>IFERROR(__xludf.DUMMYFUNCTION("""COMPUTED_VALUE"""),"Provide the name of the procedure or technology used to measure salinity.")</f>
        <v>Provide the name of the procedure or technology used to measure salinity.</v>
      </c>
      <c r="H144" s="141" t="str">
        <f>IFERROR(__xludf.DUMMYFUNCTION("""COMPUTED_VALUE"""),"conductivity meter")</f>
        <v>conductivity meter</v>
      </c>
      <c r="K144" s="142" t="s">
        <v>25</v>
      </c>
      <c r="L144" s="142" t="s">
        <v>25</v>
      </c>
      <c r="M144" s="142" t="s">
        <v>25</v>
      </c>
      <c r="N144" s="142" t="str">
        <f>IFERROR(__xludf.DUMMYFUNCTION("""COMPUTED_VALUE"""),"WastewaterSARS-CoV-2;WastewaterAMR;WastewaterPathogenAgnostic")</f>
        <v>WastewaterSARS-CoV-2;WastewaterAMR;WastewaterPathogenAgnostic</v>
      </c>
    </row>
    <row r="145">
      <c r="A145" s="141" t="str">
        <f>IFERROR(__xludf.DUMMYFUNCTION("""COMPUTED_VALUE"""),"Environmental conditions and measurements")</f>
        <v>Environmental conditions and measurements</v>
      </c>
      <c r="B145" s="141" t="str">
        <f>IFERROR(__xludf.DUMMYFUNCTION("""COMPUTED_VALUE"""),"total nitrogen (TN) measurement value")</f>
        <v>total nitrogen (TN) measurement value</v>
      </c>
      <c r="C145" s="141"/>
      <c r="D145" s="141"/>
      <c r="E145" s="143" t="str">
        <f>IFERROR(__xludf.DUMMYFUNCTION("""COMPUTED_VALUE"""),"GENEPIO:0100808")</f>
        <v>GENEPIO:0100808</v>
      </c>
      <c r="F145" s="141" t="str">
        <f>IFERROR(__xludf.DUMMYFUNCTION("""COMPUTED_VALUE"""),"The numerical value of a measurement of total nitrogen (TN).")</f>
        <v>The numerical value of a measurement of total nitrogen (TN).</v>
      </c>
      <c r="G145" s="141" t="str">
        <f>IFERROR(__xludf.DUMMYFUNCTION("""COMPUTED_VALUE"""),"Provide the numerical value of the measured TN.")</f>
        <v>Provide the numerical value of the measured TN.</v>
      </c>
      <c r="H145" s="141">
        <f>IFERROR(__xludf.DUMMYFUNCTION("""COMPUTED_VALUE"""),120.0)</f>
        <v>120</v>
      </c>
      <c r="K145" s="142" t="s">
        <v>25</v>
      </c>
      <c r="L145" s="142" t="s">
        <v>25</v>
      </c>
      <c r="M145" s="142" t="s">
        <v>25</v>
      </c>
      <c r="N145" s="142" t="str">
        <f>IFERROR(__xludf.DUMMYFUNCTION("""COMPUTED_VALUE"""),"WastewaterSARS-CoV-2;WastewaterAMR;WastewaterPathogenAgnostic")</f>
        <v>WastewaterSARS-CoV-2;WastewaterAMR;WastewaterPathogenAgnostic</v>
      </c>
    </row>
    <row r="146">
      <c r="A146" s="141" t="str">
        <f>IFERROR(__xludf.DUMMYFUNCTION("""COMPUTED_VALUE"""),"Environmental conditions and measurements")</f>
        <v>Environmental conditions and measurements</v>
      </c>
      <c r="B146" s="141" t="str">
        <f>IFERROR(__xludf.DUMMYFUNCTION("""COMPUTED_VALUE"""),"total nitrogen (TN) measurement unit")</f>
        <v>total nitrogen (TN) measurement unit</v>
      </c>
      <c r="C146" s="141"/>
      <c r="D146" s="141"/>
      <c r="E146" s="143" t="str">
        <f>IFERROR(__xludf.DUMMYFUNCTION("""COMPUTED_VALUE"""),"GENEPIO:0100809")</f>
        <v>GENEPIO:0100809</v>
      </c>
      <c r="F146" s="141" t="str">
        <f>IFERROR(__xludf.DUMMYFUNCTION("""COMPUTED_VALUE"""),"The units of a measurement of total nitrogen (TN).")</f>
        <v>The units of a measurement of total nitrogen (TN).</v>
      </c>
      <c r="G146" s="141" t="str">
        <f>IFERROR(__xludf.DUMMYFUNCTION("""COMPUTED_VALUE"""),"Provide the units of the measured TN.")</f>
        <v>Provide the units of the measured TN.</v>
      </c>
      <c r="H146" s="141" t="str">
        <f>IFERROR(__xludf.DUMMYFUNCTION("""COMPUTED_VALUE"""),"milligram per liter (mg/L)")</f>
        <v>milligram per liter (mg/L)</v>
      </c>
      <c r="K146" s="142" t="s">
        <v>25</v>
      </c>
      <c r="L146" s="142" t="s">
        <v>25</v>
      </c>
      <c r="M146" s="142" t="s">
        <v>25</v>
      </c>
      <c r="N146" s="142" t="str">
        <f>IFERROR(__xludf.DUMMYFUNCTION("""COMPUTED_VALUE"""),"WastewaterSARS-CoV-2;WastewaterAMR;WastewaterPathogenAgnostic")</f>
        <v>WastewaterSARS-CoV-2;WastewaterAMR;WastewaterPathogenAgnostic</v>
      </c>
    </row>
    <row r="147">
      <c r="A147" s="141" t="str">
        <f>IFERROR(__xludf.DUMMYFUNCTION("""COMPUTED_VALUE"""),"Environmental conditions and measurements")</f>
        <v>Environmental conditions and measurements</v>
      </c>
      <c r="B147" s="141" t="str">
        <f>IFERROR(__xludf.DUMMYFUNCTION("""COMPUTED_VALUE"""),"total nitrogen (TN) measurement method")</f>
        <v>total nitrogen (TN) measurement method</v>
      </c>
      <c r="C147" s="141"/>
      <c r="D147" s="141"/>
      <c r="E147" s="143" t="str">
        <f>IFERROR(__xludf.DUMMYFUNCTION("""COMPUTED_VALUE"""),"GENEPIO:0100810")</f>
        <v>GENEPIO:0100810</v>
      </c>
      <c r="F147" s="141" t="str">
        <f>IFERROR(__xludf.DUMMYFUNCTION("""COMPUTED_VALUE"""),"The method used to measure total nitrogen (TN).")</f>
        <v>The method used to measure total nitrogen (TN).</v>
      </c>
      <c r="G147" s="141" t="str">
        <f>IFERROR(__xludf.DUMMYFUNCTION("""COMPUTED_VALUE"""),"Provide the name of the procedure or technology used to measure TN.")</f>
        <v>Provide the name of the procedure or technology used to measure TN.</v>
      </c>
      <c r="H147" s="141" t="str">
        <f>IFERROR(__xludf.DUMMYFUNCTION("""COMPUTED_VALUE"""),"Hach total nitrogen spectrophotometric test")</f>
        <v>Hach total nitrogen spectrophotometric test</v>
      </c>
      <c r="K147" s="142" t="s">
        <v>25</v>
      </c>
      <c r="L147" s="142" t="s">
        <v>25</v>
      </c>
      <c r="M147" s="142" t="s">
        <v>25</v>
      </c>
      <c r="N147" s="142" t="str">
        <f>IFERROR(__xludf.DUMMYFUNCTION("""COMPUTED_VALUE"""),"WastewaterSARS-CoV-2;WastewaterAMR;WastewaterPathogenAgnostic")</f>
        <v>WastewaterSARS-CoV-2;WastewaterAMR;WastewaterPathogenAgnostic</v>
      </c>
    </row>
    <row r="148">
      <c r="A148" s="141" t="str">
        <f>IFERROR(__xludf.DUMMYFUNCTION("""COMPUTED_VALUE"""),"Environmental conditions and measurements")</f>
        <v>Environmental conditions and measurements</v>
      </c>
      <c r="B148" s="141" t="str">
        <f>IFERROR(__xludf.DUMMYFUNCTION("""COMPUTED_VALUE"""),"total phosphorus (TP) measurement value")</f>
        <v>total phosphorus (TP) measurement value</v>
      </c>
      <c r="C148" s="141"/>
      <c r="D148" s="141"/>
      <c r="E148" s="143" t="str">
        <f>IFERROR(__xludf.DUMMYFUNCTION("""COMPUTED_VALUE"""),"GENEPIO:0100811")</f>
        <v>GENEPIO:0100811</v>
      </c>
      <c r="F148" s="141" t="str">
        <f>IFERROR(__xludf.DUMMYFUNCTION("""COMPUTED_VALUE"""),"The numerical value of a measurement of total phosphorus (TP).")</f>
        <v>The numerical value of a measurement of total phosphorus (TP).</v>
      </c>
      <c r="G148" s="141" t="str">
        <f>IFERROR(__xludf.DUMMYFUNCTION("""COMPUTED_VALUE"""),"Provide the numerical value of the measured TP.")</f>
        <v>Provide the numerical value of the measured TP.</v>
      </c>
      <c r="H148" s="141">
        <f>IFERROR(__xludf.DUMMYFUNCTION("""COMPUTED_VALUE"""),2.0)</f>
        <v>2</v>
      </c>
      <c r="K148" s="142" t="s">
        <v>25</v>
      </c>
      <c r="L148" s="142" t="s">
        <v>25</v>
      </c>
      <c r="M148" s="142" t="s">
        <v>25</v>
      </c>
      <c r="N148" s="142" t="str">
        <f>IFERROR(__xludf.DUMMYFUNCTION("""COMPUTED_VALUE"""),"WastewaterSARS-CoV-2;WastewaterAMR;WastewaterPathogenAgnostic")</f>
        <v>WastewaterSARS-CoV-2;WastewaterAMR;WastewaterPathogenAgnostic</v>
      </c>
    </row>
    <row r="149">
      <c r="A149" s="141" t="str">
        <f>IFERROR(__xludf.DUMMYFUNCTION("""COMPUTED_VALUE"""),"Environmental conditions and measurements")</f>
        <v>Environmental conditions and measurements</v>
      </c>
      <c r="B149" s="141" t="str">
        <f>IFERROR(__xludf.DUMMYFUNCTION("""COMPUTED_VALUE"""),"total phosphorus (TP) measurement unit")</f>
        <v>total phosphorus (TP) measurement unit</v>
      </c>
      <c r="C149" s="141"/>
      <c r="D149" s="141"/>
      <c r="E149" s="143" t="str">
        <f>IFERROR(__xludf.DUMMYFUNCTION("""COMPUTED_VALUE"""),"GENEPIO:0100812")</f>
        <v>GENEPIO:0100812</v>
      </c>
      <c r="F149" s="141" t="str">
        <f>IFERROR(__xludf.DUMMYFUNCTION("""COMPUTED_VALUE"""),"The units of a measurement of total phosphorus (TP).")</f>
        <v>The units of a measurement of total phosphorus (TP).</v>
      </c>
      <c r="G149" s="141" t="str">
        <f>IFERROR(__xludf.DUMMYFUNCTION("""COMPUTED_VALUE"""),"Provide the units of the measured TP.")</f>
        <v>Provide the units of the measured TP.</v>
      </c>
      <c r="H149" s="141" t="str">
        <f>IFERROR(__xludf.DUMMYFUNCTION("""COMPUTED_VALUE"""),"milligrams orthophosphate as phosphorus per liter (mg PO4-P/L)")</f>
        <v>milligrams orthophosphate as phosphorus per liter (mg PO4-P/L)</v>
      </c>
      <c r="K149" s="144" t="s">
        <v>25</v>
      </c>
      <c r="L149" s="144" t="s">
        <v>25</v>
      </c>
      <c r="M149" s="144" t="s">
        <v>25</v>
      </c>
      <c r="N149" s="142" t="str">
        <f>IFERROR(__xludf.DUMMYFUNCTION("""COMPUTED_VALUE"""),"WastewaterSARS-CoV-2;WastewaterAMR;WastewaterPathogenAgnostic")</f>
        <v>WastewaterSARS-CoV-2;WastewaterAMR;WastewaterPathogenAgnostic</v>
      </c>
    </row>
    <row r="150">
      <c r="A150" s="141" t="str">
        <f>IFERROR(__xludf.DUMMYFUNCTION("""COMPUTED_VALUE"""),"Environmental conditions and measurements")</f>
        <v>Environmental conditions and measurements</v>
      </c>
      <c r="B150" s="141" t="str">
        <f>IFERROR(__xludf.DUMMYFUNCTION("""COMPUTED_VALUE"""),"total phosphorus (TP) measurement method")</f>
        <v>total phosphorus (TP) measurement method</v>
      </c>
      <c r="C150" s="141"/>
      <c r="D150" s="141"/>
      <c r="E150" s="143" t="str">
        <f>IFERROR(__xludf.DUMMYFUNCTION("""COMPUTED_VALUE"""),"GENEPIO:0100813")</f>
        <v>GENEPIO:0100813</v>
      </c>
      <c r="F150" s="141" t="str">
        <f>IFERROR(__xludf.DUMMYFUNCTION("""COMPUTED_VALUE"""),"The method used to measure total phosphorus (TP).")</f>
        <v>The method used to measure total phosphorus (TP).</v>
      </c>
      <c r="G150" s="141" t="str">
        <f>IFERROR(__xludf.DUMMYFUNCTION("""COMPUTED_VALUE"""),"Provide the name of the procedure or technology used to measure TP.")</f>
        <v>Provide the name of the procedure or technology used to measure TP.</v>
      </c>
      <c r="H150" s="141" t="str">
        <f>IFERROR(__xludf.DUMMYFUNCTION("""COMPUTED_VALUE"""),"Merck phosphate spectrophotometric test kit")</f>
        <v>Merck phosphate spectrophotometric test kit</v>
      </c>
      <c r="K150" s="142" t="s">
        <v>25</v>
      </c>
      <c r="L150" s="142" t="s">
        <v>25</v>
      </c>
      <c r="M150" s="142" t="s">
        <v>25</v>
      </c>
      <c r="N150" s="142" t="str">
        <f>IFERROR(__xludf.DUMMYFUNCTION("""COMPUTED_VALUE"""),"WastewaterSARS-CoV-2;WastewaterAMR;WastewaterPathogenAgnostic")</f>
        <v>WastewaterSARS-CoV-2;WastewaterAMR;WastewaterPathogenAgnostic</v>
      </c>
    </row>
    <row r="151">
      <c r="A151" s="141" t="str">
        <f>IFERROR(__xludf.DUMMYFUNCTION("""COMPUTED_VALUE"""),"Environmental conditions and measurements")</f>
        <v>Environmental conditions and measurements</v>
      </c>
      <c r="B151" s="141" t="str">
        <f>IFERROR(__xludf.DUMMYFUNCTION("""COMPUTED_VALUE"""),"fecal contamination indicator")</f>
        <v>fecal contamination indicator</v>
      </c>
      <c r="C151" s="141"/>
      <c r="D151" s="141" t="b">
        <f>IFERROR(__xludf.DUMMYFUNCTION("""COMPUTED_VALUE"""),TRUE)</f>
        <v>1</v>
      </c>
      <c r="E151" s="143" t="str">
        <f>IFERROR(__xludf.DUMMYFUNCTION("""COMPUTED_VALUE"""),"GENEPIO:0100814")</f>
        <v>GENEPIO:0100814</v>
      </c>
      <c r="F151" s="141" t="str">
        <f>IFERROR(__xludf.DUMMYFUNCTION("""COMPUTED_VALUE"""),"A gene, virus, bacteria, or substance used to measure the sanitary quality of water in regards to fecal contamination.")</f>
        <v>A gene, virus, bacteria, or substance used to measure the sanitary quality of water in regards to fecal contamination.</v>
      </c>
      <c r="G151" s="141" t="str">
        <f>IFERROR(__xludf.DUMMYFUNCTION("""COMPUTED_VALUE"""),"If a fecal contamination indicator was measured, select it from the picklist.")</f>
        <v>If a fecal contamination indicator was measured, select it from the picklist.</v>
      </c>
      <c r="H151" s="141" t="str">
        <f>IFERROR(__xludf.DUMMYFUNCTION("""COMPUTED_VALUE"""),"crAssphage")</f>
        <v>crAssphage</v>
      </c>
      <c r="K151" s="142" t="s">
        <v>25</v>
      </c>
      <c r="L151" s="142" t="s">
        <v>25</v>
      </c>
      <c r="M151" s="142" t="s">
        <v>25</v>
      </c>
      <c r="N151" s="142" t="str">
        <f>IFERROR(__xludf.DUMMYFUNCTION("""COMPUTED_VALUE"""),"WastewaterSARS-CoV-2;WastewaterAMR;WastewaterPathogenAgnostic")</f>
        <v>WastewaterSARS-CoV-2;WastewaterAMR;WastewaterPathogenAgnostic</v>
      </c>
    </row>
    <row r="152">
      <c r="A152" s="141" t="str">
        <f>IFERROR(__xludf.DUMMYFUNCTION("""COMPUTED_VALUE"""),"Environmental conditions and measurements")</f>
        <v>Environmental conditions and measurements</v>
      </c>
      <c r="B152" s="141" t="str">
        <f>IFERROR(__xludf.DUMMYFUNCTION("""COMPUTED_VALUE"""),"fecal contamination value")</f>
        <v>fecal contamination value</v>
      </c>
      <c r="C152" s="141"/>
      <c r="D152" s="141" t="b">
        <f>IFERROR(__xludf.DUMMYFUNCTION("""COMPUTED_VALUE"""),TRUE)</f>
        <v>1</v>
      </c>
      <c r="E152" s="143" t="str">
        <f>IFERROR(__xludf.DUMMYFUNCTION("""COMPUTED_VALUE"""),"GENEPIO:0100815")</f>
        <v>GENEPIO:0100815</v>
      </c>
      <c r="F152" s="141" t="str">
        <f>IFERROR(__xludf.DUMMYFUNCTION("""COMPUTED_VALUE"""),"The numerical value of a measurement of fecal contamination.")</f>
        <v>The numerical value of a measurement of fecal contamination.</v>
      </c>
      <c r="G152" s="141" t="str">
        <f>IFERROR(__xludf.DUMMYFUNCTION("""COMPUTED_VALUE"""),"Provide the numerical value of the measured fecal contamination.")</f>
        <v>Provide the numerical value of the measured fecal contamination.</v>
      </c>
      <c r="H152" s="141">
        <f>IFERROR(__xludf.DUMMYFUNCTION("""COMPUTED_VALUE"""),10.0)</f>
        <v>10</v>
      </c>
      <c r="K152" s="142" t="s">
        <v>25</v>
      </c>
      <c r="L152" s="142" t="s">
        <v>25</v>
      </c>
      <c r="M152" s="142" t="s">
        <v>25</v>
      </c>
      <c r="N152" s="142" t="str">
        <f>IFERROR(__xludf.DUMMYFUNCTION("""COMPUTED_VALUE"""),"WastewaterSARS-CoV-2;WastewaterAMR;WastewaterPathogenAgnostic")</f>
        <v>WastewaterSARS-CoV-2;WastewaterAMR;WastewaterPathogenAgnostic</v>
      </c>
    </row>
    <row r="153">
      <c r="A153" s="141" t="str">
        <f>IFERROR(__xludf.DUMMYFUNCTION("""COMPUTED_VALUE"""),"Environmental conditions and measurements")</f>
        <v>Environmental conditions and measurements</v>
      </c>
      <c r="B153" s="141" t="str">
        <f>IFERROR(__xludf.DUMMYFUNCTION("""COMPUTED_VALUE"""),"fecal contamination unit")</f>
        <v>fecal contamination unit</v>
      </c>
      <c r="C153" s="141"/>
      <c r="D153" s="141" t="b">
        <f>IFERROR(__xludf.DUMMYFUNCTION("""COMPUTED_VALUE"""),TRUE)</f>
        <v>1</v>
      </c>
      <c r="E153" s="143" t="str">
        <f>IFERROR(__xludf.DUMMYFUNCTION("""COMPUTED_VALUE"""),"GENEPIO:0100816")</f>
        <v>GENEPIO:0100816</v>
      </c>
      <c r="F153" s="141" t="str">
        <f>IFERROR(__xludf.DUMMYFUNCTION("""COMPUTED_VALUE"""),"The units of a measurement of fecal contamination.")</f>
        <v>The units of a measurement of fecal contamination.</v>
      </c>
      <c r="G153" s="141" t="str">
        <f>IFERROR(__xludf.DUMMYFUNCTION("""COMPUTED_VALUE"""),"Provide the units of the measured fecal contamination.")</f>
        <v>Provide the units of the measured fecal contamination.</v>
      </c>
      <c r="H153" s="141" t="str">
        <f>IFERROR(__xludf.DUMMYFUNCTION("""COMPUTED_VALUE"""),"cycle threshold (Ct) / quantification cycle (Cq)")</f>
        <v>cycle threshold (Ct) / quantification cycle (Cq)</v>
      </c>
      <c r="K153" s="142" t="s">
        <v>25</v>
      </c>
      <c r="L153" s="142" t="s">
        <v>25</v>
      </c>
      <c r="M153" s="142" t="s">
        <v>25</v>
      </c>
      <c r="N153" s="142" t="str">
        <f>IFERROR(__xludf.DUMMYFUNCTION("""COMPUTED_VALUE"""),"WastewaterSARS-CoV-2;WastewaterAMR;WastewaterPathogenAgnostic")</f>
        <v>WastewaterSARS-CoV-2;WastewaterAMR;WastewaterPathogenAgnostic</v>
      </c>
    </row>
    <row r="154">
      <c r="A154" s="141" t="str">
        <f>IFERROR(__xludf.DUMMYFUNCTION("""COMPUTED_VALUE"""),"Environmental conditions and measurements")</f>
        <v>Environmental conditions and measurements</v>
      </c>
      <c r="B154" s="141" t="str">
        <f>IFERROR(__xludf.DUMMYFUNCTION("""COMPUTED_VALUE"""),"fecal contamination method")</f>
        <v>fecal contamination method</v>
      </c>
      <c r="C154" s="141"/>
      <c r="D154" s="141"/>
      <c r="E154" s="143" t="str">
        <f>IFERROR(__xludf.DUMMYFUNCTION("""COMPUTED_VALUE"""),"GENEPIO:0100817")</f>
        <v>GENEPIO:0100817</v>
      </c>
      <c r="F154" s="141" t="str">
        <f>IFERROR(__xludf.DUMMYFUNCTION("""COMPUTED_VALUE"""),"The method used to measure fecal contamination.")</f>
        <v>The method used to measure fecal contamination.</v>
      </c>
      <c r="G154" s="141" t="str">
        <f>IFERROR(__xludf.DUMMYFUNCTION("""COMPUTED_VALUE"""),"Provide the name of the procedure or technology used to measure fecal contamination.")</f>
        <v>Provide the name of the procedure or technology used to measure fecal contamination.</v>
      </c>
      <c r="H154" s="141" t="str">
        <f>IFERROR(__xludf.DUMMYFUNCTION("""COMPUTED_VALUE"""),"quantitative PCR assay")</f>
        <v>quantitative PCR assay</v>
      </c>
      <c r="K154" s="142" t="s">
        <v>25</v>
      </c>
      <c r="L154" s="142" t="s">
        <v>25</v>
      </c>
      <c r="M154" s="142" t="s">
        <v>25</v>
      </c>
      <c r="N154" s="142" t="str">
        <f>IFERROR(__xludf.DUMMYFUNCTION("""COMPUTED_VALUE"""),"WastewaterSARS-CoV-2;WastewaterAMR;WastewaterPathogenAgnostic")</f>
        <v>WastewaterSARS-CoV-2;WastewaterAMR;WastewaterPathogenAgnostic</v>
      </c>
    </row>
    <row r="155">
      <c r="A155" s="141" t="str">
        <f>IFERROR(__xludf.DUMMYFUNCTION("""COMPUTED_VALUE"""),"Environmental conditions and measurements")</f>
        <v>Environmental conditions and measurements</v>
      </c>
      <c r="B155" s="141" t="str">
        <f>IFERROR(__xludf.DUMMYFUNCTION("""COMPUTED_VALUE"""),"fecal coliform count value")</f>
        <v>fecal coliform count value</v>
      </c>
      <c r="C155" s="141"/>
      <c r="D155" s="141"/>
      <c r="E155" s="143" t="str">
        <f>IFERROR(__xludf.DUMMYFUNCTION("""COMPUTED_VALUE"""),"GENEPIO:0100818")</f>
        <v>GENEPIO:0100818</v>
      </c>
      <c r="F155" s="141" t="str">
        <f>IFERROR(__xludf.DUMMYFUNCTION("""COMPUTED_VALUE"""),"The numerical value of a measurement of fecal coliforms within a sample.")</f>
        <v>The numerical value of a measurement of fecal coliforms within a sample.</v>
      </c>
      <c r="G155" s="141" t="str">
        <f>IFERROR(__xludf.DUMMYFUNCTION("""COMPUTED_VALUE"""),"Provide the numerical value of the measured fecal coliforms.")</f>
        <v>Provide the numerical value of the measured fecal coliforms.</v>
      </c>
      <c r="H155" s="141">
        <f>IFERROR(__xludf.DUMMYFUNCTION("""COMPUTED_VALUE"""),3.0)</f>
        <v>3</v>
      </c>
      <c r="K155" s="142" t="s">
        <v>25</v>
      </c>
      <c r="L155" s="142" t="s">
        <v>25</v>
      </c>
      <c r="M155" s="142" t="s">
        <v>25</v>
      </c>
      <c r="N155" s="142" t="str">
        <f>IFERROR(__xludf.DUMMYFUNCTION("""COMPUTED_VALUE"""),"WastewaterSARS-CoV-2;WastewaterAMR;WastewaterPathogenAgnostic")</f>
        <v>WastewaterSARS-CoV-2;WastewaterAMR;WastewaterPathogenAgnostic</v>
      </c>
    </row>
    <row r="156">
      <c r="A156" s="141" t="str">
        <f>IFERROR(__xludf.DUMMYFUNCTION("""COMPUTED_VALUE"""),"Environmental conditions and measurements")</f>
        <v>Environmental conditions and measurements</v>
      </c>
      <c r="B156" s="141" t="str">
        <f>IFERROR(__xludf.DUMMYFUNCTION("""COMPUTED_VALUE"""),"fecal coliform count unit")</f>
        <v>fecal coliform count unit</v>
      </c>
      <c r="C156" s="141"/>
      <c r="D156" s="141"/>
      <c r="E156" s="143" t="str">
        <f>IFERROR(__xludf.DUMMYFUNCTION("""COMPUTED_VALUE"""),"GENEPIO:0100819")</f>
        <v>GENEPIO:0100819</v>
      </c>
      <c r="F156" s="141" t="str">
        <f>IFERROR(__xludf.DUMMYFUNCTION("""COMPUTED_VALUE"""),"The units of a measurement of fecal coliforms.")</f>
        <v>The units of a measurement of fecal coliforms.</v>
      </c>
      <c r="G156" s="141" t="str">
        <f>IFERROR(__xludf.DUMMYFUNCTION("""COMPUTED_VALUE"""),"Provide the units of the measured fecal coliforms.")</f>
        <v>Provide the units of the measured fecal coliforms.</v>
      </c>
      <c r="H156" s="141" t="str">
        <f>IFERROR(__xludf.DUMMYFUNCTION("""COMPUTED_VALUE"""),"most probable number per milliliter (MPN/mL)")</f>
        <v>most probable number per milliliter (MPN/mL)</v>
      </c>
      <c r="K156" s="142" t="s">
        <v>25</v>
      </c>
      <c r="L156" s="142" t="s">
        <v>25</v>
      </c>
      <c r="M156" s="142" t="s">
        <v>25</v>
      </c>
      <c r="N156" s="142" t="str">
        <f>IFERROR(__xludf.DUMMYFUNCTION("""COMPUTED_VALUE"""),"WastewaterSARS-CoV-2;WastewaterAMR;WastewaterPathogenAgnostic")</f>
        <v>WastewaterSARS-CoV-2;WastewaterAMR;WastewaterPathogenAgnostic</v>
      </c>
    </row>
    <row r="157">
      <c r="A157" s="141" t="str">
        <f>IFERROR(__xludf.DUMMYFUNCTION("""COMPUTED_VALUE"""),"Environmental conditions and measurements")</f>
        <v>Environmental conditions and measurements</v>
      </c>
      <c r="B157" s="141" t="str">
        <f>IFERROR(__xludf.DUMMYFUNCTION("""COMPUTED_VALUE"""),"fecal coliform count method")</f>
        <v>fecal coliform count method</v>
      </c>
      <c r="C157" s="141"/>
      <c r="D157" s="141"/>
      <c r="E157" s="143" t="str">
        <f>IFERROR(__xludf.DUMMYFUNCTION("""COMPUTED_VALUE"""),"GENEPIO:0100820")</f>
        <v>GENEPIO:0100820</v>
      </c>
      <c r="F157" s="141" t="str">
        <f>IFERROR(__xludf.DUMMYFUNCTION("""COMPUTED_VALUE"""),"The method used to measure fecal coliforms.")</f>
        <v>The method used to measure fecal coliforms.</v>
      </c>
      <c r="G157" s="141" t="str">
        <f>IFERROR(__xludf.DUMMYFUNCTION("""COMPUTED_VALUE"""),"Provide the name of the procedure or technology used to measure fecal coliforms.")</f>
        <v>Provide the name of the procedure or technology used to measure fecal coliforms.</v>
      </c>
      <c r="H157" s="141" t="str">
        <f>IFERROR(__xludf.DUMMYFUNCTION("""COMPUTED_VALUE"""),"MPN method via serial dilutions until lack of growth")</f>
        <v>MPN method via serial dilutions until lack of growth</v>
      </c>
      <c r="K157" s="142" t="s">
        <v>25</v>
      </c>
      <c r="L157" s="142" t="s">
        <v>25</v>
      </c>
      <c r="M157" s="142" t="s">
        <v>25</v>
      </c>
      <c r="N157" s="142" t="str">
        <f>IFERROR(__xludf.DUMMYFUNCTION("""COMPUTED_VALUE"""),"WastewaterSARS-CoV-2;WastewaterAMR;WastewaterPathogenAgnostic")</f>
        <v>WastewaterSARS-CoV-2;WastewaterAMR;WastewaterPathogenAgnostic</v>
      </c>
    </row>
    <row r="158">
      <c r="A158" s="141" t="str">
        <f>IFERROR(__xludf.DUMMYFUNCTION("""COMPUTED_VALUE"""),"Environmental conditions and measurements")</f>
        <v>Environmental conditions and measurements</v>
      </c>
      <c r="B158" s="141" t="str">
        <f>IFERROR(__xludf.DUMMYFUNCTION("""COMPUTED_VALUE"""),"urinary contamination indicator")</f>
        <v>urinary contamination indicator</v>
      </c>
      <c r="C158" s="141"/>
      <c r="D158" s="141"/>
      <c r="E158" s="143" t="str">
        <f>IFERROR(__xludf.DUMMYFUNCTION("""COMPUTED_VALUE"""),"GENEPIO:0100837")</f>
        <v>GENEPIO:0100837</v>
      </c>
      <c r="F158" s="141" t="str">
        <f>IFERROR(__xludf.DUMMYFUNCTION("""COMPUTED_VALUE"""),"A gene, virus, bacteria, or substance used to measure the sanitary quality of water in regards to urinary contamination.")</f>
        <v>A gene, virus, bacteria, or substance used to measure the sanitary quality of water in regards to urinary contamination.</v>
      </c>
      <c r="G158" s="141" t="str">
        <f>IFERROR(__xludf.DUMMYFUNCTION("""COMPUTED_VALUE"""),"If a urinary contamination indicator was measured, select it from the picklist.")</f>
        <v>If a urinary contamination indicator was measured, select it from the picklist.</v>
      </c>
      <c r="H158" s="141" t="str">
        <f>IFERROR(__xludf.DUMMYFUNCTION("""COMPUTED_VALUE"""),"urobilin")</f>
        <v>urobilin</v>
      </c>
      <c r="K158" s="142" t="s">
        <v>25</v>
      </c>
      <c r="L158" s="142" t="s">
        <v>25</v>
      </c>
      <c r="M158" s="142" t="s">
        <v>25</v>
      </c>
      <c r="N158" s="142" t="str">
        <f>IFERROR(__xludf.DUMMYFUNCTION("""COMPUTED_VALUE"""),"WastewaterSARS-CoV-2;WastewaterAMR;WastewaterPathogenAgnostic")</f>
        <v>WastewaterSARS-CoV-2;WastewaterAMR;WastewaterPathogenAgnostic</v>
      </c>
    </row>
    <row r="159">
      <c r="A159" s="141" t="str">
        <f>IFERROR(__xludf.DUMMYFUNCTION("""COMPUTED_VALUE"""),"Environmental conditions and measurements")</f>
        <v>Environmental conditions and measurements</v>
      </c>
      <c r="B159" s="141" t="str">
        <f>IFERROR(__xludf.DUMMYFUNCTION("""COMPUTED_VALUE"""),"urinary contamination value")</f>
        <v>urinary contamination value</v>
      </c>
      <c r="C159" s="141"/>
      <c r="D159" s="141"/>
      <c r="E159" s="143" t="str">
        <f>IFERROR(__xludf.DUMMYFUNCTION("""COMPUTED_VALUE"""),"GENEPIO:0100838")</f>
        <v>GENEPIO:0100838</v>
      </c>
      <c r="F159" s="141" t="str">
        <f>IFERROR(__xludf.DUMMYFUNCTION("""COMPUTED_VALUE"""),"The numerical value of a measurement of urinary contamination.")</f>
        <v>The numerical value of a measurement of urinary contamination.</v>
      </c>
      <c r="G159" s="141" t="str">
        <f>IFERROR(__xludf.DUMMYFUNCTION("""COMPUTED_VALUE"""),"Provide the numerical value of the measured urinary contamination.")</f>
        <v>Provide the numerical value of the measured urinary contamination.</v>
      </c>
      <c r="H159" s="141">
        <f>IFERROR(__xludf.DUMMYFUNCTION("""COMPUTED_VALUE"""),3.0)</f>
        <v>3</v>
      </c>
      <c r="K159" s="142" t="s">
        <v>25</v>
      </c>
      <c r="L159" s="142" t="s">
        <v>25</v>
      </c>
      <c r="M159" s="142" t="s">
        <v>25</v>
      </c>
      <c r="N159" s="142" t="str">
        <f>IFERROR(__xludf.DUMMYFUNCTION("""COMPUTED_VALUE"""),"WastewaterSARS-CoV-2;WastewaterAMR;WastewaterPathogenAgnostic")</f>
        <v>WastewaterSARS-CoV-2;WastewaterAMR;WastewaterPathogenAgnostic</v>
      </c>
    </row>
    <row r="160">
      <c r="A160" s="141" t="str">
        <f>IFERROR(__xludf.DUMMYFUNCTION("""COMPUTED_VALUE"""),"Environmental conditions and measurements")</f>
        <v>Environmental conditions and measurements</v>
      </c>
      <c r="B160" s="141" t="str">
        <f>IFERROR(__xludf.DUMMYFUNCTION("""COMPUTED_VALUE"""),"urinary contamination unit")</f>
        <v>urinary contamination unit</v>
      </c>
      <c r="C160" s="141"/>
      <c r="D160" s="141"/>
      <c r="E160" s="143" t="str">
        <f>IFERROR(__xludf.DUMMYFUNCTION("""COMPUTED_VALUE"""),"GENEPIO:0100839")</f>
        <v>GENEPIO:0100839</v>
      </c>
      <c r="F160" s="141" t="str">
        <f>IFERROR(__xludf.DUMMYFUNCTION("""COMPUTED_VALUE"""),"The units of a measurement of urinary contamination.")</f>
        <v>The units of a measurement of urinary contamination.</v>
      </c>
      <c r="G160" s="141" t="str">
        <f>IFERROR(__xludf.DUMMYFUNCTION("""COMPUTED_VALUE"""),"Provide the units of the measured urinary contamination.")</f>
        <v>Provide the units of the measured urinary contamination.</v>
      </c>
      <c r="H160" s="141" t="str">
        <f>IFERROR(__xludf.DUMMYFUNCTION("""COMPUTED_VALUE"""),"nanograms per liter")</f>
        <v>nanograms per liter</v>
      </c>
      <c r="K160" s="142" t="s">
        <v>25</v>
      </c>
      <c r="L160" s="142" t="s">
        <v>25</v>
      </c>
      <c r="M160" s="142" t="s">
        <v>25</v>
      </c>
      <c r="N160" s="142" t="str">
        <f>IFERROR(__xludf.DUMMYFUNCTION("""COMPUTED_VALUE"""),"WastewaterSARS-CoV-2;WastewaterAMR;WastewaterPathogenAgnostic")</f>
        <v>WastewaterSARS-CoV-2;WastewaterAMR;WastewaterPathogenAgnostic</v>
      </c>
    </row>
    <row r="161">
      <c r="A161" s="141" t="str">
        <f>IFERROR(__xludf.DUMMYFUNCTION("""COMPUTED_VALUE"""),"Environmental conditions and measurements")</f>
        <v>Environmental conditions and measurements</v>
      </c>
      <c r="B161" s="141" t="str">
        <f>IFERROR(__xludf.DUMMYFUNCTION("""COMPUTED_VALUE"""),"urinary contamination method")</f>
        <v>urinary contamination method</v>
      </c>
      <c r="C161" s="141"/>
      <c r="D161" s="141"/>
      <c r="E161" s="143" t="str">
        <f>IFERROR(__xludf.DUMMYFUNCTION("""COMPUTED_VALUE"""),"GENEPIO:0100840")</f>
        <v>GENEPIO:0100840</v>
      </c>
      <c r="F161" s="141" t="str">
        <f>IFERROR(__xludf.DUMMYFUNCTION("""COMPUTED_VALUE"""),"The method used to measure urinary contamination.")</f>
        <v>The method used to measure urinary contamination.</v>
      </c>
      <c r="G161" s="141" t="str">
        <f>IFERROR(__xludf.DUMMYFUNCTION("""COMPUTED_VALUE"""),"Provide the name of the procedure or technology used to measure urinary contamination.")</f>
        <v>Provide the name of the procedure or technology used to measure urinary contamination.</v>
      </c>
      <c r="H161" s="141" t="str">
        <f>IFERROR(__xludf.DUMMYFUNCTION("""COMPUTED_VALUE"""),"Urobilin Concentration Test")</f>
        <v>Urobilin Concentration Test</v>
      </c>
      <c r="K161" s="142" t="s">
        <v>25</v>
      </c>
      <c r="L161" s="142" t="s">
        <v>25</v>
      </c>
      <c r="M161" s="142" t="s">
        <v>25</v>
      </c>
      <c r="N161" s="142" t="str">
        <f>IFERROR(__xludf.DUMMYFUNCTION("""COMPUTED_VALUE"""),"WastewaterSARS-CoV-2;WastewaterAMR;WastewaterPathogenAgnostic")</f>
        <v>WastewaterSARS-CoV-2;WastewaterAMR;WastewaterPathogenAgnostic</v>
      </c>
    </row>
    <row r="162">
      <c r="A162" s="141" t="str">
        <f>IFERROR(__xludf.DUMMYFUNCTION("""COMPUTED_VALUE"""),"Environmental conditions and measurements")</f>
        <v>Environmental conditions and measurements</v>
      </c>
      <c r="B162" s="141" t="str">
        <f>IFERROR(__xludf.DUMMYFUNCTION("""COMPUTED_VALUE"""),"sample temperature value (at collection)")</f>
        <v>sample temperature value (at collection)</v>
      </c>
      <c r="C162" s="141"/>
      <c r="D162" s="141"/>
      <c r="E162" s="143" t="str">
        <f>IFERROR(__xludf.DUMMYFUNCTION("""COMPUTED_VALUE"""),"GENEPIO:0100821")</f>
        <v>GENEPIO:0100821</v>
      </c>
      <c r="F162" s="141" t="str">
        <f>IFERROR(__xludf.DUMMYFUNCTION("""COMPUTED_VALUE"""),"The numerical value of a measurement of temperature of a sample at collection.")</f>
        <v>The numerical value of a measurement of temperature of a sample at collection.</v>
      </c>
      <c r="G162" s="141" t="str">
        <f>IFERROR(__xludf.DUMMYFUNCTION("""COMPUTED_VALUE"""),"Provide the numerical value of the measured temperature.")</f>
        <v>Provide the numerical value of the measured temperature.</v>
      </c>
      <c r="H162" s="141">
        <f>IFERROR(__xludf.DUMMYFUNCTION("""COMPUTED_VALUE"""),20.0)</f>
        <v>20</v>
      </c>
      <c r="K162" s="142" t="s">
        <v>25</v>
      </c>
      <c r="L162" s="142" t="s">
        <v>25</v>
      </c>
      <c r="M162" s="142" t="s">
        <v>25</v>
      </c>
      <c r="N162" s="142" t="str">
        <f>IFERROR(__xludf.DUMMYFUNCTION("""COMPUTED_VALUE"""),"WastewaterSARS-CoV-2;WastewaterAMR;WastewaterPathogenAgnostic")</f>
        <v>WastewaterSARS-CoV-2;WastewaterAMR;WastewaterPathogenAgnostic</v>
      </c>
    </row>
    <row r="163">
      <c r="A163" s="141" t="str">
        <f>IFERROR(__xludf.DUMMYFUNCTION("""COMPUTED_VALUE"""),"Environmental conditions and measurements")</f>
        <v>Environmental conditions and measurements</v>
      </c>
      <c r="B163" s="141" t="str">
        <f>IFERROR(__xludf.DUMMYFUNCTION("""COMPUTED_VALUE"""),"sample temperature unit (at collection)")</f>
        <v>sample temperature unit (at collection)</v>
      </c>
      <c r="C163" s="141"/>
      <c r="D163" s="141"/>
      <c r="E163" s="143" t="str">
        <f>IFERROR(__xludf.DUMMYFUNCTION("""COMPUTED_VALUE"""),"GENEPIO:0100822")</f>
        <v>GENEPIO:0100822</v>
      </c>
      <c r="F163" s="141" t="str">
        <f>IFERROR(__xludf.DUMMYFUNCTION("""COMPUTED_VALUE"""),"The units of a measurement of temperature of a sample at the time of collection.")</f>
        <v>The units of a measurement of temperature of a sample at the time of collection.</v>
      </c>
      <c r="G163" s="141" t="str">
        <f>IFERROR(__xludf.DUMMYFUNCTION("""COMPUTED_VALUE"""),"Provide the units of the measured temperature.")</f>
        <v>Provide the units of the measured temperature.</v>
      </c>
      <c r="H163" s="141" t="str">
        <f>IFERROR(__xludf.DUMMYFUNCTION("""COMPUTED_VALUE"""),"degree Celsius (C)")</f>
        <v>degree Celsius (C)</v>
      </c>
      <c r="K163" s="142" t="s">
        <v>25</v>
      </c>
      <c r="L163" s="142" t="s">
        <v>25</v>
      </c>
      <c r="M163" s="142" t="s">
        <v>25</v>
      </c>
      <c r="N163" s="142" t="str">
        <f>IFERROR(__xludf.DUMMYFUNCTION("""COMPUTED_VALUE"""),"WastewaterSARS-CoV-2;WastewaterAMR;WastewaterPathogenAgnostic")</f>
        <v>WastewaterSARS-CoV-2;WastewaterAMR;WastewaterPathogenAgnostic</v>
      </c>
    </row>
    <row r="164">
      <c r="A164" s="141" t="str">
        <f>IFERROR(__xludf.DUMMYFUNCTION("""COMPUTED_VALUE"""),"Environmental conditions and measurements")</f>
        <v>Environmental conditions and measurements</v>
      </c>
      <c r="B164" s="141" t="str">
        <f>IFERROR(__xludf.DUMMYFUNCTION("""COMPUTED_VALUE"""),"sample temperature value (when received)")</f>
        <v>sample temperature value (when received)</v>
      </c>
      <c r="C164" s="141"/>
      <c r="D164" s="141"/>
      <c r="E164" s="143" t="str">
        <f>IFERROR(__xludf.DUMMYFUNCTION("""COMPUTED_VALUE"""),"GENEPIO:0100823")</f>
        <v>GENEPIO:0100823</v>
      </c>
      <c r="F164" s="141" t="str">
        <f>IFERROR(__xludf.DUMMYFUNCTION("""COMPUTED_VALUE"""),"The numerical value of a measurement of temperature of a sample upon receipt.")</f>
        <v>The numerical value of a measurement of temperature of a sample upon receipt.</v>
      </c>
      <c r="G164" s="141" t="str">
        <f>IFERROR(__xludf.DUMMYFUNCTION("""COMPUTED_VALUE"""),"Provide the numerical value of the measured temperature.")</f>
        <v>Provide the numerical value of the measured temperature.</v>
      </c>
      <c r="H164" s="141">
        <f>IFERROR(__xludf.DUMMYFUNCTION("""COMPUTED_VALUE"""),22.0)</f>
        <v>22</v>
      </c>
      <c r="K164" s="144" t="s">
        <v>25</v>
      </c>
      <c r="L164" s="144" t="s">
        <v>25</v>
      </c>
      <c r="M164" s="144" t="s">
        <v>25</v>
      </c>
      <c r="N164" s="142" t="str">
        <f>IFERROR(__xludf.DUMMYFUNCTION("""COMPUTED_VALUE"""),"WastewaterSARS-CoV-2;WastewaterAMR;WastewaterPathogenAgnostic")</f>
        <v>WastewaterSARS-CoV-2;WastewaterAMR;WastewaterPathogenAgnostic</v>
      </c>
    </row>
    <row r="165">
      <c r="A165" s="141" t="str">
        <f>IFERROR(__xludf.DUMMYFUNCTION("""COMPUTED_VALUE"""),"Environmental conditions and measurements")</f>
        <v>Environmental conditions and measurements</v>
      </c>
      <c r="B165" s="141" t="str">
        <f>IFERROR(__xludf.DUMMYFUNCTION("""COMPUTED_VALUE"""),"sample temperature unit (when received)")</f>
        <v>sample temperature unit (when received)</v>
      </c>
      <c r="C165" s="141"/>
      <c r="D165" s="141"/>
      <c r="E165" s="143" t="str">
        <f>IFERROR(__xludf.DUMMYFUNCTION("""COMPUTED_VALUE"""),"GENEPIO:0100824")</f>
        <v>GENEPIO:0100824</v>
      </c>
      <c r="F165" s="141" t="str">
        <f>IFERROR(__xludf.DUMMYFUNCTION("""COMPUTED_VALUE"""),"The units of a measurement of temperature of a sample at the time upon receipt.")</f>
        <v>The units of a measurement of temperature of a sample at the time upon receipt.</v>
      </c>
      <c r="G165" s="141" t="str">
        <f>IFERROR(__xludf.DUMMYFUNCTION("""COMPUTED_VALUE"""),"Provide the units of the measured temperature.")</f>
        <v>Provide the units of the measured temperature.</v>
      </c>
      <c r="H165" s="141" t="str">
        <f>IFERROR(__xludf.DUMMYFUNCTION("""COMPUTED_VALUE"""),"degree Celsius (C)")</f>
        <v>degree Celsius (C)</v>
      </c>
      <c r="K165" s="144" t="s">
        <v>25</v>
      </c>
      <c r="L165" s="144" t="s">
        <v>25</v>
      </c>
      <c r="M165" s="144" t="s">
        <v>25</v>
      </c>
      <c r="N165" s="142" t="str">
        <f>IFERROR(__xludf.DUMMYFUNCTION("""COMPUTED_VALUE"""),"WastewaterSARS-CoV-2;WastewaterAMR;WastewaterPathogenAgnostic")</f>
        <v>WastewaterSARS-CoV-2;WastewaterAMR;WastewaterPathogenAgnostic</v>
      </c>
    </row>
    <row r="166">
      <c r="A166" s="141"/>
      <c r="B166" s="141" t="str">
        <f>IFERROR(__xludf.DUMMYFUNCTION("""COMPUTED_VALUE"""),"Sequence Information")</f>
        <v>Sequence Information</v>
      </c>
      <c r="C166" s="141" t="str">
        <f>IFERROR(__xludf.DUMMYFUNCTION("""COMPUTED_VALUE"""),"")</f>
        <v/>
      </c>
      <c r="D166" s="141" t="str">
        <f>IFERROR(__xludf.DUMMYFUNCTION("""COMPUTED_VALUE"""),"")</f>
        <v/>
      </c>
      <c r="E166" s="141" t="str">
        <f>IFERROR(__xludf.DUMMYFUNCTION("""COMPUTED_VALUE"""),"GENEPIO:0001441")</f>
        <v>GENEPIO:0001441</v>
      </c>
      <c r="F166" s="141"/>
      <c r="G166" s="141"/>
      <c r="H166" s="141"/>
      <c r="I166" s="142"/>
      <c r="J166" s="142"/>
      <c r="K166" s="142"/>
      <c r="L166" s="142"/>
      <c r="M166" s="142"/>
      <c r="N166" s="142" t="str">
        <f>IFERROR(__xludf.DUMMYFUNCTION("""COMPUTED_VALUE"""),"WastewaterSARS-CoV-2;WastewaterAMR;WastewaterPathogenAgnostic")</f>
        <v>WastewaterSARS-CoV-2;WastewaterAMR;WastewaterPathogenAgnostic</v>
      </c>
    </row>
    <row r="167">
      <c r="A167" s="141" t="str">
        <f>IFERROR(__xludf.DUMMYFUNCTION("""COMPUTED_VALUE"""),"Sequence information")</f>
        <v>Sequence information</v>
      </c>
      <c r="B167" s="141" t="str">
        <f>IFERROR(__xludf.DUMMYFUNCTION("""COMPUTED_VALUE"""),"purpose of sequencing")</f>
        <v>purpose of sequencing</v>
      </c>
      <c r="C167" s="141" t="b">
        <f>IFERROR(__xludf.DUMMYFUNCTION("""COMPUTED_VALUE"""),TRUE)</f>
        <v>1</v>
      </c>
      <c r="D167" s="141"/>
      <c r="E167" s="141" t="str">
        <f>IFERROR(__xludf.DUMMYFUNCTION("""COMPUTED_VALUE"""),"GENEPIO:0001445")</f>
        <v>GENEPIO:0001445</v>
      </c>
      <c r="F167" s="141" t="str">
        <f>IFERROR(__xludf.DUMMYFUNCTION("""COMPUTED_VALUE"""),"The reason that the sample was sequenced.")</f>
        <v>The reason that the sample was sequenced.</v>
      </c>
      <c r="G167" s="141"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v>
      </c>
      <c r="H167" s="141" t="str">
        <f>IFERROR(__xludf.DUMMYFUNCTION("""COMPUTED_VALUE"""),"Travel-associated surveillance")</f>
        <v>Travel-associated surveillance</v>
      </c>
      <c r="K167" s="144" t="s">
        <v>65</v>
      </c>
      <c r="L167" s="144" t="s">
        <v>65</v>
      </c>
      <c r="M167" s="144" t="s">
        <v>65</v>
      </c>
      <c r="N167" s="142" t="str">
        <f>IFERROR(__xludf.DUMMYFUNCTION("""COMPUTED_VALUE"""),"WastewaterSARS-CoV-2;WastewaterAMR;WastewaterPathogenAgnostic")</f>
        <v>WastewaterSARS-CoV-2;WastewaterAMR;WastewaterPathogenAgnostic</v>
      </c>
    </row>
    <row r="168">
      <c r="A168" s="141" t="str">
        <f>IFERROR(__xludf.DUMMYFUNCTION("""COMPUTED_VALUE"""),"Sequence information")</f>
        <v>Sequence information</v>
      </c>
      <c r="B168" s="141" t="str">
        <f>IFERROR(__xludf.DUMMYFUNCTION("""COMPUTED_VALUE"""),"purpose of sequencing details")</f>
        <v>purpose of sequencing details</v>
      </c>
      <c r="C168" s="141"/>
      <c r="D168" s="141"/>
      <c r="E168" s="141" t="str">
        <f>IFERROR(__xludf.DUMMYFUNCTION("""COMPUTED_VALUE"""),"GENEPIO:0001446")</f>
        <v>GENEPIO:0001446</v>
      </c>
      <c r="F168" s="141" t="str">
        <f>IFERROR(__xludf.DUMMYFUNCTION("""COMPUTED_VALUE"""),"The description of why the sample was sequenced providing specific details.")</f>
        <v>The description of why the sample was sequenced providing specific details.</v>
      </c>
      <c r="G168" s="141"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descr"&amp;"iptions include: Assessing public health control measures, Determining early introductions and spread, Investigating airline-related exposures, Investigating remote regions, Investigating health care workers, Investigating schools/universities.")</f>
        <v>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v>
      </c>
      <c r="H168" s="141" t="str">
        <f>IFERROR(__xludf.DUMMYFUNCTION("""COMPUTED_VALUE"""),"Investigating schools/universities")</f>
        <v>Investigating schools/universities</v>
      </c>
      <c r="K168" s="144" t="s">
        <v>65</v>
      </c>
      <c r="L168" s="144" t="s">
        <v>65</v>
      </c>
      <c r="M168" s="144" t="s">
        <v>65</v>
      </c>
      <c r="N168" s="142" t="str">
        <f>IFERROR(__xludf.DUMMYFUNCTION("""COMPUTED_VALUE"""),"WastewaterSARS-CoV-2;WastewaterAMR;WastewaterPathogenAgnostic")</f>
        <v>WastewaterSARS-CoV-2;WastewaterAMR;WastewaterPathogenAgnostic</v>
      </c>
    </row>
    <row r="169">
      <c r="A169" s="141" t="str">
        <f>IFERROR(__xludf.DUMMYFUNCTION("""COMPUTED_VALUE"""),"Sequence information")</f>
        <v>Sequence information</v>
      </c>
      <c r="B169" s="141" t="str">
        <f>IFERROR(__xludf.DUMMYFUNCTION("""COMPUTED_VALUE"""),"sequenced by")</f>
        <v>sequenced by</v>
      </c>
      <c r="C169" s="141" t="b">
        <f>IFERROR(__xludf.DUMMYFUNCTION("""COMPUTED_VALUE"""),TRUE)</f>
        <v>1</v>
      </c>
      <c r="D169" s="141"/>
      <c r="E169" s="141" t="str">
        <f>IFERROR(__xludf.DUMMYFUNCTION("""COMPUTED_VALUE"""),"GENEPIO:0100416")</f>
        <v>GENEPIO:0100416</v>
      </c>
      <c r="F169" s="141" t="str">
        <f>IFERROR(__xludf.DUMMYFUNCTION("""COMPUTED_VALUE"""),"The name of the agency, organization or institution responsible for sequencing the isolate's genome.")</f>
        <v>The name of the agency, organization or institution responsible for sequencing the isolate's genome.</v>
      </c>
      <c r="G169" s="141" t="str">
        <f>IFERROR(__xludf.DUMMYFUNCTION("""COMPUTED_VALUE"""),"Provide the name of the agency, organization or institution that performed the sequencing in full (avoid abbreviations). If the information is unknown or cannot be provided, leave blank or provide a null value.")</f>
        <v>Provide the name of the agency, organization or institution that performed the sequencing in full (avoid abbreviations). If the information is unknown or cannot be provided, leave blank or provide a null value.</v>
      </c>
      <c r="H169" s="141" t="str">
        <f>IFERROR(__xludf.DUMMYFUNCTION("""COMPUTED_VALUE"""),"Public Health Agency of Canada (PHAC) [GENEPIO:0100551]")</f>
        <v>Public Health Agency of Canada (PHAC) [GENEPIO:0100551]</v>
      </c>
      <c r="K169" s="144" t="s">
        <v>1058</v>
      </c>
      <c r="L169" s="144" t="s">
        <v>1058</v>
      </c>
      <c r="M169" s="144" t="s">
        <v>1058</v>
      </c>
      <c r="N169" s="142" t="str">
        <f>IFERROR(__xludf.DUMMYFUNCTION("""COMPUTED_VALUE"""),"WastewaterSARS-CoV-2;WastewaterAMR;WastewaterPathogenAgnostic")</f>
        <v>WastewaterSARS-CoV-2;WastewaterAMR;WastewaterPathogenAgnostic</v>
      </c>
    </row>
    <row r="170">
      <c r="A170" s="141" t="str">
        <f>IFERROR(__xludf.DUMMYFUNCTION("""COMPUTED_VALUE"""),"Sequence information")</f>
        <v>Sequence information</v>
      </c>
      <c r="B170" s="141" t="str">
        <f>IFERROR(__xludf.DUMMYFUNCTION("""COMPUTED_VALUE"""),"sequenced by laboratory name")</f>
        <v>sequenced by laboratory name</v>
      </c>
      <c r="C170" s="141"/>
      <c r="D170" s="141"/>
      <c r="E170" s="141" t="str">
        <f>IFERROR(__xludf.DUMMYFUNCTION("""COMPUTED_VALUE"""),"GENEPIO:0100470")</f>
        <v>GENEPIO:0100470</v>
      </c>
      <c r="F170" s="141" t="str">
        <f>IFERROR(__xludf.DUMMYFUNCTION("""COMPUTED_VALUE"""),"The specific laboratory affiliation of the responsible for sequencing the isolate's genome.")</f>
        <v>The specific laboratory affiliation of the responsible for sequencing the isolate's genome.</v>
      </c>
      <c r="G170" s="141"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H170" s="141" t="str">
        <f>IFERROR(__xludf.DUMMYFUNCTION("""COMPUTED_VALUE"""),"Topp Lab")</f>
        <v>Topp Lab</v>
      </c>
      <c r="K170" s="142" t="s">
        <v>25</v>
      </c>
      <c r="L170" s="142" t="s">
        <v>25</v>
      </c>
      <c r="M170" s="142" t="s">
        <v>25</v>
      </c>
      <c r="N170" s="142" t="str">
        <f>IFERROR(__xludf.DUMMYFUNCTION("""COMPUTED_VALUE"""),"WastewaterSARS-CoV-2;WastewaterAMR;WastewaterPathogenAgnostic")</f>
        <v>WastewaterSARS-CoV-2;WastewaterAMR;WastewaterPathogenAgnostic</v>
      </c>
    </row>
    <row r="171">
      <c r="A171" s="141" t="str">
        <f>IFERROR(__xludf.DUMMYFUNCTION("""COMPUTED_VALUE"""),"Sequence information")</f>
        <v>Sequence information</v>
      </c>
      <c r="B171" s="141" t="str">
        <f>IFERROR(__xludf.DUMMYFUNCTION("""COMPUTED_VALUE"""),"sequenced by contact name")</f>
        <v>sequenced by contact name</v>
      </c>
      <c r="C171" s="141" t="b">
        <f>IFERROR(__xludf.DUMMYFUNCTION("""COMPUTED_VALUE"""),TRUE)</f>
        <v>1</v>
      </c>
      <c r="D171" s="141"/>
      <c r="E171" s="141" t="str">
        <f>IFERROR(__xludf.DUMMYFUNCTION("""COMPUTED_VALUE"""),"GENEPIO:0100471")</f>
        <v>GENEPIO:0100471</v>
      </c>
      <c r="F171" s="141" t="str">
        <f>IFERROR(__xludf.DUMMYFUNCTION("""COMPUTED_VALUE"""),"The name or title of the contact responsible for follow-up regarding the sequence.")</f>
        <v>The name or title of the contact responsible for follow-up regarding the sequence.</v>
      </c>
      <c r="G171" s="141"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H171" s="141" t="str">
        <f>IFERROR(__xludf.DUMMYFUNCTION("""COMPUTED_VALUE"""),"Joe Bloggs, Enterics Lab Manager")</f>
        <v>Joe Bloggs, Enterics Lab Manager</v>
      </c>
      <c r="K171" s="142" t="s">
        <v>25</v>
      </c>
      <c r="L171" s="142" t="s">
        <v>25</v>
      </c>
      <c r="M171" s="142" t="s">
        <v>25</v>
      </c>
      <c r="N171" s="142" t="str">
        <f>IFERROR(__xludf.DUMMYFUNCTION("""COMPUTED_VALUE"""),"WastewaterSARS-CoV-2;WastewaterAMR;WastewaterPathogenAgnostic")</f>
        <v>WastewaterSARS-CoV-2;WastewaterAMR;WastewaterPathogenAgnostic</v>
      </c>
    </row>
    <row r="172">
      <c r="A172" s="141" t="str">
        <f>IFERROR(__xludf.DUMMYFUNCTION("""COMPUTED_VALUE"""),"Sequence information")</f>
        <v>Sequence information</v>
      </c>
      <c r="B172" s="141" t="str">
        <f>IFERROR(__xludf.DUMMYFUNCTION("""COMPUTED_VALUE"""),"sequenced by contact email")</f>
        <v>sequenced by contact email</v>
      </c>
      <c r="C172" s="141" t="b">
        <f>IFERROR(__xludf.DUMMYFUNCTION("""COMPUTED_VALUE"""),TRUE)</f>
        <v>1</v>
      </c>
      <c r="D172" s="141"/>
      <c r="E172" s="141" t="str">
        <f>IFERROR(__xludf.DUMMYFUNCTION("""COMPUTED_VALUE"""),"GENEPIO:0100471")</f>
        <v>GENEPIO:0100471</v>
      </c>
      <c r="F172" s="141" t="str">
        <f>IFERROR(__xludf.DUMMYFUNCTION("""COMPUTED_VALUE"""),"The email address of the contact responsible for follow-up regarding the sequence.")</f>
        <v>The email address of the contact responsible for follow-up regarding the sequence.</v>
      </c>
      <c r="G172" s="141" t="str">
        <f>IFERROR(__xludf.DUMMYFUNCTION("""COMPUTED_VALUE"""),"Provide the email associated with the listed contact. As personnel turnover may render an individual's email obsolete, it is more prefereable to provide an address for a position or lab, to ensure accuracy of information and institutional memory. If the i"&amp;"nformation is unknown or cannot be provided, leave blank or provide a null value.")</f>
        <v>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v>
      </c>
      <c r="H172" s="141" t="str">
        <f>IFERROR(__xludf.DUMMYFUNCTION("""COMPUTED_VALUE"""),"enterics@lab.ca")</f>
        <v>enterics@lab.ca</v>
      </c>
      <c r="K172" s="142" t="s">
        <v>25</v>
      </c>
      <c r="L172" s="142" t="s">
        <v>25</v>
      </c>
      <c r="M172" s="142" t="s">
        <v>25</v>
      </c>
      <c r="N172" s="142" t="str">
        <f>IFERROR(__xludf.DUMMYFUNCTION("""COMPUTED_VALUE"""),"WastewaterSARS-CoV-2;WastewaterAMR;WastewaterPathogenAgnostic")</f>
        <v>WastewaterSARS-CoV-2;WastewaterAMR;WastewaterPathogenAgnostic</v>
      </c>
    </row>
    <row r="173">
      <c r="A173" s="141" t="str">
        <f>IFERROR(__xludf.DUMMYFUNCTION("""COMPUTED_VALUE"""),"Sequence information")</f>
        <v>Sequence information</v>
      </c>
      <c r="B173" s="141" t="str">
        <f>IFERROR(__xludf.DUMMYFUNCTION("""COMPUTED_VALUE"""),"sequence submitted by")</f>
        <v>sequence submitted by</v>
      </c>
      <c r="C173" s="141"/>
      <c r="D173" s="141" t="b">
        <f>IFERROR(__xludf.DUMMYFUNCTION("""COMPUTED_VALUE"""),TRUE)</f>
        <v>1</v>
      </c>
      <c r="E173" s="141" t="str">
        <f>IFERROR(__xludf.DUMMYFUNCTION("""COMPUTED_VALUE"""),"GENEPIO:0001159")</f>
        <v>GENEPIO:0001159</v>
      </c>
      <c r="F173" s="141" t="str">
        <f>IFERROR(__xludf.DUMMYFUNCTION("""COMPUTED_VALUE"""),"The name of the agency that submitted the sequence to a database.")</f>
        <v>The name of the agency that submitted the sequence to a database.</v>
      </c>
      <c r="G173" s="141" t="str">
        <f>IFERROR(__xludf.DUMMYFUNCTION("""COMPUTED_VALUE"""),"The name of the agency should be written out in full, (with minor exceptions) and be consistent across multiple submissions. For Canadian institutions submitting specimens rather than sequencing data, please put the ""National Microbiology Laboratory (NML"&amp;")"".")</f>
        <v>The name of the agency should be written out in full, (with minor exceptions) and be consistent across multiple submissions. For Canadian institutions submitting specimens rather than sequencing data, please put the "National Microbiology Laboratory (NML)".</v>
      </c>
      <c r="H173" s="141" t="str">
        <f>IFERROR(__xludf.DUMMYFUNCTION("""COMPUTED_VALUE"""),"Public Health Ontario (PHO)")</f>
        <v>Public Health Ontario (PHO)</v>
      </c>
      <c r="K173" s="142" t="s">
        <v>25</v>
      </c>
      <c r="L173" s="142" t="s">
        <v>25</v>
      </c>
      <c r="M173" s="142" t="s">
        <v>25</v>
      </c>
      <c r="N173" s="142" t="str">
        <f>IFERROR(__xludf.DUMMYFUNCTION("""COMPUTED_VALUE"""),"WastewaterSARS-CoV-2;WastewaterAMR;WastewaterPathogenAgnostic")</f>
        <v>WastewaterSARS-CoV-2;WastewaterAMR;WastewaterPathogenAgnostic</v>
      </c>
    </row>
    <row r="174">
      <c r="A174" s="141" t="str">
        <f>IFERROR(__xludf.DUMMYFUNCTION("""COMPUTED_VALUE"""),"Sequence information")</f>
        <v>Sequence information</v>
      </c>
      <c r="B174" s="141" t="str">
        <f>IFERROR(__xludf.DUMMYFUNCTION("""COMPUTED_VALUE"""),"sequence submitter contact email")</f>
        <v>sequence submitter contact email</v>
      </c>
      <c r="C174" s="141"/>
      <c r="D174" s="141" t="b">
        <f>IFERROR(__xludf.DUMMYFUNCTION("""COMPUTED_VALUE"""),TRUE)</f>
        <v>1</v>
      </c>
      <c r="E174" s="141" t="str">
        <f>IFERROR(__xludf.DUMMYFUNCTION("""COMPUTED_VALUE"""),"GENEPIO:0001165")</f>
        <v>GENEPIO:0001165</v>
      </c>
      <c r="F174" s="141" t="str">
        <f>IFERROR(__xludf.DUMMYFUNCTION("""COMPUTED_VALUE"""),"The email address of the contact responsible for follow-up regarding the sequence.")</f>
        <v>The email address of the contact responsible for follow-up regarding the sequence.</v>
      </c>
      <c r="G174" s="141" t="str">
        <f>IFERROR(__xludf.DUMMYFUNCTION("""COMPUTED_VALUE"""),"The email address can represent a specific individual or laboratory.")</f>
        <v>The email address can represent a specific individual or laboratory.</v>
      </c>
      <c r="H174" s="141" t="str">
        <f>IFERROR(__xludf.DUMMYFUNCTION("""COMPUTED_VALUE"""),"RespLab@lab.ca")</f>
        <v>RespLab@lab.ca</v>
      </c>
      <c r="K174" s="142" t="s">
        <v>25</v>
      </c>
      <c r="L174" s="142" t="s">
        <v>25</v>
      </c>
      <c r="M174" s="142" t="s">
        <v>25</v>
      </c>
      <c r="N174" s="142" t="str">
        <f>IFERROR(__xludf.DUMMYFUNCTION("""COMPUTED_VALUE"""),"WastewaterSARS-CoV-2;WastewaterAMR;WastewaterPathogenAgnostic")</f>
        <v>WastewaterSARS-CoV-2;WastewaterAMR;WastewaterPathogenAgnostic</v>
      </c>
    </row>
    <row r="175">
      <c r="A175" s="141" t="str">
        <f>IFERROR(__xludf.DUMMYFUNCTION("""COMPUTED_VALUE"""),"Sequence information")</f>
        <v>Sequence information</v>
      </c>
      <c r="B175" s="141" t="str">
        <f>IFERROR(__xludf.DUMMYFUNCTION("""COMPUTED_VALUE"""),"sequencing date")</f>
        <v>sequencing date</v>
      </c>
      <c r="C175" s="141"/>
      <c r="D175" s="141"/>
      <c r="E175" s="141" t="str">
        <f>IFERROR(__xludf.DUMMYFUNCTION("""COMPUTED_VALUE"""),"GENEPIO:0001447")</f>
        <v>GENEPIO:0001447</v>
      </c>
      <c r="F175" s="141" t="str">
        <f>IFERROR(__xludf.DUMMYFUNCTION("""COMPUTED_VALUE"""),"The date the sample was sequenced.")</f>
        <v>The date the sample was sequenced.</v>
      </c>
      <c r="G175" s="141" t="str">
        <f>IFERROR(__xludf.DUMMYFUNCTION("""COMPUTED_VALUE"""),"ISO 8601 standard ""YYYY-MM-DD"".")</f>
        <v>ISO 8601 standard "YYYY-MM-DD".</v>
      </c>
      <c r="H175" s="145">
        <f>IFERROR(__xludf.DUMMYFUNCTION("""COMPUTED_VALUE"""),44004.0)</f>
        <v>44004</v>
      </c>
      <c r="K175" s="142" t="s">
        <v>25</v>
      </c>
      <c r="L175" s="142" t="s">
        <v>25</v>
      </c>
      <c r="M175" s="142" t="s">
        <v>25</v>
      </c>
      <c r="N175" s="142" t="str">
        <f>IFERROR(__xludf.DUMMYFUNCTION("""COMPUTED_VALUE"""),"WastewaterSARS-CoV-2;WastewaterAMR;WastewaterPathogenAgnostic")</f>
        <v>WastewaterSARS-CoV-2;WastewaterAMR;WastewaterPathogenAgnostic</v>
      </c>
    </row>
    <row r="176">
      <c r="A176" s="141" t="str">
        <f>IFERROR(__xludf.DUMMYFUNCTION("""COMPUTED_VALUE"""),"Sequence information")</f>
        <v>Sequence information</v>
      </c>
      <c r="B176" s="141" t="str">
        <f>IFERROR(__xludf.DUMMYFUNCTION("""COMPUTED_VALUE"""),"library ID")</f>
        <v>library ID</v>
      </c>
      <c r="C176" s="141"/>
      <c r="D176" s="141"/>
      <c r="E176" s="141" t="str">
        <f>IFERROR(__xludf.DUMMYFUNCTION("""COMPUTED_VALUE"""),"GENEPIO:0001448")</f>
        <v>GENEPIO:0001448</v>
      </c>
      <c r="F176" s="141" t="str">
        <f>IFERROR(__xludf.DUMMYFUNCTION("""COMPUTED_VALUE"""),"The user-specified identifier for the library prepared for sequencing.")</f>
        <v>The user-specified identifier for the library prepared for sequencing.</v>
      </c>
      <c r="G176" s="141" t="str">
        <f>IFERROR(__xludf.DUMMYFUNCTION("""COMPUTED_VALUE"""),"The library name should be unique, and can be an autogenerated ID from your LIMS, or modification of the isolate ID.")</f>
        <v>The library name should be unique, and can be an autogenerated ID from your LIMS, or modification of the isolate ID.</v>
      </c>
      <c r="H176" s="141" t="str">
        <f>IFERROR(__xludf.DUMMYFUNCTION("""COMPUTED_VALUE"""),"XYZ_123345")</f>
        <v>XYZ_123345</v>
      </c>
      <c r="K176" s="142" t="s">
        <v>25</v>
      </c>
      <c r="L176" s="142" t="s">
        <v>25</v>
      </c>
      <c r="M176" s="142" t="s">
        <v>25</v>
      </c>
      <c r="N176" s="142" t="str">
        <f>IFERROR(__xludf.DUMMYFUNCTION("""COMPUTED_VALUE"""),"WastewaterSARS-CoV-2;WastewaterAMR;WastewaterPathogenAgnostic")</f>
        <v>WastewaterSARS-CoV-2;WastewaterAMR;WastewaterPathogenAgnostic</v>
      </c>
    </row>
    <row r="177">
      <c r="A177" s="141" t="str">
        <f>IFERROR(__xludf.DUMMYFUNCTION("""COMPUTED_VALUE"""),"Sequence information")</f>
        <v>Sequence information</v>
      </c>
      <c r="B177" s="141" t="str">
        <f>IFERROR(__xludf.DUMMYFUNCTION("""COMPUTED_VALUE"""),"sequencing platform")</f>
        <v>sequencing platform</v>
      </c>
      <c r="C177" s="141"/>
      <c r="D177" s="141"/>
      <c r="E177" s="141" t="str">
        <f>IFERROR(__xludf.DUMMYFUNCTION("""COMPUTED_VALUE"""),"GENEPIO:0100473")</f>
        <v>GENEPIO:0100473</v>
      </c>
      <c r="F177" s="141" t="str">
        <f>IFERROR(__xludf.DUMMYFUNCTION("""COMPUTED_VALUE"""),"The platform technology used to perform the sequencing.")</f>
        <v>The platform technology used to perform the sequencing.</v>
      </c>
      <c r="G177" s="141" t="str">
        <f>IFERROR(__xludf.DUMMYFUNCTION("""COMPUTED_VALUE"""),"Provide the name of the company that created the sequencing instrument by selecting a value from the template pick list. If the information is unknown or cannot be provided, leave blank or provide a null value.")</f>
        <v>Provide the name of the company that created the sequencing instrument by selecting a value from the template pick list. If the information is unknown or cannot be provided, leave blank or provide a null value.</v>
      </c>
      <c r="H177" s="141" t="str">
        <f>IFERROR(__xludf.DUMMYFUNCTION("""COMPUTED_VALUE"""),"Illumina [GENEPIO:0001923]")</f>
        <v>Illumina [GENEPIO:0001923]</v>
      </c>
      <c r="K177" s="142" t="s">
        <v>25</v>
      </c>
      <c r="L177" s="142" t="s">
        <v>25</v>
      </c>
      <c r="M177" s="142" t="s">
        <v>25</v>
      </c>
      <c r="N177" s="142" t="str">
        <f>IFERROR(__xludf.DUMMYFUNCTION("""COMPUTED_VALUE"""),"WastewaterSARS-CoV-2;WastewaterAMR;WastewaterPathogenAgnostic")</f>
        <v>WastewaterSARS-CoV-2;WastewaterAMR;WastewaterPathogenAgnostic</v>
      </c>
    </row>
    <row r="178">
      <c r="A178" s="141" t="str">
        <f>IFERROR(__xludf.DUMMYFUNCTION("""COMPUTED_VALUE"""),"Sequence information")</f>
        <v>Sequence information</v>
      </c>
      <c r="B178" s="141" t="str">
        <f>IFERROR(__xludf.DUMMYFUNCTION("""COMPUTED_VALUE"""),"sequencing instrument")</f>
        <v>sequencing instrument</v>
      </c>
      <c r="C178" s="141" t="b">
        <f>IFERROR(__xludf.DUMMYFUNCTION("""COMPUTED_VALUE"""),TRUE)</f>
        <v>1</v>
      </c>
      <c r="D178" s="141"/>
      <c r="E178" s="141" t="str">
        <f>IFERROR(__xludf.DUMMYFUNCTION("""COMPUTED_VALUE"""),"GENEPIO:0001452")</f>
        <v>GENEPIO:0001452</v>
      </c>
      <c r="F178" s="141" t="str">
        <f>IFERROR(__xludf.DUMMYFUNCTION("""COMPUTED_VALUE"""),"The model of the sequencing instrument used.")</f>
        <v>The model of the sequencing instrument used.</v>
      </c>
      <c r="G178" s="141" t="str">
        <f>IFERROR(__xludf.DUMMYFUNCTION("""COMPUTED_VALUE"""),"Provide the model sequencing instrument by selecting a value from the template pick list. If the information is unknown or cannot be provided, leave blank or provide a null value.")</f>
        <v>Provide the model sequencing instrument by selecting a value from the template pick list. If the information is unknown or cannot be provided, leave blank or provide a null value.</v>
      </c>
      <c r="H178" s="141" t="str">
        <f>IFERROR(__xludf.DUMMYFUNCTION("""COMPUTED_VALUE"""),"Illumina HiSeq 2500 [GENEPIO:0100117]")</f>
        <v>Illumina HiSeq 2500 [GENEPIO:0100117]</v>
      </c>
      <c r="K178" s="142" t="s">
        <v>25</v>
      </c>
      <c r="L178" s="142" t="s">
        <v>25</v>
      </c>
      <c r="M178" s="142" t="s">
        <v>25</v>
      </c>
      <c r="N178" s="142" t="str">
        <f>IFERROR(__xludf.DUMMYFUNCTION("""COMPUTED_VALUE"""),"WastewaterSARS-CoV-2;WastewaterAMR;WastewaterPathogenAgnostic")</f>
        <v>WastewaterSARS-CoV-2;WastewaterAMR;WastewaterPathogenAgnostic</v>
      </c>
    </row>
    <row r="179">
      <c r="A179" s="141" t="str">
        <f>IFERROR(__xludf.DUMMYFUNCTION("""COMPUTED_VALUE"""),"Sequence information")</f>
        <v>Sequence information</v>
      </c>
      <c r="B179" s="141" t="str">
        <f>IFERROR(__xludf.DUMMYFUNCTION("""COMPUTED_VALUE"""),"sequencing assay type")</f>
        <v>sequencing assay type</v>
      </c>
      <c r="C179" s="141"/>
      <c r="D179" s="141" t="b">
        <f>IFERROR(__xludf.DUMMYFUNCTION("""COMPUTED_VALUE"""),TRUE)</f>
        <v>1</v>
      </c>
      <c r="E179" s="141" t="str">
        <f>IFERROR(__xludf.DUMMYFUNCTION("""COMPUTED_VALUE"""),"GENEPIO:0100997")</f>
        <v>GENEPIO:0100997</v>
      </c>
      <c r="F179" s="141" t="str">
        <f>IFERROR(__xludf.DUMMYFUNCTION("""COMPUTED_VALUE"""),"The overarching sequencing methodology that was used to determine the sequence of a biomaterial.")</f>
        <v>The overarching sequencing methodology that was used to determine the sequence of a biomaterial.</v>
      </c>
      <c r="G179" s="141" t="str">
        <f>IFERROR(__xludf.DUMMYFUNCTION("""COMPUTED_VALUE"""),"Provide the name of the DNA or RNA sequencing technology used in your study. If unsure refer to the protocol documentation, or provide a null value.")</f>
        <v>Provide the name of the DNA or RNA sequencing technology used in your study. If unsure refer to the protocol documentation, or provide a null value.</v>
      </c>
      <c r="H179" s="141" t="str">
        <f>IFERROR(__xludf.DUMMYFUNCTION("""COMPUTED_VALUE"""),"whole genome sequencing assay")</f>
        <v>whole genome sequencing assay</v>
      </c>
      <c r="K179" s="142" t="s">
        <v>25</v>
      </c>
      <c r="L179" s="142" t="s">
        <v>25</v>
      </c>
      <c r="M179" s="142" t="s">
        <v>25</v>
      </c>
      <c r="N179" s="142" t="str">
        <f>IFERROR(__xludf.DUMMYFUNCTION("""COMPUTED_VALUE"""),"WastewaterSARS-CoV-2;WastewaterAMR;WastewaterPathogenAgnostic")</f>
        <v>WastewaterSARS-CoV-2;WastewaterAMR;WastewaterPathogenAgnostic</v>
      </c>
    </row>
    <row r="180">
      <c r="A180" s="141" t="str">
        <f>IFERROR(__xludf.DUMMYFUNCTION("""COMPUTED_VALUE"""),"Sequence information")</f>
        <v>Sequence information</v>
      </c>
      <c r="B180" s="141" t="str">
        <f>IFERROR(__xludf.DUMMYFUNCTION("""COMPUTED_VALUE"""),"library preparation kit")</f>
        <v>library preparation kit</v>
      </c>
      <c r="C180" s="141"/>
      <c r="D180" s="141"/>
      <c r="E180" s="141" t="str">
        <f>IFERROR(__xludf.DUMMYFUNCTION("""COMPUTED_VALUE"""),"GENEPIO:0001450")</f>
        <v>GENEPIO:0001450</v>
      </c>
      <c r="F180" s="141" t="str">
        <f>IFERROR(__xludf.DUMMYFUNCTION("""COMPUTED_VALUE"""),"The name of the DNA library preparation kit used to generate the library being sequenced.")</f>
        <v>The name of the DNA library preparation kit used to generate the library being sequenced.</v>
      </c>
      <c r="G180" s="141" t="str">
        <f>IFERROR(__xludf.DUMMYFUNCTION("""COMPUTED_VALUE"""),"Provide the name of the library preparation kit used. ")</f>
        <v>Provide the name of the library preparation kit used. </v>
      </c>
      <c r="H180" s="141" t="str">
        <f>IFERROR(__xludf.DUMMYFUNCTION("""COMPUTED_VALUE"""),"Nextera XT")</f>
        <v>Nextera XT</v>
      </c>
      <c r="K180" s="142" t="s">
        <v>25</v>
      </c>
      <c r="L180" s="142" t="s">
        <v>25</v>
      </c>
      <c r="M180" s="142" t="s">
        <v>25</v>
      </c>
      <c r="N180" s="142" t="str">
        <f>IFERROR(__xludf.DUMMYFUNCTION("""COMPUTED_VALUE"""),"WastewaterSARS-CoV-2;WastewaterAMR;WastewaterPathogenAgnostic")</f>
        <v>WastewaterSARS-CoV-2;WastewaterAMR;WastewaterPathogenAgnostic</v>
      </c>
    </row>
    <row r="181">
      <c r="A181" s="141" t="str">
        <f>IFERROR(__xludf.DUMMYFUNCTION("""COMPUTED_VALUE"""),"Sequence information")</f>
        <v>Sequence information</v>
      </c>
      <c r="B181" s="141" t="str">
        <f>IFERROR(__xludf.DUMMYFUNCTION("""COMPUTED_VALUE"""),"sequencing protocol")</f>
        <v>sequencing protocol</v>
      </c>
      <c r="C181" s="141"/>
      <c r="D181" s="141" t="b">
        <f>IFERROR(__xludf.DUMMYFUNCTION("""COMPUTED_VALUE"""),TRUE)</f>
        <v>1</v>
      </c>
      <c r="E181" s="141" t="str">
        <f>IFERROR(__xludf.DUMMYFUNCTION("""COMPUTED_VALUE"""),"GENEPIO:0001454")</f>
        <v>GENEPIO:0001454</v>
      </c>
      <c r="F181" s="141" t="str">
        <f>IFERROR(__xludf.DUMMYFUNCTION("""COMPUTED_VALUE"""),"The protocol or method used for sequencing.")</f>
        <v>The protocol or method used for sequencing.</v>
      </c>
      <c r="G181" s="141" t="str">
        <f>IFERROR(__xludf.DUMMYFUNCTION("""COMPUTED_VALUE"""),"Provide the name and version of the procedure or protocol used for sequencing. You can also provide a link to a protocol online.")</f>
        <v>Provide the name and version of the procedure or protocol used for sequencing. You can also provide a link to a protocol online.</v>
      </c>
      <c r="H181" s="147" t="str">
        <f>IFERROR(__xludf.DUMMYFUNCTION("""COMPUTED_VALUE"""),"https://www.protocols.io/view/ncov-2019-sequencing-protocol-bbmuik6w?version_warning=no")</f>
        <v>https://www.protocols.io/view/ncov-2019-sequencing-protocol-bbmuik6w?version_warning=no</v>
      </c>
      <c r="K181" s="142" t="s">
        <v>25</v>
      </c>
      <c r="L181" s="142" t="s">
        <v>25</v>
      </c>
      <c r="M181" s="142" t="s">
        <v>25</v>
      </c>
      <c r="N181" s="142" t="str">
        <f>IFERROR(__xludf.DUMMYFUNCTION("""COMPUTED_VALUE"""),"WastewaterSARS-CoV-2;WastewaterAMR;WastewaterPathogenAgnostic")</f>
        <v>WastewaterSARS-CoV-2;WastewaterAMR;WastewaterPathogenAgnostic</v>
      </c>
    </row>
    <row r="182">
      <c r="A182" s="141" t="str">
        <f>IFERROR(__xludf.DUMMYFUNCTION("""COMPUTED_VALUE"""),"Sequence information")</f>
        <v>Sequence information</v>
      </c>
      <c r="B182" s="141" t="str">
        <f>IFERROR(__xludf.DUMMYFUNCTION("""COMPUTED_VALUE"""),"DNA fragment length")</f>
        <v>DNA fragment length</v>
      </c>
      <c r="C182" s="141"/>
      <c r="D182" s="141"/>
      <c r="E182" s="143" t="str">
        <f>IFERROR(__xludf.DUMMYFUNCTION("""COMPUTED_VALUE"""),"GENEPIO:0100843")</f>
        <v>GENEPIO:0100843</v>
      </c>
      <c r="F182" s="141"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G182" s="141" t="str">
        <f>IFERROR(__xludf.DUMMYFUNCTION("""COMPUTED_VALUE"""),"Provide the fragment length in base pairs (do not include the units).")</f>
        <v>Provide the fragment length in base pairs (do not include the units).</v>
      </c>
      <c r="H182" s="141">
        <f>IFERROR(__xludf.DUMMYFUNCTION("""COMPUTED_VALUE"""),400.0)</f>
        <v>400</v>
      </c>
      <c r="K182" s="142" t="s">
        <v>25</v>
      </c>
      <c r="L182" s="142" t="s">
        <v>25</v>
      </c>
      <c r="M182" s="142" t="s">
        <v>25</v>
      </c>
      <c r="N182" s="142" t="str">
        <f>IFERROR(__xludf.DUMMYFUNCTION("""COMPUTED_VALUE"""),"WastewaterAMR;WastewaterPathogenAgnostic")</f>
        <v>WastewaterAMR;WastewaterPathogenAgnostic</v>
      </c>
    </row>
    <row r="183">
      <c r="A183" s="141" t="str">
        <f>IFERROR(__xludf.DUMMYFUNCTION("""COMPUTED_VALUE"""),"Sequence information")</f>
        <v>Sequence information</v>
      </c>
      <c r="B183" s="141" t="str">
        <f>IFERROR(__xludf.DUMMYFUNCTION("""COMPUTED_VALUE"""),"genomic target enrichment method")</f>
        <v>genomic target enrichment method</v>
      </c>
      <c r="C183" s="141"/>
      <c r="D183" s="141" t="b">
        <f>IFERROR(__xludf.DUMMYFUNCTION("""COMPUTED_VALUE"""),TRUE)</f>
        <v>1</v>
      </c>
      <c r="E183" s="143" t="str">
        <f>IFERROR(__xludf.DUMMYFUNCTION("""COMPUTED_VALUE"""),"GENEPIO:0100966")</f>
        <v>GENEPIO:0100966</v>
      </c>
      <c r="F183" s="141" t="str">
        <f>IFERROR(__xludf.DUMMYFUNCTION("""COMPUTED_VALUE"""),"The molecular technique used to selectively capture and amplify specific regions of interest from a genome.")</f>
        <v>The molecular technique used to selectively capture and amplify specific regions of interest from a genome.</v>
      </c>
      <c r="G183" s="141" t="str">
        <f>IFERROR(__xludf.DUMMYFUNCTION("""COMPUTED_VALUE"""),"Provide the name of the enrichment method")</f>
        <v>Provide the name of the enrichment method</v>
      </c>
      <c r="H183" s="141" t="str">
        <f>IFERROR(__xludf.DUMMYFUNCTION("""COMPUTED_VALUE"""),"hybrid selection method")</f>
        <v>hybrid selection method</v>
      </c>
      <c r="K183" s="142" t="s">
        <v>25</v>
      </c>
      <c r="L183" s="142" t="s">
        <v>25</v>
      </c>
      <c r="M183" s="142" t="s">
        <v>25</v>
      </c>
      <c r="N183" s="142" t="str">
        <f>IFERROR(__xludf.DUMMYFUNCTION("""COMPUTED_VALUE"""),"WastewaterAMR;WastewaterPathogenAgnostic")</f>
        <v>WastewaterAMR;WastewaterPathogenAgnostic</v>
      </c>
    </row>
    <row r="184">
      <c r="A184" s="141" t="str">
        <f>IFERROR(__xludf.DUMMYFUNCTION("""COMPUTED_VALUE"""),"Sequence information")</f>
        <v>Sequence information</v>
      </c>
      <c r="B184" s="141" t="str">
        <f>IFERROR(__xludf.DUMMYFUNCTION("""COMPUTED_VALUE"""),"genomic target enrichment method details")</f>
        <v>genomic target enrichment method details</v>
      </c>
      <c r="C184" s="141"/>
      <c r="D184" s="141"/>
      <c r="E184" s="143" t="str">
        <f>IFERROR(__xludf.DUMMYFUNCTION("""COMPUTED_VALUE"""),"GENEPIO:0100967")</f>
        <v>GENEPIO:0100967</v>
      </c>
      <c r="F184" s="141"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G184" s="141" t="str">
        <f>IFERROR(__xludf.DUMMYFUNCTION("""COMPUTED_VALUE"""),"Provide details that are applicable to the method you used.")</f>
        <v>Provide details that are applicable to the method you used.</v>
      </c>
      <c r="H184" s="141" t="str">
        <f>IFERROR(__xludf.DUMMYFUNCTION("""COMPUTED_VALUE"""),"enrichment was done using Illumina Target Enrichment methodology with the Illumina DNA Prep with enrichment kit.")</f>
        <v>enrichment was done using Illumina Target Enrichment methodology with the Illumina DNA Prep with enrichment kit.</v>
      </c>
      <c r="K184" s="144" t="s">
        <v>25</v>
      </c>
      <c r="L184" s="144" t="s">
        <v>25</v>
      </c>
      <c r="M184" s="144" t="s">
        <v>25</v>
      </c>
      <c r="N184" s="142" t="str">
        <f>IFERROR(__xludf.DUMMYFUNCTION("""COMPUTED_VALUE"""),"WastewaterAMR;WastewaterPathogenAgnostic")</f>
        <v>WastewaterAMR;WastewaterPathogenAgnostic</v>
      </c>
    </row>
    <row r="185">
      <c r="A185" s="141" t="str">
        <f>IFERROR(__xludf.DUMMYFUNCTION("""COMPUTED_VALUE"""),"Sequence information")</f>
        <v>Sequence information</v>
      </c>
      <c r="B185" s="141" t="str">
        <f>IFERROR(__xludf.DUMMYFUNCTION("""COMPUTED_VALUE"""),"amplicon pcr primer scheme")</f>
        <v>amplicon pcr primer scheme</v>
      </c>
      <c r="C185" s="141"/>
      <c r="D185" s="141" t="b">
        <f>IFERROR(__xludf.DUMMYFUNCTION("""COMPUTED_VALUE"""),TRUE)</f>
        <v>1</v>
      </c>
      <c r="E185" s="141" t="str">
        <f>IFERROR(__xludf.DUMMYFUNCTION("""COMPUTED_VALUE"""),"GENEPIO:0001456")</f>
        <v>GENEPIO:0001456</v>
      </c>
      <c r="F185" s="141"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G185" s="141" t="str">
        <f>IFERROR(__xludf.DUMMYFUNCTION("""COMPUTED_VALUE"""),"Provide the name and version of the primer scheme used to generate the amplicons for sequencing.")</f>
        <v>Provide the name and version of the primer scheme used to generate the amplicons for sequencing.</v>
      </c>
      <c r="H185" s="141" t="str">
        <f>IFERROR(__xludf.DUMMYFUNCTION("""COMPUTED_VALUE"""),"artic v3")</f>
        <v>artic v3</v>
      </c>
      <c r="K185" s="142" t="s">
        <v>25</v>
      </c>
      <c r="L185" s="142" t="s">
        <v>25</v>
      </c>
      <c r="M185" s="142" t="s">
        <v>25</v>
      </c>
      <c r="N185" s="142" t="str">
        <f>IFERROR(__xludf.DUMMYFUNCTION("""COMPUTED_VALUE"""),"WastewaterSARS-CoV-2;WastewaterPathogenAgnostic")</f>
        <v>WastewaterSARS-CoV-2;WastewaterPathogenAgnostic</v>
      </c>
    </row>
    <row r="186">
      <c r="A186" s="141" t="str">
        <f>IFERROR(__xludf.DUMMYFUNCTION("""COMPUTED_VALUE"""),"Sequence information")</f>
        <v>Sequence information</v>
      </c>
      <c r="B186" s="141" t="str">
        <f>IFERROR(__xludf.DUMMYFUNCTION("""COMPUTED_VALUE"""),"amplicon size")</f>
        <v>amplicon size</v>
      </c>
      <c r="C186" s="141"/>
      <c r="D186" s="141"/>
      <c r="E186" s="141" t="str">
        <f>IFERROR(__xludf.DUMMYFUNCTION("""COMPUTED_VALUE"""),"GENEPIO:0001449")</f>
        <v>GENEPIO:0001449</v>
      </c>
      <c r="F186" s="141" t="str">
        <f>IFERROR(__xludf.DUMMYFUNCTION("""COMPUTED_VALUE"""),"The length of the amplicon generated by PCR amplification.")</f>
        <v>The length of the amplicon generated by PCR amplification.</v>
      </c>
      <c r="G186" s="141" t="str">
        <f>IFERROR(__xludf.DUMMYFUNCTION("""COMPUTED_VALUE"""),"Provide the amplicon size expressed in base pairs.")</f>
        <v>Provide the amplicon size expressed in base pairs.</v>
      </c>
      <c r="H186" s="141">
        <f>IFERROR(__xludf.DUMMYFUNCTION("""COMPUTED_VALUE"""),300.0)</f>
        <v>300</v>
      </c>
      <c r="K186" s="142" t="s">
        <v>25</v>
      </c>
      <c r="L186" s="142" t="s">
        <v>25</v>
      </c>
      <c r="M186" s="142" t="s">
        <v>25</v>
      </c>
      <c r="N186" s="142" t="str">
        <f>IFERROR(__xludf.DUMMYFUNCTION("""COMPUTED_VALUE"""),"WastewaterSARS-CoV-2;WastewaterPathogenAgnostic")</f>
        <v>WastewaterSARS-CoV-2;WastewaterPathogenAgnostic</v>
      </c>
    </row>
    <row r="187">
      <c r="A187" s="141"/>
      <c r="B187" s="141" t="str">
        <f>IFERROR(__xludf.DUMMYFUNCTION("""COMPUTED_VALUE"""),"Bioinformatics and QC metrics")</f>
        <v>Bioinformatics and QC metrics</v>
      </c>
      <c r="C187" s="141" t="str">
        <f>IFERROR(__xludf.DUMMYFUNCTION("""COMPUTED_VALUE"""),"")</f>
        <v/>
      </c>
      <c r="D187" s="141" t="str">
        <f>IFERROR(__xludf.DUMMYFUNCTION("""COMPUTED_VALUE"""),"")</f>
        <v/>
      </c>
      <c r="E187" s="141" t="str">
        <f>IFERROR(__xludf.DUMMYFUNCTION("""COMPUTED_VALUE"""),"GENEPIO:0001457")</f>
        <v>GENEPIO:0001457</v>
      </c>
      <c r="F187" s="141"/>
      <c r="G187" s="141"/>
      <c r="H187" s="141"/>
      <c r="I187" s="142"/>
      <c r="J187" s="142"/>
      <c r="K187" s="142"/>
      <c r="L187" s="142"/>
      <c r="M187" s="142"/>
      <c r="N187" s="142" t="str">
        <f>IFERROR(__xludf.DUMMYFUNCTION("""COMPUTED_VALUE"""),"WastewaterSARS-CoV-2;WastewaterAMR;WastewaterPathogenAgnostic")</f>
        <v>WastewaterSARS-CoV-2;WastewaterAMR;WastewaterPathogenAgnostic</v>
      </c>
    </row>
    <row r="188">
      <c r="A188" s="141" t="str">
        <f>IFERROR(__xludf.DUMMYFUNCTION("""COMPUTED_VALUE"""),"Bioinformatics and QC metrics")</f>
        <v>Bioinformatics and QC metrics</v>
      </c>
      <c r="B188" s="141" t="str">
        <f>IFERROR(__xludf.DUMMYFUNCTION("""COMPUTED_VALUE"""),"quality control method name")</f>
        <v>quality control method name</v>
      </c>
      <c r="C188" s="141"/>
      <c r="D188" s="141"/>
      <c r="E188" s="141" t="str">
        <f>IFERROR(__xludf.DUMMYFUNCTION("""COMPUTED_VALUE"""),"GENEPIO:0100557")</f>
        <v>GENEPIO:0100557</v>
      </c>
      <c r="F188" s="141" t="str">
        <f>IFERROR(__xludf.DUMMYFUNCTION("""COMPUTED_VALUE"""),"The name of the method used to assess whether a sequence passed a predetermined quality control threshold.")</f>
        <v>The name of the method used to assess whether a sequence passed a predetermined quality control threshold.</v>
      </c>
      <c r="G188" s="141"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H188" s="141" t="str">
        <f>IFERROR(__xludf.DUMMYFUNCTION("""COMPUTED_VALUE"""),"ncov-tools")</f>
        <v>ncov-tools</v>
      </c>
      <c r="K188" s="142" t="s">
        <v>25</v>
      </c>
      <c r="L188" s="142" t="s">
        <v>25</v>
      </c>
      <c r="M188" s="142" t="s">
        <v>25</v>
      </c>
      <c r="N188" s="142" t="str">
        <f>IFERROR(__xludf.DUMMYFUNCTION("""COMPUTED_VALUE"""),"WastewaterSARS-CoV-2;WastewaterAMR;WastewaterPathogenAgnostic")</f>
        <v>WastewaterSARS-CoV-2;WastewaterAMR;WastewaterPathogenAgnostic</v>
      </c>
    </row>
    <row r="189">
      <c r="A189" s="141" t="str">
        <f>IFERROR(__xludf.DUMMYFUNCTION("""COMPUTED_VALUE"""),"Bioinformatics and QC metrics")</f>
        <v>Bioinformatics and QC metrics</v>
      </c>
      <c r="B189" s="141" t="str">
        <f>IFERROR(__xludf.DUMMYFUNCTION("""COMPUTED_VALUE"""),"quality control method version")</f>
        <v>quality control method version</v>
      </c>
      <c r="C189" s="141"/>
      <c r="D189" s="141"/>
      <c r="E189" s="141" t="str">
        <f>IFERROR(__xludf.DUMMYFUNCTION("""COMPUTED_VALUE"""),"GENEPIO:0100558")</f>
        <v>GENEPIO:0100558</v>
      </c>
      <c r="F189" s="141"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G189" s="141"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H189" s="141" t="str">
        <f>IFERROR(__xludf.DUMMYFUNCTION("""COMPUTED_VALUE"""),"1.2.3")</f>
        <v>1.2.3</v>
      </c>
      <c r="K189" s="142" t="s">
        <v>25</v>
      </c>
      <c r="L189" s="142" t="s">
        <v>25</v>
      </c>
      <c r="M189" s="142" t="s">
        <v>25</v>
      </c>
      <c r="N189" s="142" t="str">
        <f>IFERROR(__xludf.DUMMYFUNCTION("""COMPUTED_VALUE"""),"WastewaterSARS-CoV-2;WastewaterAMR;WastewaterPathogenAgnostic")</f>
        <v>WastewaterSARS-CoV-2;WastewaterAMR;WastewaterPathogenAgnostic</v>
      </c>
    </row>
    <row r="190">
      <c r="A190" s="141" t="str">
        <f>IFERROR(__xludf.DUMMYFUNCTION("""COMPUTED_VALUE"""),"Bioinformatics and QC metrics")</f>
        <v>Bioinformatics and QC metrics</v>
      </c>
      <c r="B190" s="141" t="str">
        <f>IFERROR(__xludf.DUMMYFUNCTION("""COMPUTED_VALUE"""),"quality control determination")</f>
        <v>quality control determination</v>
      </c>
      <c r="C190" s="141"/>
      <c r="D190" s="141"/>
      <c r="E190" s="141" t="str">
        <f>IFERROR(__xludf.DUMMYFUNCTION("""COMPUTED_VALUE"""),"GENEPIO:0100559")</f>
        <v>GENEPIO:0100559</v>
      </c>
      <c r="F190" s="141" t="str">
        <f>IFERROR(__xludf.DUMMYFUNCTION("""COMPUTED_VALUE"""),"The determination of a quality control assessment.")</f>
        <v>The determination of a quality control assessment.</v>
      </c>
      <c r="G190" s="141"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90" s="141" t="str">
        <f>IFERROR(__xludf.DUMMYFUNCTION("""COMPUTED_VALUE"""),"sequence failed quality control")</f>
        <v>sequence failed quality control</v>
      </c>
      <c r="K190" s="142" t="s">
        <v>25</v>
      </c>
      <c r="L190" s="142" t="s">
        <v>25</v>
      </c>
      <c r="M190" s="142" t="s">
        <v>25</v>
      </c>
      <c r="N190" s="142" t="str">
        <f>IFERROR(__xludf.DUMMYFUNCTION("""COMPUTED_VALUE"""),"WastewaterSARS-CoV-2;WastewaterAMR;WastewaterPathogenAgnostic")</f>
        <v>WastewaterSARS-CoV-2;WastewaterAMR;WastewaterPathogenAgnostic</v>
      </c>
    </row>
    <row r="191">
      <c r="A191" s="141" t="str">
        <f>IFERROR(__xludf.DUMMYFUNCTION("""COMPUTED_VALUE"""),"Bioinformatics and QC metrics")</f>
        <v>Bioinformatics and QC metrics</v>
      </c>
      <c r="B191" s="141" t="str">
        <f>IFERROR(__xludf.DUMMYFUNCTION("""COMPUTED_VALUE"""),"quality control issues")</f>
        <v>quality control issues</v>
      </c>
      <c r="C191" s="141"/>
      <c r="D191" s="141"/>
      <c r="E191" s="141" t="str">
        <f>IFERROR(__xludf.DUMMYFUNCTION("""COMPUTED_VALUE"""),"GENEPIO:0100560")</f>
        <v>GENEPIO:0100560</v>
      </c>
      <c r="F191" s="141" t="str">
        <f>IFERROR(__xludf.DUMMYFUNCTION("""COMPUTED_VALUE"""),"The reason contributing to, or causing, a low quality determination in a quality control assessment.")</f>
        <v>The reason contributing to, or causing, a low quality determination in a quality control assessment.</v>
      </c>
      <c r="G191" s="141"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91" s="141" t="str">
        <f>IFERROR(__xludf.DUMMYFUNCTION("""COMPUTED_VALUE"""),"low average genome coverage")</f>
        <v>low average genome coverage</v>
      </c>
      <c r="K191" s="142" t="s">
        <v>25</v>
      </c>
      <c r="L191" s="142" t="s">
        <v>25</v>
      </c>
      <c r="M191" s="142" t="s">
        <v>25</v>
      </c>
      <c r="N191" s="142" t="str">
        <f>IFERROR(__xludf.DUMMYFUNCTION("""COMPUTED_VALUE"""),"WastewaterSARS-CoV-2;WastewaterAMR;WastewaterPathogenAgnostic")</f>
        <v>WastewaterSARS-CoV-2;WastewaterAMR;WastewaterPathogenAgnostic</v>
      </c>
    </row>
    <row r="192">
      <c r="A192" s="141" t="str">
        <f>IFERROR(__xludf.DUMMYFUNCTION("""COMPUTED_VALUE"""),"Bioinformatics and QC metrics")</f>
        <v>Bioinformatics and QC metrics</v>
      </c>
      <c r="B192" s="141" t="str">
        <f>IFERROR(__xludf.DUMMYFUNCTION("""COMPUTED_VALUE"""),"quality control details")</f>
        <v>quality control details</v>
      </c>
      <c r="C192" s="141"/>
      <c r="D192" s="141"/>
      <c r="E192" s="141" t="str">
        <f>IFERROR(__xludf.DUMMYFUNCTION("""COMPUTED_VALUE"""),"GENEPIO:0100561")</f>
        <v>GENEPIO:0100561</v>
      </c>
      <c r="F192" s="141" t="str">
        <f>IFERROR(__xludf.DUMMYFUNCTION("""COMPUTED_VALUE"""),"The details surrounding a low quality determination in a quality control assessment.")</f>
        <v>The details surrounding a low quality determination in a quality control assessment.</v>
      </c>
      <c r="G192" s="141" t="str">
        <f>IFERROR(__xludf.DUMMYFUNCTION("""COMPUTED_VALUE"""),"Provide notes or details regarding QC results using free text.")</f>
        <v>Provide notes or details regarding QC results using free text.</v>
      </c>
      <c r="H192" s="141" t="str">
        <f>IFERROR(__xludf.DUMMYFUNCTION("""COMPUTED_VALUE"""),"CT value of 39. Low viral load. Low DNA concentration after amplification.")</f>
        <v>CT value of 39. Low viral load. Low DNA concentration after amplification.</v>
      </c>
      <c r="K192" s="142" t="s">
        <v>25</v>
      </c>
      <c r="L192" s="142" t="s">
        <v>25</v>
      </c>
      <c r="M192" s="142" t="s">
        <v>25</v>
      </c>
      <c r="N192" s="142" t="str">
        <f>IFERROR(__xludf.DUMMYFUNCTION("""COMPUTED_VALUE"""),"WastewaterSARS-CoV-2;WastewaterAMR;WastewaterPathogenAgnostic")</f>
        <v>WastewaterSARS-CoV-2;WastewaterAMR;WastewaterPathogenAgnostic</v>
      </c>
    </row>
    <row r="193">
      <c r="A193" s="141" t="str">
        <f>IFERROR(__xludf.DUMMYFUNCTION("""COMPUTED_VALUE"""),"Bioinformatics and QC metrics")</f>
        <v>Bioinformatics and QC metrics</v>
      </c>
      <c r="B193" s="141" t="str">
        <f>IFERROR(__xludf.DUMMYFUNCTION("""COMPUTED_VALUE"""),"raw sequence data processing method")</f>
        <v>raw sequence data processing method</v>
      </c>
      <c r="C193" s="141"/>
      <c r="D193" s="141" t="b">
        <f>IFERROR(__xludf.DUMMYFUNCTION("""COMPUTED_VALUE"""),TRUE)</f>
        <v>1</v>
      </c>
      <c r="E193" s="141" t="str">
        <f>IFERROR(__xludf.DUMMYFUNCTION("""COMPUTED_VALUE"""),"GENEPIO:0001458")</f>
        <v>GENEPIO:0001458</v>
      </c>
      <c r="F193" s="141" t="str">
        <f>IFERROR(__xludf.DUMMYFUNCTION("""COMPUTED_VALUE"""),"The method used for raw data processing such as removing barcodes, adapter trimming, filtering etc.")</f>
        <v>The method used for raw data processing such as removing barcodes, adapter trimming, filtering etc.</v>
      </c>
      <c r="G193" s="141" t="str">
        <f>IFERROR(__xludf.DUMMYFUNCTION("""COMPUTED_VALUE"""),"Provide the software name followed by the version or a link to the github protocol e.g. Trimmomatic v. 0.38, Porechop v. 0.2.3")</f>
        <v>Provide the software name followed by the version or a link to the github protocol e.g. Trimmomatic v. 0.38, Porechop v. 0.2.3</v>
      </c>
      <c r="H193" s="141" t="str">
        <f>IFERROR(__xludf.DUMMYFUNCTION("""COMPUTED_VALUE"""),"Porechop 0.2.3")</f>
        <v>Porechop 0.2.3</v>
      </c>
      <c r="K193" s="142" t="s">
        <v>25</v>
      </c>
      <c r="L193" s="142" t="s">
        <v>25</v>
      </c>
      <c r="M193" s="142" t="s">
        <v>25</v>
      </c>
      <c r="N193" s="142" t="str">
        <f>IFERROR(__xludf.DUMMYFUNCTION("""COMPUTED_VALUE"""),"WastewaterSARS-CoV-2;WastewaterAMR;WastewaterPathogenAgnostic")</f>
        <v>WastewaterSARS-CoV-2;WastewaterAMR;WastewaterPathogenAgnostic</v>
      </c>
    </row>
    <row r="194">
      <c r="A194" s="141" t="str">
        <f>IFERROR(__xludf.DUMMYFUNCTION("""COMPUTED_VALUE"""),"Bioinformatics and QC metrics")</f>
        <v>Bioinformatics and QC metrics</v>
      </c>
      <c r="B194" s="141" t="str">
        <f>IFERROR(__xludf.DUMMYFUNCTION("""COMPUTED_VALUE"""),"dehosting method")</f>
        <v>dehosting method</v>
      </c>
      <c r="C194" s="141"/>
      <c r="D194" s="141" t="b">
        <f>IFERROR(__xludf.DUMMYFUNCTION("""COMPUTED_VALUE"""),TRUE)</f>
        <v>1</v>
      </c>
      <c r="E194" s="141" t="str">
        <f>IFERROR(__xludf.DUMMYFUNCTION("""COMPUTED_VALUE"""),"GENEPIO:0001459")</f>
        <v>GENEPIO:0001459</v>
      </c>
      <c r="F194" s="141" t="str">
        <f>IFERROR(__xludf.DUMMYFUNCTION("""COMPUTED_VALUE"""),"The method used to remove host reads from the pathogen sequence.")</f>
        <v>The method used to remove host reads from the pathogen sequence.</v>
      </c>
      <c r="G194" s="141" t="str">
        <f>IFERROR(__xludf.DUMMYFUNCTION("""COMPUTED_VALUE"""),"Provide the name and version number of the software used to remove host reads.")</f>
        <v>Provide the name and version number of the software used to remove host reads.</v>
      </c>
      <c r="H194" s="141" t="str">
        <f>IFERROR(__xludf.DUMMYFUNCTION("""COMPUTED_VALUE"""),"Nanostripper")</f>
        <v>Nanostripper</v>
      </c>
      <c r="K194" s="142" t="s">
        <v>25</v>
      </c>
      <c r="L194" s="142" t="s">
        <v>25</v>
      </c>
      <c r="M194" s="142" t="s">
        <v>25</v>
      </c>
      <c r="N194" s="142" t="str">
        <f>IFERROR(__xludf.DUMMYFUNCTION("""COMPUTED_VALUE"""),"WastewaterSARS-CoV-2;WastewaterAMR;WastewaterPathogenAgnostic")</f>
        <v>WastewaterSARS-CoV-2;WastewaterAMR;WastewaterPathogenAgnostic</v>
      </c>
    </row>
    <row r="195">
      <c r="A195" s="141" t="str">
        <f>IFERROR(__xludf.DUMMYFUNCTION("""COMPUTED_VALUE"""),"Bioinformatics and QC metrics")</f>
        <v>Bioinformatics and QC metrics</v>
      </c>
      <c r="B195" s="141" t="str">
        <f>IFERROR(__xludf.DUMMYFUNCTION("""COMPUTED_VALUE"""),"genome sequence file name")</f>
        <v>genome sequence file name</v>
      </c>
      <c r="C195" s="141"/>
      <c r="D195" s="141"/>
      <c r="E195" s="143" t="str">
        <f>IFERROR(__xludf.DUMMYFUNCTION("""COMPUTED_VALUE"""),"GENEPIO:0101715")</f>
        <v>GENEPIO:0101715</v>
      </c>
      <c r="F195" s="141" t="str">
        <f>IFERROR(__xludf.DUMMYFUNCTION("""COMPUTED_VALUE"""),"The name of the consensus sequence file.")</f>
        <v>The name of the consensus sequence file.</v>
      </c>
      <c r="G195" s="141" t="str">
        <f>IFERROR(__xludf.DUMMYFUNCTION("""COMPUTED_VALUE"""),"Provide the name and version number, with the file extension, of the processed genome sequence file e.g. a consensus sequence FASTA file or a genome assembly file.")</f>
        <v>Provide the name and version number, with the file extension, of the processed genome sequence file e.g. a consensus sequence FASTA file or a genome assembly file.</v>
      </c>
      <c r="H195" s="141" t="str">
        <f>IFERROR(__xludf.DUMMYFUNCTION("""COMPUTED_VALUE"""),"mpxvassembly.fasta")</f>
        <v>mpxvassembly.fasta</v>
      </c>
      <c r="K195" s="144" t="s">
        <v>1058</v>
      </c>
      <c r="L195" s="144" t="s">
        <v>1058</v>
      </c>
      <c r="M195" s="144" t="s">
        <v>1058</v>
      </c>
      <c r="N195" s="142" t="str">
        <f>IFERROR(__xludf.DUMMYFUNCTION("""COMPUTED_VALUE"""),"WastewaterSARS-CoV-2;WastewaterAMR;WastewaterPathogenAgnostic")</f>
        <v>WastewaterSARS-CoV-2;WastewaterAMR;WastewaterPathogenAgnostic</v>
      </c>
    </row>
    <row r="196">
      <c r="A196" s="141" t="str">
        <f>IFERROR(__xludf.DUMMYFUNCTION("""COMPUTED_VALUE"""),"Bioinformatics and QC metrics")</f>
        <v>Bioinformatics and QC metrics</v>
      </c>
      <c r="B196" s="141" t="str">
        <f>IFERROR(__xludf.DUMMYFUNCTION("""COMPUTED_VALUE"""),"genome sequence file path")</f>
        <v>genome sequence file path</v>
      </c>
      <c r="C196" s="141"/>
      <c r="D196" s="141"/>
      <c r="E196" s="143" t="str">
        <f>IFERROR(__xludf.DUMMYFUNCTION("""COMPUTED_VALUE"""),"GENEPIO:0101716")</f>
        <v>GENEPIO:0101716</v>
      </c>
      <c r="F196" s="141" t="str">
        <f>IFERROR(__xludf.DUMMYFUNCTION("""COMPUTED_VALUE"""),"The filepath of the consensus sequence file.")</f>
        <v>The filepath of the consensus sequence file.</v>
      </c>
      <c r="G196" s="141" t="str">
        <f>IFERROR(__xludf.DUMMYFUNCTION("""COMPUTED_VALUE"""),"Provide the filepath of the genome sequence FASTA file.")</f>
        <v>Provide the filepath of the genome sequence FASTA file.</v>
      </c>
      <c r="H196" s="141" t="str">
        <f>IFERROR(__xludf.DUMMYFUNCTION("""COMPUTED_VALUE"""),"/User/Documents/ViralLab/Data/mpxvassembly.fasta")</f>
        <v>/User/Documents/ViralLab/Data/mpxvassembly.fasta</v>
      </c>
      <c r="K196" s="144" t="s">
        <v>1058</v>
      </c>
      <c r="L196" s="144" t="s">
        <v>1058</v>
      </c>
      <c r="M196" s="144" t="s">
        <v>1058</v>
      </c>
      <c r="N196" s="142" t="str">
        <f>IFERROR(__xludf.DUMMYFUNCTION("""COMPUTED_VALUE"""),"WastewaterSARS-CoV-2;WastewaterAMR;WastewaterPathogenAgnostic")</f>
        <v>WastewaterSARS-CoV-2;WastewaterAMR;WastewaterPathogenAgnostic</v>
      </c>
    </row>
    <row r="197">
      <c r="A197" s="141" t="str">
        <f>IFERROR(__xludf.DUMMYFUNCTION("""COMPUTED_VALUE"""),"Bioinformatics and QC metrics")</f>
        <v>Bioinformatics and QC metrics</v>
      </c>
      <c r="B197" s="141" t="str">
        <f>IFERROR(__xludf.DUMMYFUNCTION("""COMPUTED_VALUE"""),"sequence assembly software name")</f>
        <v>sequence assembly software name</v>
      </c>
      <c r="C197" s="141"/>
      <c r="D197" s="141"/>
      <c r="E197" s="143" t="str">
        <f>IFERROR(__xludf.DUMMYFUNCTION("""COMPUTED_VALUE"""),"GENEPIO:0100825")</f>
        <v>GENEPIO:0100825</v>
      </c>
      <c r="F197" s="141" t="str">
        <f>IFERROR(__xludf.DUMMYFUNCTION("""COMPUTED_VALUE"""),"The name of the software used to assemble a sequence.")</f>
        <v>The name of the software used to assemble a sequence.</v>
      </c>
      <c r="G197" s="141" t="str">
        <f>IFERROR(__xludf.DUMMYFUNCTION("""COMPUTED_VALUE"""),"Provide the name of the software used to assemble the sequence.")</f>
        <v>Provide the name of the software used to assemble the sequence.</v>
      </c>
      <c r="H197" s="141" t="str">
        <f>IFERROR(__xludf.DUMMYFUNCTION("""COMPUTED_VALUE"""),"SPAdes Genome Assembler, Canu, wtdbg2, velvet")</f>
        <v>SPAdes Genome Assembler, Canu, wtdbg2, velvet</v>
      </c>
      <c r="K197" s="142" t="s">
        <v>25</v>
      </c>
      <c r="L197" s="142" t="s">
        <v>25</v>
      </c>
      <c r="M197" s="142" t="s">
        <v>25</v>
      </c>
      <c r="N197" s="142" t="str">
        <f>IFERROR(__xludf.DUMMYFUNCTION("""COMPUTED_VALUE"""),"WastewaterAMR;WastewaterPathogenAgnostic")</f>
        <v>WastewaterAMR;WastewaterPathogenAgnostic</v>
      </c>
    </row>
    <row r="198">
      <c r="A198" s="141" t="str">
        <f>IFERROR(__xludf.DUMMYFUNCTION("""COMPUTED_VALUE"""),"Bioinformatics and QC metrics")</f>
        <v>Bioinformatics and QC metrics</v>
      </c>
      <c r="B198" s="141" t="str">
        <f>IFERROR(__xludf.DUMMYFUNCTION("""COMPUTED_VALUE"""),"sequence assembly software version")</f>
        <v>sequence assembly software version</v>
      </c>
      <c r="C198" s="141"/>
      <c r="D198" s="141"/>
      <c r="E198" s="143" t="str">
        <f>IFERROR(__xludf.DUMMYFUNCTION("""COMPUTED_VALUE"""),"GENEPIO:0100826")</f>
        <v>GENEPIO:0100826</v>
      </c>
      <c r="F198" s="141" t="str">
        <f>IFERROR(__xludf.DUMMYFUNCTION("""COMPUTED_VALUE"""),"The version of the software used to assemble a sequence.")</f>
        <v>The version of the software used to assemble a sequence.</v>
      </c>
      <c r="G198" s="141" t="str">
        <f>IFERROR(__xludf.DUMMYFUNCTION("""COMPUTED_VALUE"""),"Provide the version of the software used to assemble the sequence.")</f>
        <v>Provide the version of the software used to assemble the sequence.</v>
      </c>
      <c r="H198" s="141" t="str">
        <f>IFERROR(__xludf.DUMMYFUNCTION("""COMPUTED_VALUE"""),"3.15.5")</f>
        <v>3.15.5</v>
      </c>
      <c r="K198" s="142" t="s">
        <v>25</v>
      </c>
      <c r="L198" s="142" t="s">
        <v>25</v>
      </c>
      <c r="M198" s="142" t="s">
        <v>25</v>
      </c>
      <c r="N198" s="142" t="str">
        <f>IFERROR(__xludf.DUMMYFUNCTION("""COMPUTED_VALUE"""),"WastewaterAMR;WastewaterPathogenAgnostic")</f>
        <v>WastewaterAMR;WastewaterPathogenAgnostic</v>
      </c>
    </row>
    <row r="199">
      <c r="A199" s="141" t="str">
        <f>IFERROR(__xludf.DUMMYFUNCTION("""COMPUTED_VALUE"""),"Bioinformatics and QC metrics")</f>
        <v>Bioinformatics and QC metrics</v>
      </c>
      <c r="B199" s="141" t="str">
        <f>IFERROR(__xludf.DUMMYFUNCTION("""COMPUTED_VALUE"""),"consensus sequence software name")</f>
        <v>consensus sequence software name</v>
      </c>
      <c r="C199" s="141"/>
      <c r="D199" s="141"/>
      <c r="E199" s="141" t="str">
        <f>IFERROR(__xludf.DUMMYFUNCTION("""COMPUTED_VALUE"""),"GENEPIO:0001463")</f>
        <v>GENEPIO:0001463</v>
      </c>
      <c r="F199" s="141" t="str">
        <f>IFERROR(__xludf.DUMMYFUNCTION("""COMPUTED_VALUE"""),"The name of the software used to generate the consensus sequence.")</f>
        <v>The name of the software used to generate the consensus sequence.</v>
      </c>
      <c r="G199" s="141" t="str">
        <f>IFERROR(__xludf.DUMMYFUNCTION("""COMPUTED_VALUE"""),"Provide the name of the software used to generate the consensus sequence.")</f>
        <v>Provide the name of the software used to generate the consensus sequence.</v>
      </c>
      <c r="H199" s="141" t="str">
        <f>IFERROR(__xludf.DUMMYFUNCTION("""COMPUTED_VALUE"""),"iVar")</f>
        <v>iVar</v>
      </c>
      <c r="K199" s="142" t="s">
        <v>25</v>
      </c>
      <c r="L199" s="142" t="s">
        <v>25</v>
      </c>
      <c r="M199" s="142" t="s">
        <v>25</v>
      </c>
      <c r="N199" s="142" t="str">
        <f>IFERROR(__xludf.DUMMYFUNCTION("""COMPUTED_VALUE"""),"WastewaterSARS-CoV-2")</f>
        <v>WastewaterSARS-CoV-2</v>
      </c>
    </row>
    <row r="200">
      <c r="A200" s="141" t="str">
        <f>IFERROR(__xludf.DUMMYFUNCTION("""COMPUTED_VALUE"""),"Bioinformatics and QC metrics")</f>
        <v>Bioinformatics and QC metrics</v>
      </c>
      <c r="B200" s="141" t="str">
        <f>IFERROR(__xludf.DUMMYFUNCTION("""COMPUTED_VALUE"""),"consensus sequence software version")</f>
        <v>consensus sequence software version</v>
      </c>
      <c r="C200" s="141"/>
      <c r="D200" s="141"/>
      <c r="E200" s="141" t="str">
        <f>IFERROR(__xludf.DUMMYFUNCTION("""COMPUTED_VALUE"""),"GENEPIO:0001469")</f>
        <v>GENEPIO:0001469</v>
      </c>
      <c r="F200" s="141" t="str">
        <f>IFERROR(__xludf.DUMMYFUNCTION("""COMPUTED_VALUE"""),"The version of the software used to generate the consensus sequence.")</f>
        <v>The version of the software used to generate the consensus sequence.</v>
      </c>
      <c r="G200" s="141" t="str">
        <f>IFERROR(__xludf.DUMMYFUNCTION("""COMPUTED_VALUE"""),"Provide the version of the software used to generate the consensus sequence.")</f>
        <v>Provide the version of the software used to generate the consensus sequence.</v>
      </c>
      <c r="H200" s="141">
        <f>IFERROR(__xludf.DUMMYFUNCTION("""COMPUTED_VALUE"""),1.3)</f>
        <v>1.3</v>
      </c>
      <c r="K200" s="142" t="s">
        <v>25</v>
      </c>
      <c r="L200" s="142" t="s">
        <v>25</v>
      </c>
      <c r="M200" s="142" t="s">
        <v>25</v>
      </c>
      <c r="N200" s="142" t="str">
        <f>IFERROR(__xludf.DUMMYFUNCTION("""COMPUTED_VALUE"""),"WastewaterSARS-CoV-2")</f>
        <v>WastewaterSARS-CoV-2</v>
      </c>
    </row>
    <row r="201">
      <c r="A201" s="141" t="str">
        <f>IFERROR(__xludf.DUMMYFUNCTION("""COMPUTED_VALUE"""),"Bioinformatics and QC metrics")</f>
        <v>Bioinformatics and QC metrics</v>
      </c>
      <c r="B201" s="141" t="str">
        <f>IFERROR(__xludf.DUMMYFUNCTION("""COMPUTED_VALUE"""),"breadth of coverage value")</f>
        <v>breadth of coverage value</v>
      </c>
      <c r="C201" s="141"/>
      <c r="D201" s="141"/>
      <c r="E201" s="141" t="str">
        <f>IFERROR(__xludf.DUMMYFUNCTION("""COMPUTED_VALUE"""),"GENEPIO:0001472")</f>
        <v>GENEPIO:0001472</v>
      </c>
      <c r="F201" s="141" t="str">
        <f>IFERROR(__xludf.DUMMYFUNCTION("""COMPUTED_VALUE"""),"The percentage of the reference genome covered by the sequenced data, to a prescribed depth.")</f>
        <v>The percentage of the reference genome covered by the sequenced data, to a prescribed depth.</v>
      </c>
      <c r="G201" s="141" t="str">
        <f>IFERROR(__xludf.DUMMYFUNCTION("""COMPUTED_VALUE"""),"Provide value as a percent.")</f>
        <v>Provide value as a percent.</v>
      </c>
      <c r="H201" s="141">
        <f>IFERROR(__xludf.DUMMYFUNCTION("""COMPUTED_VALUE"""),95.0)</f>
        <v>95</v>
      </c>
      <c r="K201" s="142" t="s">
        <v>25</v>
      </c>
      <c r="L201" s="142" t="s">
        <v>25</v>
      </c>
      <c r="M201" s="142" t="s">
        <v>25</v>
      </c>
      <c r="N201" s="142" t="str">
        <f>IFERROR(__xludf.DUMMYFUNCTION("""COMPUTED_VALUE"""),"WastewaterSARS-CoV-2;WastewaterAMR;WastewaterPathogenAgnostic")</f>
        <v>WastewaterSARS-CoV-2;WastewaterAMR;WastewaterPathogenAgnostic</v>
      </c>
    </row>
    <row r="202">
      <c r="A202" s="141" t="str">
        <f>IFERROR(__xludf.DUMMYFUNCTION("""COMPUTED_VALUE"""),"Bioinformatics and QC metrics")</f>
        <v>Bioinformatics and QC metrics</v>
      </c>
      <c r="B202" s="141" t="str">
        <f>IFERROR(__xludf.DUMMYFUNCTION("""COMPUTED_VALUE"""),"depth of coverage value")</f>
        <v>depth of coverage value</v>
      </c>
      <c r="C202" s="141"/>
      <c r="D202" s="141"/>
      <c r="E202" s="141" t="str">
        <f>IFERROR(__xludf.DUMMYFUNCTION("""COMPUTED_VALUE"""),"GENEPIO:0001474")</f>
        <v>GENEPIO:0001474</v>
      </c>
      <c r="F202" s="141" t="str">
        <f>IFERROR(__xludf.DUMMYFUNCTION("""COMPUTED_VALUE"""),"The average number of reads representing a given nucleotide in the reconstructed sequence.")</f>
        <v>The average number of reads representing a given nucleotide in the reconstructed sequence.</v>
      </c>
      <c r="G202" s="141" t="str">
        <f>IFERROR(__xludf.DUMMYFUNCTION("""COMPUTED_VALUE"""),"Provide value as a fold of coverage.")</f>
        <v>Provide value as a fold of coverage.</v>
      </c>
      <c r="H202" s="141">
        <f>IFERROR(__xludf.DUMMYFUNCTION("""COMPUTED_VALUE"""),400.0)</f>
        <v>400</v>
      </c>
      <c r="K202" s="142" t="s">
        <v>25</v>
      </c>
      <c r="L202" s="142" t="s">
        <v>25</v>
      </c>
      <c r="M202" s="142" t="s">
        <v>25</v>
      </c>
      <c r="N202" s="142" t="str">
        <f>IFERROR(__xludf.DUMMYFUNCTION("""COMPUTED_VALUE"""),"WastewaterSARS-CoV-2;WastewaterAMR;WastewaterPathogenAgnostic")</f>
        <v>WastewaterSARS-CoV-2;WastewaterAMR;WastewaterPathogenAgnostic</v>
      </c>
    </row>
    <row r="203">
      <c r="A203" s="141" t="str">
        <f>IFERROR(__xludf.DUMMYFUNCTION("""COMPUTED_VALUE"""),"Bioinformatics and QC metrics")</f>
        <v>Bioinformatics and QC metrics</v>
      </c>
      <c r="B203" s="141" t="str">
        <f>IFERROR(__xludf.DUMMYFUNCTION("""COMPUTED_VALUE"""),"depth of coverage threshold")</f>
        <v>depth of coverage threshold</v>
      </c>
      <c r="C203" s="141"/>
      <c r="D203" s="141"/>
      <c r="E203" s="141" t="str">
        <f>IFERROR(__xludf.DUMMYFUNCTION("""COMPUTED_VALUE"""),"GENEPIO:0001475")</f>
        <v>GENEPIO:0001475</v>
      </c>
      <c r="F203" s="141" t="str">
        <f>IFERROR(__xludf.DUMMYFUNCTION("""COMPUTED_VALUE"""),"The threshold used as a cut-off for the depth of coverage.")</f>
        <v>The threshold used as a cut-off for the depth of coverage.</v>
      </c>
      <c r="G203" s="141" t="str">
        <f>IFERROR(__xludf.DUMMYFUNCTION("""COMPUTED_VALUE"""),"Provide the threshold fold coverage.")</f>
        <v>Provide the threshold fold coverage.</v>
      </c>
      <c r="H203" s="141">
        <f>IFERROR(__xludf.DUMMYFUNCTION("""COMPUTED_VALUE"""),100.0)</f>
        <v>100</v>
      </c>
      <c r="K203" s="142" t="s">
        <v>25</v>
      </c>
      <c r="L203" s="142" t="s">
        <v>25</v>
      </c>
      <c r="M203" s="142" t="s">
        <v>25</v>
      </c>
      <c r="N203" s="142" t="str">
        <f>IFERROR(__xludf.DUMMYFUNCTION("""COMPUTED_VALUE"""),"WastewaterSARS-CoV-2;WastewaterAMR;WastewaterPathogenAgnostic")</f>
        <v>WastewaterSARS-CoV-2;WastewaterAMR;WastewaterPathogenAgnostic</v>
      </c>
    </row>
    <row r="204">
      <c r="A204" s="141" t="str">
        <f>IFERROR(__xludf.DUMMYFUNCTION("""COMPUTED_VALUE"""),"Bioinformatics and QC metrics")</f>
        <v>Bioinformatics and QC metrics</v>
      </c>
      <c r="B204" s="141" t="str">
        <f>IFERROR(__xludf.DUMMYFUNCTION("""COMPUTED_VALUE"""),"genome completeness")</f>
        <v>genome completeness</v>
      </c>
      <c r="C204" s="141"/>
      <c r="D204" s="141"/>
      <c r="E204" s="143" t="str">
        <f>IFERROR(__xludf.DUMMYFUNCTION("""COMPUTED_VALUE"""),"GENEPIO:0100844")</f>
        <v>GENEPIO:0100844</v>
      </c>
      <c r="F204" s="141"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G204" s="141" t="str">
        <f>IFERROR(__xludf.DUMMYFUNCTION("""COMPUTED_VALUE"""),"Provide the genome completeness as a percent (no need to include units).")</f>
        <v>Provide the genome completeness as a percent (no need to include units).</v>
      </c>
      <c r="H204" s="141">
        <f>IFERROR(__xludf.DUMMYFUNCTION("""COMPUTED_VALUE"""),85.0)</f>
        <v>85</v>
      </c>
      <c r="K204" s="142" t="s">
        <v>25</v>
      </c>
      <c r="L204" s="142" t="s">
        <v>25</v>
      </c>
      <c r="M204" s="142" t="s">
        <v>25</v>
      </c>
      <c r="N204" s="142" t="str">
        <f>IFERROR(__xludf.DUMMYFUNCTION("""COMPUTED_VALUE"""),"WastewaterSARS-CoV-2;WastewaterPathogenAgnostic")</f>
        <v>WastewaterSARS-CoV-2;WastewaterPathogenAgnostic</v>
      </c>
    </row>
    <row r="205">
      <c r="A205" s="141" t="str">
        <f>IFERROR(__xludf.DUMMYFUNCTION("""COMPUTED_VALUE"""),"Bioinformatics and QC metrics")</f>
        <v>Bioinformatics and QC metrics</v>
      </c>
      <c r="B205" s="141" t="str">
        <f>IFERROR(__xludf.DUMMYFUNCTION("""COMPUTED_VALUE"""),"number of base pairs sequenced")</f>
        <v>number of base pairs sequenced</v>
      </c>
      <c r="C205" s="141"/>
      <c r="D205" s="141"/>
      <c r="E205" s="141" t="str">
        <f>IFERROR(__xludf.DUMMYFUNCTION("""COMPUTED_VALUE"""),"GENEPIO:0001482")</f>
        <v>GENEPIO:0001482</v>
      </c>
      <c r="F205" s="141" t="str">
        <f>IFERROR(__xludf.DUMMYFUNCTION("""COMPUTED_VALUE"""),"The number of total base pairs generated by the sequencing process.")</f>
        <v>The number of total base pairs generated by the sequencing process.</v>
      </c>
      <c r="G205" s="141" t="str">
        <f>IFERROR(__xludf.DUMMYFUNCTION("""COMPUTED_VALUE"""),"Provide a numerical value (no need to include units).")</f>
        <v>Provide a numerical value (no need to include units).</v>
      </c>
      <c r="H205" s="141">
        <f>IFERROR(__xludf.DUMMYFUNCTION("""COMPUTED_VALUE"""),387566.0)</f>
        <v>387566</v>
      </c>
      <c r="K205" s="142" t="s">
        <v>25</v>
      </c>
      <c r="L205" s="142" t="s">
        <v>25</v>
      </c>
      <c r="M205" s="142" t="s">
        <v>25</v>
      </c>
      <c r="N205" s="142" t="str">
        <f>IFERROR(__xludf.DUMMYFUNCTION("""COMPUTED_VALUE"""),"WastewaterSARS-CoV-2;WastewaterAMR;WastewaterPathogenAgnostic")</f>
        <v>WastewaterSARS-CoV-2;WastewaterAMR;WastewaterPathogenAgnostic</v>
      </c>
    </row>
    <row r="206">
      <c r="A206" s="141" t="str">
        <f>IFERROR(__xludf.DUMMYFUNCTION("""COMPUTED_VALUE"""),"Bioinformatics and QC metrics")</f>
        <v>Bioinformatics and QC metrics</v>
      </c>
      <c r="B206" s="141" t="str">
        <f>IFERROR(__xludf.DUMMYFUNCTION("""COMPUTED_VALUE"""),"number of total reads")</f>
        <v>number of total reads</v>
      </c>
      <c r="C206" s="141"/>
      <c r="D206" s="141"/>
      <c r="E206" s="143" t="str">
        <f>IFERROR(__xludf.DUMMYFUNCTION("""COMPUTED_VALUE"""),"GENEPIO:0100827")</f>
        <v>GENEPIO:0100827</v>
      </c>
      <c r="F206" s="141" t="str">
        <f>IFERROR(__xludf.DUMMYFUNCTION("""COMPUTED_VALUE"""),"The total number of non-unique reads generated by the sequencing process.")</f>
        <v>The total number of non-unique reads generated by the sequencing process.</v>
      </c>
      <c r="G206" s="141" t="str">
        <f>IFERROR(__xludf.DUMMYFUNCTION("""COMPUTED_VALUE"""),"Provide a numerical value (no need to include units).")</f>
        <v>Provide a numerical value (no need to include units).</v>
      </c>
      <c r="H206" s="141">
        <f>IFERROR(__xludf.DUMMYFUNCTION("""COMPUTED_VALUE"""),423867.0)</f>
        <v>423867</v>
      </c>
      <c r="K206" s="142" t="s">
        <v>25</v>
      </c>
      <c r="L206" s="142" t="s">
        <v>25</v>
      </c>
      <c r="M206" s="142" t="s">
        <v>25</v>
      </c>
      <c r="N206" s="142" t="str">
        <f>IFERROR(__xludf.DUMMYFUNCTION("""COMPUTED_VALUE"""),"WastewaterSARS-CoV-2;WastewaterAMR;WastewaterPathogenAgnostic")</f>
        <v>WastewaterSARS-CoV-2;WastewaterAMR;WastewaterPathogenAgnostic</v>
      </c>
    </row>
    <row r="207">
      <c r="A207" s="141" t="str">
        <f>IFERROR(__xludf.DUMMYFUNCTION("""COMPUTED_VALUE"""),"Bioinformatics and QC metrics")</f>
        <v>Bioinformatics and QC metrics</v>
      </c>
      <c r="B207" s="141" t="str">
        <f>IFERROR(__xludf.DUMMYFUNCTION("""COMPUTED_VALUE"""),"number of unique reads")</f>
        <v>number of unique reads</v>
      </c>
      <c r="C207" s="141"/>
      <c r="D207" s="141"/>
      <c r="E207" s="143" t="str">
        <f>IFERROR(__xludf.DUMMYFUNCTION("""COMPUTED_VALUE"""),"GENEPIO:0100828")</f>
        <v>GENEPIO:0100828</v>
      </c>
      <c r="F207" s="141" t="str">
        <f>IFERROR(__xludf.DUMMYFUNCTION("""COMPUTED_VALUE"""),"The number of unique reads generated by the sequencing process.")</f>
        <v>The number of unique reads generated by the sequencing process.</v>
      </c>
      <c r="G207" s="141" t="str">
        <f>IFERROR(__xludf.DUMMYFUNCTION("""COMPUTED_VALUE"""),"Provide a numerical value (no need to include units).")</f>
        <v>Provide a numerical value (no need to include units).</v>
      </c>
      <c r="H207" s="141">
        <f>IFERROR(__xludf.DUMMYFUNCTION("""COMPUTED_VALUE"""),248236.0)</f>
        <v>248236</v>
      </c>
      <c r="K207" s="142" t="s">
        <v>25</v>
      </c>
      <c r="L207" s="142" t="s">
        <v>25</v>
      </c>
      <c r="M207" s="142" t="s">
        <v>25</v>
      </c>
      <c r="N207" s="142" t="str">
        <f>IFERROR(__xludf.DUMMYFUNCTION("""COMPUTED_VALUE"""),"WastewaterSARS-CoV-2;WastewaterAMR;WastewaterPathogenAgnostic")</f>
        <v>WastewaterSARS-CoV-2;WastewaterAMR;WastewaterPathogenAgnostic</v>
      </c>
    </row>
    <row r="208">
      <c r="A208" s="141" t="str">
        <f>IFERROR(__xludf.DUMMYFUNCTION("""COMPUTED_VALUE"""),"Bioinformatics and QC metrics")</f>
        <v>Bioinformatics and QC metrics</v>
      </c>
      <c r="B208" s="141" t="str">
        <f>IFERROR(__xludf.DUMMYFUNCTION("""COMPUTED_VALUE"""),"minimum post-trimming read length")</f>
        <v>minimum post-trimming read length</v>
      </c>
      <c r="C208" s="141"/>
      <c r="D208" s="141"/>
      <c r="E208" s="143" t="str">
        <f>IFERROR(__xludf.DUMMYFUNCTION("""COMPUTED_VALUE"""),"GENEPIO:0100829")</f>
        <v>GENEPIO:0100829</v>
      </c>
      <c r="F208" s="141" t="str">
        <f>IFERROR(__xludf.DUMMYFUNCTION("""COMPUTED_VALUE"""),"The threshold used as a cut-off for the minimum length of a read after trimming.")</f>
        <v>The threshold used as a cut-off for the minimum length of a read after trimming.</v>
      </c>
      <c r="G208" s="141" t="str">
        <f>IFERROR(__xludf.DUMMYFUNCTION("""COMPUTED_VALUE"""),"Provide a numerical value (no need to include units).")</f>
        <v>Provide a numerical value (no need to include units).</v>
      </c>
      <c r="H208" s="141">
        <f>IFERROR(__xludf.DUMMYFUNCTION("""COMPUTED_VALUE"""),150.0)</f>
        <v>150</v>
      </c>
      <c r="K208" s="142" t="s">
        <v>25</v>
      </c>
      <c r="L208" s="142" t="s">
        <v>25</v>
      </c>
      <c r="M208" s="142" t="s">
        <v>25</v>
      </c>
      <c r="N208" s="142" t="str">
        <f>IFERROR(__xludf.DUMMYFUNCTION("""COMPUTED_VALUE"""),"WastewaterSARS-CoV-2;WastewaterAMR;WastewaterPathogenAgnostic")</f>
        <v>WastewaterSARS-CoV-2;WastewaterAMR;WastewaterPathogenAgnostic</v>
      </c>
    </row>
    <row r="209">
      <c r="A209" s="141" t="str">
        <f>IFERROR(__xludf.DUMMYFUNCTION("""COMPUTED_VALUE"""),"Bioinformatics and QC metrics")</f>
        <v>Bioinformatics and QC metrics</v>
      </c>
      <c r="B209" s="141" t="str">
        <f>IFERROR(__xludf.DUMMYFUNCTION("""COMPUTED_VALUE"""),"number of contigs")</f>
        <v>number of contigs</v>
      </c>
      <c r="C209" s="141"/>
      <c r="D209" s="141"/>
      <c r="E209" s="143" t="str">
        <f>IFERROR(__xludf.DUMMYFUNCTION("""COMPUTED_VALUE"""),"GENEPIO:0100937")</f>
        <v>GENEPIO:0100937</v>
      </c>
      <c r="F209" s="141" t="str">
        <f>IFERROR(__xludf.DUMMYFUNCTION("""COMPUTED_VALUE"""),"The number of contigs (contiguous sequences) in a sequence assembly.")</f>
        <v>The number of contigs (contiguous sequences) in a sequence assembly.</v>
      </c>
      <c r="G209" s="141" t="str">
        <f>IFERROR(__xludf.DUMMYFUNCTION("""COMPUTED_VALUE"""),"Provide a numerical value.")</f>
        <v>Provide a numerical value.</v>
      </c>
      <c r="H209" s="141">
        <f>IFERROR(__xludf.DUMMYFUNCTION("""COMPUTED_VALUE"""),10.0)</f>
        <v>10</v>
      </c>
      <c r="K209" s="144" t="s">
        <v>25</v>
      </c>
      <c r="L209" s="144" t="s">
        <v>25</v>
      </c>
      <c r="M209" s="144" t="s">
        <v>25</v>
      </c>
      <c r="N209" s="142" t="str">
        <f>IFERROR(__xludf.DUMMYFUNCTION("""COMPUTED_VALUE"""),"WastewaterSARS-CoV-2;WastewaterPathogenAgnostic")</f>
        <v>WastewaterSARS-CoV-2;WastewaterPathogenAgnostic</v>
      </c>
    </row>
    <row r="210">
      <c r="A210" s="141" t="str">
        <f>IFERROR(__xludf.DUMMYFUNCTION("""COMPUTED_VALUE"""),"Bioinformatics and QC metrics")</f>
        <v>Bioinformatics and QC metrics</v>
      </c>
      <c r="B210" s="141" t="str">
        <f>IFERROR(__xludf.DUMMYFUNCTION("""COMPUTED_VALUE"""),"percent Ns across total genome length")</f>
        <v>percent Ns across total genome length</v>
      </c>
      <c r="C210" s="141"/>
      <c r="D210" s="141"/>
      <c r="E210" s="143" t="str">
        <f>IFERROR(__xludf.DUMMYFUNCTION("""COMPUTED_VALUE"""),"GENEPIO:0100830")</f>
        <v>GENEPIO:0100830</v>
      </c>
      <c r="F210" s="141" t="str">
        <f>IFERROR(__xludf.DUMMYFUNCTION("""COMPUTED_VALUE"""),"The percentage of the assembly that consists of ambiguous bases (Ns).")</f>
        <v>The percentage of the assembly that consists of ambiguous bases (Ns).</v>
      </c>
      <c r="G210" s="141" t="str">
        <f>IFERROR(__xludf.DUMMYFUNCTION("""COMPUTED_VALUE"""),"Provide a numerical value (no need to include units).")</f>
        <v>Provide a numerical value (no need to include units).</v>
      </c>
      <c r="H210" s="141">
        <f>IFERROR(__xludf.DUMMYFUNCTION("""COMPUTED_VALUE"""),2.0)</f>
        <v>2</v>
      </c>
      <c r="K210" s="144" t="s">
        <v>25</v>
      </c>
      <c r="L210" s="144" t="s">
        <v>25</v>
      </c>
      <c r="M210" s="144" t="s">
        <v>25</v>
      </c>
      <c r="N210" s="142" t="str">
        <f>IFERROR(__xludf.DUMMYFUNCTION("""COMPUTED_VALUE"""),"WastewaterSARS-CoV-2;WastewaterPathogenAgnostic")</f>
        <v>WastewaterSARS-CoV-2;WastewaterPathogenAgnostic</v>
      </c>
    </row>
    <row r="211">
      <c r="A211" s="141" t="str">
        <f>IFERROR(__xludf.DUMMYFUNCTION("""COMPUTED_VALUE"""),"Bioinformatics and QC metrics")</f>
        <v>Bioinformatics and QC metrics</v>
      </c>
      <c r="B211" s="141" t="str">
        <f>IFERROR(__xludf.DUMMYFUNCTION("""COMPUTED_VALUE"""),"Ns per 100 kbp")</f>
        <v>Ns per 100 kbp</v>
      </c>
      <c r="C211" s="141"/>
      <c r="D211" s="141"/>
      <c r="E211" s="143" t="str">
        <f>IFERROR(__xludf.DUMMYFUNCTION("""COMPUTED_VALUE"""),"GENEPIO:0001484")</f>
        <v>GENEPIO:0001484</v>
      </c>
      <c r="F211" s="141" t="str">
        <f>IFERROR(__xludf.DUMMYFUNCTION("""COMPUTED_VALUE"""),"The number of ambiguous bases (Ns) normalized per 100 kilobasepairs (kbp).")</f>
        <v>The number of ambiguous bases (Ns) normalized per 100 kilobasepairs (kbp).</v>
      </c>
      <c r="G211" s="141" t="str">
        <f>IFERROR(__xludf.DUMMYFUNCTION("""COMPUTED_VALUE"""),"Provide a numerical value (no need to include units).")</f>
        <v>Provide a numerical value (no need to include units).</v>
      </c>
      <c r="H211" s="141">
        <f>IFERROR(__xludf.DUMMYFUNCTION("""COMPUTED_VALUE"""),342.0)</f>
        <v>342</v>
      </c>
      <c r="K211" s="142" t="s">
        <v>25</v>
      </c>
      <c r="L211" s="142" t="s">
        <v>25</v>
      </c>
      <c r="M211" s="142" t="s">
        <v>25</v>
      </c>
      <c r="N211" s="142" t="str">
        <f>IFERROR(__xludf.DUMMYFUNCTION("""COMPUTED_VALUE"""),"WastewaterSARS-CoV-2")</f>
        <v>WastewaterSARS-CoV-2</v>
      </c>
    </row>
    <row r="212">
      <c r="A212" s="141" t="str">
        <f>IFERROR(__xludf.DUMMYFUNCTION("""COMPUTED_VALUE"""),"Bioinformatics and QC metrics")</f>
        <v>Bioinformatics and QC metrics</v>
      </c>
      <c r="B212" s="141" t="str">
        <f>IFERROR(__xludf.DUMMYFUNCTION("""COMPUTED_VALUE"""),"N50")</f>
        <v>N50</v>
      </c>
      <c r="C212" s="141"/>
      <c r="D212" s="141"/>
      <c r="E212" s="141" t="str">
        <f>IFERROR(__xludf.DUMMYFUNCTION("""COMPUTED_VALUE"""),"GENEPIO:0100938")</f>
        <v>GENEPIO:0100938</v>
      </c>
      <c r="F212" s="141"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G212" s="141" t="str">
        <f>IFERROR(__xludf.DUMMYFUNCTION("""COMPUTED_VALUE"""),"Provide the N50 value in Mb.")</f>
        <v>Provide the N50 value in Mb.</v>
      </c>
      <c r="H212" s="141">
        <f>IFERROR(__xludf.DUMMYFUNCTION("""COMPUTED_VALUE"""),150.0)</f>
        <v>150</v>
      </c>
      <c r="K212" s="142" t="s">
        <v>25</v>
      </c>
      <c r="L212" s="142" t="s">
        <v>25</v>
      </c>
      <c r="M212" s="142" t="s">
        <v>25</v>
      </c>
      <c r="N212" s="142" t="str">
        <f>IFERROR(__xludf.DUMMYFUNCTION("""COMPUTED_VALUE"""),"WastewaterSARS-CoV-2;WastewaterPathogenAgnostic")</f>
        <v>WastewaterSARS-CoV-2;WastewaterPathogenAgnostic</v>
      </c>
    </row>
    <row r="213">
      <c r="A213" s="141" t="str">
        <f>IFERROR(__xludf.DUMMYFUNCTION("""COMPUTED_VALUE"""),"Bioinformatics and QC metrics")</f>
        <v>Bioinformatics and QC metrics</v>
      </c>
      <c r="B213" s="141" t="str">
        <f>IFERROR(__xludf.DUMMYFUNCTION("""COMPUTED_VALUE"""),"percent read contamination")</f>
        <v>percent read contamination</v>
      </c>
      <c r="C213" s="141"/>
      <c r="D213" s="141"/>
      <c r="E213" s="143" t="str">
        <f>IFERROR(__xludf.DUMMYFUNCTION("""COMPUTED_VALUE"""),"GENEPIO:0100845")</f>
        <v>GENEPIO:0100845</v>
      </c>
      <c r="F213" s="141" t="str">
        <f>IFERROR(__xludf.DUMMYFUNCTION("""COMPUTED_VALUE"""),"The percent of the total number of reads identified as contamination (not belonging to the target organism) in a sequence dataset.")</f>
        <v>The percent of the total number of reads identified as contamination (not belonging to the target organism) in a sequence dataset.</v>
      </c>
      <c r="G213" s="141" t="str">
        <f>IFERROR(__xludf.DUMMYFUNCTION("""COMPUTED_VALUE"""),"Provide the percent contamination value (no need to include units).")</f>
        <v>Provide the percent contamination value (no need to include units).</v>
      </c>
      <c r="H213" s="141">
        <f>IFERROR(__xludf.DUMMYFUNCTION("""COMPUTED_VALUE"""),2.0)</f>
        <v>2</v>
      </c>
      <c r="K213" s="142" t="s">
        <v>25</v>
      </c>
      <c r="L213" s="142" t="s">
        <v>25</v>
      </c>
      <c r="M213" s="142" t="s">
        <v>25</v>
      </c>
      <c r="N213" s="142" t="str">
        <f>IFERROR(__xludf.DUMMYFUNCTION("""COMPUTED_VALUE"""),"WastewaterSARS-CoV-2;WastewaterPathogenAgnostic")</f>
        <v>WastewaterSARS-CoV-2;WastewaterPathogenAgnostic</v>
      </c>
    </row>
    <row r="214">
      <c r="A214" s="141" t="str">
        <f>IFERROR(__xludf.DUMMYFUNCTION("""COMPUTED_VALUE"""),"Bioinformatics and QC metrics")</f>
        <v>Bioinformatics and QC metrics</v>
      </c>
      <c r="B214" s="141" t="str">
        <f>IFERROR(__xludf.DUMMYFUNCTION("""COMPUTED_VALUE"""),"sequence assembly length")</f>
        <v>sequence assembly length</v>
      </c>
      <c r="C214" s="141"/>
      <c r="D214" s="141"/>
      <c r="E214" s="143" t="str">
        <f>IFERROR(__xludf.DUMMYFUNCTION("""COMPUTED_VALUE"""),"GENEPIO:0100846")</f>
        <v>GENEPIO:0100846</v>
      </c>
      <c r="F214" s="141" t="str">
        <f>IFERROR(__xludf.DUMMYFUNCTION("""COMPUTED_VALUE"""),"The length of the genome generated by assembling reads using a scaffold or by reference-based mapping.")</f>
        <v>The length of the genome generated by assembling reads using a scaffold or by reference-based mapping.</v>
      </c>
      <c r="G214" s="141" t="str">
        <f>IFERROR(__xludf.DUMMYFUNCTION("""COMPUTED_VALUE"""),"Provide a numerical value (no need to include units).")</f>
        <v>Provide a numerical value (no need to include units).</v>
      </c>
      <c r="H214" s="141">
        <f>IFERROR(__xludf.DUMMYFUNCTION("""COMPUTED_VALUE"""),34272.0)</f>
        <v>34272</v>
      </c>
      <c r="K214" s="142" t="s">
        <v>25</v>
      </c>
      <c r="L214" s="142" t="s">
        <v>25</v>
      </c>
      <c r="M214" s="142" t="s">
        <v>25</v>
      </c>
      <c r="N214" s="142" t="str">
        <f>IFERROR(__xludf.DUMMYFUNCTION("""COMPUTED_VALUE"""),"WastewaterPathogenAgnostic")</f>
        <v>WastewaterPathogenAgnostic</v>
      </c>
    </row>
    <row r="215">
      <c r="A215" s="141" t="str">
        <f>IFERROR(__xludf.DUMMYFUNCTION("""COMPUTED_VALUE"""),"Bioinformatics and QC metrics")</f>
        <v>Bioinformatics and QC metrics</v>
      </c>
      <c r="B215" s="141" t="str">
        <f>IFERROR(__xludf.DUMMYFUNCTION("""COMPUTED_VALUE"""),"consensus genome length")</f>
        <v>consensus genome length</v>
      </c>
      <c r="C215" s="141"/>
      <c r="D215" s="141"/>
      <c r="E215" s="141" t="str">
        <f>IFERROR(__xludf.DUMMYFUNCTION("""COMPUTED_VALUE"""),"GENEPIO:0001483")</f>
        <v>GENEPIO:0001483</v>
      </c>
      <c r="F215" s="141" t="str">
        <f>IFERROR(__xludf.DUMMYFUNCTION("""COMPUTED_VALUE"""),"The length of the genome defined by the most common nucleotides at each position.")</f>
        <v>The length of the genome defined by the most common nucleotides at each position.</v>
      </c>
      <c r="G215" s="141" t="str">
        <f>IFERROR(__xludf.DUMMYFUNCTION("""COMPUTED_VALUE"""),"Provide a numerical value (no need to include units).")</f>
        <v>Provide a numerical value (no need to include units).</v>
      </c>
      <c r="H215" s="141">
        <f>IFERROR(__xludf.DUMMYFUNCTION("""COMPUTED_VALUE"""),38677.0)</f>
        <v>38677</v>
      </c>
      <c r="K215" s="142" t="s">
        <v>25</v>
      </c>
      <c r="L215" s="142" t="s">
        <v>25</v>
      </c>
      <c r="M215" s="142" t="s">
        <v>25</v>
      </c>
      <c r="N215" s="142" t="str">
        <f>IFERROR(__xludf.DUMMYFUNCTION("""COMPUTED_VALUE"""),"WastewaterSARS-CoV-2")</f>
        <v>WastewaterSARS-CoV-2</v>
      </c>
    </row>
    <row r="216">
      <c r="A216" s="141" t="str">
        <f>IFERROR(__xludf.DUMMYFUNCTION("""COMPUTED_VALUE"""),"Bioinformatics and QC metrics")</f>
        <v>Bioinformatics and QC metrics</v>
      </c>
      <c r="B216" s="141" t="str">
        <f>IFERROR(__xludf.DUMMYFUNCTION("""COMPUTED_VALUE"""),"reference genome accession")</f>
        <v>reference genome accession</v>
      </c>
      <c r="C216" s="141"/>
      <c r="D216" s="141"/>
      <c r="E216" s="141" t="str">
        <f>IFERROR(__xludf.DUMMYFUNCTION("""COMPUTED_VALUE"""),"GENEPIO:0001485")</f>
        <v>GENEPIO:0001485</v>
      </c>
      <c r="F216" s="141" t="str">
        <f>IFERROR(__xludf.DUMMYFUNCTION("""COMPUTED_VALUE"""),"A persistent, unique identifier of a genome database entry.")</f>
        <v>A persistent, unique identifier of a genome database entry.</v>
      </c>
      <c r="G216" s="141" t="str">
        <f>IFERROR(__xludf.DUMMYFUNCTION("""COMPUTED_VALUE"""),"Provide the accession number of the reference genome.")</f>
        <v>Provide the accession number of the reference genome.</v>
      </c>
      <c r="H216" s="141" t="str">
        <f>IFERROR(__xludf.DUMMYFUNCTION("""COMPUTED_VALUE"""),"NC_045512.2")</f>
        <v>NC_045512.2</v>
      </c>
      <c r="K216" s="144" t="s">
        <v>25</v>
      </c>
      <c r="L216" s="144" t="s">
        <v>25</v>
      </c>
      <c r="M216" s="144" t="s">
        <v>25</v>
      </c>
      <c r="N216" s="142" t="str">
        <f>IFERROR(__xludf.DUMMYFUNCTION("""COMPUTED_VALUE"""),"WastewaterSARS-CoV-2;WastewaterPathogenAgnostic")</f>
        <v>WastewaterSARS-CoV-2;WastewaterPathogenAgnostic</v>
      </c>
    </row>
    <row r="217" hidden="1">
      <c r="A217" s="141" t="str">
        <f>IFERROR(__xludf.DUMMYFUNCTION("""COMPUTED_VALUE"""),"Bioinformatics and QC metrics")</f>
        <v>Bioinformatics and QC metrics</v>
      </c>
      <c r="B217" s="141" t="str">
        <f>IFERROR(__xludf.DUMMYFUNCTION("""COMPUTED_VALUE"""),"deduplication method")</f>
        <v>deduplication method</v>
      </c>
      <c r="C217" s="141"/>
      <c r="D217" s="141"/>
      <c r="E217" s="143" t="str">
        <f>IFERROR(__xludf.DUMMYFUNCTION("""COMPUTED_VALUE"""),"GENEPIO:0100831")</f>
        <v>GENEPIO:0100831</v>
      </c>
      <c r="F217" s="141" t="str">
        <f>IFERROR(__xludf.DUMMYFUNCTION("""COMPUTED_VALUE"""),"The method used to remove duplicated reads in a sequence read dataset.")</f>
        <v>The method used to remove duplicated reads in a sequence read dataset.</v>
      </c>
      <c r="G217" s="141" t="str">
        <f>IFERROR(__xludf.DUMMYFUNCTION("""COMPUTED_VALUE"""),"Provide the deduplication software name followed by the version, or a link to a tool or method.")</f>
        <v>Provide the deduplication software name followed by the version, or a link to a tool or method.</v>
      </c>
      <c r="H217" s="141" t="str">
        <f>IFERROR(__xludf.DUMMYFUNCTION("""COMPUTED_VALUE"""),"DeDup 0.12.8")</f>
        <v>DeDup 0.12.8</v>
      </c>
      <c r="K217" s="142" t="s">
        <v>25</v>
      </c>
      <c r="L217" s="142" t="s">
        <v>25</v>
      </c>
      <c r="M217" s="142" t="s">
        <v>25</v>
      </c>
      <c r="N217" s="142" t="str">
        <f>IFERROR(__xludf.DUMMYFUNCTION("""COMPUTED_VALUE"""),"WastewaterSARS-CoV-2;WastewaterPathogenAgnostic")</f>
        <v>WastewaterSARS-CoV-2;WastewaterPathogenAgnostic</v>
      </c>
    </row>
    <row r="218" hidden="1">
      <c r="A218" s="141" t="str">
        <f>IFERROR(__xludf.DUMMYFUNCTION("""COMPUTED_VALUE"""),"Bioinformatics and QC metrics")</f>
        <v>Bioinformatics and QC metrics</v>
      </c>
      <c r="B218" s="141" t="str">
        <f>IFERROR(__xludf.DUMMYFUNCTION("""COMPUTED_VALUE"""),"bioinformatics protocol")</f>
        <v>bioinformatics protocol</v>
      </c>
      <c r="C218" s="141"/>
      <c r="D218" s="141"/>
      <c r="E218" s="141" t="str">
        <f>IFERROR(__xludf.DUMMYFUNCTION("""COMPUTED_VALUE"""),"GENEPIO:0001489")</f>
        <v>GENEPIO:0001489</v>
      </c>
      <c r="F218" s="141" t="str">
        <f>IFERROR(__xludf.DUMMYFUNCTION("""COMPUTED_VALUE"""),"A description of the overall bioinformatics strategy used.")</f>
        <v>A description of the overall bioinformatics strategy used.</v>
      </c>
      <c r="G218" s="141"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18" s="147" t="str">
        <f>IFERROR(__xludf.DUMMYFUNCTION("""COMPUTED_VALUE"""),"https://github.com/phac-nml/ncov2019-artic-nf")</f>
        <v>https://github.com/phac-nml/ncov2019-artic-nf</v>
      </c>
      <c r="K218" s="142" t="s">
        <v>25</v>
      </c>
      <c r="L218" s="142" t="s">
        <v>25</v>
      </c>
      <c r="M218" s="142" t="s">
        <v>25</v>
      </c>
      <c r="N218" s="142" t="str">
        <f>IFERROR(__xludf.DUMMYFUNCTION("""COMPUTED_VALUE"""),"WastewaterSARS-CoV-2;WastewaterAMR;WastewaterPathogenAgnostic")</f>
        <v>WastewaterSARS-CoV-2;WastewaterAMR;WastewaterPathogenAgnostic</v>
      </c>
    </row>
    <row r="219">
      <c r="A219" s="141"/>
      <c r="B219" s="141" t="str">
        <f>IFERROR(__xludf.DUMMYFUNCTION("""COMPUTED_VALUE"""),"Taxonomic identification information")</f>
        <v>Taxonomic identification information</v>
      </c>
      <c r="C219" s="141" t="str">
        <f>IFERROR(__xludf.DUMMYFUNCTION("""COMPUTED_VALUE"""),"")</f>
        <v/>
      </c>
      <c r="D219" s="141" t="str">
        <f>IFERROR(__xludf.DUMMYFUNCTION("""COMPUTED_VALUE"""),"")</f>
        <v/>
      </c>
      <c r="E219" s="141" t="str">
        <f>IFERROR(__xludf.DUMMYFUNCTION("""COMPUTED_VALUE"""),"GENEPIO:0101082")</f>
        <v>GENEPIO:0101082</v>
      </c>
      <c r="F219" s="141"/>
      <c r="G219" s="141"/>
      <c r="H219" s="141"/>
      <c r="I219" s="142"/>
      <c r="J219" s="142"/>
      <c r="K219" s="142"/>
      <c r="L219" s="142"/>
      <c r="M219" s="142"/>
      <c r="N219" s="142" t="str">
        <f>IFERROR(__xludf.DUMMYFUNCTION("""COMPUTED_VALUE"""),"WastewaterAMR;WastewaterPathogenAgnostic")</f>
        <v>WastewaterAMR;WastewaterPathogenAgnostic</v>
      </c>
    </row>
    <row r="220">
      <c r="A220" s="141" t="str">
        <f>IFERROR(__xludf.DUMMYFUNCTION("""COMPUTED_VALUE"""),"Taxonomic identification information")</f>
        <v>Taxonomic identification information</v>
      </c>
      <c r="B220" s="141" t="str">
        <f>IFERROR(__xludf.DUMMYFUNCTION("""COMPUTED_VALUE"""),"read mapping software name")</f>
        <v>read mapping software name</v>
      </c>
      <c r="C220" s="141"/>
      <c r="D220" s="141" t="b">
        <f>IFERROR(__xludf.DUMMYFUNCTION("""COMPUTED_VALUE"""),TRUE)</f>
        <v>1</v>
      </c>
      <c r="E220" s="143" t="str">
        <f>IFERROR(__xludf.DUMMYFUNCTION("""COMPUTED_VALUE"""),"GENEPIO:0100832")</f>
        <v>GENEPIO:0100832</v>
      </c>
      <c r="F220" s="141" t="str">
        <f>IFERROR(__xludf.DUMMYFUNCTION("""COMPUTED_VALUE"""),"The name of the software used to map sequence reads to a reference genome or set of reference genes.")</f>
        <v>The name of the software used to map sequence reads to a reference genome or set of reference genes.</v>
      </c>
      <c r="G220" s="141" t="str">
        <f>IFERROR(__xludf.DUMMYFUNCTION("""COMPUTED_VALUE"""),"Provide the name of the read mapping software.")</f>
        <v>Provide the name of the read mapping software.</v>
      </c>
      <c r="H220" s="141" t="str">
        <f>IFERROR(__xludf.DUMMYFUNCTION("""COMPUTED_VALUE"""),"Bowtie2, BWA-MEM, TopHat")</f>
        <v>Bowtie2, BWA-MEM, TopHat</v>
      </c>
      <c r="K220" s="142" t="s">
        <v>25</v>
      </c>
      <c r="L220" s="142" t="s">
        <v>25</v>
      </c>
      <c r="M220" s="142" t="s">
        <v>25</v>
      </c>
      <c r="N220" s="142" t="str">
        <f>IFERROR(__xludf.DUMMYFUNCTION("""COMPUTED_VALUE"""),"WastewaterAMR")</f>
        <v>WastewaterAMR</v>
      </c>
    </row>
    <row r="221">
      <c r="A221" s="141" t="str">
        <f>IFERROR(__xludf.DUMMYFUNCTION("""COMPUTED_VALUE"""),"Taxonomic identification information")</f>
        <v>Taxonomic identification information</v>
      </c>
      <c r="B221" s="141" t="str">
        <f>IFERROR(__xludf.DUMMYFUNCTION("""COMPUTED_VALUE"""),"read mapping software version")</f>
        <v>read mapping software version</v>
      </c>
      <c r="C221" s="141"/>
      <c r="D221" s="141" t="b">
        <f>IFERROR(__xludf.DUMMYFUNCTION("""COMPUTED_VALUE"""),TRUE)</f>
        <v>1</v>
      </c>
      <c r="E221" s="143" t="str">
        <f>IFERROR(__xludf.DUMMYFUNCTION("""COMPUTED_VALUE"""),"GENEPIO:0100833")</f>
        <v>GENEPIO:0100833</v>
      </c>
      <c r="F221" s="141" t="str">
        <f>IFERROR(__xludf.DUMMYFUNCTION("""COMPUTED_VALUE"""),"The version of the software used to map sequence reads to a reference genome or set of reference genes.")</f>
        <v>The version of the software used to map sequence reads to a reference genome or set of reference genes.</v>
      </c>
      <c r="G221" s="141" t="str">
        <f>IFERROR(__xludf.DUMMYFUNCTION("""COMPUTED_VALUE"""),"Provide the version number of the read mapping software.")</f>
        <v>Provide the version number of the read mapping software.</v>
      </c>
      <c r="H221" s="141" t="str">
        <f>IFERROR(__xludf.DUMMYFUNCTION("""COMPUTED_VALUE"""),"2.5.1")</f>
        <v>2.5.1</v>
      </c>
      <c r="K221" s="142" t="s">
        <v>25</v>
      </c>
      <c r="L221" s="142" t="s">
        <v>25</v>
      </c>
      <c r="M221" s="142" t="s">
        <v>25</v>
      </c>
      <c r="N221" s="142" t="str">
        <f>IFERROR(__xludf.DUMMYFUNCTION("""COMPUTED_VALUE"""),"WastewaterAMR")</f>
        <v>WastewaterAMR</v>
      </c>
    </row>
    <row r="222">
      <c r="A222" s="141" t="str">
        <f>IFERROR(__xludf.DUMMYFUNCTION("""COMPUTED_VALUE"""),"Taxonomic identification information")</f>
        <v>Taxonomic identification information</v>
      </c>
      <c r="B222" s="141" t="str">
        <f>IFERROR(__xludf.DUMMYFUNCTION("""COMPUTED_VALUE"""),"read mapping software name")</f>
        <v>read mapping software name</v>
      </c>
      <c r="C222" s="141" t="b">
        <f>IFERROR(__xludf.DUMMYFUNCTION("""COMPUTED_VALUE"""),TRUE)</f>
        <v>1</v>
      </c>
      <c r="D222" s="141"/>
      <c r="E222" s="143" t="str">
        <f>IFERROR(__xludf.DUMMYFUNCTION("""COMPUTED_VALUE"""),"GENEPIO:0100832")</f>
        <v>GENEPIO:0100832</v>
      </c>
      <c r="F222" s="141" t="str">
        <f>IFERROR(__xludf.DUMMYFUNCTION("""COMPUTED_VALUE"""),"The name of the software used to map sequence reads to a reference genome or set of reference genes.")</f>
        <v>The name of the software used to map sequence reads to a reference genome or set of reference genes.</v>
      </c>
      <c r="G222" s="141" t="str">
        <f>IFERROR(__xludf.DUMMYFUNCTION("""COMPUTED_VALUE"""),"Provide the name of the read mapping software.")</f>
        <v>Provide the name of the read mapping software.</v>
      </c>
      <c r="H222" s="141" t="str">
        <f>IFERROR(__xludf.DUMMYFUNCTION("""COMPUTED_VALUE"""),"Bowtie2, BWA-MEM, TopHat")</f>
        <v>Bowtie2, BWA-MEM, TopHat</v>
      </c>
      <c r="K222" s="142" t="s">
        <v>25</v>
      </c>
      <c r="L222" s="142" t="s">
        <v>25</v>
      </c>
      <c r="M222" s="142" t="s">
        <v>25</v>
      </c>
      <c r="N222" s="142" t="str">
        <f>IFERROR(__xludf.DUMMYFUNCTION("""COMPUTED_VALUE"""),"WastewaterPathogenAgnostic")</f>
        <v>WastewaterPathogenAgnostic</v>
      </c>
    </row>
    <row r="223">
      <c r="A223" s="141" t="str">
        <f>IFERROR(__xludf.DUMMYFUNCTION("""COMPUTED_VALUE"""),"Taxonomic identification information")</f>
        <v>Taxonomic identification information</v>
      </c>
      <c r="B223" s="141" t="str">
        <f>IFERROR(__xludf.DUMMYFUNCTION("""COMPUTED_VALUE"""),"read mapping software version")</f>
        <v>read mapping software version</v>
      </c>
      <c r="C223" s="141" t="b">
        <f>IFERROR(__xludf.DUMMYFUNCTION("""COMPUTED_VALUE"""),TRUE)</f>
        <v>1</v>
      </c>
      <c r="D223" s="141"/>
      <c r="E223" s="143" t="str">
        <f>IFERROR(__xludf.DUMMYFUNCTION("""COMPUTED_VALUE"""),"GENEPIO:0100833")</f>
        <v>GENEPIO:0100833</v>
      </c>
      <c r="F223" s="141" t="str">
        <f>IFERROR(__xludf.DUMMYFUNCTION("""COMPUTED_VALUE"""),"The version of the software used to map sequence reads to a reference genome or set of reference genes.")</f>
        <v>The version of the software used to map sequence reads to a reference genome or set of reference genes.</v>
      </c>
      <c r="G223" s="141" t="str">
        <f>IFERROR(__xludf.DUMMYFUNCTION("""COMPUTED_VALUE"""),"Provide the version number of the read mapping software.")</f>
        <v>Provide the version number of the read mapping software.</v>
      </c>
      <c r="H223" s="141" t="str">
        <f>IFERROR(__xludf.DUMMYFUNCTION("""COMPUTED_VALUE"""),"2.5.1")</f>
        <v>2.5.1</v>
      </c>
      <c r="K223" s="142" t="s">
        <v>25</v>
      </c>
      <c r="L223" s="142" t="s">
        <v>25</v>
      </c>
      <c r="M223" s="142" t="s">
        <v>25</v>
      </c>
      <c r="N223" s="142" t="str">
        <f>IFERROR(__xludf.DUMMYFUNCTION("""COMPUTED_VALUE"""),"WastewaterPathogenAgnostic")</f>
        <v>WastewaterPathogenAgnostic</v>
      </c>
    </row>
    <row r="224">
      <c r="A224" s="141" t="str">
        <f>IFERROR(__xludf.DUMMYFUNCTION("""COMPUTED_VALUE"""),"Taxonomic identification information")</f>
        <v>Taxonomic identification information</v>
      </c>
      <c r="B224" s="141" t="str">
        <f>IFERROR(__xludf.DUMMYFUNCTION("""COMPUTED_VALUE"""),"taxonomic reference database name")</f>
        <v>taxonomic reference database name</v>
      </c>
      <c r="C224" s="141"/>
      <c r="D224" s="141" t="b">
        <f>IFERROR(__xludf.DUMMYFUNCTION("""COMPUTED_VALUE"""),TRUE)</f>
        <v>1</v>
      </c>
      <c r="E224" s="143" t="str">
        <f>IFERROR(__xludf.DUMMYFUNCTION("""COMPUTED_VALUE"""),"GENEPIO:0100834")</f>
        <v>GENEPIO:0100834</v>
      </c>
      <c r="F224" s="141" t="str">
        <f>IFERROR(__xludf.DUMMYFUNCTION("""COMPUTED_VALUE"""),"The name of the taxonomic reference database used to identify the organism.")</f>
        <v>The name of the taxonomic reference database used to identify the organism.</v>
      </c>
      <c r="G224" s="141" t="str">
        <f>IFERROR(__xludf.DUMMYFUNCTION("""COMPUTED_VALUE"""),"Provide the name of the taxonomic reference database.")</f>
        <v>Provide the name of the taxonomic reference database.</v>
      </c>
      <c r="H224" s="141" t="str">
        <f>IFERROR(__xludf.DUMMYFUNCTION("""COMPUTED_VALUE"""),"NCBITaxon")</f>
        <v>NCBITaxon</v>
      </c>
      <c r="K224" s="142" t="s">
        <v>25</v>
      </c>
      <c r="L224" s="142" t="s">
        <v>25</v>
      </c>
      <c r="M224" s="142" t="s">
        <v>25</v>
      </c>
      <c r="N224" s="142" t="str">
        <f>IFERROR(__xludf.DUMMYFUNCTION("""COMPUTED_VALUE"""),"WastewaterAMR;WastewaterPathogenAgnostic")</f>
        <v>WastewaterAMR;WastewaterPathogenAgnostic</v>
      </c>
    </row>
    <row r="225">
      <c r="A225" s="141" t="str">
        <f>IFERROR(__xludf.DUMMYFUNCTION("""COMPUTED_VALUE"""),"Taxonomic identification information")</f>
        <v>Taxonomic identification information</v>
      </c>
      <c r="B225" s="141" t="str">
        <f>IFERROR(__xludf.DUMMYFUNCTION("""COMPUTED_VALUE"""),"taxonomic reference database version")</f>
        <v>taxonomic reference database version</v>
      </c>
      <c r="C225" s="141"/>
      <c r="D225" s="141" t="b">
        <f>IFERROR(__xludf.DUMMYFUNCTION("""COMPUTED_VALUE"""),TRUE)</f>
        <v>1</v>
      </c>
      <c r="E225" s="143" t="str">
        <f>IFERROR(__xludf.DUMMYFUNCTION("""COMPUTED_VALUE"""),"GENEPIO:0100835")</f>
        <v>GENEPIO:0100835</v>
      </c>
      <c r="F225" s="141" t="str">
        <f>IFERROR(__xludf.DUMMYFUNCTION("""COMPUTED_VALUE"""),"The version of the taxonomic reference database used to identify the organism.")</f>
        <v>The version of the taxonomic reference database used to identify the organism.</v>
      </c>
      <c r="G225" s="141" t="str">
        <f>IFERROR(__xludf.DUMMYFUNCTION("""COMPUTED_VALUE"""),"Provide the version number of the taxonomic reference database.")</f>
        <v>Provide the version number of the taxonomic reference database.</v>
      </c>
      <c r="H225" s="141">
        <f>IFERROR(__xludf.DUMMYFUNCTION("""COMPUTED_VALUE"""),1.3)</f>
        <v>1.3</v>
      </c>
      <c r="K225" s="142" t="s">
        <v>25</v>
      </c>
      <c r="L225" s="142" t="s">
        <v>25</v>
      </c>
      <c r="M225" s="142" t="s">
        <v>25</v>
      </c>
      <c r="N225" s="142" t="str">
        <f>IFERROR(__xludf.DUMMYFUNCTION("""COMPUTED_VALUE"""),"WastewaterAMR;WastewaterPathogenAgnostic")</f>
        <v>WastewaterAMR;WastewaterPathogenAgnostic</v>
      </c>
    </row>
    <row r="226">
      <c r="A226" s="141" t="str">
        <f>IFERROR(__xludf.DUMMYFUNCTION("""COMPUTED_VALUE"""),"Taxonomic identification information")</f>
        <v>Taxonomic identification information</v>
      </c>
      <c r="B226" s="141" t="str">
        <f>IFERROR(__xludf.DUMMYFUNCTION("""COMPUTED_VALUE"""),"taxonomic analysis report filename")</f>
        <v>taxonomic analysis report filename</v>
      </c>
      <c r="C226" s="141"/>
      <c r="D226" s="141"/>
      <c r="E226" s="143" t="str">
        <f>IFERROR(__xludf.DUMMYFUNCTION("""COMPUTED_VALUE"""),"GENEPIO:0101074")</f>
        <v>GENEPIO:0101074</v>
      </c>
      <c r="F226" s="141" t="str">
        <f>IFERROR(__xludf.DUMMYFUNCTION("""COMPUTED_VALUE"""),"The filename of the report containing the results of a taxonomic analysis.")</f>
        <v>The filename of the report containing the results of a taxonomic analysis.</v>
      </c>
      <c r="G226" s="141" t="str">
        <f>IFERROR(__xludf.DUMMYFUNCTION("""COMPUTED_VALUE"""),"Provide the filename of the report containing the results of the taxonomic analysis.")</f>
        <v>Provide the filename of the report containing the results of the taxonomic analysis.</v>
      </c>
      <c r="H226" s="141" t="str">
        <f>IFERROR(__xludf.DUMMYFUNCTION("""COMPUTED_VALUE"""),"WWtax_report_Feb1_2024.doc")</f>
        <v>WWtax_report_Feb1_2024.doc</v>
      </c>
      <c r="K226" s="144" t="s">
        <v>25</v>
      </c>
      <c r="L226" s="144" t="s">
        <v>25</v>
      </c>
      <c r="M226" s="144" t="s">
        <v>25</v>
      </c>
      <c r="N226" s="142" t="str">
        <f>IFERROR(__xludf.DUMMYFUNCTION("""COMPUTED_VALUE"""),"WastewaterAMR;WastewaterPathogenAgnostic")</f>
        <v>WastewaterAMR;WastewaterPathogenAgnostic</v>
      </c>
    </row>
    <row r="227">
      <c r="A227" s="141" t="str">
        <f>IFERROR(__xludf.DUMMYFUNCTION("""COMPUTED_VALUE"""),"Taxonomic identification information")</f>
        <v>Taxonomic identification information</v>
      </c>
      <c r="B227" s="141" t="str">
        <f>IFERROR(__xludf.DUMMYFUNCTION("""COMPUTED_VALUE"""),"taxonomic analysis date")</f>
        <v>taxonomic analysis date</v>
      </c>
      <c r="C227" s="141"/>
      <c r="D227" s="141"/>
      <c r="E227" s="143" t="str">
        <f>IFERROR(__xludf.DUMMYFUNCTION("""COMPUTED_VALUE"""),"GENEPIO:0101075")</f>
        <v>GENEPIO:0101075</v>
      </c>
      <c r="F227" s="141" t="str">
        <f>IFERROR(__xludf.DUMMYFUNCTION("""COMPUTED_VALUE"""),"The date a taxonomic analysis was performed.")</f>
        <v>The date a taxonomic analysis was performed.</v>
      </c>
      <c r="G227" s="141" t="str">
        <f>IFERROR(__xludf.DUMMYFUNCTION("""COMPUTED_VALUE"""),"Providing the date that an analyis was performed can help provide context for tool and reference database versions. Provide the date that the taxonomic analysis was performed in ISO 8601 format, i.e. ""YYYY-MM-DD"".")</f>
        <v>Providing the date that an analyis was performed can help provide context for tool and reference database versions. Provide the date that the taxonomic analysis was performed in ISO 8601 format, i.e. "YYYY-MM-DD".</v>
      </c>
      <c r="H227" s="145">
        <f>IFERROR(__xludf.DUMMYFUNCTION("""COMPUTED_VALUE"""),45323.0)</f>
        <v>45323</v>
      </c>
      <c r="K227" s="142" t="s">
        <v>25</v>
      </c>
      <c r="L227" s="142" t="s">
        <v>25</v>
      </c>
      <c r="M227" s="142" t="s">
        <v>25</v>
      </c>
      <c r="N227" s="142" t="str">
        <f>IFERROR(__xludf.DUMMYFUNCTION("""COMPUTED_VALUE"""),"WastewaterAMR;WastewaterPathogenAgnostic")</f>
        <v>WastewaterAMR;WastewaterPathogenAgnostic</v>
      </c>
    </row>
    <row r="228">
      <c r="A228" s="141" t="str">
        <f>IFERROR(__xludf.DUMMYFUNCTION("""COMPUTED_VALUE"""),"Taxonomic identification information")</f>
        <v>Taxonomic identification information</v>
      </c>
      <c r="B228" s="141" t="str">
        <f>IFERROR(__xludf.DUMMYFUNCTION("""COMPUTED_VALUE"""),"read mapping criteria")</f>
        <v>read mapping criteria</v>
      </c>
      <c r="C228" s="141"/>
      <c r="D228" s="141"/>
      <c r="E228" s="143" t="str">
        <f>IFERROR(__xludf.DUMMYFUNCTION("""COMPUTED_VALUE"""),"GENEPIO:0100836")</f>
        <v>GENEPIO:0100836</v>
      </c>
      <c r="F228" s="141" t="str">
        <f>IFERROR(__xludf.DUMMYFUNCTION("""COMPUTED_VALUE"""),"A description of the criteria used to map reads to a reference sequence.")</f>
        <v>A description of the criteria used to map reads to a reference sequence.</v>
      </c>
      <c r="G228" s="141" t="str">
        <f>IFERROR(__xludf.DUMMYFUNCTION("""COMPUTED_VALUE"""),"Provide a description of the read mapping criteria.")</f>
        <v>Provide a description of the read mapping criteria.</v>
      </c>
      <c r="H228" s="141" t="str">
        <f>IFERROR(__xludf.DUMMYFUNCTION("""COMPUTED_VALUE"""),"Phred score &gt;20")</f>
        <v>Phred score &gt;20</v>
      </c>
      <c r="K228" s="142" t="s">
        <v>25</v>
      </c>
      <c r="L228" s="142" t="s">
        <v>25</v>
      </c>
      <c r="M228" s="142" t="s">
        <v>25</v>
      </c>
      <c r="N228" s="142" t="str">
        <f>IFERROR(__xludf.DUMMYFUNCTION("""COMPUTED_VALUE"""),"WastewaterAMR;WastewaterPathogenAgnostic")</f>
        <v>WastewaterAMR;WastewaterPathogenAgnostic</v>
      </c>
    </row>
    <row r="229">
      <c r="A229" s="141"/>
      <c r="B229" s="141" t="str">
        <f>IFERROR(__xludf.DUMMYFUNCTION("""COMPUTED_VALUE"""),"AMR detection information")</f>
        <v>AMR detection information</v>
      </c>
      <c r="C229" s="141" t="str">
        <f>IFERROR(__xludf.DUMMYFUNCTION("""COMPUTED_VALUE"""),"")</f>
        <v/>
      </c>
      <c r="D229" s="141" t="str">
        <f>IFERROR(__xludf.DUMMYFUNCTION("""COMPUTED_VALUE"""),"")</f>
        <v/>
      </c>
      <c r="E229" s="141" t="str">
        <f>IFERROR(__xludf.DUMMYFUNCTION("""COMPUTED_VALUE"""),"GENEPIO:0100479")</f>
        <v>GENEPIO:0100479</v>
      </c>
      <c r="F229" s="141"/>
      <c r="G229" s="141"/>
      <c r="H229" s="141"/>
      <c r="I229" s="142"/>
      <c r="J229" s="142"/>
      <c r="K229" s="142"/>
      <c r="L229" s="142"/>
      <c r="M229" s="142"/>
      <c r="N229" s="142" t="str">
        <f>IFERROR(__xludf.DUMMYFUNCTION("""COMPUTED_VALUE"""),"WastewaterAMR")</f>
        <v>WastewaterAMR</v>
      </c>
    </row>
    <row r="230">
      <c r="A230" s="141" t="str">
        <f>IFERROR(__xludf.DUMMYFUNCTION("""COMPUTED_VALUE"""),"AMR detection information")</f>
        <v>AMR detection information</v>
      </c>
      <c r="B230" s="141" t="str">
        <f>IFERROR(__xludf.DUMMYFUNCTION("""COMPUTED_VALUE"""),"AMR analysis software name")</f>
        <v>AMR analysis software name</v>
      </c>
      <c r="C230" s="141"/>
      <c r="D230" s="141" t="b">
        <f>IFERROR(__xludf.DUMMYFUNCTION("""COMPUTED_VALUE"""),TRUE)</f>
        <v>1</v>
      </c>
      <c r="E230" s="141" t="str">
        <f>IFERROR(__xludf.DUMMYFUNCTION("""COMPUTED_VALUE"""),"GENEPIO:0101076")</f>
        <v>GENEPIO:0101076</v>
      </c>
      <c r="F230" s="141" t="str">
        <f>IFERROR(__xludf.DUMMYFUNCTION("""COMPUTED_VALUE"""),"The name of the software used to perform an in silico antimicrobial resistance determinant identification/analysis.")</f>
        <v>The name of the software used to perform an in silico antimicrobial resistance determinant identification/analysis.</v>
      </c>
      <c r="G230" s="141" t="str">
        <f>IFERROR(__xludf.DUMMYFUNCTION("""COMPUTED_VALUE"""),"Provide the name of the software used for AMR analysis.")</f>
        <v>Provide the name of the software used for AMR analysis.</v>
      </c>
      <c r="H230" s="141" t="str">
        <f>IFERROR(__xludf.DUMMYFUNCTION("""COMPUTED_VALUE"""),"Resistance Gene Identifier  ")</f>
        <v>Resistance Gene Identifier  </v>
      </c>
      <c r="K230" s="142" t="s">
        <v>25</v>
      </c>
      <c r="L230" s="142" t="s">
        <v>25</v>
      </c>
      <c r="M230" s="142" t="s">
        <v>25</v>
      </c>
      <c r="N230" s="142" t="str">
        <f>IFERROR(__xludf.DUMMYFUNCTION("""COMPUTED_VALUE"""),"WastewaterAMR")</f>
        <v>WastewaterAMR</v>
      </c>
    </row>
    <row r="231">
      <c r="A231" s="141" t="str">
        <f>IFERROR(__xludf.DUMMYFUNCTION("""COMPUTED_VALUE"""),"AMR detection information")</f>
        <v>AMR detection information</v>
      </c>
      <c r="B231" s="141" t="str">
        <f>IFERROR(__xludf.DUMMYFUNCTION("""COMPUTED_VALUE"""),"AMR analysis software version")</f>
        <v>AMR analysis software version</v>
      </c>
      <c r="C231" s="141"/>
      <c r="D231" s="141" t="b">
        <f>IFERROR(__xludf.DUMMYFUNCTION("""COMPUTED_VALUE"""),TRUE)</f>
        <v>1</v>
      </c>
      <c r="E231" s="141" t="str">
        <f>IFERROR(__xludf.DUMMYFUNCTION("""COMPUTED_VALUE"""),"GENEPIO:0101077")</f>
        <v>GENEPIO:0101077</v>
      </c>
      <c r="F231" s="141" t="str">
        <f>IFERROR(__xludf.DUMMYFUNCTION("""COMPUTED_VALUE"""),"The version number of the software used to perform an in silico antimicrobial resistance determinant idenrtification/analysis.")</f>
        <v>The version number of the software used to perform an in silico antimicrobial resistance determinant idenrtification/analysis.</v>
      </c>
      <c r="G231" s="141" t="str">
        <f>IFERROR(__xludf.DUMMYFUNCTION("""COMPUTED_VALUE"""),"Provide the version number of the software used for AMR analysis.")</f>
        <v>Provide the version number of the software used for AMR analysis.</v>
      </c>
      <c r="H231" s="141" t="str">
        <f>IFERROR(__xludf.DUMMYFUNCTION("""COMPUTED_VALUE"""),"6.0.3")</f>
        <v>6.0.3</v>
      </c>
      <c r="K231" s="142" t="s">
        <v>25</v>
      </c>
      <c r="L231" s="142" t="s">
        <v>25</v>
      </c>
      <c r="M231" s="142" t="s">
        <v>25</v>
      </c>
      <c r="N231" s="142" t="str">
        <f>IFERROR(__xludf.DUMMYFUNCTION("""COMPUTED_VALUE"""),"WastewaterAMR")</f>
        <v>WastewaterAMR</v>
      </c>
    </row>
    <row r="232">
      <c r="A232" s="141" t="str">
        <f>IFERROR(__xludf.DUMMYFUNCTION("""COMPUTED_VALUE"""),"AMR detection information")</f>
        <v>AMR detection information</v>
      </c>
      <c r="B232" s="141" t="str">
        <f>IFERROR(__xludf.DUMMYFUNCTION("""COMPUTED_VALUE"""),"AMR reference database name")</f>
        <v>AMR reference database name</v>
      </c>
      <c r="C232" s="141"/>
      <c r="D232" s="141" t="b">
        <f>IFERROR(__xludf.DUMMYFUNCTION("""COMPUTED_VALUE"""),TRUE)</f>
        <v>1</v>
      </c>
      <c r="E232" s="141" t="str">
        <f>IFERROR(__xludf.DUMMYFUNCTION("""COMPUTED_VALUE"""),"GENEPIO:0101078")</f>
        <v>GENEPIO:0101078</v>
      </c>
      <c r="F232" s="141" t="str">
        <f>IFERROR(__xludf.DUMMYFUNCTION("""COMPUTED_VALUE"""),"Thr name of the reference database used to perform an in silico antimicrobial resistance determinant identification/analysis.")</f>
        <v>Thr name of the reference database used to perform an in silico antimicrobial resistance determinant identification/analysis.</v>
      </c>
      <c r="G232" s="141" t="str">
        <f>IFERROR(__xludf.DUMMYFUNCTION("""COMPUTED_VALUE"""),"Provide the name of the reference database used for AMR analysis.")</f>
        <v>Provide the name of the reference database used for AMR analysis.</v>
      </c>
      <c r="H232" s="141" t="str">
        <f>IFERROR(__xludf.DUMMYFUNCTION("""COMPUTED_VALUE"""),"Comprehensive Antibiotic Resistance Database (CARD) ")</f>
        <v>Comprehensive Antibiotic Resistance Database (CARD) </v>
      </c>
      <c r="K232" s="144" t="s">
        <v>25</v>
      </c>
      <c r="L232" s="144" t="s">
        <v>25</v>
      </c>
      <c r="M232" s="144" t="s">
        <v>25</v>
      </c>
      <c r="N232" s="142" t="str">
        <f>IFERROR(__xludf.DUMMYFUNCTION("""COMPUTED_VALUE"""),"WastewaterAMR")</f>
        <v>WastewaterAMR</v>
      </c>
    </row>
    <row r="233">
      <c r="A233" s="141" t="str">
        <f>IFERROR(__xludf.DUMMYFUNCTION("""COMPUTED_VALUE"""),"AMR detection information")</f>
        <v>AMR detection information</v>
      </c>
      <c r="B233" s="141" t="str">
        <f>IFERROR(__xludf.DUMMYFUNCTION("""COMPUTED_VALUE"""),"AMR reference database version")</f>
        <v>AMR reference database version</v>
      </c>
      <c r="C233" s="141"/>
      <c r="D233" s="141" t="b">
        <f>IFERROR(__xludf.DUMMYFUNCTION("""COMPUTED_VALUE"""),TRUE)</f>
        <v>1</v>
      </c>
      <c r="E233" s="141" t="str">
        <f>IFERROR(__xludf.DUMMYFUNCTION("""COMPUTED_VALUE"""),"GENEPIO:0101079")</f>
        <v>GENEPIO:0101079</v>
      </c>
      <c r="F233" s="141" t="str">
        <f>IFERROR(__xludf.DUMMYFUNCTION("""COMPUTED_VALUE"""),"The version number of the reference database used to perform an in silico antimicrobial resistance determinant identification/analysis.")</f>
        <v>The version number of the reference database used to perform an in silico antimicrobial resistance determinant identification/analysis.</v>
      </c>
      <c r="G233" s="141" t="str">
        <f>IFERROR(__xludf.DUMMYFUNCTION("""COMPUTED_VALUE"""),"Provide the version number of the reference database used for AMR analysis.")</f>
        <v>Provide the version number of the reference database used for AMR analysis.</v>
      </c>
      <c r="H233" s="141" t="str">
        <f>IFERROR(__xludf.DUMMYFUNCTION("""COMPUTED_VALUE"""),"3.2.9")</f>
        <v>3.2.9</v>
      </c>
      <c r="K233" s="142" t="s">
        <v>25</v>
      </c>
      <c r="L233" s="142" t="s">
        <v>25</v>
      </c>
      <c r="M233" s="142" t="s">
        <v>25</v>
      </c>
      <c r="N233" s="142" t="str">
        <f>IFERROR(__xludf.DUMMYFUNCTION("""COMPUTED_VALUE"""),"WastewaterAMR")</f>
        <v>WastewaterAMR</v>
      </c>
    </row>
    <row r="234">
      <c r="A234" s="141" t="str">
        <f>IFERROR(__xludf.DUMMYFUNCTION("""COMPUTED_VALUE"""),"AMR detection information")</f>
        <v>AMR detection information</v>
      </c>
      <c r="B234" s="141" t="str">
        <f>IFERROR(__xludf.DUMMYFUNCTION("""COMPUTED_VALUE"""),"AMR analysis report filename")</f>
        <v>AMR analysis report filename</v>
      </c>
      <c r="C234" s="141"/>
      <c r="D234" s="141" t="b">
        <f>IFERROR(__xludf.DUMMYFUNCTION("""COMPUTED_VALUE"""),TRUE)</f>
        <v>1</v>
      </c>
      <c r="E234" s="141" t="str">
        <f>IFERROR(__xludf.DUMMYFUNCTION("""COMPUTED_VALUE"""),"GENEPIO:0101080")</f>
        <v>GENEPIO:0101080</v>
      </c>
      <c r="F234" s="141" t="str">
        <f>IFERROR(__xludf.DUMMYFUNCTION("""COMPUTED_VALUE"""),"The filename of the report containing the results of an in silico antimicrobial resistance analysis.")</f>
        <v>The filename of the report containing the results of an in silico antimicrobial resistance analysis.</v>
      </c>
      <c r="G234" s="141" t="str">
        <f>IFERROR(__xludf.DUMMYFUNCTION("""COMPUTED_VALUE"""),"Provide the filename of the report containing the results of the AMR analysis.")</f>
        <v>Provide the filename of the report containing the results of the AMR analysis.</v>
      </c>
      <c r="H234" s="141" t="str">
        <f>IFERROR(__xludf.DUMMYFUNCTION("""COMPUTED_VALUE"""),"WWAMR_report_Feb1_2024.doc")</f>
        <v>WWAMR_report_Feb1_2024.doc</v>
      </c>
      <c r="K234" s="142" t="s">
        <v>25</v>
      </c>
      <c r="L234" s="142" t="s">
        <v>25</v>
      </c>
      <c r="M234" s="142" t="s">
        <v>25</v>
      </c>
      <c r="N234" s="142" t="str">
        <f>IFERROR(__xludf.DUMMYFUNCTION("""COMPUTED_VALUE"""),"WastewaterAMR")</f>
        <v>WastewaterAMR</v>
      </c>
    </row>
    <row r="235">
      <c r="A235" s="141"/>
      <c r="B235" s="141" t="str">
        <f>IFERROR(__xludf.DUMMYFUNCTION("""COMPUTED_VALUE"""),"Lineage/clade information")</f>
        <v>Lineage/clade information</v>
      </c>
      <c r="C235" s="141" t="str">
        <f>IFERROR(__xludf.DUMMYFUNCTION("""COMPUTED_VALUE"""),"")</f>
        <v/>
      </c>
      <c r="D235" s="141" t="str">
        <f>IFERROR(__xludf.DUMMYFUNCTION("""COMPUTED_VALUE"""),"")</f>
        <v/>
      </c>
      <c r="E235" s="141" t="str">
        <f>IFERROR(__xludf.DUMMYFUNCTION("""COMPUTED_VALUE"""),"GENEPIO:0001498")</f>
        <v>GENEPIO:0001498</v>
      </c>
      <c r="F235" s="141"/>
      <c r="G235" s="141"/>
      <c r="H235" s="141"/>
      <c r="I235" s="142"/>
      <c r="J235" s="142"/>
      <c r="K235" s="142"/>
      <c r="L235" s="142"/>
      <c r="M235" s="142"/>
      <c r="N235" s="142" t="str">
        <f>IFERROR(__xludf.DUMMYFUNCTION("""COMPUTED_VALUE"""),"WastewaterSARS-CoV-2")</f>
        <v>WastewaterSARS-CoV-2</v>
      </c>
    </row>
    <row r="236">
      <c r="A236" s="141" t="str">
        <f>IFERROR(__xludf.DUMMYFUNCTION("""COMPUTED_VALUE"""),"Lineage/clade information")</f>
        <v>Lineage/clade information</v>
      </c>
      <c r="B236" s="141" t="str">
        <f>IFERROR(__xludf.DUMMYFUNCTION("""COMPUTED_VALUE"""),"lineage/clade name")</f>
        <v>lineage/clade name</v>
      </c>
      <c r="C236" s="141"/>
      <c r="D236" s="141"/>
      <c r="E236" s="141" t="str">
        <f>IFERROR(__xludf.DUMMYFUNCTION("""COMPUTED_VALUE"""),"GENEPIO:0001500")</f>
        <v>GENEPIO:0001500</v>
      </c>
      <c r="F236" s="141" t="str">
        <f>IFERROR(__xludf.DUMMYFUNCTION("""COMPUTED_VALUE"""),"The name of the lineage or clade.")</f>
        <v>The name of the lineage or clade.</v>
      </c>
      <c r="G236" s="141" t="str">
        <f>IFERROR(__xludf.DUMMYFUNCTION("""COMPUTED_VALUE"""),"Provide the Pangolin or Nextstrain lineage/clade name. Multiple lineages/clades can be provided, separated by a semicolon.")</f>
        <v>Provide the Pangolin or Nextstrain lineage/clade name. Multiple lineages/clades can be provided, separated by a semicolon.</v>
      </c>
      <c r="H236" s="141" t="str">
        <f>IFERROR(__xludf.DUMMYFUNCTION("""COMPUTED_VALUE"""),"B.1.1.7")</f>
        <v>B.1.1.7</v>
      </c>
      <c r="K236" s="142" t="s">
        <v>25</v>
      </c>
      <c r="L236" s="142" t="s">
        <v>25</v>
      </c>
      <c r="M236" s="142" t="s">
        <v>25</v>
      </c>
      <c r="N236" s="142" t="str">
        <f>IFERROR(__xludf.DUMMYFUNCTION("""COMPUTED_VALUE"""),"WastewaterSARS-CoV-2")</f>
        <v>WastewaterSARS-CoV-2</v>
      </c>
    </row>
    <row r="237">
      <c r="A237" s="141" t="str">
        <f>IFERROR(__xludf.DUMMYFUNCTION("""COMPUTED_VALUE"""),"Lineage/clade information")</f>
        <v>Lineage/clade information</v>
      </c>
      <c r="B237" s="141" t="str">
        <f>IFERROR(__xludf.DUMMYFUNCTION("""COMPUTED_VALUE"""),"lineage/clade analysis software name")</f>
        <v>lineage/clade analysis software name</v>
      </c>
      <c r="C237" s="141"/>
      <c r="D237" s="141"/>
      <c r="E237" s="141" t="str">
        <f>IFERROR(__xludf.DUMMYFUNCTION("""COMPUTED_VALUE"""),"GENEPIO:0001501")</f>
        <v>GENEPIO:0001501</v>
      </c>
      <c r="F237" s="141" t="str">
        <f>IFERROR(__xludf.DUMMYFUNCTION("""COMPUTED_VALUE"""),"The name of the software used to determine the lineage/clade.")</f>
        <v>The name of the software used to determine the lineage/clade.</v>
      </c>
      <c r="G237" s="141" t="str">
        <f>IFERROR(__xludf.DUMMYFUNCTION("""COMPUTED_VALUE"""),"Provide the name of the software used to determine the lineage/clade.")</f>
        <v>Provide the name of the software used to determine the lineage/clade.</v>
      </c>
      <c r="H237" s="141" t="str">
        <f>IFERROR(__xludf.DUMMYFUNCTION("""COMPUTED_VALUE"""),"Freyja")</f>
        <v>Freyja</v>
      </c>
      <c r="K237" s="144" t="s">
        <v>25</v>
      </c>
      <c r="L237" s="144" t="s">
        <v>25</v>
      </c>
      <c r="M237" s="144" t="s">
        <v>25</v>
      </c>
      <c r="N237" s="142" t="str">
        <f>IFERROR(__xludf.DUMMYFUNCTION("""COMPUTED_VALUE"""),"WastewaterSARS-CoV-2")</f>
        <v>WastewaterSARS-CoV-2</v>
      </c>
    </row>
    <row r="238">
      <c r="A238" s="141" t="str">
        <f>IFERROR(__xludf.DUMMYFUNCTION("""COMPUTED_VALUE"""),"Lineage/clade information")</f>
        <v>Lineage/clade information</v>
      </c>
      <c r="B238" s="141" t="str">
        <f>IFERROR(__xludf.DUMMYFUNCTION("""COMPUTED_VALUE"""),"lineage/clade analysis software version")</f>
        <v>lineage/clade analysis software version</v>
      </c>
      <c r="C238" s="141"/>
      <c r="D238" s="141"/>
      <c r="E238" s="141" t="str">
        <f>IFERROR(__xludf.DUMMYFUNCTION("""COMPUTED_VALUE"""),"GENEPIO:0001502")</f>
        <v>GENEPIO:0001502</v>
      </c>
      <c r="F238" s="141" t="str">
        <f>IFERROR(__xludf.DUMMYFUNCTION("""COMPUTED_VALUE"""),"The version of the software used to determine the lineage/clade.")</f>
        <v>The version of the software used to determine the lineage/clade.</v>
      </c>
      <c r="G238" s="141" t="str">
        <f>IFERROR(__xludf.DUMMYFUNCTION("""COMPUTED_VALUE"""),"Provide the version of the software used ot determine the lineage/clade.")</f>
        <v>Provide the version of the software used ot determine the lineage/clade.</v>
      </c>
      <c r="H238" s="141" t="str">
        <f>IFERROR(__xludf.DUMMYFUNCTION("""COMPUTED_VALUE"""),"1.5.0")</f>
        <v>1.5.0</v>
      </c>
      <c r="K238" s="144" t="s">
        <v>25</v>
      </c>
      <c r="L238" s="144" t="s">
        <v>25</v>
      </c>
      <c r="M238" s="144" t="s">
        <v>25</v>
      </c>
      <c r="N238" s="142" t="str">
        <f>IFERROR(__xludf.DUMMYFUNCTION("""COMPUTED_VALUE"""),"WastewaterSARS-CoV-2")</f>
        <v>WastewaterSARS-CoV-2</v>
      </c>
    </row>
    <row r="239" hidden="1">
      <c r="A239" s="141" t="str">
        <f>IFERROR(__xludf.DUMMYFUNCTION("""COMPUTED_VALUE"""),"Lineage/clade information")</f>
        <v>Lineage/clade information</v>
      </c>
      <c r="B239" s="141" t="str">
        <f>IFERROR(__xludf.DUMMYFUNCTION("""COMPUTED_VALUE"""),"lineage/clade analysis report filename")</f>
        <v>lineage/clade analysis report filename</v>
      </c>
      <c r="C239" s="141"/>
      <c r="D239" s="141"/>
      <c r="E239" s="143" t="str">
        <f>IFERROR(__xludf.DUMMYFUNCTION("""COMPUTED_VALUE"""),"GENEPIO:0101081")</f>
        <v>GENEPIO:0101081</v>
      </c>
      <c r="F239" s="141" t="str">
        <f>IFERROR(__xludf.DUMMYFUNCTION("""COMPUTED_VALUE"""),"The filename of the report containing the results of a lineage/clade analysis.")</f>
        <v>The filename of the report containing the results of a lineage/clade analysis.</v>
      </c>
      <c r="G239" s="141" t="str">
        <f>IFERROR(__xludf.DUMMYFUNCTION("""COMPUTED_VALUE"""),"Provide the filename of the report containing the results of the lineage/clade analysis.")</f>
        <v>Provide the filename of the report containing the results of the lineage/clade analysis.</v>
      </c>
      <c r="H239" s="141" t="str">
        <f>IFERROR(__xludf.DUMMYFUNCTION("""COMPUTED_VALUE"""),"aggregated-WWSC2-ABC-b_1234.tsv")</f>
        <v>aggregated-WWSC2-ABC-b_1234.tsv</v>
      </c>
      <c r="K239" s="142" t="s">
        <v>25</v>
      </c>
      <c r="L239" s="142" t="s">
        <v>25</v>
      </c>
      <c r="M239" s="142" t="s">
        <v>25</v>
      </c>
      <c r="N239" s="142" t="str">
        <f>IFERROR(__xludf.DUMMYFUNCTION("""COMPUTED_VALUE"""),"WastewaterSARS-CoV-2")</f>
        <v>WastewaterSARS-CoV-2</v>
      </c>
    </row>
    <row r="240">
      <c r="A240" s="141"/>
      <c r="B240" s="141" t="str">
        <f>IFERROR(__xludf.DUMMYFUNCTION("""COMPUTED_VALUE"""),"Pathogen diagnostic testing")</f>
        <v>Pathogen diagnostic testing</v>
      </c>
      <c r="C240" s="141" t="str">
        <f>IFERROR(__xludf.DUMMYFUNCTION("""COMPUTED_VALUE"""),"")</f>
        <v/>
      </c>
      <c r="D240" s="141" t="str">
        <f>IFERROR(__xludf.DUMMYFUNCTION("""COMPUTED_VALUE"""),"")</f>
        <v/>
      </c>
      <c r="E240" s="141" t="str">
        <f>IFERROR(__xludf.DUMMYFUNCTION("""COMPUTED_VALUE"""),"GENEPIO:0001506")</f>
        <v>GENEPIO:0001506</v>
      </c>
      <c r="F240" s="141"/>
      <c r="G240" s="141"/>
      <c r="H240" s="141"/>
      <c r="I240" s="142"/>
      <c r="J240" s="142"/>
      <c r="K240" s="142"/>
      <c r="L240" s="142"/>
      <c r="M240" s="142"/>
      <c r="N240" s="142" t="str">
        <f>IFERROR(__xludf.DUMMYFUNCTION("""COMPUTED_VALUE"""),"WastewaterSARS-CoV-2;WastewaterAMR;WastewaterPathogenAgnostic")</f>
        <v>WastewaterSARS-CoV-2;WastewaterAMR;WastewaterPathogenAgnostic</v>
      </c>
    </row>
    <row r="241">
      <c r="A241" s="141" t="str">
        <f>IFERROR(__xludf.DUMMYFUNCTION("""COMPUTED_VALUE"""),"Pathogen diagnostic testing")</f>
        <v>Pathogen diagnostic testing</v>
      </c>
      <c r="B241" s="141" t="str">
        <f>IFERROR(__xludf.DUMMYFUNCTION("""COMPUTED_VALUE"""),"assay target name 1")</f>
        <v>assay target name 1</v>
      </c>
      <c r="C241" s="141"/>
      <c r="D241" s="141"/>
      <c r="E241" s="143" t="str">
        <f>IFERROR(__xludf.DUMMYFUNCTION("""COMPUTED_VALUE"""),"GENEPIO:0101206")</f>
        <v>GENEPIO:0101206</v>
      </c>
      <c r="F241" s="141" t="str">
        <f>IFERROR(__xludf.DUMMYFUNCTION("""COMPUTED_VALUE"""),"The name of the assay target used in the diagnostic RT-PCR test.")</f>
        <v>The name of the assay target used in the diagnostic RT-PCR test.</v>
      </c>
      <c r="G241" s="141" t="str">
        <f>IFERROR(__xludf.DUMMYFUNCTION("""COMPUTED_VALUE"""),"The specific genomic region, sequence, or variant targeted by the assay in a diagnostic RT-PCR test. This may include parts of a gene, non-coding regions, or other genetic elements that serve as a marker for detecting the presence of a pathogen or other r"&amp;"elevant entities.")</f>
        <v>The specific genomic region, sequence, or variant targeted by the assay in a diagnostic RT-PCR test. This may include parts of a gene, non-coding regions, or other genetic elements that serve as a marker for detecting the presence of a pathogen or other relevant entities.</v>
      </c>
      <c r="H241" s="141"/>
      <c r="K241" s="142" t="s">
        <v>25</v>
      </c>
      <c r="L241" s="142" t="s">
        <v>25</v>
      </c>
      <c r="M241" s="142" t="s">
        <v>25</v>
      </c>
      <c r="N241" s="142" t="str">
        <f>IFERROR(__xludf.DUMMYFUNCTION("""COMPUTED_VALUE"""),"WastewaterSARS-CoV-2;WastewaterAMR;WastewaterPathogenAgnostic")</f>
        <v>WastewaterSARS-CoV-2;WastewaterAMR;WastewaterPathogenAgnostic</v>
      </c>
    </row>
    <row r="242">
      <c r="A242" s="141" t="str">
        <f>IFERROR(__xludf.DUMMYFUNCTION("""COMPUTED_VALUE"""),"Pathogen diagnostic testing")</f>
        <v>Pathogen diagnostic testing</v>
      </c>
      <c r="B242" s="141" t="str">
        <f>IFERROR(__xludf.DUMMYFUNCTION("""COMPUTED_VALUE"""),"assay target details")</f>
        <v>assay target details</v>
      </c>
      <c r="C242" s="141"/>
      <c r="D242" s="141"/>
      <c r="E242" s="143" t="str">
        <f>IFERROR(__xludf.DUMMYFUNCTION("""COMPUTED_VALUE"""),"GENEPIO:0102040")</f>
        <v>GENEPIO:0102040</v>
      </c>
      <c r="F242" s="141" t="str">
        <f>IFERROR(__xludf.DUMMYFUNCTION("""COMPUTED_VALUE"""),"Describe any details of the assay target.")</f>
        <v>Describe any details of the assay target.</v>
      </c>
      <c r="G242" s="141" t="str">
        <f>IFERROR(__xludf.DUMMYFUNCTION("""COMPUTED_VALUE"""),"Provide details that are applicable to the assay used for the diagnostic test. ")</f>
        <v>Provide details that are applicable to the assay used for the diagnostic test. </v>
      </c>
      <c r="H242" s="141"/>
      <c r="K242" s="144" t="s">
        <v>1058</v>
      </c>
      <c r="L242" s="144" t="s">
        <v>1058</v>
      </c>
      <c r="M242" s="144" t="s">
        <v>1058</v>
      </c>
      <c r="N242" s="142" t="str">
        <f>IFERROR(__xludf.DUMMYFUNCTION("""COMPUTED_VALUE"""),"WastewaterSARS-CoV-2;WastewaterAMR;WastewaterPathogenAgnostic")</f>
        <v>WastewaterSARS-CoV-2;WastewaterAMR;WastewaterPathogenAgnostic</v>
      </c>
    </row>
    <row r="243">
      <c r="A243" s="141" t="str">
        <f>IFERROR(__xludf.DUMMYFUNCTION("""COMPUTED_VALUE"""),"Pathogen diagnostic testing")</f>
        <v>Pathogen diagnostic testing</v>
      </c>
      <c r="B243" s="141" t="str">
        <f>IFERROR(__xludf.DUMMYFUNCTION("""COMPUTED_VALUE"""),"gene symbol 1")</f>
        <v>gene symbol 1</v>
      </c>
      <c r="C243" s="141"/>
      <c r="D243" s="141"/>
      <c r="E243" s="143" t="str">
        <f>IFERROR(__xludf.DUMMYFUNCTION("""COMPUTED_VALUE"""),"GENEPIO:0102041")</f>
        <v>GENEPIO:0102041</v>
      </c>
      <c r="F243" s="141" t="str">
        <f>IFERROR(__xludf.DUMMYFUNCTION("""COMPUTED_VALUE"""),"The symbol of the gene used in the diagnostic RT-PCR test.")</f>
        <v>The symbol of the gene used in the diagnostic RT-PCR test.</v>
      </c>
      <c r="G243" s="141" t="str">
        <f>IFERROR(__xludf.DUMMYFUNCTION("""COMPUTED_VALUE"""),"Select a gene name value from the pick list provided.")</f>
        <v>Select a gene name value from the pick list provided.</v>
      </c>
      <c r="H243" s="141" t="str">
        <f>IFERROR(__xludf.DUMMYFUNCTION("""COMPUTED_VALUE"""),"E gene (orf4)")</f>
        <v>E gene (orf4)</v>
      </c>
      <c r="K243" s="144" t="s">
        <v>1058</v>
      </c>
      <c r="L243" s="144" t="s">
        <v>1058</v>
      </c>
      <c r="M243" s="142" t="s">
        <v>25</v>
      </c>
      <c r="N243" s="142" t="str">
        <f>IFERROR(__xludf.DUMMYFUNCTION("""COMPUTED_VALUE"""),"WastewaterSARS-CoV-2")</f>
        <v>WastewaterSARS-CoV-2</v>
      </c>
    </row>
    <row r="244">
      <c r="A244" s="141" t="str">
        <f>IFERROR(__xludf.DUMMYFUNCTION("""COMPUTED_VALUE"""),"Pathogen diagnostic testing")</f>
        <v>Pathogen diagnostic testing</v>
      </c>
      <c r="B244" s="141" t="str">
        <f>IFERROR(__xludf.DUMMYFUNCTION("""COMPUTED_VALUE"""),"gene symbol 1")</f>
        <v>gene symbol 1</v>
      </c>
      <c r="C244" s="141"/>
      <c r="D244" s="141"/>
      <c r="E244" s="143" t="str">
        <f>IFERROR(__xludf.DUMMYFUNCTION("""COMPUTED_VALUE"""),"GENEPIO:0102041")</f>
        <v>GENEPIO:0102041</v>
      </c>
      <c r="F244" s="141" t="str">
        <f>IFERROR(__xludf.DUMMYFUNCTION("""COMPUTED_VALUE"""),"The symbol of the gene used in the diagnostic RT-PCR test.")</f>
        <v>The symbol of the gene used in the diagnostic RT-PCR test.</v>
      </c>
      <c r="G244" s="147" t="str">
        <f>IFERROR(__xludf.DUMMYFUNCTION("""COMPUTED_VALUE"""),"Provide the full name of the gene used in the test. Standardized gene names can be found in the Gene Ontology using this look-up service: https://bit.ly/2Sq1LbI")</f>
        <v>Provide the full name of the gene used in the test. Standardized gene names can be found in the Gene Ontology using this look-up service: https://bit.ly/2Sq1LbI</v>
      </c>
      <c r="H244" s="141" t="str">
        <f>IFERROR(__xludf.DUMMYFUNCTION("""COMPUTED_VALUE"""),"gyrase A")</f>
        <v>gyrase A</v>
      </c>
      <c r="K244" s="144" t="s">
        <v>1058</v>
      </c>
      <c r="L244" s="144" t="s">
        <v>1058</v>
      </c>
      <c r="M244" s="142" t="s">
        <v>25</v>
      </c>
      <c r="N244" s="142" t="str">
        <f>IFERROR(__xludf.DUMMYFUNCTION("""COMPUTED_VALUE"""),"WastewaterAMR;WastewaterPathogenAgnostic")</f>
        <v>WastewaterAMR;WastewaterPathogenAgnostic</v>
      </c>
    </row>
    <row r="245">
      <c r="A245" s="141" t="str">
        <f>IFERROR(__xludf.DUMMYFUNCTION("""COMPUTED_VALUE"""),"Pathogen diagnostic testing")</f>
        <v>Pathogen diagnostic testing</v>
      </c>
      <c r="B245" s="141" t="str">
        <f>IFERROR(__xludf.DUMMYFUNCTION("""COMPUTED_VALUE"""),"diagnostic target presence 1")</f>
        <v>diagnostic target presence 1</v>
      </c>
      <c r="C245" s="141"/>
      <c r="D245" s="141"/>
      <c r="E245" s="143" t="str">
        <f>IFERROR(__xludf.DUMMYFUNCTION("""COMPUTED_VALUE"""),"GENEPIO:0100962")</f>
        <v>GENEPIO:0100962</v>
      </c>
      <c r="F245" s="141" t="str">
        <f>IFERROR(__xludf.DUMMYFUNCTION("""COMPUTED_VALUE"""),"The binary value of the result from a diagnostic test.")</f>
        <v>The binary value of the result from a diagnostic test.</v>
      </c>
      <c r="G245" s="141" t="str">
        <f>IFERROR(__xludf.DUMMYFUNCTION("""COMPUTED_VALUE"""),"Select a value from the pick list provided, to describe whether a target was determined to be present or absent within a sample.")</f>
        <v>Select a value from the pick list provided, to describe whether a target was determined to be present or absent within a sample.</v>
      </c>
      <c r="H245" s="141" t="str">
        <f>IFERROR(__xludf.DUMMYFUNCTION("""COMPUTED_VALUE"""),"diagnostic target present")</f>
        <v>diagnostic target present</v>
      </c>
      <c r="K245" s="142" t="s">
        <v>25</v>
      </c>
      <c r="L245" s="142" t="s">
        <v>25</v>
      </c>
      <c r="M245" s="142" t="s">
        <v>25</v>
      </c>
      <c r="N245" s="142" t="str">
        <f>IFERROR(__xludf.DUMMYFUNCTION("""COMPUTED_VALUE"""),"WastewaterSARS-CoV-2;WastewaterAMR;WastewaterPathogenAgnostic")</f>
        <v>WastewaterSARS-CoV-2;WastewaterAMR;WastewaterPathogenAgnostic</v>
      </c>
    </row>
    <row r="246">
      <c r="A246" s="141" t="str">
        <f>IFERROR(__xludf.DUMMYFUNCTION("""COMPUTED_VALUE"""),"Pathogen diagnostic testing")</f>
        <v>Pathogen diagnostic testing</v>
      </c>
      <c r="B246" s="141" t="str">
        <f>IFERROR(__xludf.DUMMYFUNCTION("""COMPUTED_VALUE"""),"diagnostic measurement value 1")</f>
        <v>diagnostic measurement value 1</v>
      </c>
      <c r="C246" s="141"/>
      <c r="D246" s="141"/>
      <c r="E246" s="143" t="str">
        <f>IFERROR(__xludf.DUMMYFUNCTION("""COMPUTED_VALUE"""),"GENEPIO:0100963")</f>
        <v>GENEPIO:0100963</v>
      </c>
      <c r="F246" s="141" t="str">
        <f>IFERROR(__xludf.DUMMYFUNCTION("""COMPUTED_VALUE"""),"The value of the result from a diagnostic test.")</f>
        <v>The value of the result from a diagnostic test.</v>
      </c>
      <c r="G246" s="141" t="str">
        <f>IFERROR(__xludf.DUMMYFUNCTION("""COMPUTED_VALUE"""),"Provide the numerical result of a diagnostic test (no need to include units).")</f>
        <v>Provide the numerical result of a diagnostic test (no need to include units).</v>
      </c>
      <c r="H246" s="141">
        <f>IFERROR(__xludf.DUMMYFUNCTION("""COMPUTED_VALUE"""),1000.0)</f>
        <v>1000</v>
      </c>
      <c r="K246" s="142" t="s">
        <v>25</v>
      </c>
      <c r="L246" s="142" t="s">
        <v>25</v>
      </c>
      <c r="M246" s="142" t="s">
        <v>25</v>
      </c>
      <c r="N246" s="142" t="str">
        <f>IFERROR(__xludf.DUMMYFUNCTION("""COMPUTED_VALUE"""),"WastewaterSARS-CoV-2;WastewaterAMR;WastewaterPathogenAgnostic")</f>
        <v>WastewaterSARS-CoV-2;WastewaterAMR;WastewaterPathogenAgnostic</v>
      </c>
    </row>
    <row r="247">
      <c r="A247" s="141" t="str">
        <f>IFERROR(__xludf.DUMMYFUNCTION("""COMPUTED_VALUE"""),"Pathogen diagnostic testing")</f>
        <v>Pathogen diagnostic testing</v>
      </c>
      <c r="B247" s="141" t="str">
        <f>IFERROR(__xludf.DUMMYFUNCTION("""COMPUTED_VALUE"""),"diagnostic measurement unit 1")</f>
        <v>diagnostic measurement unit 1</v>
      </c>
      <c r="C247" s="141"/>
      <c r="D247" s="141"/>
      <c r="E247" s="143" t="str">
        <f>IFERROR(__xludf.DUMMYFUNCTION("""COMPUTED_VALUE"""),"GENEPIO:0100964")</f>
        <v>GENEPIO:0100964</v>
      </c>
      <c r="F247" s="141" t="str">
        <f>IFERROR(__xludf.DUMMYFUNCTION("""COMPUTED_VALUE"""),"The unit of the result from a diagnostic test.")</f>
        <v>The unit of the result from a diagnostic test.</v>
      </c>
      <c r="G247" s="141" t="str">
        <f>IFERROR(__xludf.DUMMYFUNCTION("""COMPUTED_VALUE"""),"Select a value from the pick list provided, to describe the units of the given diagnostic test.")</f>
        <v>Select a value from the pick list provided, to describe the units of the given diagnostic test.</v>
      </c>
      <c r="H247" s="141" t="str">
        <f>IFERROR(__xludf.DUMMYFUNCTION("""COMPUTED_VALUE"""),"cycle threshold (Ct) ")</f>
        <v>cycle threshold (Ct) </v>
      </c>
      <c r="K247" s="144" t="s">
        <v>25</v>
      </c>
      <c r="L247" s="144" t="s">
        <v>25</v>
      </c>
      <c r="M247" s="144" t="s">
        <v>25</v>
      </c>
      <c r="N247" s="142" t="str">
        <f>IFERROR(__xludf.DUMMYFUNCTION("""COMPUTED_VALUE"""),"WastewaterSARS-CoV-2;WastewaterAMR;WastewaterPathogenAgnostic")</f>
        <v>WastewaterSARS-CoV-2;WastewaterAMR;WastewaterPathogenAgnostic</v>
      </c>
    </row>
    <row r="248">
      <c r="A248" s="141" t="str">
        <f>IFERROR(__xludf.DUMMYFUNCTION("""COMPUTED_VALUE"""),"Pathogen diagnostic testing")</f>
        <v>Pathogen diagnostic testing</v>
      </c>
      <c r="B248" s="141" t="str">
        <f>IFERROR(__xludf.DUMMYFUNCTION("""COMPUTED_VALUE"""),"diagnostic measurement method 1")</f>
        <v>diagnostic measurement method 1</v>
      </c>
      <c r="C248" s="141"/>
      <c r="D248" s="141"/>
      <c r="E248" s="143" t="str">
        <f>IFERROR(__xludf.DUMMYFUNCTION("""COMPUTED_VALUE"""),"GENEPIO:0100965")</f>
        <v>GENEPIO:0100965</v>
      </c>
      <c r="F248" s="141" t="str">
        <f>IFERROR(__xludf.DUMMYFUNCTION("""COMPUTED_VALUE"""),"The method by which a diagnostic result was determined.")</f>
        <v>The method by which a diagnostic result was determined.</v>
      </c>
      <c r="G248" s="141" t="str">
        <f>IFERROR(__xludf.DUMMYFUNCTION("""COMPUTED_VALUE"""),"Select a value from the pick list provided to describe the method used for a given diagnostic test.")</f>
        <v>Select a value from the pick list provided to describe the method used for a given diagnostic test.</v>
      </c>
      <c r="H248" s="141" t="str">
        <f>IFERROR(__xludf.DUMMYFUNCTION("""COMPUTED_VALUE"""),"qPCR")</f>
        <v>qPCR</v>
      </c>
      <c r="K248" s="144" t="s">
        <v>25</v>
      </c>
      <c r="L248" s="144" t="s">
        <v>25</v>
      </c>
      <c r="M248" s="144" t="s">
        <v>25</v>
      </c>
      <c r="N248" s="142" t="str">
        <f>IFERROR(__xludf.DUMMYFUNCTION("""COMPUTED_VALUE"""),"WastewaterSARS-CoV-2;WastewaterAMR;WastewaterPathogenAgnostic")</f>
        <v>WastewaterSARS-CoV-2;WastewaterAMR;WastewaterPathogenAgnostic</v>
      </c>
    </row>
    <row r="249">
      <c r="A249" s="141" t="str">
        <f>IFERROR(__xludf.DUMMYFUNCTION("""COMPUTED_VALUE"""),"Pathogen diagnostic testing")</f>
        <v>Pathogen diagnostic testing</v>
      </c>
      <c r="B249" s="141" t="str">
        <f>IFERROR(__xludf.DUMMYFUNCTION("""COMPUTED_VALUE"""),"assay target name 2")</f>
        <v>assay target name 2</v>
      </c>
      <c r="C249" s="141"/>
      <c r="D249" s="141"/>
      <c r="E249" s="141"/>
      <c r="F249" s="141" t="str">
        <f>IFERROR(__xludf.DUMMYFUNCTION("""COMPUTED_VALUE"""),"The name of the assay target used in the diagnostic RT-PCR test.")</f>
        <v>The name of the assay target used in the diagnostic RT-PCR test.</v>
      </c>
      <c r="G249" s="141" t="str">
        <f>IFERROR(__xludf.DUMMYFUNCTION("""COMPUTED_VALUE"""),"The specific genomic region, sequence, or variant targeted by the assay in a diagnostic RT-PCR test. This may include parts of a gene, non-coding regions, or other genetic elements that serve as a marker for detecting the presence of a pathogen or other r"&amp;"elevant entities.")</f>
        <v>The specific genomic region, sequence, or variant targeted by the assay in a diagnostic RT-PCR test. This may include parts of a gene, non-coding regions, or other genetic elements that serve as a marker for detecting the presence of a pathogen or other relevant entities.</v>
      </c>
      <c r="H249" s="141"/>
      <c r="K249" s="142" t="s">
        <v>25</v>
      </c>
      <c r="L249" s="142" t="s">
        <v>25</v>
      </c>
      <c r="M249" s="142" t="s">
        <v>25</v>
      </c>
      <c r="N249" s="142" t="str">
        <f>IFERROR(__xludf.DUMMYFUNCTION("""COMPUTED_VALUE"""),"WastewaterSARS-CoV-2;WastewaterAMR;WastewaterPathogenAgnostic")</f>
        <v>WastewaterSARS-CoV-2;WastewaterAMR;WastewaterPathogenAgnostic</v>
      </c>
    </row>
    <row r="250">
      <c r="A250" s="141" t="str">
        <f>IFERROR(__xludf.DUMMYFUNCTION("""COMPUTED_VALUE"""),"Pathogen diagnostic testing")</f>
        <v>Pathogen diagnostic testing</v>
      </c>
      <c r="B250" s="141" t="str">
        <f>IFERROR(__xludf.DUMMYFUNCTION("""COMPUTED_VALUE"""),"assay target details 2")</f>
        <v>assay target details 2</v>
      </c>
      <c r="C250" s="141"/>
      <c r="D250" s="141"/>
      <c r="E250" s="141"/>
      <c r="F250" s="141" t="str">
        <f>IFERROR(__xludf.DUMMYFUNCTION("""COMPUTED_VALUE"""),"Describe any details of the assay target.")</f>
        <v>Describe any details of the assay target.</v>
      </c>
      <c r="G250" s="141" t="str">
        <f>IFERROR(__xludf.DUMMYFUNCTION("""COMPUTED_VALUE"""),"Provide details that are applicable to the assay used for the diagnostic test. ")</f>
        <v>Provide details that are applicable to the assay used for the diagnostic test. </v>
      </c>
      <c r="H250" s="141"/>
      <c r="K250" s="144" t="s">
        <v>1058</v>
      </c>
      <c r="L250" s="144" t="s">
        <v>1058</v>
      </c>
      <c r="M250" s="144" t="s">
        <v>1058</v>
      </c>
      <c r="N250" s="142" t="str">
        <f>IFERROR(__xludf.DUMMYFUNCTION("""COMPUTED_VALUE"""),"WastewaterSARS-CoV-2;WastewaterAMR;WastewaterPathogenAgnostic")</f>
        <v>WastewaterSARS-CoV-2;WastewaterAMR;WastewaterPathogenAgnostic</v>
      </c>
    </row>
    <row r="251">
      <c r="A251" s="141" t="str">
        <f>IFERROR(__xludf.DUMMYFUNCTION("""COMPUTED_VALUE"""),"Pathogen diagnostic testing")</f>
        <v>Pathogen diagnostic testing</v>
      </c>
      <c r="B251" s="141" t="str">
        <f>IFERROR(__xludf.DUMMYFUNCTION("""COMPUTED_VALUE"""),"gene symbol 2")</f>
        <v>gene symbol 2</v>
      </c>
      <c r="C251" s="141"/>
      <c r="D251" s="141"/>
      <c r="E251" s="141"/>
      <c r="F251" s="141" t="str">
        <f>IFERROR(__xludf.DUMMYFUNCTION("""COMPUTED_VALUE"""),"The symbol of the gene used in the diagnostic RT-PCR test.")</f>
        <v>The symbol of the gene used in the diagnostic RT-PCR test.</v>
      </c>
      <c r="G251" s="141" t="str">
        <f>IFERROR(__xludf.DUMMYFUNCTION("""COMPUTED_VALUE"""),"Select a gene name value from the pick list provided.")</f>
        <v>Select a gene name value from the pick list provided.</v>
      </c>
      <c r="H251" s="141" t="str">
        <f>IFERROR(__xludf.DUMMYFUNCTION("""COMPUTED_VALUE"""),"E gene (orf4)")</f>
        <v>E gene (orf4)</v>
      </c>
      <c r="K251" s="144" t="s">
        <v>1058</v>
      </c>
      <c r="L251" s="144" t="s">
        <v>1058</v>
      </c>
      <c r="M251" s="142" t="s">
        <v>25</v>
      </c>
      <c r="N251" s="142" t="str">
        <f>IFERROR(__xludf.DUMMYFUNCTION("""COMPUTED_VALUE"""),"WastewaterSARS-CoV-2")</f>
        <v>WastewaterSARS-CoV-2</v>
      </c>
    </row>
    <row r="252">
      <c r="A252" s="141" t="str">
        <f>IFERROR(__xludf.DUMMYFUNCTION("""COMPUTED_VALUE"""),"Pathogen diagnostic testing")</f>
        <v>Pathogen diagnostic testing</v>
      </c>
      <c r="B252" s="141" t="str">
        <f>IFERROR(__xludf.DUMMYFUNCTION("""COMPUTED_VALUE"""),"gene symbol 2")</f>
        <v>gene symbol 2</v>
      </c>
      <c r="C252" s="141"/>
      <c r="D252" s="141"/>
      <c r="E252" s="141"/>
      <c r="F252" s="141" t="str">
        <f>IFERROR(__xludf.DUMMYFUNCTION("""COMPUTED_VALUE"""),"The symbol of the gene used in the diagnostic RT-PCR test.")</f>
        <v>The symbol of the gene used in the diagnostic RT-PCR test.</v>
      </c>
      <c r="G252" s="147" t="str">
        <f>IFERROR(__xludf.DUMMYFUNCTION("""COMPUTED_VALUE"""),"Provide the full name of the gene used in the test. Standardized gene names can be found in the Gene Ontology using this look-up service: https://bit.ly/2Sq1LbI")</f>
        <v>Provide the full name of the gene used in the test. Standardized gene names can be found in the Gene Ontology using this look-up service: https://bit.ly/2Sq1LbI</v>
      </c>
      <c r="H252" s="141" t="str">
        <f>IFERROR(__xludf.DUMMYFUNCTION("""COMPUTED_VALUE"""),"gyrase A")</f>
        <v>gyrase A</v>
      </c>
      <c r="K252" s="144" t="s">
        <v>1058</v>
      </c>
      <c r="L252" s="144" t="s">
        <v>1058</v>
      </c>
      <c r="M252" s="142" t="s">
        <v>25</v>
      </c>
      <c r="N252" s="142" t="str">
        <f>IFERROR(__xludf.DUMMYFUNCTION("""COMPUTED_VALUE"""),"WastewaterAMR;WastewaterPathogenAgnostic")</f>
        <v>WastewaterAMR;WastewaterPathogenAgnostic</v>
      </c>
    </row>
    <row r="253">
      <c r="A253" s="141" t="str">
        <f>IFERROR(__xludf.DUMMYFUNCTION("""COMPUTED_VALUE"""),"Pathogen diagnostic testing")</f>
        <v>Pathogen diagnostic testing</v>
      </c>
      <c r="B253" s="141" t="str">
        <f>IFERROR(__xludf.DUMMYFUNCTION("""COMPUTED_VALUE"""),"diagnostic target presence 2")</f>
        <v>diagnostic target presence 2</v>
      </c>
      <c r="C253" s="141"/>
      <c r="D253" s="141"/>
      <c r="E253" s="141"/>
      <c r="F253" s="141" t="str">
        <f>IFERROR(__xludf.DUMMYFUNCTION("""COMPUTED_VALUE"""),"The binary value of the result from a diagnostic test.")</f>
        <v>The binary value of the result from a diagnostic test.</v>
      </c>
      <c r="G253" s="141" t="str">
        <f>IFERROR(__xludf.DUMMYFUNCTION("""COMPUTED_VALUE"""),"Select a value from the pick list provided, to describe whether a target was determined to be present or absent within a sample.")</f>
        <v>Select a value from the pick list provided, to describe whether a target was determined to be present or absent within a sample.</v>
      </c>
      <c r="H253" s="141" t="str">
        <f>IFERROR(__xludf.DUMMYFUNCTION("""COMPUTED_VALUE"""),"diagnostic target present")</f>
        <v>diagnostic target present</v>
      </c>
      <c r="K253" s="142" t="s">
        <v>25</v>
      </c>
      <c r="L253" s="142" t="s">
        <v>25</v>
      </c>
      <c r="M253" s="142" t="s">
        <v>25</v>
      </c>
      <c r="N253" s="142" t="str">
        <f>IFERROR(__xludf.DUMMYFUNCTION("""COMPUTED_VALUE"""),"WastewaterSARS-CoV-2;WastewaterAMR;WastewaterPathogenAgnostic")</f>
        <v>WastewaterSARS-CoV-2;WastewaterAMR;WastewaterPathogenAgnostic</v>
      </c>
    </row>
    <row r="254">
      <c r="A254" s="141" t="str">
        <f>IFERROR(__xludf.DUMMYFUNCTION("""COMPUTED_VALUE"""),"Pathogen diagnostic testing")</f>
        <v>Pathogen diagnostic testing</v>
      </c>
      <c r="B254" s="141" t="str">
        <f>IFERROR(__xludf.DUMMYFUNCTION("""COMPUTED_VALUE"""),"diagnostic measurement value 2")</f>
        <v>diagnostic measurement value 2</v>
      </c>
      <c r="C254" s="141"/>
      <c r="D254" s="141"/>
      <c r="E254" s="141"/>
      <c r="F254" s="141" t="str">
        <f>IFERROR(__xludf.DUMMYFUNCTION("""COMPUTED_VALUE"""),"The value of the result from a diagnostic test.")</f>
        <v>The value of the result from a diagnostic test.</v>
      </c>
      <c r="G254" s="141" t="str">
        <f>IFERROR(__xludf.DUMMYFUNCTION("""COMPUTED_VALUE"""),"Provide the numerical result of a diagnostic test (no need to include units).")</f>
        <v>Provide the numerical result of a diagnostic test (no need to include units).</v>
      </c>
      <c r="H254" s="141">
        <f>IFERROR(__xludf.DUMMYFUNCTION("""COMPUTED_VALUE"""),1000.0)</f>
        <v>1000</v>
      </c>
      <c r="K254" s="142" t="s">
        <v>25</v>
      </c>
      <c r="L254" s="142" t="s">
        <v>25</v>
      </c>
      <c r="M254" s="142" t="s">
        <v>25</v>
      </c>
      <c r="N254" s="142" t="str">
        <f>IFERROR(__xludf.DUMMYFUNCTION("""COMPUTED_VALUE"""),"WastewaterSARS-CoV-2;WastewaterAMR;WastewaterPathogenAgnostic")</f>
        <v>WastewaterSARS-CoV-2;WastewaterAMR;WastewaterPathogenAgnostic</v>
      </c>
    </row>
    <row r="255">
      <c r="A255" s="141" t="str">
        <f>IFERROR(__xludf.DUMMYFUNCTION("""COMPUTED_VALUE"""),"Pathogen diagnostic testing")</f>
        <v>Pathogen diagnostic testing</v>
      </c>
      <c r="B255" s="141" t="str">
        <f>IFERROR(__xludf.DUMMYFUNCTION("""COMPUTED_VALUE"""),"diagnostic measurement unit 2")</f>
        <v>diagnostic measurement unit 2</v>
      </c>
      <c r="C255" s="141"/>
      <c r="D255" s="141"/>
      <c r="E255" s="141"/>
      <c r="F255" s="141" t="str">
        <f>IFERROR(__xludf.DUMMYFUNCTION("""COMPUTED_VALUE"""),"The unit of the result from a diagnostic test.")</f>
        <v>The unit of the result from a diagnostic test.</v>
      </c>
      <c r="G255" s="141" t="str">
        <f>IFERROR(__xludf.DUMMYFUNCTION("""COMPUTED_VALUE"""),"Select a value from the pick list provided, to describe the units of the given diagnostic test.")</f>
        <v>Select a value from the pick list provided, to describe the units of the given diagnostic test.</v>
      </c>
      <c r="H255" s="141" t="str">
        <f>IFERROR(__xludf.DUMMYFUNCTION("""COMPUTED_VALUE"""),"cycle threshold (Ct) ")</f>
        <v>cycle threshold (Ct) </v>
      </c>
      <c r="K255" s="144" t="s">
        <v>25</v>
      </c>
      <c r="L255" s="144" t="s">
        <v>25</v>
      </c>
      <c r="M255" s="144" t="s">
        <v>25</v>
      </c>
      <c r="N255" s="142" t="str">
        <f>IFERROR(__xludf.DUMMYFUNCTION("""COMPUTED_VALUE"""),"WastewaterSARS-CoV-2;WastewaterAMR;WastewaterPathogenAgnostic")</f>
        <v>WastewaterSARS-CoV-2;WastewaterAMR;WastewaterPathogenAgnostic</v>
      </c>
    </row>
    <row r="256">
      <c r="A256" s="141" t="str">
        <f>IFERROR(__xludf.DUMMYFUNCTION("""COMPUTED_VALUE"""),"Pathogen diagnostic testing")</f>
        <v>Pathogen diagnostic testing</v>
      </c>
      <c r="B256" s="141" t="str">
        <f>IFERROR(__xludf.DUMMYFUNCTION("""COMPUTED_VALUE"""),"diagnostic measurement method 2")</f>
        <v>diagnostic measurement method 2</v>
      </c>
      <c r="C256" s="141"/>
      <c r="D256" s="141"/>
      <c r="E256" s="141"/>
      <c r="F256" s="141" t="str">
        <f>IFERROR(__xludf.DUMMYFUNCTION("""COMPUTED_VALUE"""),"The method by which a diagnostic result was determined.")</f>
        <v>The method by which a diagnostic result was determined.</v>
      </c>
      <c r="G256" s="141" t="str">
        <f>IFERROR(__xludf.DUMMYFUNCTION("""COMPUTED_VALUE"""),"Select a value from the pick list provided to describe the method used for a given diagnostic test.")</f>
        <v>Select a value from the pick list provided to describe the method used for a given diagnostic test.</v>
      </c>
      <c r="H256" s="141" t="str">
        <f>IFERROR(__xludf.DUMMYFUNCTION("""COMPUTED_VALUE"""),"qPCR")</f>
        <v>qPCR</v>
      </c>
      <c r="K256" s="144" t="s">
        <v>25</v>
      </c>
      <c r="L256" s="144" t="s">
        <v>25</v>
      </c>
      <c r="M256" s="144" t="s">
        <v>25</v>
      </c>
      <c r="N256" s="142" t="str">
        <f>IFERROR(__xludf.DUMMYFUNCTION("""COMPUTED_VALUE"""),"WastewaterSARS-CoV-2;WastewaterAMR;WastewaterPathogenAgnostic")</f>
        <v>WastewaterSARS-CoV-2;WastewaterAMR;WastewaterPathogenAgnostic</v>
      </c>
    </row>
    <row r="257">
      <c r="A257" s="141" t="str">
        <f>IFERROR(__xludf.DUMMYFUNCTION("""COMPUTED_VALUE"""),"Pathogen diagnostic testing")</f>
        <v>Pathogen diagnostic testing</v>
      </c>
      <c r="B257" s="141" t="str">
        <f>IFERROR(__xludf.DUMMYFUNCTION("""COMPUTED_VALUE"""),"assay target name 3")</f>
        <v>assay target name 3</v>
      </c>
      <c r="C257" s="141"/>
      <c r="D257" s="141"/>
      <c r="E257" s="141"/>
      <c r="F257" s="141" t="str">
        <f>IFERROR(__xludf.DUMMYFUNCTION("""COMPUTED_VALUE"""),"The name of the assay target used in the diagnostic RT-PCR test.")</f>
        <v>The name of the assay target used in the diagnostic RT-PCR test.</v>
      </c>
      <c r="G257" s="141" t="str">
        <f>IFERROR(__xludf.DUMMYFUNCTION("""COMPUTED_VALUE"""),"The specific genomic region, sequence, or variant targeted by the assay in a diagnostic RT-PCR test. This may include parts of a gene, non-coding regions, or other genetic elements that serve as a marker for detecting the presence of a pathogen or other r"&amp;"elevant entities.")</f>
        <v>The specific genomic region, sequence, or variant targeted by the assay in a diagnostic RT-PCR test. This may include parts of a gene, non-coding regions, or other genetic elements that serve as a marker for detecting the presence of a pathogen or other relevant entities.</v>
      </c>
      <c r="H257" s="141"/>
      <c r="K257" s="142" t="s">
        <v>25</v>
      </c>
      <c r="L257" s="142" t="s">
        <v>25</v>
      </c>
      <c r="M257" s="142" t="s">
        <v>25</v>
      </c>
      <c r="N257" s="142" t="str">
        <f>IFERROR(__xludf.DUMMYFUNCTION("""COMPUTED_VALUE"""),"WastewaterSARS-CoV-2;WastewaterAMR;WastewaterPathogenAgnostic")</f>
        <v>WastewaterSARS-CoV-2;WastewaterAMR;WastewaterPathogenAgnostic</v>
      </c>
    </row>
    <row r="258">
      <c r="A258" s="141" t="str">
        <f>IFERROR(__xludf.DUMMYFUNCTION("""COMPUTED_VALUE"""),"Pathogen diagnostic testing")</f>
        <v>Pathogen diagnostic testing</v>
      </c>
      <c r="B258" s="141" t="str">
        <f>IFERROR(__xludf.DUMMYFUNCTION("""COMPUTED_VALUE"""),"assay target details 3")</f>
        <v>assay target details 3</v>
      </c>
      <c r="C258" s="141"/>
      <c r="D258" s="141"/>
      <c r="E258" s="141"/>
      <c r="F258" s="141" t="str">
        <f>IFERROR(__xludf.DUMMYFUNCTION("""COMPUTED_VALUE"""),"Describe any details of the assay target.")</f>
        <v>Describe any details of the assay target.</v>
      </c>
      <c r="G258" s="141" t="str">
        <f>IFERROR(__xludf.DUMMYFUNCTION("""COMPUTED_VALUE"""),"Provide details that are applicable to the assay used for the diagnostic test. ")</f>
        <v>Provide details that are applicable to the assay used for the diagnostic test. </v>
      </c>
      <c r="H258" s="141"/>
      <c r="K258" s="144" t="s">
        <v>1058</v>
      </c>
      <c r="L258" s="144" t="s">
        <v>1058</v>
      </c>
      <c r="M258" s="144" t="s">
        <v>1058</v>
      </c>
      <c r="N258" s="142" t="str">
        <f>IFERROR(__xludf.DUMMYFUNCTION("""COMPUTED_VALUE"""),"WastewaterSARS-CoV-2;WastewaterAMR;WastewaterPathogenAgnostic")</f>
        <v>WastewaterSARS-CoV-2;WastewaterAMR;WastewaterPathogenAgnostic</v>
      </c>
    </row>
    <row r="259">
      <c r="A259" s="141" t="str">
        <f>IFERROR(__xludf.DUMMYFUNCTION("""COMPUTED_VALUE"""),"Pathogen diagnostic testing")</f>
        <v>Pathogen diagnostic testing</v>
      </c>
      <c r="B259" s="141" t="str">
        <f>IFERROR(__xludf.DUMMYFUNCTION("""COMPUTED_VALUE"""),"gene symbol 3")</f>
        <v>gene symbol 3</v>
      </c>
      <c r="C259" s="141"/>
      <c r="D259" s="141"/>
      <c r="E259" s="141"/>
      <c r="F259" s="141" t="str">
        <f>IFERROR(__xludf.DUMMYFUNCTION("""COMPUTED_VALUE"""),"The symbol of the gene used in the diagnostic RT-PCR test.")</f>
        <v>The symbol of the gene used in the diagnostic RT-PCR test.</v>
      </c>
      <c r="G259" s="141" t="str">
        <f>IFERROR(__xludf.DUMMYFUNCTION("""COMPUTED_VALUE"""),"Select a gene name value from the pick list provided.")</f>
        <v>Select a gene name value from the pick list provided.</v>
      </c>
      <c r="H259" s="141" t="str">
        <f>IFERROR(__xludf.DUMMYFUNCTION("""COMPUTED_VALUE"""),"E gene (orf4)")</f>
        <v>E gene (orf4)</v>
      </c>
      <c r="K259" s="144" t="s">
        <v>1058</v>
      </c>
      <c r="L259" s="144" t="s">
        <v>1058</v>
      </c>
      <c r="M259" s="142" t="s">
        <v>25</v>
      </c>
      <c r="N259" s="142" t="str">
        <f>IFERROR(__xludf.DUMMYFUNCTION("""COMPUTED_VALUE"""),"WastewaterSARS-CoV-2")</f>
        <v>WastewaterSARS-CoV-2</v>
      </c>
    </row>
    <row r="260">
      <c r="A260" s="141" t="str">
        <f>IFERROR(__xludf.DUMMYFUNCTION("""COMPUTED_VALUE"""),"Pathogen diagnostic testing")</f>
        <v>Pathogen diagnostic testing</v>
      </c>
      <c r="B260" s="141" t="str">
        <f>IFERROR(__xludf.DUMMYFUNCTION("""COMPUTED_VALUE"""),"gene symbol 3")</f>
        <v>gene symbol 3</v>
      </c>
      <c r="C260" s="141"/>
      <c r="D260" s="141"/>
      <c r="E260" s="141"/>
      <c r="F260" s="141" t="str">
        <f>IFERROR(__xludf.DUMMYFUNCTION("""COMPUTED_VALUE"""),"The symbol of the gene used in the diagnostic RT-PCR test.")</f>
        <v>The symbol of the gene used in the diagnostic RT-PCR test.</v>
      </c>
      <c r="G260" s="147" t="str">
        <f>IFERROR(__xludf.DUMMYFUNCTION("""COMPUTED_VALUE"""),"Provide the full name of the gene used in the test. Standardized gene names can be found in the Gene Ontology using this look-up service: https://bit.ly/2Sq1LbI")</f>
        <v>Provide the full name of the gene used in the test. Standardized gene names can be found in the Gene Ontology using this look-up service: https://bit.ly/2Sq1LbI</v>
      </c>
      <c r="H260" s="141" t="str">
        <f>IFERROR(__xludf.DUMMYFUNCTION("""COMPUTED_VALUE"""),"gyrase A")</f>
        <v>gyrase A</v>
      </c>
      <c r="K260" s="144" t="s">
        <v>1058</v>
      </c>
      <c r="L260" s="144" t="s">
        <v>1058</v>
      </c>
      <c r="M260" s="142" t="s">
        <v>25</v>
      </c>
      <c r="N260" s="142" t="str">
        <f>IFERROR(__xludf.DUMMYFUNCTION("""COMPUTED_VALUE"""),"WastewaterAMR;WastewaterPathogenAgnostic")</f>
        <v>WastewaterAMR;WastewaterPathogenAgnostic</v>
      </c>
    </row>
    <row r="261">
      <c r="A261" s="141" t="str">
        <f>IFERROR(__xludf.DUMMYFUNCTION("""COMPUTED_VALUE"""),"Pathogen diagnostic testing")</f>
        <v>Pathogen diagnostic testing</v>
      </c>
      <c r="B261" s="141" t="str">
        <f>IFERROR(__xludf.DUMMYFUNCTION("""COMPUTED_VALUE"""),"diagnostic target presence 3")</f>
        <v>diagnostic target presence 3</v>
      </c>
      <c r="C261" s="141"/>
      <c r="D261" s="141"/>
      <c r="E261" s="141"/>
      <c r="F261" s="141" t="str">
        <f>IFERROR(__xludf.DUMMYFUNCTION("""COMPUTED_VALUE"""),"The binary value of the result from a diagnostic test.")</f>
        <v>The binary value of the result from a diagnostic test.</v>
      </c>
      <c r="G261" s="141" t="str">
        <f>IFERROR(__xludf.DUMMYFUNCTION("""COMPUTED_VALUE"""),"Select a value from the pick list provided, to describe whether a target was determined to be present or absent within a sample.")</f>
        <v>Select a value from the pick list provided, to describe whether a target was determined to be present or absent within a sample.</v>
      </c>
      <c r="H261" s="141" t="str">
        <f>IFERROR(__xludf.DUMMYFUNCTION("""COMPUTED_VALUE"""),"diagnostic target present")</f>
        <v>diagnostic target present</v>
      </c>
      <c r="K261" s="142" t="s">
        <v>25</v>
      </c>
      <c r="L261" s="142" t="s">
        <v>25</v>
      </c>
      <c r="M261" s="142" t="s">
        <v>25</v>
      </c>
      <c r="N261" s="142" t="str">
        <f>IFERROR(__xludf.DUMMYFUNCTION("""COMPUTED_VALUE"""),"WastewaterSARS-CoV-2;WastewaterAMR;WastewaterPathogenAgnostic")</f>
        <v>WastewaterSARS-CoV-2;WastewaterAMR;WastewaterPathogenAgnostic</v>
      </c>
    </row>
    <row r="262">
      <c r="A262" s="141" t="str">
        <f>IFERROR(__xludf.DUMMYFUNCTION("""COMPUTED_VALUE"""),"Pathogen diagnostic testing")</f>
        <v>Pathogen diagnostic testing</v>
      </c>
      <c r="B262" s="141" t="str">
        <f>IFERROR(__xludf.DUMMYFUNCTION("""COMPUTED_VALUE"""),"diagnostic measurement value 3")</f>
        <v>diagnostic measurement value 3</v>
      </c>
      <c r="C262" s="141"/>
      <c r="D262" s="141"/>
      <c r="E262" s="141"/>
      <c r="F262" s="141" t="str">
        <f>IFERROR(__xludf.DUMMYFUNCTION("""COMPUTED_VALUE"""),"The value of the result from a diagnostic test.")</f>
        <v>The value of the result from a diagnostic test.</v>
      </c>
      <c r="G262" s="141" t="str">
        <f>IFERROR(__xludf.DUMMYFUNCTION("""COMPUTED_VALUE"""),"Provide the numerical result of a diagnostic test (no need to include units).")</f>
        <v>Provide the numerical result of a diagnostic test (no need to include units).</v>
      </c>
      <c r="H262" s="141">
        <f>IFERROR(__xludf.DUMMYFUNCTION("""COMPUTED_VALUE"""),1000.0)</f>
        <v>1000</v>
      </c>
      <c r="K262" s="142" t="s">
        <v>25</v>
      </c>
      <c r="L262" s="142" t="s">
        <v>25</v>
      </c>
      <c r="M262" s="142" t="s">
        <v>25</v>
      </c>
      <c r="N262" s="142" t="str">
        <f>IFERROR(__xludf.DUMMYFUNCTION("""COMPUTED_VALUE"""),"WastewaterSARS-CoV-2;WastewaterAMR;WastewaterPathogenAgnostic")</f>
        <v>WastewaterSARS-CoV-2;WastewaterAMR;WastewaterPathogenAgnostic</v>
      </c>
    </row>
    <row r="263">
      <c r="A263" s="141" t="str">
        <f>IFERROR(__xludf.DUMMYFUNCTION("""COMPUTED_VALUE"""),"Pathogen diagnostic testing")</f>
        <v>Pathogen diagnostic testing</v>
      </c>
      <c r="B263" s="141" t="str">
        <f>IFERROR(__xludf.DUMMYFUNCTION("""COMPUTED_VALUE"""),"diagnostic measurement unit 3")</f>
        <v>diagnostic measurement unit 3</v>
      </c>
      <c r="C263" s="141"/>
      <c r="D263" s="141"/>
      <c r="E263" s="141"/>
      <c r="F263" s="141" t="str">
        <f>IFERROR(__xludf.DUMMYFUNCTION("""COMPUTED_VALUE"""),"The unit of the result from a diagnostic test.")</f>
        <v>The unit of the result from a diagnostic test.</v>
      </c>
      <c r="G263" s="141" t="str">
        <f>IFERROR(__xludf.DUMMYFUNCTION("""COMPUTED_VALUE"""),"Select a value from the pick list provided, to describe the units of the given diagnostic test.")</f>
        <v>Select a value from the pick list provided, to describe the units of the given diagnostic test.</v>
      </c>
      <c r="H263" s="141" t="str">
        <f>IFERROR(__xludf.DUMMYFUNCTION("""COMPUTED_VALUE"""),"cycle threshold (Ct) ")</f>
        <v>cycle threshold (Ct) </v>
      </c>
      <c r="K263" s="144" t="s">
        <v>25</v>
      </c>
      <c r="L263" s="144" t="s">
        <v>25</v>
      </c>
      <c r="M263" s="144" t="s">
        <v>25</v>
      </c>
      <c r="N263" s="142" t="str">
        <f>IFERROR(__xludf.DUMMYFUNCTION("""COMPUTED_VALUE"""),"WastewaterSARS-CoV-2;WastewaterAMR;WastewaterPathogenAgnostic")</f>
        <v>WastewaterSARS-CoV-2;WastewaterAMR;WastewaterPathogenAgnostic</v>
      </c>
    </row>
    <row r="264">
      <c r="A264" s="141" t="str">
        <f>IFERROR(__xludf.DUMMYFUNCTION("""COMPUTED_VALUE"""),"Pathogen diagnostic testing")</f>
        <v>Pathogen diagnostic testing</v>
      </c>
      <c r="B264" s="141" t="str">
        <f>IFERROR(__xludf.DUMMYFUNCTION("""COMPUTED_VALUE"""),"diagnostic measurement method 3")</f>
        <v>diagnostic measurement method 3</v>
      </c>
      <c r="C264" s="141"/>
      <c r="D264" s="141"/>
      <c r="E264" s="141"/>
      <c r="F264" s="141" t="str">
        <f>IFERROR(__xludf.DUMMYFUNCTION("""COMPUTED_VALUE"""),"The method by which a diagnostic result was determined.")</f>
        <v>The method by which a diagnostic result was determined.</v>
      </c>
      <c r="G264" s="141" t="str">
        <f>IFERROR(__xludf.DUMMYFUNCTION("""COMPUTED_VALUE"""),"Select a value from the pick list provided to describe the method used for a given diagnostic test.")</f>
        <v>Select a value from the pick list provided to describe the method used for a given diagnostic test.</v>
      </c>
      <c r="H264" s="141" t="str">
        <f>IFERROR(__xludf.DUMMYFUNCTION("""COMPUTED_VALUE"""),"qPCR")</f>
        <v>qPCR</v>
      </c>
      <c r="K264" s="144" t="s">
        <v>25</v>
      </c>
      <c r="L264" s="144" t="s">
        <v>25</v>
      </c>
      <c r="M264" s="144" t="s">
        <v>25</v>
      </c>
      <c r="N264" s="142" t="str">
        <f>IFERROR(__xludf.DUMMYFUNCTION("""COMPUTED_VALUE"""),"WastewaterSARS-CoV-2;WastewaterAMR;WastewaterPathogenAgnostic")</f>
        <v>WastewaterSARS-CoV-2;WastewaterAMR;WastewaterPathogenAgnostic</v>
      </c>
    </row>
    <row r="265">
      <c r="A265" s="141"/>
      <c r="B265" s="141" t="str">
        <f>IFERROR(__xludf.DUMMYFUNCTION("""COMPUTED_VALUE"""),"Contributor acknowledgement")</f>
        <v>Contributor acknowledgement</v>
      </c>
      <c r="C265" s="141" t="str">
        <f>IFERROR(__xludf.DUMMYFUNCTION("""COMPUTED_VALUE"""),"")</f>
        <v/>
      </c>
      <c r="D265" s="141" t="str">
        <f>IFERROR(__xludf.DUMMYFUNCTION("""COMPUTED_VALUE"""),"")</f>
        <v/>
      </c>
      <c r="E265" s="141" t="str">
        <f>IFERROR(__xludf.DUMMYFUNCTION("""COMPUTED_VALUE"""),"GENEPIO:0001516")</f>
        <v>GENEPIO:0001516</v>
      </c>
      <c r="F265" s="141"/>
      <c r="G265" s="141"/>
      <c r="H265" s="141"/>
      <c r="I265" s="142"/>
      <c r="J265" s="142"/>
      <c r="K265" s="142"/>
      <c r="L265" s="142"/>
      <c r="M265" s="142"/>
      <c r="N265" s="142" t="str">
        <f>IFERROR(__xludf.DUMMYFUNCTION("""COMPUTED_VALUE"""),"WastewaterSARS-CoV-2;WastewaterAMR;WastewaterPathogenAgnostic")</f>
        <v>WastewaterSARS-CoV-2;WastewaterAMR;WastewaterPathogenAgnostic</v>
      </c>
    </row>
    <row r="266">
      <c r="A266" s="141" t="str">
        <f>IFERROR(__xludf.DUMMYFUNCTION("""COMPUTED_VALUE"""),"Contributor acknowledgement")</f>
        <v>Contributor acknowledgement</v>
      </c>
      <c r="B266" s="141" t="str">
        <f>IFERROR(__xludf.DUMMYFUNCTION("""COMPUTED_VALUE"""),"authors")</f>
        <v>authors</v>
      </c>
      <c r="C266" s="141" t="str">
        <f>IFERROR(__xludf.DUMMYFUNCTION("""COMPUTED_VALUE"""),"")</f>
        <v/>
      </c>
      <c r="D266" s="141" t="b">
        <f>IFERROR(__xludf.DUMMYFUNCTION("""COMPUTED_VALUE"""),TRUE)</f>
        <v>1</v>
      </c>
      <c r="E266" s="141" t="str">
        <f>IFERROR(__xludf.DUMMYFUNCTION("""COMPUTED_VALUE"""),"GENEPIO:0001517")</f>
        <v>GENEPIO:0001517</v>
      </c>
      <c r="F266" s="141" t="str">
        <f>IFERROR(__xludf.DUMMYFUNCTION("""COMPUTED_VALUE"""),"Names of individuals contributing to the processes of sample collection, sequence generation, analysis, and data submission.")</f>
        <v>Names of individuals contributing to the processes of sample collection, sequence generation, analysis, and data submission.</v>
      </c>
      <c r="G266" s="141" t="str">
        <f>IFERROR(__xludf.DUMMYFUNCTION("""COMPUTED_VALUE"""),"Include the first and last names of all individuals that should be attributed, separated by a semicolon.")</f>
        <v>Include the first and last names of all individuals that should be attributed, separated by a semicolon.</v>
      </c>
      <c r="H266" s="141" t="str">
        <f>IFERROR(__xludf.DUMMYFUNCTION("""COMPUTED_VALUE"""),"Tejinder Singh; Fei Hu; Joe Blogs")</f>
        <v>Tejinder Singh; Fei Hu; Joe Blogs</v>
      </c>
      <c r="K266" s="144" t="s">
        <v>25</v>
      </c>
      <c r="L266" s="144" t="s">
        <v>25</v>
      </c>
      <c r="M266" s="144" t="s">
        <v>25</v>
      </c>
      <c r="N266" s="142" t="str">
        <f>IFERROR(__xludf.DUMMYFUNCTION("""COMPUTED_VALUE"""),"WastewaterSARS-CoV-2;WastewaterAMR;WastewaterPathogenAgnostic")</f>
        <v>WastewaterSARS-CoV-2;WastewaterAMR;WastewaterPathogenAgnostic</v>
      </c>
    </row>
    <row r="267">
      <c r="A267" s="141" t="str">
        <f>IFERROR(__xludf.DUMMYFUNCTION("""COMPUTED_VALUE"""),"Contributor acknowledgement")</f>
        <v>Contributor acknowledgement</v>
      </c>
      <c r="B267" s="141" t="str">
        <f>IFERROR(__xludf.DUMMYFUNCTION("""COMPUTED_VALUE"""),"DataHarmonizer provenance")</f>
        <v>DataHarmonizer provenance</v>
      </c>
      <c r="C267" s="141" t="str">
        <f>IFERROR(__xludf.DUMMYFUNCTION("""COMPUTED_VALUE"""),"")</f>
        <v/>
      </c>
      <c r="D267" s="141" t="str">
        <f>IFERROR(__xludf.DUMMYFUNCTION("""COMPUTED_VALUE"""),"")</f>
        <v/>
      </c>
      <c r="E267" s="141" t="str">
        <f>IFERROR(__xludf.DUMMYFUNCTION("""COMPUTED_VALUE"""),"GENEPIO:0001518")</f>
        <v>GENEPIO:0001518</v>
      </c>
      <c r="F267" s="141" t="str">
        <f>IFERROR(__xludf.DUMMYFUNCTION("""COMPUTED_VALUE"""),"The DataHarmonizer software and template version provenance.")</f>
        <v>The DataHarmonizer software and template version provenance.</v>
      </c>
      <c r="G267" s="141" t="str">
        <f>IFERROR(__xludf.DUMMYFUNCTION("""COMPUTED_VALUE"""),"The current software and template version information will be automatically generated in this field after the user utilizes the ""validate"" function. This information will be generated regardless as to whether the row is valid of not.")</f>
        <v>The current software and template version information will be automatically generated in this field after the user utilizes the "validate" function. This information will be generated regardless as to whether the row is valid of not.</v>
      </c>
      <c r="H267" s="141" t="str">
        <f>IFERROR(__xludf.DUMMYFUNCTION("""COMPUTED_VALUE"""),"DataHarmonizer v3.3.3, Influenza v1.0.0")</f>
        <v>DataHarmonizer v3.3.3, Influenza v1.0.0</v>
      </c>
      <c r="K267" s="144" t="s">
        <v>25</v>
      </c>
      <c r="L267" s="144" t="s">
        <v>25</v>
      </c>
      <c r="M267" s="144" t="s">
        <v>25</v>
      </c>
      <c r="N267" s="142" t="str">
        <f>IFERROR(__xludf.DUMMYFUNCTION("""COMPUTED_VALUE"""),"WastewaterSARS-CoV-2;WastewaterAMR;WastewaterPathogenAgnostic")</f>
        <v>WastewaterSARS-CoV-2;WastewaterAMR;WastewaterPathogenAgnostic</v>
      </c>
    </row>
    <row r="268">
      <c r="A268" s="141"/>
      <c r="B268" s="141"/>
      <c r="C268" s="141"/>
      <c r="D268" s="141"/>
      <c r="E268" s="141"/>
      <c r="F268" s="141"/>
      <c r="G268" s="141"/>
      <c r="H268" s="141"/>
    </row>
    <row r="269">
      <c r="A269" s="141"/>
      <c r="B269" s="141"/>
      <c r="C269" s="141"/>
      <c r="D269" s="141"/>
      <c r="E269" s="141"/>
      <c r="F269" s="141"/>
      <c r="G269" s="141"/>
      <c r="H269" s="141"/>
    </row>
    <row r="270">
      <c r="A270" s="141"/>
      <c r="B270" s="141"/>
      <c r="C270" s="141"/>
      <c r="D270" s="141"/>
      <c r="E270" s="141"/>
      <c r="F270" s="141"/>
      <c r="G270" s="141"/>
      <c r="H270" s="141"/>
    </row>
    <row r="271">
      <c r="A271" s="141"/>
      <c r="B271" s="141"/>
      <c r="C271" s="141"/>
      <c r="D271" s="141"/>
      <c r="E271" s="141"/>
      <c r="F271" s="141"/>
      <c r="G271" s="141"/>
      <c r="H271" s="141"/>
    </row>
    <row r="272">
      <c r="A272" s="141"/>
      <c r="B272" s="141"/>
      <c r="C272" s="141"/>
      <c r="D272" s="141"/>
      <c r="E272" s="141"/>
      <c r="F272" s="141"/>
      <c r="G272" s="141"/>
      <c r="H272" s="141"/>
    </row>
    <row r="273">
      <c r="A273" s="141"/>
      <c r="B273" s="141"/>
      <c r="C273" s="141"/>
      <c r="D273" s="141"/>
      <c r="E273" s="141"/>
      <c r="F273" s="141"/>
      <c r="G273" s="141"/>
      <c r="H273" s="141"/>
    </row>
    <row r="274">
      <c r="A274" s="141"/>
      <c r="B274" s="141"/>
      <c r="C274" s="141"/>
      <c r="D274" s="141"/>
      <c r="E274" s="141"/>
      <c r="F274" s="141"/>
      <c r="G274" s="141"/>
      <c r="H274" s="141"/>
    </row>
    <row r="275">
      <c r="A275" s="141"/>
      <c r="B275" s="141"/>
      <c r="C275" s="141"/>
      <c r="D275" s="141"/>
      <c r="E275" s="141"/>
      <c r="F275" s="141"/>
      <c r="G275" s="141"/>
      <c r="H275" s="141"/>
    </row>
    <row r="276">
      <c r="A276" s="141"/>
      <c r="B276" s="141"/>
      <c r="C276" s="141"/>
      <c r="D276" s="141"/>
      <c r="E276" s="141"/>
      <c r="F276" s="141"/>
      <c r="G276" s="141"/>
      <c r="H276" s="141"/>
    </row>
    <row r="277">
      <c r="A277" s="141"/>
      <c r="B277" s="141"/>
      <c r="C277" s="141"/>
      <c r="D277" s="141"/>
      <c r="E277" s="141"/>
      <c r="F277" s="141"/>
      <c r="G277" s="141"/>
      <c r="H277" s="141"/>
    </row>
    <row r="278">
      <c r="A278" s="141"/>
      <c r="B278" s="141"/>
      <c r="C278" s="141"/>
      <c r="D278" s="141"/>
      <c r="E278" s="141"/>
      <c r="F278" s="141"/>
      <c r="G278" s="141"/>
      <c r="H278" s="141"/>
    </row>
    <row r="279">
      <c r="A279" s="141"/>
      <c r="B279" s="141"/>
      <c r="C279" s="141"/>
      <c r="D279" s="141"/>
      <c r="E279" s="141"/>
      <c r="F279" s="141"/>
      <c r="G279" s="141"/>
      <c r="H279" s="141"/>
    </row>
    <row r="280">
      <c r="A280" s="141"/>
      <c r="B280" s="141"/>
      <c r="C280" s="141"/>
      <c r="D280" s="141"/>
      <c r="E280" s="141"/>
      <c r="F280" s="141"/>
      <c r="G280" s="141"/>
      <c r="H280" s="141"/>
    </row>
    <row r="281">
      <c r="A281" s="141"/>
      <c r="B281" s="141"/>
      <c r="C281" s="141"/>
      <c r="D281" s="141"/>
      <c r="E281" s="141"/>
      <c r="F281" s="141"/>
      <c r="G281" s="141"/>
      <c r="H281" s="141"/>
    </row>
    <row r="282">
      <c r="A282" s="141"/>
      <c r="B282" s="141"/>
      <c r="C282" s="141"/>
      <c r="D282" s="141"/>
      <c r="E282" s="141"/>
      <c r="F282" s="141"/>
      <c r="G282" s="141"/>
      <c r="H282" s="141"/>
    </row>
    <row r="283">
      <c r="A283" s="141"/>
      <c r="B283" s="141"/>
      <c r="C283" s="141"/>
      <c r="D283" s="141"/>
      <c r="E283" s="141"/>
      <c r="F283" s="141"/>
      <c r="G283" s="141"/>
      <c r="H283" s="141"/>
    </row>
    <row r="284">
      <c r="A284" s="141"/>
      <c r="B284" s="141"/>
      <c r="C284" s="141"/>
      <c r="D284" s="141"/>
      <c r="E284" s="141"/>
      <c r="F284" s="141"/>
      <c r="G284" s="141"/>
      <c r="H284" s="141"/>
    </row>
    <row r="285">
      <c r="A285" s="141"/>
      <c r="B285" s="141"/>
      <c r="C285" s="141"/>
      <c r="D285" s="141"/>
      <c r="E285" s="141"/>
      <c r="F285" s="141"/>
      <c r="G285" s="141"/>
      <c r="H285" s="141"/>
    </row>
    <row r="286">
      <c r="A286" s="141"/>
      <c r="B286" s="141"/>
      <c r="C286" s="141"/>
      <c r="D286" s="141"/>
      <c r="E286" s="141"/>
      <c r="F286" s="141"/>
      <c r="G286" s="141"/>
      <c r="H286" s="141"/>
    </row>
    <row r="287">
      <c r="A287" s="141"/>
      <c r="B287" s="141"/>
      <c r="C287" s="141"/>
      <c r="D287" s="141"/>
      <c r="E287" s="141"/>
      <c r="F287" s="141"/>
      <c r="G287" s="141"/>
      <c r="H287" s="141"/>
    </row>
    <row r="288">
      <c r="A288" s="141"/>
      <c r="B288" s="141"/>
      <c r="C288" s="141"/>
      <c r="D288" s="141"/>
      <c r="E288" s="141"/>
      <c r="F288" s="141"/>
      <c r="G288" s="141"/>
      <c r="H288" s="141"/>
    </row>
    <row r="289">
      <c r="A289" s="141"/>
      <c r="B289" s="141"/>
      <c r="C289" s="141"/>
      <c r="D289" s="141"/>
      <c r="E289" s="141"/>
      <c r="F289" s="141"/>
      <c r="G289" s="141"/>
      <c r="H289" s="141"/>
    </row>
    <row r="290">
      <c r="A290" s="141"/>
      <c r="B290" s="141"/>
      <c r="C290" s="141"/>
      <c r="D290" s="141"/>
      <c r="E290" s="141"/>
      <c r="F290" s="141"/>
      <c r="G290" s="141"/>
      <c r="H290" s="141"/>
    </row>
    <row r="291">
      <c r="A291" s="141"/>
      <c r="B291" s="141"/>
      <c r="C291" s="141"/>
      <c r="D291" s="141"/>
      <c r="E291" s="141"/>
      <c r="F291" s="141"/>
      <c r="G291" s="141"/>
      <c r="H291" s="141"/>
    </row>
    <row r="292">
      <c r="A292" s="141"/>
      <c r="B292" s="141"/>
      <c r="C292" s="141"/>
      <c r="D292" s="141"/>
      <c r="E292" s="141"/>
      <c r="F292" s="141"/>
      <c r="G292" s="141"/>
      <c r="H292" s="141"/>
    </row>
    <row r="293">
      <c r="A293" s="141"/>
      <c r="B293" s="141"/>
      <c r="C293" s="141"/>
      <c r="D293" s="141"/>
      <c r="E293" s="141"/>
      <c r="F293" s="141"/>
      <c r="G293" s="141"/>
      <c r="H293" s="141"/>
    </row>
    <row r="294">
      <c r="A294" s="141"/>
      <c r="B294" s="141"/>
      <c r="C294" s="141"/>
      <c r="D294" s="141"/>
      <c r="E294" s="141"/>
      <c r="F294" s="141"/>
      <c r="G294" s="141"/>
      <c r="H294" s="141"/>
    </row>
    <row r="295">
      <c r="A295" s="141"/>
      <c r="B295" s="141"/>
      <c r="C295" s="141"/>
      <c r="D295" s="141"/>
      <c r="E295" s="141"/>
      <c r="F295" s="141"/>
      <c r="G295" s="141"/>
      <c r="H295" s="141"/>
    </row>
    <row r="296">
      <c r="A296" s="141"/>
      <c r="B296" s="141"/>
      <c r="C296" s="141"/>
      <c r="D296" s="141"/>
      <c r="E296" s="141"/>
      <c r="F296" s="141"/>
      <c r="G296" s="141"/>
      <c r="H296" s="141"/>
    </row>
    <row r="297">
      <c r="A297" s="141"/>
      <c r="B297" s="141"/>
      <c r="C297" s="141"/>
      <c r="D297" s="141"/>
      <c r="E297" s="141"/>
      <c r="F297" s="141"/>
      <c r="G297" s="141"/>
      <c r="H297" s="141"/>
    </row>
    <row r="298">
      <c r="A298" s="141"/>
      <c r="B298" s="141"/>
      <c r="C298" s="141"/>
      <c r="D298" s="141"/>
      <c r="E298" s="141"/>
      <c r="F298" s="141"/>
      <c r="G298" s="141"/>
      <c r="H298" s="141"/>
    </row>
    <row r="299">
      <c r="A299" s="141"/>
      <c r="B299" s="141"/>
      <c r="C299" s="141"/>
      <c r="D299" s="141"/>
      <c r="E299" s="141"/>
      <c r="F299" s="141"/>
      <c r="G299" s="141"/>
      <c r="H299" s="141"/>
    </row>
    <row r="300">
      <c r="A300" s="141"/>
      <c r="B300" s="141"/>
      <c r="C300" s="141"/>
      <c r="D300" s="141"/>
      <c r="E300" s="141"/>
      <c r="F300" s="141"/>
      <c r="G300" s="141"/>
      <c r="H300" s="141"/>
    </row>
    <row r="301">
      <c r="A301" s="141"/>
      <c r="B301" s="141"/>
      <c r="C301" s="141"/>
      <c r="D301" s="141"/>
      <c r="E301" s="141"/>
      <c r="F301" s="141"/>
      <c r="G301" s="141"/>
      <c r="H301" s="141"/>
    </row>
    <row r="302">
      <c r="A302" s="141"/>
      <c r="B302" s="141"/>
      <c r="C302" s="141"/>
      <c r="D302" s="141"/>
      <c r="E302" s="141"/>
      <c r="F302" s="141"/>
      <c r="G302" s="141"/>
      <c r="H302" s="141"/>
    </row>
    <row r="303">
      <c r="A303" s="141"/>
      <c r="B303" s="141"/>
      <c r="C303" s="141"/>
      <c r="D303" s="141"/>
      <c r="E303" s="141"/>
      <c r="F303" s="141"/>
      <c r="G303" s="141"/>
      <c r="H303" s="141"/>
    </row>
    <row r="304">
      <c r="A304" s="141"/>
      <c r="B304" s="141"/>
      <c r="C304" s="141"/>
      <c r="D304" s="141"/>
      <c r="E304" s="141"/>
      <c r="F304" s="141"/>
      <c r="G304" s="141"/>
      <c r="H304" s="141"/>
    </row>
    <row r="305">
      <c r="A305" s="141"/>
      <c r="B305" s="141"/>
      <c r="C305" s="141"/>
      <c r="D305" s="141"/>
      <c r="E305" s="141"/>
      <c r="F305" s="141"/>
      <c r="G305" s="141"/>
      <c r="H305" s="141"/>
    </row>
    <row r="306">
      <c r="A306" s="141"/>
      <c r="B306" s="141"/>
      <c r="C306" s="141"/>
      <c r="D306" s="141"/>
      <c r="E306" s="141"/>
      <c r="F306" s="141"/>
      <c r="G306" s="141"/>
      <c r="H306" s="141"/>
    </row>
    <row r="307">
      <c r="A307" s="141"/>
      <c r="B307" s="141"/>
      <c r="C307" s="141"/>
      <c r="D307" s="141"/>
      <c r="E307" s="141"/>
      <c r="F307" s="141"/>
      <c r="G307" s="141"/>
      <c r="H307" s="141"/>
    </row>
    <row r="308">
      <c r="A308" s="141"/>
      <c r="B308" s="141"/>
      <c r="C308" s="141"/>
      <c r="D308" s="141"/>
      <c r="E308" s="141"/>
      <c r="F308" s="141"/>
      <c r="G308" s="141"/>
      <c r="H308" s="141"/>
    </row>
    <row r="309">
      <c r="A309" s="141"/>
      <c r="B309" s="141"/>
      <c r="C309" s="141"/>
      <c r="D309" s="141"/>
      <c r="E309" s="141"/>
      <c r="F309" s="141"/>
      <c r="G309" s="141"/>
      <c r="H309" s="141"/>
    </row>
    <row r="310">
      <c r="A310" s="141"/>
      <c r="B310" s="141"/>
      <c r="C310" s="141"/>
      <c r="D310" s="141"/>
      <c r="E310" s="141"/>
      <c r="F310" s="141"/>
      <c r="G310" s="141"/>
      <c r="H310" s="141"/>
    </row>
    <row r="311">
      <c r="A311" s="141"/>
      <c r="B311" s="141"/>
      <c r="C311" s="141"/>
      <c r="D311" s="141"/>
      <c r="E311" s="141"/>
      <c r="F311" s="141"/>
      <c r="G311" s="141"/>
      <c r="H311" s="141"/>
    </row>
    <row r="312">
      <c r="A312" s="141"/>
      <c r="B312" s="141"/>
      <c r="C312" s="141"/>
      <c r="D312" s="141"/>
      <c r="E312" s="141"/>
      <c r="F312" s="141"/>
      <c r="G312" s="141"/>
      <c r="H312" s="141"/>
    </row>
    <row r="313">
      <c r="A313" s="141"/>
      <c r="B313" s="141"/>
      <c r="C313" s="141"/>
      <c r="D313" s="141"/>
      <c r="E313" s="141"/>
      <c r="F313" s="141"/>
      <c r="G313" s="141"/>
      <c r="H313" s="141"/>
    </row>
    <row r="314">
      <c r="A314" s="141"/>
      <c r="B314" s="141"/>
      <c r="C314" s="141"/>
      <c r="D314" s="141"/>
      <c r="E314" s="141"/>
      <c r="F314" s="141"/>
      <c r="G314" s="141"/>
      <c r="H314" s="141"/>
    </row>
    <row r="315">
      <c r="A315" s="141"/>
      <c r="B315" s="141"/>
      <c r="C315" s="141"/>
      <c r="D315" s="141"/>
      <c r="E315" s="141"/>
      <c r="F315" s="141"/>
      <c r="G315" s="141"/>
      <c r="H315" s="141"/>
    </row>
    <row r="316">
      <c r="A316" s="141"/>
      <c r="B316" s="141"/>
      <c r="C316" s="141"/>
      <c r="D316" s="141"/>
      <c r="E316" s="141"/>
      <c r="F316" s="141"/>
      <c r="G316" s="141"/>
      <c r="H316" s="141"/>
    </row>
    <row r="317">
      <c r="A317" s="141"/>
      <c r="B317" s="141"/>
      <c r="C317" s="141"/>
      <c r="D317" s="141"/>
      <c r="E317" s="141"/>
      <c r="F317" s="141"/>
      <c r="G317" s="141"/>
      <c r="H317" s="141"/>
    </row>
    <row r="318">
      <c r="A318" s="141"/>
      <c r="B318" s="141"/>
      <c r="C318" s="141"/>
      <c r="D318" s="141"/>
      <c r="E318" s="141"/>
      <c r="F318" s="141"/>
      <c r="G318" s="141"/>
      <c r="H318" s="141"/>
    </row>
    <row r="319">
      <c r="A319" s="141"/>
      <c r="B319" s="141"/>
      <c r="C319" s="141"/>
      <c r="D319" s="141"/>
      <c r="E319" s="141"/>
      <c r="F319" s="141"/>
      <c r="G319" s="141"/>
      <c r="H319" s="141"/>
    </row>
    <row r="320">
      <c r="A320" s="141"/>
      <c r="B320" s="141"/>
      <c r="C320" s="141"/>
      <c r="D320" s="141"/>
      <c r="E320" s="141"/>
      <c r="F320" s="141"/>
      <c r="G320" s="141"/>
      <c r="H320" s="141"/>
    </row>
    <row r="321">
      <c r="A321" s="141"/>
      <c r="B321" s="141"/>
      <c r="C321" s="141"/>
      <c r="D321" s="141"/>
      <c r="E321" s="141"/>
      <c r="F321" s="141"/>
      <c r="G321" s="141"/>
      <c r="H321" s="141"/>
    </row>
    <row r="322">
      <c r="A322" s="141"/>
      <c r="B322" s="141"/>
      <c r="C322" s="141"/>
      <c r="D322" s="141"/>
      <c r="E322" s="141"/>
      <c r="F322" s="141"/>
      <c r="G322" s="141"/>
      <c r="H322" s="141"/>
    </row>
    <row r="323">
      <c r="A323" s="141"/>
      <c r="B323" s="141"/>
      <c r="C323" s="141"/>
      <c r="D323" s="141"/>
      <c r="E323" s="141"/>
      <c r="F323" s="141"/>
      <c r="G323" s="141"/>
      <c r="H323" s="141"/>
    </row>
    <row r="324">
      <c r="A324" s="141"/>
      <c r="B324" s="141"/>
      <c r="C324" s="141"/>
      <c r="D324" s="141"/>
      <c r="E324" s="141"/>
      <c r="F324" s="141"/>
      <c r="G324" s="141"/>
      <c r="H324" s="141"/>
    </row>
    <row r="325">
      <c r="A325" s="141"/>
      <c r="B325" s="141"/>
      <c r="C325" s="141"/>
      <c r="D325" s="141"/>
      <c r="E325" s="141"/>
      <c r="F325" s="141"/>
      <c r="G325" s="141"/>
      <c r="H325" s="141"/>
    </row>
    <row r="326">
      <c r="A326" s="141"/>
      <c r="B326" s="141"/>
      <c r="C326" s="141"/>
      <c r="D326" s="141"/>
      <c r="E326" s="141"/>
      <c r="F326" s="141"/>
      <c r="G326" s="141"/>
      <c r="H326" s="141"/>
    </row>
    <row r="327">
      <c r="A327" s="141"/>
      <c r="B327" s="141"/>
      <c r="C327" s="141"/>
      <c r="D327" s="141"/>
      <c r="E327" s="141"/>
      <c r="F327" s="141"/>
      <c r="G327" s="141"/>
      <c r="H327" s="141"/>
    </row>
    <row r="328">
      <c r="A328" s="141"/>
      <c r="B328" s="141"/>
      <c r="C328" s="141"/>
      <c r="D328" s="141"/>
      <c r="E328" s="141"/>
      <c r="F328" s="141"/>
      <c r="G328" s="141"/>
      <c r="H328" s="141"/>
    </row>
    <row r="329">
      <c r="A329" s="141"/>
      <c r="B329" s="141"/>
      <c r="C329" s="141"/>
      <c r="D329" s="141"/>
      <c r="E329" s="141"/>
      <c r="F329" s="141"/>
      <c r="G329" s="141"/>
      <c r="H329" s="141"/>
    </row>
    <row r="330">
      <c r="A330" s="141"/>
      <c r="B330" s="141"/>
      <c r="C330" s="141"/>
      <c r="D330" s="141"/>
      <c r="E330" s="141"/>
      <c r="F330" s="141"/>
      <c r="G330" s="141"/>
      <c r="H330" s="141"/>
    </row>
    <row r="331">
      <c r="A331" s="141"/>
      <c r="B331" s="141"/>
      <c r="C331" s="141"/>
      <c r="D331" s="141"/>
      <c r="E331" s="141"/>
      <c r="F331" s="141"/>
      <c r="G331" s="141"/>
      <c r="H331" s="141"/>
    </row>
    <row r="332">
      <c r="A332" s="141"/>
      <c r="B332" s="141"/>
      <c r="C332" s="141"/>
      <c r="D332" s="141"/>
      <c r="E332" s="141"/>
      <c r="F332" s="141"/>
      <c r="G332" s="141"/>
      <c r="H332" s="141"/>
    </row>
    <row r="333">
      <c r="A333" s="141"/>
      <c r="B333" s="141"/>
      <c r="C333" s="141"/>
      <c r="D333" s="141"/>
      <c r="E333" s="141"/>
      <c r="F333" s="141"/>
      <c r="G333" s="141"/>
      <c r="H333" s="141"/>
    </row>
    <row r="334">
      <c r="A334" s="141"/>
      <c r="B334" s="141"/>
      <c r="C334" s="141"/>
      <c r="D334" s="141"/>
      <c r="E334" s="141"/>
      <c r="F334" s="141"/>
      <c r="G334" s="141"/>
      <c r="H334" s="141"/>
    </row>
    <row r="335">
      <c r="A335" s="141"/>
      <c r="B335" s="141"/>
      <c r="C335" s="141"/>
      <c r="D335" s="141"/>
      <c r="E335" s="141"/>
      <c r="F335" s="141"/>
      <c r="G335" s="141"/>
      <c r="H335" s="141"/>
    </row>
    <row r="336">
      <c r="A336" s="141"/>
      <c r="B336" s="141"/>
      <c r="C336" s="141"/>
      <c r="D336" s="141"/>
      <c r="E336" s="141"/>
      <c r="F336" s="141"/>
      <c r="G336" s="141"/>
      <c r="H336" s="141"/>
    </row>
    <row r="337">
      <c r="A337" s="141"/>
      <c r="B337" s="141"/>
      <c r="C337" s="141"/>
      <c r="D337" s="141"/>
      <c r="E337" s="141"/>
      <c r="F337" s="141"/>
      <c r="G337" s="141"/>
      <c r="H337" s="141"/>
    </row>
    <row r="338">
      <c r="A338" s="141"/>
      <c r="B338" s="141"/>
      <c r="C338" s="141"/>
      <c r="D338" s="141"/>
      <c r="E338" s="141"/>
      <c r="F338" s="141"/>
      <c r="G338" s="141"/>
      <c r="H338" s="141"/>
    </row>
    <row r="339">
      <c r="A339" s="141"/>
      <c r="B339" s="141"/>
      <c r="C339" s="141"/>
      <c r="D339" s="141"/>
      <c r="E339" s="141"/>
      <c r="F339" s="141"/>
      <c r="G339" s="141"/>
      <c r="H339" s="141"/>
    </row>
    <row r="340">
      <c r="A340" s="141"/>
      <c r="B340" s="141"/>
      <c r="C340" s="141"/>
      <c r="D340" s="141"/>
      <c r="E340" s="141"/>
      <c r="F340" s="141"/>
      <c r="G340" s="141"/>
      <c r="H340" s="141"/>
    </row>
    <row r="341">
      <c r="A341" s="141"/>
      <c r="B341" s="141"/>
      <c r="C341" s="141"/>
      <c r="D341" s="141"/>
      <c r="E341" s="141"/>
      <c r="F341" s="141"/>
      <c r="G341" s="141"/>
      <c r="H341" s="141"/>
    </row>
    <row r="342">
      <c r="A342" s="141"/>
      <c r="B342" s="141"/>
      <c r="C342" s="141"/>
      <c r="D342" s="141"/>
      <c r="E342" s="141"/>
      <c r="F342" s="141"/>
      <c r="G342" s="141"/>
      <c r="H342" s="141"/>
    </row>
    <row r="343">
      <c r="A343" s="141"/>
      <c r="B343" s="141"/>
      <c r="C343" s="141"/>
      <c r="D343" s="141"/>
      <c r="E343" s="141"/>
      <c r="F343" s="141"/>
      <c r="G343" s="141"/>
      <c r="H343" s="141"/>
    </row>
    <row r="344">
      <c r="A344" s="141"/>
      <c r="B344" s="141"/>
      <c r="C344" s="141"/>
      <c r="D344" s="141"/>
      <c r="E344" s="141"/>
      <c r="F344" s="141"/>
      <c r="G344" s="141"/>
      <c r="H344" s="141"/>
    </row>
    <row r="345">
      <c r="A345" s="141"/>
      <c r="B345" s="141"/>
      <c r="C345" s="141"/>
      <c r="D345" s="141"/>
      <c r="E345" s="141"/>
      <c r="F345" s="141"/>
      <c r="G345" s="141"/>
      <c r="H345" s="141"/>
    </row>
    <row r="346">
      <c r="A346" s="141"/>
      <c r="B346" s="141"/>
      <c r="C346" s="141"/>
      <c r="D346" s="141"/>
      <c r="E346" s="141"/>
      <c r="F346" s="141"/>
      <c r="G346" s="141"/>
      <c r="H346" s="141"/>
    </row>
    <row r="347">
      <c r="A347" s="141"/>
      <c r="B347" s="141"/>
      <c r="C347" s="141"/>
      <c r="D347" s="141"/>
      <c r="E347" s="141"/>
      <c r="F347" s="141"/>
      <c r="G347" s="141"/>
      <c r="H347" s="141"/>
    </row>
    <row r="348">
      <c r="A348" s="141"/>
      <c r="B348" s="141"/>
      <c r="C348" s="141"/>
      <c r="D348" s="141"/>
      <c r="E348" s="141"/>
      <c r="F348" s="141"/>
      <c r="G348" s="141"/>
      <c r="H348" s="141"/>
    </row>
    <row r="349">
      <c r="A349" s="141"/>
      <c r="B349" s="141"/>
      <c r="C349" s="141"/>
      <c r="D349" s="141"/>
      <c r="E349" s="141"/>
      <c r="F349" s="141"/>
      <c r="G349" s="141"/>
      <c r="H349" s="141"/>
    </row>
    <row r="350">
      <c r="A350" s="141"/>
      <c r="B350" s="141"/>
      <c r="C350" s="141"/>
      <c r="D350" s="141"/>
      <c r="E350" s="141"/>
      <c r="F350" s="141"/>
      <c r="G350" s="141"/>
      <c r="H350" s="141"/>
    </row>
    <row r="351">
      <c r="A351" s="141"/>
      <c r="B351" s="141"/>
      <c r="C351" s="141"/>
      <c r="D351" s="141"/>
      <c r="E351" s="141"/>
      <c r="F351" s="141"/>
      <c r="G351" s="141"/>
      <c r="H351" s="141"/>
    </row>
    <row r="352">
      <c r="A352" s="141"/>
      <c r="B352" s="141"/>
      <c r="C352" s="141"/>
      <c r="D352" s="141"/>
      <c r="E352" s="141"/>
      <c r="F352" s="141"/>
      <c r="G352" s="141"/>
      <c r="H352" s="141"/>
    </row>
    <row r="353">
      <c r="A353" s="141"/>
      <c r="B353" s="141"/>
      <c r="C353" s="141"/>
      <c r="D353" s="141"/>
      <c r="E353" s="141"/>
      <c r="F353" s="141"/>
      <c r="G353" s="141"/>
      <c r="H353" s="141"/>
    </row>
    <row r="354">
      <c r="A354" s="141"/>
      <c r="B354" s="141"/>
      <c r="C354" s="141"/>
      <c r="D354" s="141"/>
      <c r="E354" s="141"/>
      <c r="F354" s="141"/>
      <c r="G354" s="141"/>
      <c r="H354" s="141"/>
    </row>
    <row r="355">
      <c r="A355" s="141"/>
      <c r="B355" s="141"/>
      <c r="C355" s="141"/>
      <c r="D355" s="141"/>
      <c r="E355" s="141"/>
      <c r="F355" s="141"/>
      <c r="G355" s="141"/>
      <c r="H355" s="141"/>
    </row>
    <row r="356">
      <c r="A356" s="141"/>
      <c r="B356" s="141"/>
      <c r="C356" s="141"/>
      <c r="D356" s="141"/>
      <c r="E356" s="141"/>
      <c r="F356" s="141"/>
      <c r="G356" s="141"/>
      <c r="H356" s="141"/>
    </row>
    <row r="357">
      <c r="A357" s="141"/>
      <c r="B357" s="141"/>
      <c r="C357" s="141"/>
      <c r="D357" s="141"/>
      <c r="E357" s="141"/>
      <c r="F357" s="141"/>
      <c r="G357" s="141"/>
      <c r="H357" s="141"/>
    </row>
    <row r="358">
      <c r="A358" s="141"/>
      <c r="B358" s="141"/>
      <c r="C358" s="141"/>
      <c r="D358" s="141"/>
      <c r="E358" s="141"/>
      <c r="F358" s="141"/>
      <c r="G358" s="141"/>
      <c r="H358" s="141"/>
    </row>
    <row r="359">
      <c r="A359" s="141"/>
      <c r="B359" s="141"/>
      <c r="C359" s="141"/>
      <c r="D359" s="141"/>
      <c r="E359" s="141"/>
      <c r="F359" s="141"/>
      <c r="G359" s="141"/>
      <c r="H359" s="141"/>
    </row>
    <row r="360">
      <c r="A360" s="141"/>
      <c r="B360" s="141"/>
      <c r="C360" s="141"/>
      <c r="D360" s="141"/>
      <c r="E360" s="141"/>
      <c r="F360" s="141"/>
      <c r="G360" s="141"/>
      <c r="H360" s="141"/>
    </row>
    <row r="361">
      <c r="A361" s="141"/>
      <c r="B361" s="141"/>
      <c r="C361" s="141"/>
      <c r="D361" s="141"/>
      <c r="E361" s="141"/>
      <c r="F361" s="141"/>
      <c r="G361" s="141"/>
      <c r="H361" s="141"/>
    </row>
    <row r="362">
      <c r="A362" s="141"/>
      <c r="B362" s="141"/>
      <c r="C362" s="141"/>
      <c r="D362" s="141"/>
      <c r="E362" s="141"/>
      <c r="F362" s="141"/>
      <c r="G362" s="141"/>
      <c r="H362" s="141"/>
    </row>
    <row r="363">
      <c r="A363" s="141"/>
      <c r="B363" s="141"/>
      <c r="C363" s="141"/>
      <c r="D363" s="141"/>
      <c r="E363" s="141"/>
      <c r="F363" s="141"/>
      <c r="G363" s="141"/>
      <c r="H363" s="141"/>
    </row>
    <row r="364">
      <c r="A364" s="141"/>
      <c r="B364" s="141"/>
      <c r="C364" s="141"/>
      <c r="D364" s="141"/>
      <c r="E364" s="141"/>
      <c r="F364" s="141"/>
      <c r="G364" s="141"/>
      <c r="H364" s="141"/>
    </row>
    <row r="365">
      <c r="A365" s="141"/>
      <c r="B365" s="141"/>
      <c r="C365" s="141"/>
      <c r="D365" s="141"/>
      <c r="E365" s="141"/>
      <c r="F365" s="141"/>
      <c r="G365" s="141"/>
      <c r="H365" s="141"/>
    </row>
    <row r="366">
      <c r="A366" s="141"/>
      <c r="B366" s="141"/>
      <c r="C366" s="141"/>
      <c r="D366" s="141"/>
      <c r="E366" s="141"/>
      <c r="F366" s="141"/>
      <c r="G366" s="141"/>
      <c r="H366" s="141"/>
    </row>
    <row r="367">
      <c r="A367" s="141"/>
      <c r="B367" s="141"/>
      <c r="C367" s="141"/>
      <c r="D367" s="141"/>
      <c r="E367" s="141"/>
      <c r="F367" s="141"/>
      <c r="G367" s="141"/>
      <c r="H367" s="141"/>
    </row>
    <row r="368">
      <c r="A368" s="141"/>
      <c r="B368" s="141"/>
      <c r="C368" s="141"/>
      <c r="D368" s="141"/>
      <c r="E368" s="141"/>
      <c r="F368" s="141"/>
      <c r="G368" s="141"/>
      <c r="H368" s="141"/>
    </row>
    <row r="369">
      <c r="A369" s="141"/>
      <c r="B369" s="141"/>
      <c r="C369" s="141"/>
      <c r="D369" s="141"/>
      <c r="E369" s="141"/>
      <c r="F369" s="141"/>
      <c r="G369" s="141"/>
      <c r="H369" s="141"/>
    </row>
    <row r="370">
      <c r="A370" s="141"/>
      <c r="B370" s="141"/>
      <c r="C370" s="141"/>
      <c r="D370" s="141"/>
      <c r="E370" s="141"/>
      <c r="F370" s="141"/>
      <c r="G370" s="141"/>
      <c r="H370" s="141"/>
    </row>
    <row r="371">
      <c r="A371" s="141"/>
      <c r="B371" s="141"/>
      <c r="C371" s="141"/>
      <c r="D371" s="141"/>
      <c r="E371" s="141"/>
      <c r="F371" s="141"/>
      <c r="G371" s="141"/>
      <c r="H371" s="141"/>
    </row>
    <row r="372">
      <c r="A372" s="141"/>
      <c r="B372" s="141"/>
      <c r="C372" s="141"/>
      <c r="D372" s="141"/>
      <c r="E372" s="141"/>
      <c r="F372" s="141"/>
      <c r="G372" s="141"/>
      <c r="H372" s="141"/>
    </row>
    <row r="373">
      <c r="A373" s="141"/>
      <c r="B373" s="141"/>
      <c r="C373" s="141"/>
      <c r="D373" s="141"/>
      <c r="E373" s="141"/>
      <c r="F373" s="141"/>
      <c r="G373" s="141"/>
      <c r="H373" s="141"/>
    </row>
    <row r="374">
      <c r="A374" s="141"/>
      <c r="B374" s="141"/>
      <c r="C374" s="141"/>
      <c r="D374" s="141"/>
      <c r="E374" s="141"/>
      <c r="F374" s="141"/>
      <c r="G374" s="141"/>
      <c r="H374" s="141"/>
    </row>
    <row r="375">
      <c r="A375" s="141"/>
      <c r="B375" s="141"/>
      <c r="C375" s="141"/>
      <c r="D375" s="141"/>
      <c r="E375" s="141"/>
      <c r="F375" s="141"/>
      <c r="G375" s="141"/>
      <c r="H375" s="141"/>
    </row>
    <row r="376">
      <c r="A376" s="141"/>
      <c r="B376" s="141"/>
      <c r="C376" s="141"/>
      <c r="D376" s="141"/>
      <c r="E376" s="141"/>
      <c r="F376" s="141"/>
      <c r="G376" s="141"/>
      <c r="H376" s="141"/>
    </row>
    <row r="377">
      <c r="A377" s="141"/>
      <c r="B377" s="141"/>
      <c r="C377" s="141"/>
      <c r="D377" s="141"/>
      <c r="E377" s="141"/>
      <c r="F377" s="141"/>
      <c r="G377" s="141"/>
      <c r="H377" s="141"/>
    </row>
    <row r="378">
      <c r="A378" s="141"/>
      <c r="B378" s="141"/>
      <c r="C378" s="141"/>
      <c r="D378" s="141"/>
      <c r="E378" s="141"/>
      <c r="F378" s="141"/>
      <c r="G378" s="141"/>
      <c r="H378" s="141"/>
    </row>
    <row r="379">
      <c r="A379" s="141"/>
      <c r="B379" s="141"/>
      <c r="C379" s="141"/>
      <c r="D379" s="141"/>
      <c r="E379" s="141"/>
      <c r="F379" s="141"/>
      <c r="G379" s="141"/>
      <c r="H379" s="141"/>
    </row>
    <row r="380">
      <c r="A380" s="141"/>
      <c r="B380" s="141"/>
      <c r="C380" s="141"/>
      <c r="D380" s="141"/>
      <c r="E380" s="141"/>
      <c r="F380" s="141"/>
      <c r="G380" s="141"/>
      <c r="H380" s="141"/>
    </row>
    <row r="381">
      <c r="A381" s="141"/>
      <c r="B381" s="141"/>
      <c r="C381" s="141"/>
      <c r="D381" s="141"/>
      <c r="E381" s="141"/>
      <c r="F381" s="141"/>
      <c r="G381" s="141"/>
      <c r="H381" s="141"/>
    </row>
    <row r="382">
      <c r="A382" s="141"/>
      <c r="B382" s="141"/>
      <c r="C382" s="141"/>
      <c r="D382" s="141"/>
      <c r="E382" s="141"/>
      <c r="F382" s="141"/>
      <c r="G382" s="141"/>
      <c r="H382" s="141"/>
    </row>
    <row r="383">
      <c r="A383" s="141"/>
      <c r="B383" s="141"/>
      <c r="C383" s="141"/>
      <c r="D383" s="141"/>
      <c r="E383" s="141"/>
      <c r="F383" s="141"/>
      <c r="G383" s="141"/>
      <c r="H383" s="141"/>
    </row>
    <row r="384">
      <c r="A384" s="141"/>
      <c r="B384" s="141"/>
      <c r="C384" s="141"/>
      <c r="D384" s="141"/>
      <c r="E384" s="141"/>
      <c r="F384" s="141"/>
      <c r="G384" s="141"/>
      <c r="H384" s="141"/>
    </row>
    <row r="385">
      <c r="A385" s="141"/>
      <c r="B385" s="141"/>
      <c r="C385" s="141"/>
      <c r="D385" s="141"/>
      <c r="E385" s="141"/>
      <c r="F385" s="141"/>
      <c r="G385" s="141"/>
      <c r="H385" s="141"/>
    </row>
    <row r="386">
      <c r="A386" s="141"/>
      <c r="B386" s="141"/>
      <c r="C386" s="141"/>
      <c r="D386" s="141"/>
      <c r="E386" s="141"/>
      <c r="F386" s="141"/>
      <c r="G386" s="141"/>
      <c r="H386" s="141"/>
    </row>
    <row r="387">
      <c r="A387" s="141"/>
      <c r="B387" s="141"/>
      <c r="C387" s="141"/>
      <c r="D387" s="141"/>
      <c r="E387" s="141"/>
      <c r="F387" s="141"/>
      <c r="G387" s="141"/>
      <c r="H387" s="141"/>
    </row>
    <row r="388">
      <c r="A388" s="141"/>
      <c r="B388" s="141"/>
      <c r="C388" s="141"/>
      <c r="D388" s="141"/>
      <c r="E388" s="141"/>
      <c r="F388" s="141"/>
      <c r="G388" s="141"/>
      <c r="H388" s="141"/>
    </row>
    <row r="389">
      <c r="A389" s="141"/>
      <c r="B389" s="141"/>
      <c r="C389" s="141"/>
      <c r="D389" s="141"/>
      <c r="E389" s="141"/>
      <c r="F389" s="141"/>
      <c r="G389" s="141"/>
      <c r="H389" s="141"/>
    </row>
    <row r="390">
      <c r="A390" s="141"/>
      <c r="B390" s="141"/>
      <c r="C390" s="141"/>
      <c r="D390" s="141"/>
      <c r="E390" s="141"/>
      <c r="F390" s="141"/>
      <c r="G390" s="141"/>
      <c r="H390" s="141"/>
    </row>
    <row r="391">
      <c r="A391" s="141"/>
      <c r="B391" s="141"/>
      <c r="C391" s="141"/>
      <c r="D391" s="141"/>
      <c r="E391" s="141"/>
      <c r="F391" s="141"/>
      <c r="G391" s="141"/>
      <c r="H391" s="141"/>
    </row>
    <row r="392">
      <c r="A392" s="141"/>
      <c r="B392" s="141"/>
      <c r="C392" s="141"/>
      <c r="D392" s="141"/>
      <c r="E392" s="141"/>
      <c r="F392" s="141"/>
      <c r="G392" s="141"/>
      <c r="H392" s="141"/>
    </row>
    <row r="393">
      <c r="A393" s="141"/>
      <c r="B393" s="141"/>
      <c r="C393" s="141"/>
      <c r="D393" s="141"/>
      <c r="E393" s="141"/>
      <c r="F393" s="141"/>
      <c r="G393" s="141"/>
      <c r="H393" s="141"/>
    </row>
    <row r="394">
      <c r="A394" s="141"/>
      <c r="B394" s="141"/>
      <c r="C394" s="141"/>
      <c r="D394" s="141"/>
      <c r="E394" s="141"/>
      <c r="F394" s="141"/>
      <c r="G394" s="141"/>
      <c r="H394" s="141"/>
    </row>
    <row r="395">
      <c r="A395" s="141"/>
      <c r="B395" s="141"/>
      <c r="C395" s="141"/>
      <c r="D395" s="141"/>
      <c r="E395" s="141"/>
      <c r="F395" s="141"/>
      <c r="G395" s="141"/>
      <c r="H395" s="141"/>
    </row>
    <row r="396">
      <c r="A396" s="141"/>
      <c r="B396" s="141"/>
      <c r="C396" s="141"/>
      <c r="D396" s="141"/>
      <c r="E396" s="141"/>
      <c r="F396" s="141"/>
      <c r="G396" s="141"/>
      <c r="H396" s="141"/>
    </row>
    <row r="397">
      <c r="A397" s="141"/>
      <c r="B397" s="141"/>
      <c r="C397" s="141"/>
      <c r="D397" s="141"/>
      <c r="E397" s="141"/>
      <c r="F397" s="141"/>
      <c r="G397" s="141"/>
      <c r="H397" s="141"/>
    </row>
    <row r="398">
      <c r="A398" s="141"/>
      <c r="B398" s="141"/>
      <c r="C398" s="141"/>
      <c r="D398" s="141"/>
      <c r="E398" s="141"/>
      <c r="F398" s="141"/>
      <c r="G398" s="141"/>
      <c r="H398" s="141"/>
    </row>
    <row r="399">
      <c r="A399" s="141"/>
      <c r="B399" s="141"/>
      <c r="C399" s="141"/>
      <c r="D399" s="141"/>
      <c r="E399" s="141"/>
      <c r="F399" s="141"/>
      <c r="G399" s="141"/>
      <c r="H399" s="141"/>
    </row>
    <row r="400">
      <c r="A400" s="141"/>
      <c r="B400" s="141"/>
      <c r="C400" s="141"/>
      <c r="D400" s="141"/>
      <c r="E400" s="141"/>
      <c r="F400" s="141"/>
      <c r="G400" s="141"/>
      <c r="H400" s="141"/>
    </row>
    <row r="401">
      <c r="A401" s="141"/>
      <c r="B401" s="141"/>
      <c r="C401" s="141"/>
      <c r="D401" s="141"/>
      <c r="E401" s="141"/>
      <c r="F401" s="141"/>
      <c r="G401" s="141"/>
      <c r="H401" s="141"/>
    </row>
    <row r="402">
      <c r="A402" s="141"/>
      <c r="B402" s="141"/>
      <c r="C402" s="141"/>
      <c r="D402" s="141"/>
      <c r="E402" s="141"/>
      <c r="F402" s="141"/>
      <c r="G402" s="141"/>
      <c r="H402" s="141"/>
    </row>
    <row r="403">
      <c r="A403" s="141"/>
      <c r="B403" s="141"/>
      <c r="C403" s="141"/>
      <c r="D403" s="141"/>
      <c r="E403" s="141"/>
      <c r="F403" s="141"/>
      <c r="G403" s="141"/>
      <c r="H403" s="141"/>
    </row>
    <row r="404">
      <c r="A404" s="141"/>
      <c r="B404" s="141"/>
      <c r="C404" s="141"/>
      <c r="D404" s="141"/>
      <c r="E404" s="141"/>
      <c r="F404" s="141"/>
      <c r="G404" s="141"/>
      <c r="H404" s="141"/>
    </row>
    <row r="405">
      <c r="A405" s="141"/>
      <c r="B405" s="141"/>
      <c r="C405" s="141"/>
      <c r="D405" s="141"/>
      <c r="E405" s="141"/>
      <c r="F405" s="141"/>
      <c r="G405" s="141"/>
      <c r="H405" s="141"/>
    </row>
    <row r="406">
      <c r="A406" s="141"/>
      <c r="B406" s="141"/>
      <c r="C406" s="141"/>
      <c r="D406" s="141"/>
      <c r="E406" s="141"/>
      <c r="F406" s="141"/>
      <c r="G406" s="141"/>
      <c r="H406" s="141"/>
    </row>
    <row r="407">
      <c r="A407" s="141"/>
      <c r="B407" s="141"/>
      <c r="C407" s="141"/>
      <c r="D407" s="141"/>
      <c r="E407" s="141"/>
      <c r="F407" s="141"/>
      <c r="G407" s="141"/>
      <c r="H407" s="141"/>
    </row>
    <row r="408">
      <c r="A408" s="141"/>
      <c r="B408" s="141"/>
      <c r="C408" s="141"/>
      <c r="D408" s="141"/>
      <c r="E408" s="141"/>
      <c r="F408" s="141"/>
      <c r="G408" s="141"/>
      <c r="H408" s="141"/>
    </row>
    <row r="409">
      <c r="A409" s="141"/>
      <c r="B409" s="141"/>
      <c r="C409" s="141"/>
      <c r="D409" s="141"/>
      <c r="E409" s="141"/>
      <c r="F409" s="141"/>
      <c r="G409" s="141"/>
      <c r="H409" s="141"/>
    </row>
    <row r="410">
      <c r="A410" s="141"/>
      <c r="B410" s="141"/>
      <c r="C410" s="141"/>
      <c r="D410" s="141"/>
      <c r="E410" s="141"/>
      <c r="F410" s="141"/>
      <c r="G410" s="141"/>
      <c r="H410" s="141"/>
    </row>
    <row r="411">
      <c r="A411" s="141"/>
      <c r="B411" s="141"/>
      <c r="C411" s="141"/>
      <c r="D411" s="141"/>
      <c r="E411" s="141"/>
      <c r="F411" s="141"/>
      <c r="G411" s="141"/>
      <c r="H411" s="141"/>
    </row>
    <row r="412">
      <c r="A412" s="141"/>
      <c r="B412" s="141"/>
      <c r="C412" s="141"/>
      <c r="D412" s="141"/>
      <c r="E412" s="141"/>
      <c r="F412" s="141"/>
      <c r="G412" s="141"/>
      <c r="H412" s="141"/>
    </row>
    <row r="413">
      <c r="A413" s="141"/>
      <c r="B413" s="141"/>
      <c r="C413" s="141"/>
      <c r="D413" s="141"/>
      <c r="E413" s="141"/>
      <c r="F413" s="141"/>
      <c r="G413" s="141"/>
      <c r="H413" s="141"/>
    </row>
    <row r="414">
      <c r="A414" s="141"/>
      <c r="B414" s="141"/>
      <c r="C414" s="141"/>
      <c r="D414" s="141"/>
      <c r="E414" s="141"/>
      <c r="F414" s="141"/>
      <c r="G414" s="141"/>
      <c r="H414" s="141"/>
    </row>
    <row r="415">
      <c r="A415" s="141"/>
      <c r="B415" s="141"/>
      <c r="C415" s="141"/>
      <c r="D415" s="141"/>
      <c r="E415" s="141"/>
      <c r="F415" s="141"/>
      <c r="G415" s="141"/>
      <c r="H415" s="141"/>
    </row>
    <row r="416">
      <c r="A416" s="141"/>
      <c r="B416" s="141"/>
      <c r="C416" s="141"/>
      <c r="D416" s="141"/>
      <c r="E416" s="141"/>
      <c r="F416" s="141"/>
      <c r="G416" s="141"/>
      <c r="H416" s="141"/>
    </row>
    <row r="417">
      <c r="A417" s="141"/>
      <c r="B417" s="141"/>
      <c r="C417" s="141"/>
      <c r="D417" s="141"/>
      <c r="E417" s="141"/>
      <c r="F417" s="141"/>
      <c r="G417" s="141"/>
      <c r="H417" s="141"/>
    </row>
    <row r="418">
      <c r="A418" s="141"/>
      <c r="B418" s="141"/>
      <c r="C418" s="141"/>
      <c r="D418" s="141"/>
      <c r="E418" s="141"/>
      <c r="F418" s="141"/>
      <c r="G418" s="141"/>
      <c r="H418" s="141"/>
    </row>
    <row r="419">
      <c r="A419" s="141"/>
      <c r="B419" s="141"/>
      <c r="C419" s="141"/>
      <c r="D419" s="141"/>
      <c r="E419" s="141"/>
      <c r="F419" s="141"/>
      <c r="G419" s="141"/>
      <c r="H419" s="141"/>
    </row>
    <row r="420">
      <c r="A420" s="141"/>
      <c r="B420" s="141"/>
      <c r="C420" s="141"/>
      <c r="D420" s="141"/>
      <c r="E420" s="141"/>
      <c r="F420" s="141"/>
      <c r="G420" s="141"/>
      <c r="H420" s="141"/>
    </row>
    <row r="421">
      <c r="A421" s="141"/>
      <c r="B421" s="141"/>
      <c r="C421" s="141"/>
      <c r="D421" s="141"/>
      <c r="E421" s="141"/>
      <c r="F421" s="141"/>
      <c r="G421" s="141"/>
      <c r="H421" s="141"/>
    </row>
    <row r="422">
      <c r="A422" s="141"/>
      <c r="B422" s="141"/>
      <c r="C422" s="141"/>
      <c r="D422" s="141"/>
      <c r="E422" s="141"/>
      <c r="F422" s="141"/>
      <c r="G422" s="141"/>
      <c r="H422" s="141"/>
    </row>
    <row r="423">
      <c r="A423" s="141"/>
      <c r="B423" s="141"/>
      <c r="C423" s="141"/>
      <c r="D423" s="141"/>
      <c r="E423" s="141"/>
      <c r="F423" s="141"/>
      <c r="G423" s="141"/>
      <c r="H423" s="141"/>
    </row>
    <row r="424">
      <c r="A424" s="141"/>
      <c r="B424" s="141"/>
      <c r="C424" s="141"/>
      <c r="D424" s="141"/>
      <c r="E424" s="141"/>
      <c r="F424" s="141"/>
      <c r="G424" s="141"/>
      <c r="H424" s="141"/>
    </row>
    <row r="425">
      <c r="A425" s="141"/>
      <c r="B425" s="141"/>
      <c r="C425" s="141"/>
      <c r="D425" s="141"/>
      <c r="E425" s="141"/>
      <c r="F425" s="141"/>
      <c r="G425" s="141"/>
      <c r="H425" s="141"/>
    </row>
    <row r="426">
      <c r="A426" s="141"/>
      <c r="B426" s="141"/>
      <c r="C426" s="141"/>
      <c r="D426" s="141"/>
      <c r="E426" s="141"/>
      <c r="F426" s="141"/>
      <c r="G426" s="141"/>
      <c r="H426" s="141"/>
    </row>
    <row r="427">
      <c r="A427" s="141"/>
      <c r="B427" s="141"/>
      <c r="C427" s="141"/>
      <c r="D427" s="141"/>
      <c r="E427" s="141"/>
      <c r="F427" s="141"/>
      <c r="G427" s="141"/>
      <c r="H427" s="141"/>
    </row>
    <row r="428">
      <c r="A428" s="141"/>
      <c r="B428" s="141"/>
      <c r="C428" s="141"/>
      <c r="D428" s="141"/>
      <c r="E428" s="141"/>
      <c r="F428" s="141"/>
      <c r="G428" s="141"/>
      <c r="H428" s="141"/>
    </row>
    <row r="429">
      <c r="A429" s="141"/>
      <c r="B429" s="141"/>
      <c r="C429" s="141"/>
      <c r="D429" s="141"/>
      <c r="E429" s="141"/>
      <c r="F429" s="141"/>
      <c r="G429" s="141"/>
      <c r="H429" s="141"/>
    </row>
    <row r="430">
      <c r="A430" s="141"/>
      <c r="B430" s="141"/>
      <c r="C430" s="141"/>
      <c r="D430" s="141"/>
      <c r="E430" s="141"/>
      <c r="F430" s="141"/>
      <c r="G430" s="141"/>
      <c r="H430" s="141"/>
    </row>
    <row r="431">
      <c r="A431" s="141"/>
      <c r="B431" s="141"/>
      <c r="C431" s="141"/>
      <c r="D431" s="141"/>
      <c r="E431" s="141"/>
      <c r="F431" s="141"/>
      <c r="G431" s="141"/>
      <c r="H431" s="141"/>
    </row>
    <row r="432">
      <c r="A432" s="141"/>
      <c r="B432" s="141"/>
      <c r="C432" s="141"/>
      <c r="D432" s="141"/>
      <c r="E432" s="141"/>
      <c r="F432" s="141"/>
      <c r="G432" s="141"/>
      <c r="H432" s="141"/>
    </row>
    <row r="433">
      <c r="A433" s="141"/>
      <c r="B433" s="141"/>
      <c r="C433" s="141"/>
      <c r="D433" s="141"/>
      <c r="E433" s="141"/>
      <c r="F433" s="141"/>
      <c r="G433" s="141"/>
      <c r="H433" s="141"/>
    </row>
    <row r="434">
      <c r="A434" s="141"/>
      <c r="B434" s="141"/>
      <c r="C434" s="141"/>
      <c r="D434" s="141"/>
      <c r="E434" s="141"/>
      <c r="F434" s="141"/>
      <c r="G434" s="141"/>
      <c r="H434" s="141"/>
    </row>
    <row r="435">
      <c r="A435" s="141"/>
      <c r="B435" s="141"/>
      <c r="C435" s="141"/>
      <c r="D435" s="141"/>
      <c r="E435" s="141"/>
      <c r="F435" s="141"/>
      <c r="G435" s="141"/>
      <c r="H435" s="141"/>
    </row>
    <row r="436">
      <c r="A436" s="141"/>
      <c r="B436" s="141"/>
      <c r="C436" s="141"/>
      <c r="D436" s="141"/>
      <c r="E436" s="141"/>
      <c r="F436" s="141"/>
      <c r="G436" s="141"/>
      <c r="H436" s="141"/>
    </row>
    <row r="437">
      <c r="A437" s="141"/>
      <c r="B437" s="141"/>
      <c r="C437" s="141"/>
      <c r="D437" s="141"/>
      <c r="E437" s="141"/>
      <c r="F437" s="141"/>
      <c r="G437" s="141"/>
      <c r="H437" s="141"/>
    </row>
    <row r="438">
      <c r="A438" s="141"/>
      <c r="B438" s="141"/>
      <c r="C438" s="141"/>
      <c r="D438" s="141"/>
      <c r="E438" s="141"/>
      <c r="F438" s="141"/>
      <c r="G438" s="141"/>
      <c r="H438" s="141"/>
    </row>
    <row r="439">
      <c r="A439" s="141"/>
      <c r="B439" s="141"/>
      <c r="C439" s="141"/>
      <c r="D439" s="141"/>
      <c r="E439" s="141"/>
      <c r="F439" s="141"/>
      <c r="G439" s="141"/>
      <c r="H439" s="141"/>
    </row>
    <row r="440">
      <c r="A440" s="141"/>
      <c r="B440" s="141"/>
      <c r="C440" s="141"/>
      <c r="D440" s="141"/>
      <c r="E440" s="141"/>
      <c r="F440" s="141"/>
      <c r="G440" s="141"/>
      <c r="H440" s="141"/>
    </row>
    <row r="441">
      <c r="A441" s="141"/>
      <c r="B441" s="141"/>
      <c r="C441" s="141"/>
      <c r="D441" s="141"/>
      <c r="E441" s="141"/>
      <c r="F441" s="141"/>
      <c r="G441" s="141"/>
      <c r="H441" s="141"/>
    </row>
    <row r="442">
      <c r="A442" s="141"/>
      <c r="B442" s="141"/>
      <c r="C442" s="141"/>
      <c r="D442" s="141"/>
      <c r="E442" s="141"/>
      <c r="F442" s="141"/>
      <c r="G442" s="141"/>
      <c r="H442" s="141"/>
    </row>
    <row r="443">
      <c r="A443" s="141"/>
      <c r="B443" s="141"/>
      <c r="C443" s="141"/>
      <c r="D443" s="141"/>
      <c r="E443" s="141"/>
      <c r="F443" s="141"/>
      <c r="G443" s="141"/>
      <c r="H443" s="141"/>
    </row>
    <row r="444">
      <c r="A444" s="141"/>
      <c r="B444" s="141"/>
      <c r="C444" s="141"/>
      <c r="D444" s="141"/>
      <c r="E444" s="141"/>
      <c r="F444" s="141"/>
      <c r="G444" s="141"/>
      <c r="H444" s="141"/>
    </row>
    <row r="445">
      <c r="A445" s="141"/>
      <c r="B445" s="141"/>
      <c r="C445" s="141"/>
      <c r="D445" s="141"/>
      <c r="E445" s="141"/>
      <c r="F445" s="141"/>
      <c r="G445" s="141"/>
      <c r="H445" s="141"/>
    </row>
    <row r="446">
      <c r="A446" s="141"/>
      <c r="B446" s="141"/>
      <c r="C446" s="141"/>
      <c r="D446" s="141"/>
      <c r="E446" s="141"/>
      <c r="F446" s="141"/>
      <c r="G446" s="141"/>
      <c r="H446" s="141"/>
    </row>
    <row r="447">
      <c r="A447" s="141"/>
      <c r="B447" s="141"/>
      <c r="C447" s="141"/>
      <c r="D447" s="141"/>
      <c r="E447" s="141"/>
      <c r="F447" s="141"/>
      <c r="G447" s="141"/>
      <c r="H447" s="141"/>
    </row>
    <row r="448">
      <c r="A448" s="141"/>
      <c r="B448" s="141"/>
      <c r="C448" s="141"/>
      <c r="D448" s="141"/>
      <c r="E448" s="141"/>
      <c r="F448" s="141"/>
      <c r="G448" s="141"/>
      <c r="H448" s="141"/>
    </row>
    <row r="449">
      <c r="A449" s="141"/>
      <c r="B449" s="141"/>
      <c r="C449" s="141"/>
      <c r="D449" s="141"/>
      <c r="E449" s="141"/>
      <c r="F449" s="141"/>
      <c r="G449" s="141"/>
      <c r="H449" s="141"/>
    </row>
    <row r="450">
      <c r="A450" s="141"/>
      <c r="B450" s="141"/>
      <c r="C450" s="141"/>
      <c r="D450" s="141"/>
      <c r="E450" s="141"/>
      <c r="F450" s="141"/>
      <c r="G450" s="141"/>
      <c r="H450" s="141"/>
    </row>
    <row r="451">
      <c r="A451" s="141"/>
      <c r="B451" s="141"/>
      <c r="C451" s="141"/>
      <c r="D451" s="141"/>
      <c r="E451" s="141"/>
      <c r="F451" s="141"/>
      <c r="G451" s="141"/>
      <c r="H451" s="141"/>
    </row>
    <row r="452">
      <c r="A452" s="141"/>
      <c r="B452" s="141"/>
      <c r="C452" s="141"/>
      <c r="D452" s="141"/>
      <c r="E452" s="141"/>
      <c r="F452" s="141"/>
      <c r="G452" s="141"/>
      <c r="H452" s="141"/>
    </row>
    <row r="453">
      <c r="A453" s="141"/>
      <c r="B453" s="141"/>
      <c r="C453" s="141"/>
      <c r="D453" s="141"/>
      <c r="E453" s="141"/>
      <c r="F453" s="141"/>
      <c r="G453" s="141"/>
      <c r="H453" s="141"/>
    </row>
    <row r="454">
      <c r="A454" s="141"/>
      <c r="B454" s="141"/>
      <c r="C454" s="141"/>
      <c r="D454" s="141"/>
      <c r="E454" s="141"/>
      <c r="F454" s="141"/>
      <c r="G454" s="141"/>
      <c r="H454" s="141"/>
    </row>
    <row r="455">
      <c r="A455" s="141"/>
      <c r="B455" s="141"/>
      <c r="C455" s="141"/>
      <c r="D455" s="141"/>
      <c r="E455" s="141"/>
      <c r="F455" s="141"/>
      <c r="G455" s="141"/>
      <c r="H455" s="141"/>
    </row>
    <row r="456">
      <c r="A456" s="141"/>
      <c r="B456" s="141"/>
      <c r="C456" s="141"/>
      <c r="D456" s="141"/>
      <c r="E456" s="141"/>
      <c r="F456" s="141"/>
      <c r="G456" s="141"/>
      <c r="H456" s="141"/>
    </row>
    <row r="457">
      <c r="A457" s="141"/>
      <c r="B457" s="141"/>
      <c r="C457" s="141"/>
      <c r="D457" s="141"/>
      <c r="E457" s="141"/>
      <c r="F457" s="141"/>
      <c r="G457" s="141"/>
      <c r="H457" s="141"/>
    </row>
    <row r="458">
      <c r="A458" s="141"/>
      <c r="B458" s="141"/>
      <c r="C458" s="141"/>
      <c r="D458" s="141"/>
      <c r="E458" s="141"/>
      <c r="F458" s="141"/>
      <c r="G458" s="141"/>
      <c r="H458" s="141"/>
    </row>
    <row r="459">
      <c r="A459" s="141"/>
      <c r="B459" s="141"/>
      <c r="C459" s="141"/>
      <c r="D459" s="141"/>
      <c r="E459" s="141"/>
      <c r="F459" s="141"/>
      <c r="G459" s="141"/>
      <c r="H459" s="141"/>
    </row>
    <row r="460">
      <c r="A460" s="141"/>
      <c r="B460" s="141"/>
      <c r="C460" s="141"/>
      <c r="D460" s="141"/>
      <c r="E460" s="141"/>
      <c r="F460" s="141"/>
      <c r="G460" s="141"/>
      <c r="H460" s="141"/>
    </row>
    <row r="461">
      <c r="A461" s="141"/>
      <c r="B461" s="141"/>
      <c r="C461" s="141"/>
      <c r="D461" s="141"/>
      <c r="E461" s="141"/>
      <c r="F461" s="141"/>
      <c r="G461" s="141"/>
      <c r="H461" s="141"/>
    </row>
    <row r="462">
      <c r="A462" s="141"/>
      <c r="B462" s="141"/>
      <c r="C462" s="141"/>
      <c r="D462" s="141"/>
      <c r="E462" s="141"/>
      <c r="F462" s="141"/>
      <c r="G462" s="141"/>
      <c r="H462" s="141"/>
    </row>
    <row r="463">
      <c r="A463" s="141"/>
      <c r="B463" s="141"/>
      <c r="C463" s="141"/>
      <c r="D463" s="141"/>
      <c r="E463" s="141"/>
      <c r="F463" s="141"/>
      <c r="G463" s="141"/>
      <c r="H463" s="141"/>
    </row>
    <row r="464">
      <c r="A464" s="141"/>
      <c r="B464" s="141"/>
      <c r="C464" s="141"/>
      <c r="D464" s="141"/>
      <c r="E464" s="141"/>
      <c r="F464" s="141"/>
      <c r="G464" s="141"/>
      <c r="H464" s="141"/>
    </row>
    <row r="465">
      <c r="A465" s="141"/>
      <c r="B465" s="141"/>
      <c r="C465" s="141"/>
      <c r="D465" s="141"/>
      <c r="E465" s="141"/>
      <c r="F465" s="141"/>
      <c r="G465" s="141"/>
      <c r="H465" s="141"/>
    </row>
    <row r="466">
      <c r="A466" s="141"/>
      <c r="B466" s="141"/>
      <c r="C466" s="141"/>
      <c r="D466" s="141"/>
      <c r="E466" s="141"/>
      <c r="F466" s="141"/>
      <c r="G466" s="141"/>
      <c r="H466" s="141"/>
    </row>
    <row r="467">
      <c r="A467" s="141"/>
      <c r="B467" s="141"/>
      <c r="C467" s="141"/>
      <c r="D467" s="141"/>
      <c r="E467" s="141"/>
      <c r="F467" s="141"/>
      <c r="G467" s="141"/>
      <c r="H467" s="141"/>
    </row>
    <row r="468">
      <c r="A468" s="141"/>
      <c r="B468" s="141"/>
      <c r="C468" s="141"/>
      <c r="D468" s="141"/>
      <c r="E468" s="141"/>
      <c r="F468" s="141"/>
      <c r="G468" s="141"/>
      <c r="H468" s="141"/>
    </row>
    <row r="469">
      <c r="A469" s="141"/>
      <c r="B469" s="141"/>
      <c r="C469" s="141"/>
      <c r="D469" s="141"/>
      <c r="E469" s="141"/>
      <c r="F469" s="141"/>
      <c r="G469" s="141"/>
      <c r="H469" s="141"/>
    </row>
    <row r="470">
      <c r="A470" s="141"/>
      <c r="B470" s="141"/>
      <c r="C470" s="141"/>
      <c r="D470" s="141"/>
      <c r="E470" s="141"/>
      <c r="F470" s="141"/>
      <c r="G470" s="141"/>
      <c r="H470" s="141"/>
    </row>
    <row r="471">
      <c r="A471" s="141"/>
      <c r="B471" s="141"/>
      <c r="C471" s="141"/>
      <c r="D471" s="141"/>
      <c r="E471" s="141"/>
      <c r="F471" s="141"/>
      <c r="G471" s="141"/>
      <c r="H471" s="141"/>
    </row>
    <row r="472">
      <c r="A472" s="141"/>
      <c r="B472" s="141"/>
      <c r="C472" s="141"/>
      <c r="D472" s="141"/>
      <c r="E472" s="141"/>
      <c r="F472" s="141"/>
      <c r="G472" s="141"/>
      <c r="H472" s="141"/>
    </row>
    <row r="473">
      <c r="A473" s="141"/>
      <c r="B473" s="141"/>
      <c r="C473" s="141"/>
      <c r="D473" s="141"/>
      <c r="E473" s="141"/>
      <c r="F473" s="141"/>
      <c r="G473" s="141"/>
      <c r="H473" s="141"/>
    </row>
    <row r="474">
      <c r="A474" s="141"/>
      <c r="B474" s="141"/>
      <c r="C474" s="141"/>
      <c r="D474" s="141"/>
      <c r="E474" s="141"/>
      <c r="F474" s="141"/>
      <c r="G474" s="141"/>
      <c r="H474" s="141"/>
    </row>
    <row r="475">
      <c r="A475" s="141"/>
      <c r="B475" s="141"/>
      <c r="C475" s="141"/>
      <c r="D475" s="141"/>
      <c r="E475" s="141"/>
      <c r="F475" s="141"/>
      <c r="G475" s="141"/>
      <c r="H475" s="141"/>
    </row>
    <row r="476">
      <c r="A476" s="141"/>
      <c r="B476" s="141"/>
      <c r="C476" s="141"/>
      <c r="D476" s="141"/>
      <c r="E476" s="141"/>
      <c r="F476" s="141"/>
      <c r="G476" s="141"/>
      <c r="H476" s="141"/>
    </row>
    <row r="477">
      <c r="A477" s="141"/>
      <c r="B477" s="141"/>
      <c r="C477" s="141"/>
      <c r="D477" s="141"/>
      <c r="E477" s="141"/>
      <c r="F477" s="141"/>
      <c r="G477" s="141"/>
      <c r="H477" s="141"/>
    </row>
    <row r="478">
      <c r="A478" s="141"/>
      <c r="B478" s="141"/>
      <c r="C478" s="141"/>
      <c r="D478" s="141"/>
      <c r="E478" s="141"/>
      <c r="F478" s="141"/>
      <c r="G478" s="141"/>
      <c r="H478" s="141"/>
    </row>
    <row r="479">
      <c r="A479" s="141"/>
      <c r="B479" s="141"/>
      <c r="C479" s="141"/>
      <c r="D479" s="141"/>
      <c r="E479" s="141"/>
      <c r="F479" s="141"/>
      <c r="G479" s="141"/>
      <c r="H479" s="141"/>
    </row>
    <row r="480">
      <c r="A480" s="141"/>
      <c r="B480" s="141"/>
      <c r="C480" s="141"/>
      <c r="D480" s="141"/>
      <c r="E480" s="141"/>
      <c r="F480" s="141"/>
      <c r="G480" s="141"/>
      <c r="H480" s="141"/>
    </row>
    <row r="481">
      <c r="A481" s="141"/>
      <c r="B481" s="141"/>
      <c r="C481" s="141"/>
      <c r="D481" s="141"/>
      <c r="E481" s="141"/>
      <c r="F481" s="141"/>
      <c r="G481" s="141"/>
      <c r="H481" s="141"/>
    </row>
    <row r="482">
      <c r="A482" s="141"/>
      <c r="B482" s="141"/>
      <c r="C482" s="141"/>
      <c r="D482" s="141"/>
      <c r="E482" s="141"/>
      <c r="F482" s="141"/>
      <c r="G482" s="141"/>
      <c r="H482" s="141"/>
    </row>
    <row r="483">
      <c r="A483" s="141"/>
      <c r="B483" s="141"/>
      <c r="C483" s="141"/>
      <c r="D483" s="141"/>
      <c r="E483" s="141"/>
      <c r="F483" s="141"/>
      <c r="G483" s="141"/>
      <c r="H483" s="141"/>
    </row>
    <row r="484">
      <c r="A484" s="141"/>
      <c r="B484" s="141"/>
      <c r="C484" s="141"/>
      <c r="D484" s="141"/>
      <c r="E484" s="141"/>
      <c r="F484" s="141"/>
      <c r="G484" s="141"/>
      <c r="H484" s="141"/>
    </row>
    <row r="485">
      <c r="A485" s="141"/>
      <c r="B485" s="141"/>
      <c r="C485" s="141"/>
      <c r="D485" s="141"/>
      <c r="E485" s="141"/>
      <c r="F485" s="141"/>
      <c r="G485" s="141"/>
      <c r="H485" s="141"/>
    </row>
    <row r="486">
      <c r="A486" s="141"/>
      <c r="B486" s="141"/>
      <c r="C486" s="141"/>
      <c r="D486" s="141"/>
      <c r="E486" s="141"/>
      <c r="F486" s="141"/>
      <c r="G486" s="141"/>
      <c r="H486" s="141"/>
    </row>
    <row r="487">
      <c r="A487" s="141"/>
      <c r="B487" s="141"/>
      <c r="C487" s="141"/>
      <c r="D487" s="141"/>
      <c r="E487" s="141"/>
      <c r="F487" s="141"/>
      <c r="G487" s="141"/>
      <c r="H487" s="141"/>
    </row>
    <row r="488">
      <c r="A488" s="141"/>
      <c r="B488" s="141"/>
      <c r="C488" s="141"/>
      <c r="D488" s="141"/>
      <c r="E488" s="141"/>
      <c r="F488" s="141"/>
      <c r="G488" s="141"/>
      <c r="H488" s="141"/>
    </row>
    <row r="489">
      <c r="A489" s="141"/>
      <c r="B489" s="141"/>
      <c r="C489" s="141"/>
      <c r="D489" s="141"/>
      <c r="E489" s="141"/>
      <c r="F489" s="141"/>
      <c r="G489" s="141"/>
      <c r="H489" s="141"/>
    </row>
    <row r="490">
      <c r="A490" s="141"/>
      <c r="B490" s="141"/>
      <c r="C490" s="141"/>
      <c r="D490" s="141"/>
      <c r="E490" s="141"/>
      <c r="F490" s="141"/>
      <c r="G490" s="141"/>
      <c r="H490" s="141"/>
    </row>
    <row r="491">
      <c r="A491" s="141"/>
      <c r="B491" s="141"/>
      <c r="C491" s="141"/>
      <c r="D491" s="141"/>
      <c r="E491" s="141"/>
      <c r="F491" s="141"/>
      <c r="G491" s="141"/>
      <c r="H491" s="141"/>
    </row>
    <row r="492">
      <c r="A492" s="141"/>
      <c r="B492" s="141"/>
      <c r="C492" s="141"/>
      <c r="D492" s="141"/>
      <c r="E492" s="141"/>
      <c r="F492" s="141"/>
      <c r="G492" s="141"/>
      <c r="H492" s="141"/>
    </row>
    <row r="493">
      <c r="A493" s="141"/>
      <c r="B493" s="141"/>
      <c r="C493" s="141"/>
      <c r="D493" s="141"/>
      <c r="E493" s="141"/>
      <c r="F493" s="141"/>
      <c r="G493" s="141"/>
      <c r="H493" s="141"/>
    </row>
    <row r="494">
      <c r="A494" s="141"/>
      <c r="B494" s="141"/>
      <c r="C494" s="141"/>
      <c r="D494" s="141"/>
      <c r="E494" s="141"/>
      <c r="F494" s="141"/>
      <c r="G494" s="141"/>
      <c r="H494" s="141"/>
    </row>
    <row r="495">
      <c r="A495" s="141"/>
      <c r="B495" s="141"/>
      <c r="C495" s="141"/>
      <c r="D495" s="141"/>
      <c r="E495" s="141"/>
      <c r="F495" s="141"/>
      <c r="G495" s="141"/>
      <c r="H495" s="141"/>
    </row>
    <row r="496">
      <c r="A496" s="141"/>
      <c r="B496" s="141"/>
      <c r="C496" s="141"/>
      <c r="D496" s="141"/>
      <c r="E496" s="141"/>
      <c r="F496" s="141"/>
      <c r="G496" s="141"/>
      <c r="H496" s="141"/>
    </row>
    <row r="497">
      <c r="A497" s="141"/>
      <c r="B497" s="141"/>
      <c r="C497" s="141"/>
      <c r="D497" s="141"/>
      <c r="E497" s="141"/>
      <c r="F497" s="141"/>
      <c r="G497" s="141"/>
      <c r="H497" s="141"/>
    </row>
    <row r="498">
      <c r="A498" s="141"/>
      <c r="B498" s="141"/>
      <c r="C498" s="141"/>
      <c r="D498" s="141"/>
      <c r="E498" s="141"/>
      <c r="F498" s="141"/>
      <c r="G498" s="141"/>
      <c r="H498" s="141"/>
    </row>
    <row r="499">
      <c r="A499" s="141"/>
      <c r="B499" s="141"/>
      <c r="C499" s="141"/>
      <c r="D499" s="141"/>
      <c r="E499" s="141"/>
      <c r="F499" s="141"/>
      <c r="G499" s="141"/>
      <c r="H499" s="141"/>
    </row>
    <row r="500">
      <c r="A500" s="141"/>
      <c r="B500" s="141"/>
      <c r="C500" s="141"/>
      <c r="D500" s="141"/>
      <c r="E500" s="141"/>
      <c r="F500" s="141"/>
      <c r="G500" s="141"/>
      <c r="H500" s="141"/>
    </row>
    <row r="501">
      <c r="A501" s="141"/>
      <c r="B501" s="141"/>
      <c r="C501" s="141"/>
      <c r="D501" s="141"/>
      <c r="E501" s="141"/>
      <c r="F501" s="141"/>
      <c r="G501" s="141"/>
      <c r="H501" s="141"/>
    </row>
    <row r="502">
      <c r="A502" s="141"/>
      <c r="B502" s="141"/>
      <c r="C502" s="141"/>
      <c r="D502" s="141"/>
      <c r="E502" s="141"/>
      <c r="F502" s="141"/>
      <c r="G502" s="141"/>
      <c r="H502" s="141"/>
    </row>
    <row r="503">
      <c r="A503" s="141"/>
      <c r="B503" s="141"/>
      <c r="C503" s="141"/>
      <c r="D503" s="141"/>
      <c r="E503" s="141"/>
      <c r="F503" s="141"/>
      <c r="G503" s="141"/>
      <c r="H503" s="141"/>
    </row>
    <row r="504">
      <c r="A504" s="141"/>
      <c r="B504" s="141"/>
      <c r="C504" s="141"/>
      <c r="D504" s="141"/>
      <c r="E504" s="141"/>
      <c r="F504" s="141"/>
      <c r="G504" s="141"/>
      <c r="H504" s="141"/>
    </row>
    <row r="505">
      <c r="A505" s="141"/>
      <c r="B505" s="141"/>
      <c r="C505" s="141"/>
      <c r="D505" s="141"/>
      <c r="E505" s="141"/>
      <c r="F505" s="141"/>
      <c r="G505" s="141"/>
      <c r="H505" s="141"/>
    </row>
    <row r="506">
      <c r="A506" s="141"/>
      <c r="B506" s="141"/>
      <c r="C506" s="141"/>
      <c r="D506" s="141"/>
      <c r="E506" s="141"/>
      <c r="F506" s="141"/>
      <c r="G506" s="141"/>
      <c r="H506" s="141"/>
    </row>
    <row r="507">
      <c r="A507" s="141"/>
      <c r="B507" s="141"/>
      <c r="C507" s="141"/>
      <c r="D507" s="141"/>
      <c r="E507" s="141"/>
      <c r="F507" s="141"/>
      <c r="G507" s="141"/>
      <c r="H507" s="141"/>
    </row>
    <row r="508">
      <c r="A508" s="141"/>
      <c r="B508" s="141"/>
      <c r="C508" s="141"/>
      <c r="D508" s="141"/>
      <c r="E508" s="141"/>
      <c r="F508" s="141"/>
      <c r="G508" s="141"/>
      <c r="H508" s="141"/>
    </row>
    <row r="509">
      <c r="A509" s="141"/>
      <c r="B509" s="141"/>
      <c r="C509" s="141"/>
      <c r="D509" s="141"/>
      <c r="E509" s="141"/>
      <c r="F509" s="141"/>
      <c r="G509" s="141"/>
      <c r="H509" s="141"/>
    </row>
    <row r="510">
      <c r="A510" s="141"/>
      <c r="B510" s="141"/>
      <c r="C510" s="141"/>
      <c r="D510" s="141"/>
      <c r="E510" s="141"/>
      <c r="F510" s="141"/>
      <c r="G510" s="141"/>
      <c r="H510" s="141"/>
    </row>
    <row r="511">
      <c r="A511" s="141"/>
      <c r="B511" s="141"/>
      <c r="C511" s="141"/>
      <c r="D511" s="141"/>
      <c r="E511" s="141"/>
      <c r="F511" s="141"/>
      <c r="G511" s="141"/>
      <c r="H511" s="141"/>
    </row>
    <row r="512">
      <c r="A512" s="141"/>
      <c r="B512" s="141"/>
      <c r="C512" s="141"/>
      <c r="D512" s="141"/>
      <c r="E512" s="141"/>
      <c r="F512" s="141"/>
      <c r="G512" s="141"/>
      <c r="H512" s="141"/>
    </row>
    <row r="513">
      <c r="A513" s="141"/>
      <c r="B513" s="141"/>
      <c r="C513" s="141"/>
      <c r="D513" s="141"/>
      <c r="E513" s="141"/>
      <c r="F513" s="141"/>
      <c r="G513" s="141"/>
      <c r="H513" s="141"/>
    </row>
    <row r="514">
      <c r="A514" s="141"/>
      <c r="B514" s="141"/>
      <c r="C514" s="141"/>
      <c r="D514" s="141"/>
      <c r="E514" s="141"/>
      <c r="F514" s="141"/>
      <c r="G514" s="141"/>
      <c r="H514" s="141"/>
    </row>
    <row r="515">
      <c r="A515" s="141"/>
      <c r="B515" s="141"/>
      <c r="C515" s="141"/>
      <c r="D515" s="141"/>
      <c r="E515" s="141"/>
      <c r="F515" s="141"/>
      <c r="G515" s="141"/>
      <c r="H515" s="141"/>
    </row>
    <row r="516">
      <c r="A516" s="141"/>
      <c r="B516" s="141"/>
      <c r="C516" s="141"/>
      <c r="D516" s="141"/>
      <c r="E516" s="141"/>
      <c r="F516" s="141"/>
      <c r="G516" s="141"/>
      <c r="H516" s="141"/>
    </row>
    <row r="517">
      <c r="A517" s="141"/>
      <c r="B517" s="141"/>
      <c r="C517" s="141"/>
      <c r="D517" s="141"/>
      <c r="E517" s="141"/>
      <c r="F517" s="141"/>
      <c r="G517" s="141"/>
      <c r="H517" s="141"/>
    </row>
    <row r="518">
      <c r="A518" s="141"/>
      <c r="B518" s="141"/>
      <c r="C518" s="141"/>
      <c r="D518" s="141"/>
      <c r="E518" s="141"/>
      <c r="F518" s="141"/>
      <c r="G518" s="141"/>
      <c r="H518" s="141"/>
    </row>
    <row r="519">
      <c r="A519" s="141"/>
      <c r="B519" s="141"/>
      <c r="C519" s="141"/>
      <c r="D519" s="141"/>
      <c r="E519" s="141"/>
      <c r="F519" s="141"/>
      <c r="G519" s="141"/>
      <c r="H519" s="141"/>
    </row>
    <row r="520">
      <c r="A520" s="141"/>
      <c r="B520" s="141"/>
      <c r="C520" s="141"/>
      <c r="D520" s="141"/>
      <c r="E520" s="141"/>
      <c r="F520" s="141"/>
      <c r="G520" s="141"/>
      <c r="H520" s="141"/>
    </row>
    <row r="521">
      <c r="A521" s="141"/>
      <c r="B521" s="141"/>
      <c r="C521" s="141"/>
      <c r="D521" s="141"/>
      <c r="E521" s="141"/>
      <c r="F521" s="141"/>
      <c r="G521" s="141"/>
      <c r="H521" s="141"/>
    </row>
    <row r="522">
      <c r="A522" s="141"/>
      <c r="B522" s="141"/>
      <c r="C522" s="141"/>
      <c r="D522" s="141"/>
      <c r="E522" s="141"/>
      <c r="F522" s="141"/>
      <c r="G522" s="141"/>
      <c r="H522" s="141"/>
    </row>
    <row r="523">
      <c r="A523" s="141"/>
      <c r="B523" s="141"/>
      <c r="C523" s="141"/>
      <c r="D523" s="141"/>
      <c r="E523" s="141"/>
      <c r="F523" s="141"/>
      <c r="G523" s="141"/>
      <c r="H523" s="141"/>
    </row>
    <row r="524">
      <c r="A524" s="141"/>
      <c r="B524" s="141"/>
      <c r="C524" s="141"/>
      <c r="D524" s="141"/>
      <c r="E524" s="141"/>
      <c r="F524" s="141"/>
      <c r="G524" s="141"/>
      <c r="H524" s="141"/>
    </row>
    <row r="525">
      <c r="A525" s="141"/>
      <c r="B525" s="141"/>
      <c r="C525" s="141"/>
      <c r="D525" s="141"/>
      <c r="E525" s="141"/>
      <c r="F525" s="141"/>
      <c r="G525" s="141"/>
      <c r="H525" s="141"/>
    </row>
    <row r="526">
      <c r="A526" s="141"/>
      <c r="B526" s="141"/>
      <c r="C526" s="141"/>
      <c r="D526" s="141"/>
      <c r="E526" s="141"/>
      <c r="F526" s="141"/>
      <c r="G526" s="141"/>
      <c r="H526" s="141"/>
    </row>
    <row r="527">
      <c r="A527" s="141"/>
      <c r="B527" s="141"/>
      <c r="C527" s="141"/>
      <c r="D527" s="141"/>
      <c r="E527" s="141"/>
      <c r="F527" s="141"/>
      <c r="G527" s="141"/>
      <c r="H527" s="141"/>
    </row>
    <row r="528">
      <c r="A528" s="141"/>
      <c r="B528" s="141"/>
      <c r="C528" s="141"/>
      <c r="D528" s="141"/>
      <c r="E528" s="141"/>
      <c r="F528" s="141"/>
      <c r="G528" s="141"/>
      <c r="H528" s="141"/>
    </row>
    <row r="529">
      <c r="A529" s="141"/>
      <c r="B529" s="141"/>
      <c r="C529" s="141"/>
      <c r="D529" s="141"/>
      <c r="E529" s="141"/>
      <c r="F529" s="141"/>
      <c r="G529" s="141"/>
      <c r="H529" s="141"/>
    </row>
    <row r="530">
      <c r="A530" s="141"/>
      <c r="B530" s="141"/>
      <c r="C530" s="141"/>
      <c r="D530" s="141"/>
      <c r="E530" s="141"/>
      <c r="F530" s="141"/>
      <c r="G530" s="141"/>
      <c r="H530" s="141"/>
    </row>
    <row r="531">
      <c r="A531" s="141"/>
      <c r="B531" s="141"/>
      <c r="C531" s="141"/>
      <c r="D531" s="141"/>
      <c r="E531" s="141"/>
      <c r="F531" s="141"/>
      <c r="G531" s="141"/>
      <c r="H531" s="141"/>
    </row>
    <row r="532">
      <c r="A532" s="141"/>
      <c r="B532" s="141"/>
      <c r="C532" s="141"/>
      <c r="D532" s="141"/>
      <c r="E532" s="141"/>
      <c r="F532" s="141"/>
      <c r="G532" s="141"/>
      <c r="H532" s="141"/>
    </row>
    <row r="533">
      <c r="A533" s="141"/>
      <c r="B533" s="141"/>
      <c r="C533" s="141"/>
      <c r="D533" s="141"/>
      <c r="E533" s="141"/>
      <c r="F533" s="141"/>
      <c r="G533" s="141"/>
      <c r="H533" s="141"/>
    </row>
    <row r="534">
      <c r="A534" s="141"/>
      <c r="B534" s="141"/>
      <c r="C534" s="141"/>
      <c r="D534" s="141"/>
      <c r="E534" s="141"/>
      <c r="F534" s="141"/>
      <c r="G534" s="141"/>
      <c r="H534" s="141"/>
    </row>
    <row r="535">
      <c r="A535" s="141"/>
      <c r="B535" s="141"/>
      <c r="C535" s="141"/>
      <c r="D535" s="141"/>
      <c r="E535" s="141"/>
      <c r="F535" s="141"/>
      <c r="G535" s="141"/>
      <c r="H535" s="141"/>
    </row>
    <row r="536">
      <c r="A536" s="141"/>
      <c r="B536" s="141"/>
      <c r="C536" s="141"/>
      <c r="D536" s="141"/>
      <c r="E536" s="141"/>
      <c r="F536" s="141"/>
      <c r="G536" s="141"/>
      <c r="H536" s="141"/>
    </row>
    <row r="537">
      <c r="A537" s="141"/>
      <c r="B537" s="141"/>
      <c r="C537" s="141"/>
      <c r="D537" s="141"/>
      <c r="E537" s="141"/>
      <c r="F537" s="141"/>
      <c r="G537" s="141"/>
      <c r="H537" s="141"/>
    </row>
    <row r="538">
      <c r="A538" s="141"/>
      <c r="B538" s="141"/>
      <c r="C538" s="141"/>
      <c r="D538" s="141"/>
      <c r="E538" s="141"/>
      <c r="F538" s="141"/>
      <c r="G538" s="141"/>
      <c r="H538" s="141"/>
    </row>
    <row r="539">
      <c r="A539" s="141"/>
      <c r="B539" s="141"/>
      <c r="C539" s="141"/>
      <c r="D539" s="141"/>
      <c r="E539" s="141"/>
      <c r="F539" s="141"/>
      <c r="G539" s="141"/>
      <c r="H539" s="141"/>
    </row>
    <row r="540">
      <c r="A540" s="141"/>
      <c r="B540" s="141"/>
      <c r="C540" s="141"/>
      <c r="D540" s="141"/>
      <c r="E540" s="141"/>
      <c r="F540" s="141"/>
      <c r="G540" s="141"/>
      <c r="H540" s="141"/>
    </row>
    <row r="541">
      <c r="A541" s="141"/>
      <c r="B541" s="141"/>
      <c r="C541" s="141"/>
      <c r="D541" s="141"/>
      <c r="E541" s="141"/>
      <c r="F541" s="141"/>
      <c r="G541" s="141"/>
      <c r="H541" s="141"/>
    </row>
    <row r="542">
      <c r="A542" s="141"/>
      <c r="B542" s="141"/>
      <c r="C542" s="141"/>
      <c r="D542" s="141"/>
      <c r="E542" s="141"/>
      <c r="F542" s="141"/>
      <c r="G542" s="141"/>
      <c r="H542" s="141"/>
    </row>
    <row r="543">
      <c r="A543" s="141"/>
      <c r="B543" s="141"/>
      <c r="C543" s="141"/>
      <c r="D543" s="141"/>
      <c r="E543" s="141"/>
      <c r="F543" s="141"/>
      <c r="G543" s="141"/>
      <c r="H543" s="141"/>
    </row>
    <row r="544">
      <c r="A544" s="141"/>
      <c r="B544" s="141"/>
      <c r="C544" s="141"/>
      <c r="D544" s="141"/>
      <c r="E544" s="141"/>
      <c r="F544" s="141"/>
      <c r="G544" s="141"/>
      <c r="H544" s="141"/>
    </row>
    <row r="545">
      <c r="A545" s="141"/>
      <c r="B545" s="141"/>
      <c r="C545" s="141"/>
      <c r="D545" s="141"/>
      <c r="E545" s="141"/>
      <c r="F545" s="141"/>
      <c r="G545" s="141"/>
      <c r="H545" s="141"/>
    </row>
    <row r="546">
      <c r="A546" s="141"/>
      <c r="B546" s="141"/>
      <c r="C546" s="141"/>
      <c r="D546" s="141"/>
      <c r="E546" s="141"/>
      <c r="F546" s="141"/>
      <c r="G546" s="141"/>
      <c r="H546" s="141"/>
    </row>
    <row r="547">
      <c r="A547" s="141"/>
      <c r="B547" s="141"/>
      <c r="C547" s="141"/>
      <c r="D547" s="141"/>
      <c r="E547" s="141"/>
      <c r="F547" s="141"/>
      <c r="G547" s="141"/>
      <c r="H547" s="141"/>
    </row>
    <row r="548">
      <c r="A548" s="141"/>
      <c r="B548" s="141"/>
      <c r="C548" s="141"/>
      <c r="D548" s="141"/>
      <c r="E548" s="141"/>
      <c r="F548" s="141"/>
      <c r="G548" s="141"/>
      <c r="H548" s="141"/>
    </row>
    <row r="549">
      <c r="A549" s="141"/>
      <c r="B549" s="141"/>
      <c r="C549" s="141"/>
      <c r="D549" s="141"/>
      <c r="E549" s="141"/>
      <c r="F549" s="141"/>
      <c r="G549" s="141"/>
      <c r="H549" s="141"/>
    </row>
    <row r="550">
      <c r="A550" s="141"/>
      <c r="B550" s="141"/>
      <c r="C550" s="141"/>
      <c r="D550" s="141"/>
      <c r="E550" s="141"/>
      <c r="F550" s="141"/>
      <c r="G550" s="141"/>
      <c r="H550" s="141"/>
    </row>
    <row r="551">
      <c r="A551" s="141"/>
      <c r="B551" s="141"/>
      <c r="C551" s="141"/>
      <c r="D551" s="141"/>
      <c r="E551" s="141"/>
      <c r="F551" s="141"/>
      <c r="G551" s="141"/>
      <c r="H551" s="141"/>
    </row>
    <row r="552">
      <c r="A552" s="141"/>
      <c r="B552" s="141"/>
      <c r="C552" s="141"/>
      <c r="D552" s="141"/>
      <c r="E552" s="141"/>
      <c r="F552" s="141"/>
      <c r="G552" s="141"/>
      <c r="H552" s="141"/>
    </row>
    <row r="553">
      <c r="A553" s="141"/>
      <c r="B553" s="141"/>
      <c r="C553" s="141"/>
      <c r="D553" s="141"/>
      <c r="E553" s="141"/>
      <c r="F553" s="141"/>
      <c r="G553" s="141"/>
      <c r="H553" s="141"/>
    </row>
    <row r="554">
      <c r="A554" s="141"/>
      <c r="B554" s="141"/>
      <c r="C554" s="141"/>
      <c r="D554" s="141"/>
      <c r="E554" s="141"/>
      <c r="F554" s="141"/>
      <c r="G554" s="141"/>
      <c r="H554" s="141"/>
    </row>
    <row r="555">
      <c r="A555" s="141"/>
      <c r="B555" s="141"/>
      <c r="C555" s="141"/>
      <c r="D555" s="141"/>
      <c r="E555" s="141"/>
      <c r="F555" s="141"/>
      <c r="G555" s="141"/>
      <c r="H555" s="141"/>
    </row>
    <row r="556">
      <c r="A556" s="141"/>
      <c r="B556" s="141"/>
      <c r="C556" s="141"/>
      <c r="D556" s="141"/>
      <c r="E556" s="141"/>
      <c r="F556" s="141"/>
      <c r="G556" s="141"/>
      <c r="H556" s="141"/>
    </row>
    <row r="557">
      <c r="A557" s="141"/>
      <c r="B557" s="141"/>
      <c r="C557" s="141"/>
      <c r="D557" s="141"/>
      <c r="E557" s="141"/>
      <c r="F557" s="141"/>
      <c r="G557" s="141"/>
      <c r="H557" s="141"/>
    </row>
    <row r="558">
      <c r="A558" s="141"/>
      <c r="B558" s="141"/>
      <c r="C558" s="141"/>
      <c r="D558" s="141"/>
      <c r="E558" s="141"/>
      <c r="F558" s="141"/>
      <c r="G558" s="141"/>
      <c r="H558" s="141"/>
    </row>
    <row r="559">
      <c r="A559" s="141"/>
      <c r="B559" s="141"/>
      <c r="C559" s="141"/>
      <c r="D559" s="141"/>
      <c r="E559" s="141"/>
      <c r="F559" s="141"/>
      <c r="G559" s="141"/>
      <c r="H559" s="141"/>
    </row>
    <row r="560">
      <c r="A560" s="141"/>
      <c r="B560" s="141"/>
      <c r="C560" s="141"/>
      <c r="D560" s="141"/>
      <c r="E560" s="141"/>
      <c r="F560" s="141"/>
      <c r="G560" s="141"/>
      <c r="H560" s="141"/>
    </row>
    <row r="561">
      <c r="A561" s="141"/>
      <c r="B561" s="141"/>
      <c r="C561" s="141"/>
      <c r="D561" s="141"/>
      <c r="E561" s="141"/>
      <c r="F561" s="141"/>
      <c r="G561" s="141"/>
      <c r="H561" s="141"/>
    </row>
    <row r="562">
      <c r="A562" s="141"/>
      <c r="B562" s="141"/>
      <c r="C562" s="141"/>
      <c r="D562" s="141"/>
      <c r="E562" s="141"/>
      <c r="F562" s="141"/>
      <c r="G562" s="141"/>
      <c r="H562" s="141"/>
    </row>
    <row r="563">
      <c r="A563" s="141"/>
      <c r="B563" s="141"/>
      <c r="C563" s="141"/>
      <c r="D563" s="141"/>
      <c r="E563" s="141"/>
      <c r="F563" s="141"/>
      <c r="G563" s="141"/>
      <c r="H563" s="141"/>
    </row>
    <row r="564">
      <c r="A564" s="141"/>
      <c r="B564" s="141"/>
      <c r="C564" s="141"/>
      <c r="D564" s="141"/>
      <c r="E564" s="141"/>
      <c r="F564" s="141"/>
      <c r="G564" s="141"/>
      <c r="H564" s="141"/>
    </row>
    <row r="565">
      <c r="A565" s="141"/>
      <c r="B565" s="141"/>
      <c r="C565" s="141"/>
      <c r="D565" s="141"/>
      <c r="E565" s="141"/>
      <c r="F565" s="141"/>
      <c r="G565" s="141"/>
      <c r="H565" s="141"/>
    </row>
    <row r="566">
      <c r="A566" s="141"/>
      <c r="B566" s="141"/>
      <c r="C566" s="141"/>
      <c r="D566" s="141"/>
      <c r="E566" s="141"/>
      <c r="F566" s="141"/>
      <c r="G566" s="141"/>
      <c r="H566" s="141"/>
    </row>
    <row r="567">
      <c r="A567" s="141"/>
      <c r="B567" s="141"/>
      <c r="C567" s="141"/>
      <c r="D567" s="141"/>
      <c r="E567" s="141"/>
      <c r="F567" s="141"/>
      <c r="G567" s="141"/>
      <c r="H567" s="141"/>
    </row>
    <row r="568">
      <c r="A568" s="141"/>
      <c r="B568" s="141"/>
      <c r="C568" s="141"/>
      <c r="D568" s="141"/>
      <c r="E568" s="141"/>
      <c r="F568" s="141"/>
      <c r="G568" s="141"/>
      <c r="H568" s="141"/>
    </row>
    <row r="569">
      <c r="A569" s="141"/>
      <c r="B569" s="141"/>
      <c r="C569" s="141"/>
      <c r="D569" s="141"/>
      <c r="E569" s="141"/>
      <c r="F569" s="141"/>
      <c r="G569" s="141"/>
      <c r="H569" s="141"/>
    </row>
    <row r="570">
      <c r="A570" s="141"/>
      <c r="B570" s="141"/>
      <c r="C570" s="141"/>
      <c r="D570" s="141"/>
      <c r="E570" s="141"/>
      <c r="F570" s="141"/>
      <c r="G570" s="141"/>
      <c r="H570" s="141"/>
    </row>
    <row r="571">
      <c r="A571" s="141"/>
      <c r="B571" s="141"/>
      <c r="C571" s="141"/>
      <c r="D571" s="141"/>
      <c r="E571" s="141"/>
      <c r="F571" s="141"/>
      <c r="G571" s="141"/>
      <c r="H571" s="141"/>
    </row>
    <row r="572">
      <c r="A572" s="141"/>
      <c r="B572" s="141"/>
      <c r="C572" s="141"/>
      <c r="D572" s="141"/>
      <c r="E572" s="141"/>
      <c r="F572" s="141"/>
      <c r="G572" s="141"/>
      <c r="H572" s="141"/>
    </row>
    <row r="573">
      <c r="A573" s="141"/>
      <c r="B573" s="141"/>
      <c r="C573" s="141"/>
      <c r="D573" s="141"/>
      <c r="E573" s="141"/>
      <c r="F573" s="141"/>
      <c r="G573" s="141"/>
      <c r="H573" s="141"/>
    </row>
    <row r="574">
      <c r="A574" s="141"/>
      <c r="B574" s="141"/>
      <c r="C574" s="141"/>
      <c r="D574" s="141"/>
      <c r="E574" s="141"/>
      <c r="F574" s="141"/>
      <c r="G574" s="141"/>
      <c r="H574" s="141"/>
    </row>
    <row r="575">
      <c r="A575" s="141"/>
      <c r="B575" s="141"/>
      <c r="C575" s="141"/>
      <c r="D575" s="141"/>
      <c r="E575" s="141"/>
      <c r="F575" s="141"/>
      <c r="G575" s="141"/>
      <c r="H575" s="141"/>
    </row>
    <row r="576">
      <c r="A576" s="141"/>
      <c r="B576" s="141"/>
      <c r="C576" s="141"/>
      <c r="D576" s="141"/>
      <c r="E576" s="141"/>
      <c r="F576" s="141"/>
      <c r="G576" s="141"/>
      <c r="H576" s="141"/>
    </row>
    <row r="577">
      <c r="A577" s="141"/>
      <c r="B577" s="141"/>
      <c r="C577" s="141"/>
      <c r="D577" s="141"/>
      <c r="E577" s="141"/>
      <c r="F577" s="141"/>
      <c r="G577" s="141"/>
      <c r="H577" s="141"/>
    </row>
    <row r="578">
      <c r="A578" s="141"/>
      <c r="B578" s="141"/>
      <c r="C578" s="141"/>
      <c r="D578" s="141"/>
      <c r="E578" s="141"/>
      <c r="F578" s="141"/>
      <c r="G578" s="141"/>
      <c r="H578" s="141"/>
    </row>
    <row r="579">
      <c r="A579" s="141"/>
      <c r="B579" s="141"/>
      <c r="C579" s="141"/>
      <c r="D579" s="141"/>
      <c r="E579" s="141"/>
      <c r="F579" s="141"/>
      <c r="G579" s="141"/>
      <c r="H579" s="141"/>
    </row>
    <row r="580">
      <c r="A580" s="141"/>
      <c r="B580" s="141"/>
      <c r="C580" s="141"/>
      <c r="D580" s="141"/>
      <c r="E580" s="141"/>
      <c r="F580" s="141"/>
      <c r="G580" s="141"/>
      <c r="H580" s="141"/>
    </row>
    <row r="581">
      <c r="A581" s="141"/>
      <c r="B581" s="141"/>
      <c r="C581" s="141"/>
      <c r="D581" s="141"/>
      <c r="E581" s="141"/>
      <c r="F581" s="141"/>
      <c r="G581" s="141"/>
      <c r="H581" s="141"/>
    </row>
    <row r="582">
      <c r="A582" s="141"/>
      <c r="B582" s="141"/>
      <c r="C582" s="141"/>
      <c r="D582" s="141"/>
      <c r="E582" s="141"/>
      <c r="F582" s="141"/>
      <c r="G582" s="141"/>
      <c r="H582" s="141"/>
    </row>
    <row r="583">
      <c r="A583" s="141"/>
      <c r="B583" s="141"/>
      <c r="C583" s="141"/>
      <c r="D583" s="141"/>
      <c r="E583" s="141"/>
      <c r="F583" s="141"/>
      <c r="G583" s="141"/>
      <c r="H583" s="141"/>
    </row>
    <row r="584">
      <c r="A584" s="141"/>
      <c r="B584" s="141"/>
      <c r="C584" s="141"/>
      <c r="D584" s="141"/>
      <c r="E584" s="141"/>
      <c r="F584" s="141"/>
      <c r="G584" s="141"/>
      <c r="H584" s="141"/>
    </row>
    <row r="585">
      <c r="A585" s="141"/>
      <c r="B585" s="141"/>
      <c r="C585" s="141"/>
      <c r="D585" s="141"/>
      <c r="E585" s="141"/>
      <c r="F585" s="141"/>
      <c r="G585" s="141"/>
      <c r="H585" s="141"/>
    </row>
    <row r="586">
      <c r="A586" s="141"/>
      <c r="B586" s="141"/>
      <c r="C586" s="141"/>
      <c r="D586" s="141"/>
      <c r="E586" s="141"/>
      <c r="F586" s="141"/>
      <c r="G586" s="141"/>
      <c r="H586" s="141"/>
    </row>
    <row r="587">
      <c r="A587" s="141"/>
      <c r="B587" s="141"/>
      <c r="C587" s="141"/>
      <c r="D587" s="141"/>
      <c r="E587" s="141"/>
      <c r="F587" s="141"/>
      <c r="G587" s="141"/>
      <c r="H587" s="141"/>
    </row>
    <row r="588">
      <c r="A588" s="141"/>
      <c r="B588" s="141"/>
      <c r="C588" s="141"/>
      <c r="D588" s="141"/>
      <c r="E588" s="141"/>
      <c r="F588" s="141"/>
      <c r="G588" s="141"/>
      <c r="H588" s="141"/>
    </row>
    <row r="589">
      <c r="A589" s="141"/>
      <c r="B589" s="141"/>
      <c r="C589" s="141"/>
      <c r="D589" s="141"/>
      <c r="E589" s="141"/>
      <c r="F589" s="141"/>
      <c r="G589" s="141"/>
      <c r="H589" s="141"/>
    </row>
    <row r="590">
      <c r="A590" s="141"/>
      <c r="B590" s="141"/>
      <c r="C590" s="141"/>
      <c r="D590" s="141"/>
      <c r="E590" s="141"/>
      <c r="F590" s="141"/>
      <c r="G590" s="141"/>
      <c r="H590" s="141"/>
    </row>
    <row r="591">
      <c r="A591" s="141"/>
      <c r="B591" s="141"/>
      <c r="C591" s="141"/>
      <c r="D591" s="141"/>
      <c r="E591" s="141"/>
      <c r="F591" s="141"/>
      <c r="G591" s="141"/>
      <c r="H591" s="141"/>
    </row>
    <row r="592">
      <c r="A592" s="141"/>
      <c r="B592" s="141"/>
      <c r="C592" s="141"/>
      <c r="D592" s="141"/>
      <c r="E592" s="141"/>
      <c r="F592" s="141"/>
      <c r="G592" s="141"/>
      <c r="H592" s="141"/>
    </row>
    <row r="593">
      <c r="A593" s="141"/>
      <c r="B593" s="141"/>
      <c r="C593" s="141"/>
      <c r="D593" s="141"/>
      <c r="E593" s="141"/>
      <c r="F593" s="141"/>
      <c r="G593" s="141"/>
      <c r="H593" s="141"/>
    </row>
    <row r="594">
      <c r="A594" s="141"/>
      <c r="B594" s="141"/>
      <c r="C594" s="141"/>
      <c r="D594" s="141"/>
      <c r="E594" s="141"/>
      <c r="F594" s="141"/>
      <c r="G594" s="141"/>
      <c r="H594" s="141"/>
    </row>
    <row r="595">
      <c r="A595" s="141"/>
      <c r="B595" s="141"/>
      <c r="C595" s="141"/>
      <c r="D595" s="141"/>
      <c r="E595" s="141"/>
      <c r="F595" s="141"/>
      <c r="G595" s="141"/>
      <c r="H595" s="141"/>
    </row>
    <row r="596">
      <c r="A596" s="141"/>
      <c r="B596" s="141"/>
      <c r="C596" s="141"/>
      <c r="D596" s="141"/>
      <c r="E596" s="141"/>
      <c r="F596" s="141"/>
      <c r="G596" s="141"/>
      <c r="H596" s="141"/>
    </row>
    <row r="597">
      <c r="A597" s="141"/>
      <c r="B597" s="141"/>
      <c r="C597" s="141"/>
      <c r="D597" s="141"/>
      <c r="E597" s="141"/>
      <c r="F597" s="141"/>
      <c r="G597" s="141"/>
      <c r="H597" s="141"/>
    </row>
    <row r="598">
      <c r="A598" s="141"/>
      <c r="B598" s="141"/>
      <c r="C598" s="141"/>
      <c r="D598" s="141"/>
      <c r="E598" s="141"/>
      <c r="F598" s="141"/>
      <c r="G598" s="141"/>
      <c r="H598" s="141"/>
    </row>
    <row r="599">
      <c r="A599" s="141"/>
      <c r="B599" s="141"/>
      <c r="C599" s="141"/>
      <c r="D599" s="141"/>
      <c r="E599" s="141"/>
      <c r="F599" s="141"/>
      <c r="G599" s="141"/>
      <c r="H599" s="141"/>
    </row>
    <row r="600">
      <c r="A600" s="141"/>
      <c r="B600" s="141"/>
      <c r="C600" s="141"/>
      <c r="D600" s="141"/>
      <c r="E600" s="141"/>
      <c r="F600" s="141"/>
      <c r="G600" s="141"/>
      <c r="H600" s="141"/>
    </row>
    <row r="601">
      <c r="A601" s="141"/>
      <c r="B601" s="141"/>
      <c r="C601" s="141"/>
      <c r="D601" s="141"/>
      <c r="E601" s="141"/>
      <c r="F601" s="141"/>
      <c r="G601" s="141"/>
      <c r="H601" s="141"/>
    </row>
    <row r="602">
      <c r="A602" s="141"/>
      <c r="B602" s="141"/>
      <c r="C602" s="141"/>
      <c r="D602" s="141"/>
      <c r="E602" s="141"/>
      <c r="F602" s="141"/>
      <c r="G602" s="141"/>
      <c r="H602" s="141"/>
    </row>
    <row r="603">
      <c r="A603" s="141"/>
      <c r="B603" s="141"/>
      <c r="C603" s="141"/>
      <c r="D603" s="141"/>
      <c r="E603" s="141"/>
      <c r="F603" s="141"/>
      <c r="G603" s="141"/>
      <c r="H603" s="141"/>
    </row>
    <row r="604">
      <c r="A604" s="141"/>
      <c r="B604" s="141"/>
      <c r="C604" s="141"/>
      <c r="D604" s="141"/>
      <c r="E604" s="141"/>
      <c r="F604" s="141"/>
      <c r="G604" s="141"/>
      <c r="H604" s="141"/>
    </row>
    <row r="605">
      <c r="A605" s="141"/>
      <c r="B605" s="141"/>
      <c r="C605" s="141"/>
      <c r="D605" s="141"/>
      <c r="E605" s="141"/>
      <c r="F605" s="141"/>
      <c r="G605" s="141"/>
      <c r="H605" s="141"/>
    </row>
    <row r="606">
      <c r="A606" s="141"/>
      <c r="B606" s="141"/>
      <c r="C606" s="141"/>
      <c r="D606" s="141"/>
      <c r="E606" s="141"/>
      <c r="F606" s="141"/>
      <c r="G606" s="141"/>
      <c r="H606" s="141"/>
    </row>
    <row r="607">
      <c r="A607" s="141"/>
      <c r="B607" s="141"/>
      <c r="C607" s="141"/>
      <c r="D607" s="141"/>
      <c r="E607" s="141"/>
      <c r="F607" s="141"/>
      <c r="G607" s="141"/>
      <c r="H607" s="141"/>
    </row>
    <row r="608">
      <c r="A608" s="141"/>
      <c r="B608" s="141"/>
      <c r="C608" s="141"/>
      <c r="D608" s="141"/>
      <c r="E608" s="141"/>
      <c r="F608" s="141"/>
      <c r="G608" s="141"/>
      <c r="H608" s="141"/>
    </row>
    <row r="609">
      <c r="A609" s="141"/>
      <c r="B609" s="141"/>
      <c r="C609" s="141"/>
      <c r="D609" s="141"/>
      <c r="E609" s="141"/>
      <c r="F609" s="141"/>
      <c r="G609" s="141"/>
      <c r="H609" s="141"/>
    </row>
    <row r="610">
      <c r="A610" s="141"/>
      <c r="B610" s="141"/>
      <c r="C610" s="141"/>
      <c r="D610" s="141"/>
      <c r="E610" s="141"/>
      <c r="F610" s="141"/>
      <c r="G610" s="141"/>
      <c r="H610" s="141"/>
    </row>
    <row r="611">
      <c r="A611" s="141"/>
      <c r="B611" s="141"/>
      <c r="C611" s="141"/>
      <c r="D611" s="141"/>
      <c r="E611" s="141"/>
      <c r="F611" s="141"/>
      <c r="G611" s="141"/>
      <c r="H611" s="141"/>
    </row>
    <row r="612">
      <c r="A612" s="141"/>
      <c r="B612" s="141"/>
      <c r="C612" s="141"/>
      <c r="D612" s="141"/>
      <c r="E612" s="141"/>
      <c r="F612" s="141"/>
      <c r="G612" s="141"/>
      <c r="H612" s="141"/>
    </row>
    <row r="613">
      <c r="A613" s="141"/>
      <c r="B613" s="141"/>
      <c r="C613" s="141"/>
      <c r="D613" s="141"/>
      <c r="E613" s="141"/>
      <c r="F613" s="141"/>
      <c r="G613" s="141"/>
      <c r="H613" s="141"/>
    </row>
    <row r="614">
      <c r="A614" s="141"/>
      <c r="B614" s="141"/>
      <c r="C614" s="141"/>
      <c r="D614" s="141"/>
      <c r="E614" s="141"/>
      <c r="F614" s="141"/>
      <c r="G614" s="141"/>
      <c r="H614" s="141"/>
    </row>
    <row r="615">
      <c r="A615" s="141"/>
      <c r="B615" s="141"/>
      <c r="C615" s="141"/>
      <c r="D615" s="141"/>
      <c r="E615" s="141"/>
      <c r="F615" s="141"/>
      <c r="G615" s="141"/>
      <c r="H615" s="141"/>
    </row>
    <row r="616">
      <c r="A616" s="141"/>
      <c r="B616" s="141"/>
      <c r="C616" s="141"/>
      <c r="D616" s="141"/>
      <c r="E616" s="141"/>
      <c r="F616" s="141"/>
      <c r="G616" s="141"/>
      <c r="H616" s="141"/>
    </row>
    <row r="617">
      <c r="A617" s="141"/>
      <c r="B617" s="141"/>
      <c r="C617" s="141"/>
      <c r="D617" s="141"/>
      <c r="E617" s="141"/>
      <c r="F617" s="141"/>
      <c r="G617" s="141"/>
      <c r="H617" s="141"/>
    </row>
    <row r="618">
      <c r="A618" s="141"/>
      <c r="B618" s="141"/>
      <c r="C618" s="141"/>
      <c r="D618" s="141"/>
      <c r="E618" s="141"/>
      <c r="F618" s="141"/>
      <c r="G618" s="141"/>
      <c r="H618" s="141"/>
    </row>
    <row r="619">
      <c r="A619" s="141"/>
      <c r="B619" s="141"/>
      <c r="C619" s="141"/>
      <c r="D619" s="141"/>
      <c r="E619" s="141"/>
      <c r="F619" s="141"/>
      <c r="G619" s="141"/>
      <c r="H619" s="141"/>
    </row>
    <row r="620">
      <c r="A620" s="141"/>
      <c r="B620" s="141"/>
      <c r="C620" s="141"/>
      <c r="D620" s="141"/>
      <c r="E620" s="141"/>
      <c r="F620" s="141"/>
      <c r="G620" s="141"/>
      <c r="H620" s="141"/>
    </row>
    <row r="621">
      <c r="A621" s="141"/>
      <c r="B621" s="141"/>
      <c r="C621" s="141"/>
      <c r="D621" s="141"/>
      <c r="E621" s="141"/>
      <c r="F621" s="141"/>
      <c r="G621" s="141"/>
      <c r="H621" s="141"/>
    </row>
    <row r="622">
      <c r="A622" s="141"/>
      <c r="B622" s="141"/>
      <c r="C622" s="141"/>
      <c r="D622" s="141"/>
      <c r="E622" s="141"/>
      <c r="F622" s="141"/>
      <c r="G622" s="141"/>
      <c r="H622" s="141"/>
    </row>
    <row r="623">
      <c r="A623" s="141"/>
      <c r="B623" s="141"/>
      <c r="C623" s="141"/>
      <c r="D623" s="141"/>
      <c r="E623" s="141"/>
      <c r="F623" s="141"/>
      <c r="G623" s="141"/>
      <c r="H623" s="141"/>
    </row>
    <row r="624">
      <c r="A624" s="141"/>
      <c r="B624" s="141"/>
      <c r="C624" s="141"/>
      <c r="D624" s="141"/>
      <c r="E624" s="141"/>
      <c r="F624" s="141"/>
      <c r="G624" s="141"/>
      <c r="H624" s="141"/>
    </row>
    <row r="625">
      <c r="A625" s="141"/>
      <c r="B625" s="141"/>
      <c r="C625" s="141"/>
      <c r="D625" s="141"/>
      <c r="E625" s="141"/>
      <c r="F625" s="141"/>
      <c r="G625" s="141"/>
      <c r="H625" s="141"/>
    </row>
    <row r="626">
      <c r="A626" s="141"/>
      <c r="B626" s="141"/>
      <c r="C626" s="141"/>
      <c r="D626" s="141"/>
      <c r="E626" s="141"/>
      <c r="F626" s="141"/>
      <c r="G626" s="141"/>
      <c r="H626" s="141"/>
    </row>
    <row r="627">
      <c r="A627" s="141"/>
      <c r="B627" s="141"/>
      <c r="C627" s="141"/>
      <c r="D627" s="141"/>
      <c r="E627" s="141"/>
      <c r="F627" s="141"/>
      <c r="G627" s="141"/>
      <c r="H627" s="141"/>
    </row>
    <row r="628">
      <c r="A628" s="141"/>
      <c r="B628" s="141"/>
      <c r="C628" s="141"/>
      <c r="D628" s="141"/>
      <c r="E628" s="141"/>
      <c r="F628" s="141"/>
      <c r="G628" s="141"/>
      <c r="H628" s="141"/>
    </row>
    <row r="629">
      <c r="A629" s="141"/>
      <c r="B629" s="141"/>
      <c r="C629" s="141"/>
      <c r="D629" s="141"/>
      <c r="E629" s="141"/>
      <c r="F629" s="141"/>
      <c r="G629" s="141"/>
      <c r="H629" s="141"/>
    </row>
    <row r="630">
      <c r="A630" s="141"/>
      <c r="B630" s="141"/>
      <c r="C630" s="141"/>
      <c r="D630" s="141"/>
      <c r="E630" s="141"/>
      <c r="F630" s="141"/>
      <c r="G630" s="141"/>
      <c r="H630" s="141"/>
    </row>
    <row r="631">
      <c r="A631" s="141"/>
      <c r="B631" s="141"/>
      <c r="C631" s="141"/>
      <c r="D631" s="141"/>
      <c r="E631" s="141"/>
      <c r="F631" s="141"/>
      <c r="G631" s="141"/>
      <c r="H631" s="141"/>
    </row>
    <row r="632">
      <c r="A632" s="141"/>
      <c r="B632" s="141"/>
      <c r="C632" s="141"/>
      <c r="D632" s="141"/>
      <c r="E632" s="141"/>
      <c r="F632" s="141"/>
      <c r="G632" s="141"/>
      <c r="H632" s="141"/>
    </row>
    <row r="633">
      <c r="A633" s="141"/>
      <c r="B633" s="141"/>
      <c r="C633" s="141"/>
      <c r="D633" s="141"/>
      <c r="E633" s="141"/>
      <c r="F633" s="141"/>
      <c r="G633" s="141"/>
      <c r="H633" s="141"/>
    </row>
    <row r="634">
      <c r="A634" s="141"/>
      <c r="B634" s="141"/>
      <c r="C634" s="141"/>
      <c r="D634" s="141"/>
      <c r="E634" s="141"/>
      <c r="F634" s="141"/>
      <c r="G634" s="141"/>
      <c r="H634" s="141"/>
    </row>
    <row r="635">
      <c r="A635" s="141"/>
      <c r="B635" s="141"/>
      <c r="C635" s="141"/>
      <c r="D635" s="141"/>
      <c r="E635" s="141"/>
      <c r="F635" s="141"/>
      <c r="G635" s="141"/>
      <c r="H635" s="141"/>
    </row>
    <row r="636">
      <c r="A636" s="141"/>
      <c r="B636" s="141"/>
      <c r="C636" s="141"/>
      <c r="D636" s="141"/>
      <c r="E636" s="141"/>
      <c r="F636" s="141"/>
      <c r="G636" s="141"/>
      <c r="H636" s="141"/>
    </row>
    <row r="637">
      <c r="A637" s="141"/>
      <c r="B637" s="141"/>
      <c r="C637" s="141"/>
      <c r="D637" s="141"/>
      <c r="E637" s="141"/>
      <c r="F637" s="141"/>
      <c r="G637" s="141"/>
      <c r="H637" s="141"/>
    </row>
    <row r="638">
      <c r="A638" s="141"/>
      <c r="B638" s="141"/>
      <c r="C638" s="141"/>
      <c r="D638" s="141"/>
      <c r="E638" s="141"/>
      <c r="F638" s="141"/>
      <c r="G638" s="141"/>
      <c r="H638" s="141"/>
    </row>
    <row r="639">
      <c r="A639" s="141"/>
      <c r="B639" s="141"/>
      <c r="C639" s="141"/>
      <c r="D639" s="141"/>
      <c r="E639" s="141"/>
      <c r="F639" s="141"/>
      <c r="G639" s="141"/>
      <c r="H639" s="141"/>
    </row>
    <row r="640">
      <c r="A640" s="141"/>
      <c r="B640" s="141"/>
      <c r="C640" s="141"/>
      <c r="D640" s="141"/>
      <c r="E640" s="141"/>
      <c r="F640" s="141"/>
      <c r="G640" s="141"/>
      <c r="H640" s="141"/>
    </row>
    <row r="641">
      <c r="A641" s="141"/>
      <c r="B641" s="141"/>
      <c r="C641" s="141"/>
      <c r="D641" s="141"/>
      <c r="E641" s="141"/>
      <c r="F641" s="141"/>
      <c r="G641" s="141"/>
      <c r="H641" s="141"/>
    </row>
    <row r="642">
      <c r="A642" s="141"/>
      <c r="B642" s="141"/>
      <c r="C642" s="141"/>
      <c r="D642" s="141"/>
      <c r="E642" s="141"/>
      <c r="F642" s="141"/>
      <c r="G642" s="141"/>
      <c r="H642" s="141"/>
    </row>
    <row r="643">
      <c r="A643" s="141"/>
      <c r="B643" s="141"/>
      <c r="C643" s="141"/>
      <c r="D643" s="141"/>
      <c r="E643" s="141"/>
      <c r="F643" s="141"/>
      <c r="G643" s="141"/>
      <c r="H643" s="141"/>
    </row>
    <row r="644">
      <c r="A644" s="141"/>
      <c r="B644" s="141"/>
      <c r="C644" s="141"/>
      <c r="D644" s="141"/>
      <c r="E644" s="141"/>
      <c r="F644" s="141"/>
      <c r="G644" s="141"/>
      <c r="H644" s="141"/>
    </row>
    <row r="645">
      <c r="A645" s="141"/>
      <c r="B645" s="141"/>
      <c r="C645" s="141"/>
      <c r="D645" s="141"/>
      <c r="E645" s="141"/>
      <c r="F645" s="141"/>
      <c r="G645" s="141"/>
      <c r="H645" s="141"/>
    </row>
    <row r="646">
      <c r="A646" s="141"/>
      <c r="B646" s="141"/>
      <c r="C646" s="141"/>
      <c r="D646" s="141"/>
      <c r="E646" s="141"/>
      <c r="F646" s="141"/>
      <c r="G646" s="141"/>
      <c r="H646" s="141"/>
    </row>
    <row r="647">
      <c r="A647" s="141"/>
      <c r="B647" s="141"/>
      <c r="C647" s="141"/>
      <c r="D647" s="141"/>
      <c r="E647" s="141"/>
      <c r="F647" s="141"/>
      <c r="G647" s="141"/>
      <c r="H647" s="141"/>
    </row>
    <row r="648">
      <c r="A648" s="141"/>
      <c r="B648" s="141"/>
      <c r="C648" s="141"/>
      <c r="D648" s="141"/>
      <c r="E648" s="141"/>
      <c r="F648" s="141"/>
      <c r="G648" s="141"/>
      <c r="H648" s="141"/>
    </row>
    <row r="649">
      <c r="A649" s="141"/>
      <c r="B649" s="141"/>
      <c r="C649" s="141"/>
      <c r="D649" s="141"/>
      <c r="E649" s="141"/>
      <c r="F649" s="141"/>
      <c r="G649" s="141"/>
      <c r="H649" s="141"/>
    </row>
    <row r="650">
      <c r="A650" s="141"/>
      <c r="B650" s="141"/>
      <c r="C650" s="141"/>
      <c r="D650" s="141"/>
      <c r="E650" s="141"/>
      <c r="F650" s="141"/>
      <c r="G650" s="141"/>
      <c r="H650" s="141"/>
    </row>
    <row r="651">
      <c r="A651" s="141"/>
      <c r="B651" s="141"/>
      <c r="C651" s="141"/>
      <c r="D651" s="141"/>
      <c r="E651" s="141"/>
      <c r="F651" s="141"/>
      <c r="G651" s="141"/>
      <c r="H651" s="141"/>
    </row>
    <row r="652">
      <c r="A652" s="141"/>
      <c r="B652" s="141"/>
      <c r="C652" s="141"/>
      <c r="D652" s="141"/>
      <c r="E652" s="141"/>
      <c r="F652" s="141"/>
      <c r="G652" s="141"/>
      <c r="H652" s="141"/>
    </row>
    <row r="653">
      <c r="A653" s="141"/>
      <c r="B653" s="141"/>
      <c r="C653" s="141"/>
      <c r="D653" s="141"/>
      <c r="E653" s="141"/>
      <c r="F653" s="141"/>
      <c r="G653" s="141"/>
      <c r="H653" s="141"/>
    </row>
    <row r="654">
      <c r="A654" s="141"/>
      <c r="B654" s="141"/>
      <c r="C654" s="141"/>
      <c r="D654" s="141"/>
      <c r="E654" s="141"/>
      <c r="F654" s="141"/>
      <c r="G654" s="141"/>
      <c r="H654" s="141"/>
    </row>
    <row r="655">
      <c r="A655" s="141"/>
      <c r="B655" s="141"/>
      <c r="C655" s="141"/>
      <c r="D655" s="141"/>
      <c r="E655" s="141"/>
      <c r="F655" s="141"/>
      <c r="G655" s="141"/>
      <c r="H655" s="141"/>
    </row>
    <row r="656">
      <c r="A656" s="141"/>
      <c r="B656" s="141"/>
      <c r="C656" s="141"/>
      <c r="D656" s="141"/>
      <c r="E656" s="141"/>
      <c r="F656" s="141"/>
      <c r="G656" s="141"/>
      <c r="H656" s="141"/>
    </row>
    <row r="657">
      <c r="A657" s="141"/>
      <c r="B657" s="141"/>
      <c r="C657" s="141"/>
      <c r="D657" s="141"/>
      <c r="E657" s="141"/>
      <c r="F657" s="141"/>
      <c r="G657" s="141"/>
      <c r="H657" s="141"/>
    </row>
    <row r="658">
      <c r="A658" s="141"/>
      <c r="B658" s="141"/>
      <c r="C658" s="141"/>
      <c r="D658" s="141"/>
      <c r="E658" s="141"/>
      <c r="F658" s="141"/>
      <c r="G658" s="141"/>
      <c r="H658" s="141"/>
    </row>
    <row r="659">
      <c r="A659" s="141"/>
      <c r="B659" s="141"/>
      <c r="C659" s="141"/>
      <c r="D659" s="141"/>
      <c r="E659" s="141"/>
      <c r="F659" s="141"/>
      <c r="G659" s="141"/>
      <c r="H659" s="141"/>
    </row>
    <row r="660">
      <c r="A660" s="141"/>
      <c r="B660" s="141"/>
      <c r="C660" s="141"/>
      <c r="D660" s="141"/>
      <c r="E660" s="141"/>
      <c r="F660" s="141"/>
      <c r="G660" s="141"/>
      <c r="H660" s="141"/>
    </row>
    <row r="661">
      <c r="A661" s="141"/>
      <c r="B661" s="141"/>
      <c r="C661" s="141"/>
      <c r="D661" s="141"/>
      <c r="E661" s="141"/>
      <c r="F661" s="141"/>
      <c r="G661" s="141"/>
      <c r="H661" s="141"/>
    </row>
    <row r="662">
      <c r="A662" s="141"/>
      <c r="B662" s="141"/>
      <c r="C662" s="141"/>
      <c r="D662" s="141"/>
      <c r="E662" s="141"/>
      <c r="F662" s="141"/>
      <c r="G662" s="141"/>
      <c r="H662" s="141"/>
    </row>
    <row r="663">
      <c r="A663" s="141"/>
      <c r="B663" s="141"/>
      <c r="C663" s="141"/>
      <c r="D663" s="141"/>
      <c r="E663" s="141"/>
      <c r="F663" s="141"/>
      <c r="G663" s="141"/>
      <c r="H663" s="141"/>
    </row>
    <row r="664">
      <c r="A664" s="141"/>
      <c r="B664" s="141"/>
      <c r="C664" s="141"/>
      <c r="D664" s="141"/>
      <c r="E664" s="141"/>
      <c r="F664" s="141"/>
      <c r="G664" s="141"/>
      <c r="H664" s="141"/>
    </row>
    <row r="665">
      <c r="A665" s="141"/>
      <c r="B665" s="141"/>
      <c r="C665" s="141"/>
      <c r="D665" s="141"/>
      <c r="E665" s="141"/>
      <c r="F665" s="141"/>
      <c r="G665" s="141"/>
      <c r="H665" s="141"/>
    </row>
    <row r="666">
      <c r="A666" s="141"/>
      <c r="B666" s="141"/>
      <c r="C666" s="141"/>
      <c r="D666" s="141"/>
      <c r="E666" s="141"/>
      <c r="F666" s="141"/>
      <c r="G666" s="141"/>
      <c r="H666" s="141"/>
    </row>
    <row r="667">
      <c r="A667" s="141"/>
      <c r="B667" s="141"/>
      <c r="C667" s="141"/>
      <c r="D667" s="141"/>
      <c r="E667" s="141"/>
      <c r="F667" s="141"/>
      <c r="G667" s="141"/>
      <c r="H667" s="141"/>
    </row>
    <row r="668">
      <c r="A668" s="141"/>
      <c r="B668" s="141"/>
      <c r="C668" s="141"/>
      <c r="D668" s="141"/>
      <c r="E668" s="141"/>
      <c r="F668" s="141"/>
      <c r="G668" s="141"/>
      <c r="H668" s="141"/>
    </row>
    <row r="669">
      <c r="A669" s="141"/>
      <c r="B669" s="141"/>
      <c r="C669" s="141"/>
      <c r="D669" s="141"/>
      <c r="E669" s="141"/>
      <c r="F669" s="141"/>
      <c r="G669" s="141"/>
      <c r="H669" s="141"/>
    </row>
    <row r="670">
      <c r="A670" s="141"/>
      <c r="B670" s="141"/>
      <c r="C670" s="141"/>
      <c r="D670" s="141"/>
      <c r="E670" s="141"/>
      <c r="F670" s="141"/>
      <c r="G670" s="141"/>
      <c r="H670" s="141"/>
    </row>
    <row r="671">
      <c r="A671" s="141"/>
      <c r="B671" s="141"/>
      <c r="C671" s="141"/>
      <c r="D671" s="141"/>
      <c r="E671" s="141"/>
      <c r="F671" s="141"/>
      <c r="G671" s="141"/>
      <c r="H671" s="141"/>
    </row>
    <row r="672">
      <c r="A672" s="141"/>
      <c r="B672" s="141"/>
      <c r="C672" s="141"/>
      <c r="D672" s="141"/>
      <c r="E672" s="141"/>
      <c r="F672" s="141"/>
      <c r="G672" s="141"/>
      <c r="H672" s="141"/>
    </row>
    <row r="673">
      <c r="A673" s="141"/>
      <c r="B673" s="141"/>
      <c r="C673" s="141"/>
      <c r="D673" s="141"/>
      <c r="E673" s="141"/>
      <c r="F673" s="141"/>
      <c r="G673" s="141"/>
      <c r="H673" s="141"/>
    </row>
    <row r="674">
      <c r="A674" s="141"/>
      <c r="B674" s="141"/>
      <c r="C674" s="141"/>
      <c r="D674" s="141"/>
      <c r="E674" s="141"/>
      <c r="F674" s="141"/>
      <c r="G674" s="141"/>
      <c r="H674" s="141"/>
    </row>
    <row r="675">
      <c r="A675" s="141"/>
      <c r="B675" s="141"/>
      <c r="C675" s="141"/>
      <c r="D675" s="141"/>
      <c r="E675" s="141"/>
      <c r="F675" s="141"/>
      <c r="G675" s="141"/>
      <c r="H675" s="141"/>
    </row>
    <row r="676">
      <c r="A676" s="141"/>
      <c r="B676" s="141"/>
      <c r="C676" s="141"/>
      <c r="D676" s="141"/>
      <c r="E676" s="141"/>
      <c r="F676" s="141"/>
      <c r="G676" s="141"/>
      <c r="H676" s="141"/>
    </row>
    <row r="677">
      <c r="A677" s="141"/>
      <c r="B677" s="141"/>
      <c r="C677" s="141"/>
      <c r="D677" s="141"/>
      <c r="E677" s="141"/>
      <c r="F677" s="141"/>
      <c r="G677" s="141"/>
      <c r="H677" s="141"/>
    </row>
    <row r="678">
      <c r="A678" s="141"/>
      <c r="B678" s="141"/>
      <c r="C678" s="141"/>
      <c r="D678" s="141"/>
      <c r="E678" s="141"/>
      <c r="F678" s="141"/>
      <c r="G678" s="141"/>
      <c r="H678" s="141"/>
    </row>
    <row r="679">
      <c r="A679" s="141"/>
      <c r="B679" s="141"/>
      <c r="C679" s="141"/>
      <c r="D679" s="141"/>
      <c r="E679" s="141"/>
      <c r="F679" s="141"/>
      <c r="G679" s="141"/>
      <c r="H679" s="141"/>
    </row>
    <row r="680">
      <c r="A680" s="141"/>
      <c r="B680" s="141"/>
      <c r="C680" s="141"/>
      <c r="D680" s="141"/>
      <c r="E680" s="141"/>
      <c r="F680" s="141"/>
      <c r="G680" s="141"/>
      <c r="H680" s="141"/>
    </row>
    <row r="681">
      <c r="A681" s="141"/>
      <c r="B681" s="141"/>
      <c r="C681" s="141"/>
      <c r="D681" s="141"/>
      <c r="E681" s="141"/>
      <c r="F681" s="141"/>
      <c r="G681" s="141"/>
      <c r="H681" s="141"/>
    </row>
    <row r="682">
      <c r="A682" s="141"/>
      <c r="B682" s="141"/>
      <c r="C682" s="141"/>
      <c r="D682" s="141"/>
      <c r="E682" s="141"/>
      <c r="F682" s="141"/>
      <c r="G682" s="141"/>
      <c r="H682" s="141"/>
    </row>
    <row r="683">
      <c r="A683" s="141"/>
      <c r="B683" s="141"/>
      <c r="C683" s="141"/>
      <c r="D683" s="141"/>
      <c r="E683" s="141"/>
      <c r="F683" s="141"/>
      <c r="G683" s="141"/>
      <c r="H683" s="141"/>
    </row>
    <row r="684">
      <c r="A684" s="141"/>
      <c r="B684" s="141"/>
      <c r="C684" s="141"/>
      <c r="D684" s="141"/>
      <c r="E684" s="141"/>
      <c r="F684" s="141"/>
      <c r="G684" s="141"/>
      <c r="H684" s="141"/>
    </row>
    <row r="685">
      <c r="A685" s="141"/>
      <c r="B685" s="141"/>
      <c r="C685" s="141"/>
      <c r="D685" s="141"/>
      <c r="E685" s="141"/>
      <c r="F685" s="141"/>
      <c r="G685" s="141"/>
      <c r="H685" s="141"/>
    </row>
    <row r="686">
      <c r="A686" s="141"/>
      <c r="B686" s="141"/>
      <c r="C686" s="141"/>
      <c r="D686" s="141"/>
      <c r="E686" s="141"/>
      <c r="F686" s="141"/>
      <c r="G686" s="141"/>
      <c r="H686" s="141"/>
    </row>
    <row r="687">
      <c r="A687" s="141"/>
      <c r="B687" s="141"/>
      <c r="C687" s="141"/>
      <c r="D687" s="141"/>
      <c r="E687" s="141"/>
      <c r="F687" s="141"/>
      <c r="G687" s="141"/>
      <c r="H687" s="141"/>
    </row>
    <row r="688">
      <c r="A688" s="141"/>
      <c r="B688" s="141"/>
      <c r="C688" s="141"/>
      <c r="D688" s="141"/>
      <c r="E688" s="141"/>
      <c r="F688" s="141"/>
      <c r="G688" s="141"/>
      <c r="H688" s="141"/>
    </row>
    <row r="689">
      <c r="A689" s="141"/>
      <c r="B689" s="141"/>
      <c r="C689" s="141"/>
      <c r="D689" s="141"/>
      <c r="E689" s="141"/>
      <c r="F689" s="141"/>
      <c r="G689" s="141"/>
      <c r="H689" s="141"/>
    </row>
    <row r="690">
      <c r="A690" s="141"/>
      <c r="B690" s="141"/>
      <c r="C690" s="141"/>
      <c r="D690" s="141"/>
      <c r="E690" s="141"/>
      <c r="F690" s="141"/>
      <c r="G690" s="141"/>
      <c r="H690" s="141"/>
    </row>
    <row r="691">
      <c r="A691" s="141"/>
      <c r="B691" s="141"/>
      <c r="C691" s="141"/>
      <c r="D691" s="141"/>
      <c r="E691" s="141"/>
      <c r="F691" s="141"/>
      <c r="G691" s="141"/>
      <c r="H691" s="141"/>
    </row>
    <row r="692">
      <c r="A692" s="141"/>
      <c r="B692" s="141"/>
      <c r="C692" s="141"/>
      <c r="D692" s="141"/>
      <c r="E692" s="141"/>
      <c r="F692" s="141"/>
      <c r="G692" s="141"/>
      <c r="H692" s="141"/>
    </row>
    <row r="693">
      <c r="A693" s="141"/>
      <c r="B693" s="141"/>
      <c r="C693" s="141"/>
      <c r="D693" s="141"/>
      <c r="E693" s="141"/>
      <c r="F693" s="141"/>
      <c r="G693" s="141"/>
      <c r="H693" s="141"/>
    </row>
    <row r="694">
      <c r="A694" s="141"/>
      <c r="B694" s="141"/>
      <c r="C694" s="141"/>
      <c r="D694" s="141"/>
      <c r="E694" s="141"/>
      <c r="F694" s="141"/>
      <c r="G694" s="141"/>
      <c r="H694" s="141"/>
    </row>
    <row r="695">
      <c r="A695" s="141"/>
      <c r="B695" s="141"/>
      <c r="C695" s="141"/>
      <c r="D695" s="141"/>
      <c r="E695" s="141"/>
      <c r="F695" s="141"/>
      <c r="G695" s="141"/>
      <c r="H695" s="141"/>
    </row>
    <row r="696">
      <c r="A696" s="141"/>
      <c r="B696" s="141"/>
      <c r="C696" s="141"/>
      <c r="D696" s="141"/>
      <c r="E696" s="141"/>
      <c r="F696" s="141"/>
      <c r="G696" s="141"/>
      <c r="H696" s="141"/>
    </row>
    <row r="697">
      <c r="A697" s="141"/>
      <c r="B697" s="141"/>
      <c r="C697" s="141"/>
      <c r="D697" s="141"/>
      <c r="E697" s="141"/>
      <c r="F697" s="141"/>
      <c r="G697" s="141"/>
      <c r="H697" s="141"/>
    </row>
    <row r="698">
      <c r="A698" s="141"/>
      <c r="B698" s="141"/>
      <c r="C698" s="141"/>
      <c r="D698" s="141"/>
      <c r="E698" s="141"/>
      <c r="F698" s="141"/>
      <c r="G698" s="141"/>
      <c r="H698" s="141"/>
    </row>
    <row r="699">
      <c r="A699" s="141"/>
      <c r="B699" s="141"/>
      <c r="C699" s="141"/>
      <c r="D699" s="141"/>
      <c r="E699" s="141"/>
      <c r="F699" s="141"/>
      <c r="G699" s="141"/>
      <c r="H699" s="141"/>
    </row>
    <row r="700">
      <c r="A700" s="141"/>
      <c r="B700" s="141"/>
      <c r="C700" s="141"/>
      <c r="D700" s="141"/>
      <c r="E700" s="141"/>
      <c r="F700" s="141"/>
      <c r="G700" s="141"/>
      <c r="H700" s="141"/>
    </row>
    <row r="701">
      <c r="A701" s="141"/>
      <c r="B701" s="141"/>
      <c r="C701" s="141"/>
      <c r="D701" s="141"/>
      <c r="E701" s="141"/>
      <c r="F701" s="141"/>
      <c r="G701" s="141"/>
      <c r="H701" s="141"/>
    </row>
    <row r="702">
      <c r="A702" s="141"/>
      <c r="B702" s="141"/>
      <c r="C702" s="141"/>
      <c r="D702" s="141"/>
      <c r="E702" s="141"/>
      <c r="F702" s="141"/>
      <c r="G702" s="141"/>
      <c r="H702" s="141"/>
    </row>
    <row r="703">
      <c r="A703" s="141"/>
      <c r="B703" s="141"/>
      <c r="C703" s="141"/>
      <c r="D703" s="141"/>
      <c r="E703" s="141"/>
      <c r="F703" s="141"/>
      <c r="G703" s="141"/>
      <c r="H703" s="141"/>
    </row>
    <row r="704">
      <c r="A704" s="141"/>
      <c r="B704" s="141"/>
      <c r="C704" s="141"/>
      <c r="D704" s="141"/>
      <c r="E704" s="141"/>
      <c r="F704" s="141"/>
      <c r="G704" s="141"/>
      <c r="H704" s="141"/>
    </row>
    <row r="705">
      <c r="A705" s="141"/>
      <c r="B705" s="141"/>
      <c r="C705" s="141"/>
      <c r="D705" s="141"/>
      <c r="E705" s="141"/>
      <c r="F705" s="141"/>
      <c r="G705" s="141"/>
      <c r="H705" s="141"/>
    </row>
    <row r="706">
      <c r="A706" s="141"/>
      <c r="B706" s="141"/>
      <c r="C706" s="141"/>
      <c r="D706" s="141"/>
      <c r="E706" s="141"/>
      <c r="F706" s="141"/>
      <c r="G706" s="141"/>
      <c r="H706" s="141"/>
    </row>
    <row r="707">
      <c r="A707" s="141"/>
      <c r="B707" s="141"/>
      <c r="C707" s="141"/>
      <c r="D707" s="141"/>
      <c r="E707" s="141"/>
      <c r="F707" s="141"/>
      <c r="G707" s="141"/>
      <c r="H707" s="141"/>
    </row>
    <row r="708">
      <c r="A708" s="141"/>
      <c r="B708" s="141"/>
      <c r="C708" s="141"/>
      <c r="D708" s="141"/>
      <c r="E708" s="141"/>
      <c r="F708" s="141"/>
      <c r="G708" s="141"/>
      <c r="H708" s="141"/>
    </row>
    <row r="709">
      <c r="A709" s="141"/>
      <c r="B709" s="141"/>
      <c r="C709" s="141"/>
      <c r="D709" s="141"/>
      <c r="E709" s="141"/>
      <c r="F709" s="141"/>
      <c r="G709" s="141"/>
      <c r="H709" s="141"/>
    </row>
    <row r="710">
      <c r="A710" s="141"/>
      <c r="B710" s="141"/>
      <c r="C710" s="141"/>
      <c r="D710" s="141"/>
      <c r="E710" s="141"/>
      <c r="F710" s="141"/>
      <c r="G710" s="141"/>
      <c r="H710" s="141"/>
    </row>
    <row r="711">
      <c r="A711" s="141"/>
      <c r="B711" s="141"/>
      <c r="C711" s="141"/>
      <c r="D711" s="141"/>
      <c r="E711" s="141"/>
      <c r="F711" s="141"/>
      <c r="G711" s="141"/>
      <c r="H711" s="141"/>
    </row>
    <row r="712">
      <c r="A712" s="141"/>
      <c r="B712" s="141"/>
      <c r="C712" s="141"/>
      <c r="D712" s="141"/>
      <c r="E712" s="141"/>
      <c r="F712" s="141"/>
      <c r="G712" s="141"/>
      <c r="H712" s="141"/>
    </row>
    <row r="713">
      <c r="A713" s="141"/>
      <c r="B713" s="141"/>
      <c r="C713" s="141"/>
      <c r="D713" s="141"/>
      <c r="E713" s="141"/>
      <c r="F713" s="141"/>
      <c r="G713" s="141"/>
      <c r="H713" s="141"/>
    </row>
    <row r="714">
      <c r="A714" s="141"/>
      <c r="B714" s="141"/>
      <c r="C714" s="141"/>
      <c r="D714" s="141"/>
      <c r="E714" s="141"/>
      <c r="F714" s="141"/>
      <c r="G714" s="141"/>
      <c r="H714" s="141"/>
    </row>
    <row r="715">
      <c r="A715" s="141"/>
      <c r="B715" s="141"/>
      <c r="C715" s="141"/>
      <c r="D715" s="141"/>
      <c r="E715" s="141"/>
      <c r="F715" s="141"/>
      <c r="G715" s="141"/>
      <c r="H715" s="141"/>
    </row>
    <row r="716">
      <c r="A716" s="141"/>
      <c r="B716" s="141"/>
      <c r="C716" s="141"/>
      <c r="D716" s="141"/>
      <c r="E716" s="141"/>
      <c r="F716" s="141"/>
      <c r="G716" s="141"/>
      <c r="H716" s="141"/>
    </row>
    <row r="717">
      <c r="A717" s="141"/>
      <c r="B717" s="141"/>
      <c r="C717" s="141"/>
      <c r="D717" s="141"/>
      <c r="E717" s="141"/>
      <c r="F717" s="141"/>
      <c r="G717" s="141"/>
      <c r="H717" s="141"/>
    </row>
    <row r="718">
      <c r="A718" s="141"/>
      <c r="B718" s="141"/>
      <c r="C718" s="141"/>
      <c r="D718" s="141"/>
      <c r="E718" s="141"/>
      <c r="F718" s="141"/>
      <c r="G718" s="141"/>
      <c r="H718" s="141"/>
    </row>
    <row r="719">
      <c r="A719" s="141"/>
      <c r="B719" s="141"/>
      <c r="C719" s="141"/>
      <c r="D719" s="141"/>
      <c r="E719" s="141"/>
      <c r="F719" s="141"/>
      <c r="G719" s="141"/>
      <c r="H719" s="141"/>
    </row>
    <row r="720">
      <c r="A720" s="141"/>
      <c r="B720" s="141"/>
      <c r="C720" s="141"/>
      <c r="D720" s="141"/>
      <c r="E720" s="141"/>
      <c r="F720" s="141"/>
      <c r="G720" s="141"/>
      <c r="H720" s="141"/>
    </row>
    <row r="721">
      <c r="A721" s="141"/>
      <c r="B721" s="141"/>
      <c r="C721" s="141"/>
      <c r="D721" s="141"/>
      <c r="E721" s="141"/>
      <c r="F721" s="141"/>
      <c r="G721" s="141"/>
      <c r="H721" s="141"/>
    </row>
    <row r="722">
      <c r="A722" s="141"/>
      <c r="B722" s="141"/>
      <c r="C722" s="141"/>
      <c r="D722" s="141"/>
      <c r="E722" s="141"/>
      <c r="F722" s="141"/>
      <c r="G722" s="141"/>
      <c r="H722" s="141"/>
    </row>
    <row r="723">
      <c r="A723" s="141"/>
      <c r="B723" s="141"/>
      <c r="C723" s="141"/>
      <c r="D723" s="141"/>
      <c r="E723" s="141"/>
      <c r="F723" s="141"/>
      <c r="G723" s="141"/>
      <c r="H723" s="141"/>
    </row>
    <row r="724">
      <c r="A724" s="141"/>
      <c r="B724" s="141"/>
      <c r="C724" s="141"/>
      <c r="D724" s="141"/>
      <c r="E724" s="141"/>
      <c r="F724" s="141"/>
      <c r="G724" s="141"/>
      <c r="H724" s="141"/>
    </row>
    <row r="725">
      <c r="A725" s="141"/>
      <c r="B725" s="141"/>
      <c r="C725" s="141"/>
      <c r="D725" s="141"/>
      <c r="E725" s="141"/>
      <c r="F725" s="141"/>
      <c r="G725" s="141"/>
      <c r="H725" s="141"/>
    </row>
    <row r="726">
      <c r="A726" s="141"/>
      <c r="B726" s="141"/>
      <c r="C726" s="141"/>
      <c r="D726" s="141"/>
      <c r="E726" s="141"/>
      <c r="F726" s="141"/>
      <c r="G726" s="141"/>
      <c r="H726" s="141"/>
    </row>
    <row r="727">
      <c r="A727" s="141"/>
      <c r="B727" s="141"/>
      <c r="C727" s="141"/>
      <c r="D727" s="141"/>
      <c r="E727" s="141"/>
      <c r="F727" s="141"/>
      <c r="G727" s="141"/>
      <c r="H727" s="141"/>
    </row>
    <row r="728">
      <c r="A728" s="141"/>
      <c r="B728" s="141"/>
      <c r="C728" s="141"/>
      <c r="D728" s="141"/>
      <c r="E728" s="141"/>
      <c r="F728" s="141"/>
      <c r="G728" s="141"/>
      <c r="H728" s="141"/>
    </row>
    <row r="729">
      <c r="A729" s="141"/>
      <c r="B729" s="141"/>
      <c r="C729" s="141"/>
      <c r="D729" s="141"/>
      <c r="E729" s="141"/>
      <c r="F729" s="141"/>
      <c r="G729" s="141"/>
      <c r="H729" s="141"/>
    </row>
    <row r="730">
      <c r="A730" s="141"/>
      <c r="B730" s="141"/>
      <c r="C730" s="141"/>
      <c r="D730" s="141"/>
      <c r="E730" s="141"/>
      <c r="F730" s="141"/>
      <c r="G730" s="141"/>
      <c r="H730" s="141"/>
    </row>
    <row r="731">
      <c r="A731" s="141"/>
      <c r="B731" s="141"/>
      <c r="C731" s="141"/>
      <c r="D731" s="141"/>
      <c r="E731" s="141"/>
      <c r="F731" s="141"/>
      <c r="G731" s="141"/>
      <c r="H731" s="141"/>
    </row>
    <row r="732">
      <c r="A732" s="141"/>
      <c r="B732" s="141"/>
      <c r="C732" s="141"/>
      <c r="D732" s="141"/>
      <c r="E732" s="141"/>
      <c r="F732" s="141"/>
      <c r="G732" s="141"/>
      <c r="H732" s="141"/>
    </row>
    <row r="733">
      <c r="A733" s="141"/>
      <c r="B733" s="141"/>
      <c r="C733" s="141"/>
      <c r="D733" s="141"/>
      <c r="E733" s="141"/>
      <c r="F733" s="141"/>
      <c r="G733" s="141"/>
      <c r="H733" s="141"/>
    </row>
    <row r="734">
      <c r="A734" s="141"/>
      <c r="B734" s="141"/>
      <c r="C734" s="141"/>
      <c r="D734" s="141"/>
      <c r="E734" s="141"/>
      <c r="F734" s="141"/>
      <c r="G734" s="141"/>
      <c r="H734" s="141"/>
    </row>
    <row r="735">
      <c r="A735" s="141"/>
      <c r="B735" s="141"/>
      <c r="C735" s="141"/>
      <c r="D735" s="141"/>
      <c r="E735" s="141"/>
      <c r="F735" s="141"/>
      <c r="G735" s="141"/>
      <c r="H735" s="141"/>
    </row>
    <row r="736">
      <c r="A736" s="141"/>
      <c r="B736" s="141"/>
      <c r="C736" s="141"/>
      <c r="D736" s="141"/>
      <c r="E736" s="141"/>
      <c r="F736" s="141"/>
      <c r="G736" s="141"/>
      <c r="H736" s="141"/>
    </row>
    <row r="737">
      <c r="A737" s="141"/>
      <c r="B737" s="141"/>
      <c r="C737" s="141"/>
      <c r="D737" s="141"/>
      <c r="E737" s="141"/>
      <c r="F737" s="141"/>
      <c r="G737" s="141"/>
      <c r="H737" s="141"/>
    </row>
    <row r="738">
      <c r="A738" s="141"/>
      <c r="B738" s="141"/>
      <c r="C738" s="141"/>
      <c r="D738" s="141"/>
      <c r="E738" s="141"/>
      <c r="F738" s="141"/>
      <c r="G738" s="141"/>
      <c r="H738" s="141"/>
    </row>
    <row r="739">
      <c r="A739" s="141"/>
      <c r="B739" s="141"/>
      <c r="C739" s="141"/>
      <c r="D739" s="141"/>
      <c r="E739" s="141"/>
      <c r="F739" s="141"/>
      <c r="G739" s="141"/>
      <c r="H739" s="141"/>
    </row>
    <row r="740">
      <c r="A740" s="141"/>
      <c r="B740" s="141"/>
      <c r="C740" s="141"/>
      <c r="D740" s="141"/>
      <c r="E740" s="141"/>
      <c r="F740" s="141"/>
      <c r="G740" s="141"/>
      <c r="H740" s="141"/>
    </row>
    <row r="741">
      <c r="A741" s="141"/>
      <c r="B741" s="141"/>
      <c r="C741" s="141"/>
      <c r="D741" s="141"/>
      <c r="E741" s="141"/>
      <c r="F741" s="141"/>
      <c r="G741" s="141"/>
      <c r="H741" s="141"/>
    </row>
    <row r="742">
      <c r="A742" s="141"/>
      <c r="B742" s="141"/>
      <c r="C742" s="141"/>
      <c r="D742" s="141"/>
      <c r="E742" s="141"/>
      <c r="F742" s="141"/>
      <c r="G742" s="141"/>
      <c r="H742" s="141"/>
    </row>
    <row r="743">
      <c r="A743" s="141"/>
      <c r="B743" s="141"/>
      <c r="C743" s="141"/>
      <c r="D743" s="141"/>
      <c r="E743" s="141"/>
      <c r="F743" s="141"/>
      <c r="G743" s="141"/>
      <c r="H743" s="141"/>
    </row>
    <row r="744">
      <c r="A744" s="141"/>
      <c r="B744" s="141"/>
      <c r="C744" s="141"/>
      <c r="D744" s="141"/>
      <c r="E744" s="141"/>
      <c r="F744" s="141"/>
      <c r="G744" s="141"/>
      <c r="H744" s="141"/>
    </row>
    <row r="745">
      <c r="A745" s="141"/>
      <c r="B745" s="141"/>
      <c r="C745" s="141"/>
      <c r="D745" s="141"/>
      <c r="E745" s="141"/>
      <c r="F745" s="141"/>
      <c r="G745" s="141"/>
      <c r="H745" s="141"/>
    </row>
    <row r="746">
      <c r="A746" s="141"/>
      <c r="B746" s="141"/>
      <c r="C746" s="141"/>
      <c r="D746" s="141"/>
      <c r="E746" s="141"/>
      <c r="F746" s="141"/>
      <c r="G746" s="141"/>
      <c r="H746" s="141"/>
    </row>
    <row r="747">
      <c r="A747" s="141"/>
      <c r="B747" s="141"/>
      <c r="C747" s="141"/>
      <c r="D747" s="141"/>
      <c r="E747" s="141"/>
      <c r="F747" s="141"/>
      <c r="G747" s="141"/>
      <c r="H747" s="141"/>
    </row>
    <row r="748">
      <c r="A748" s="141"/>
      <c r="B748" s="141"/>
      <c r="C748" s="141"/>
      <c r="D748" s="141"/>
      <c r="E748" s="141"/>
      <c r="F748" s="141"/>
      <c r="G748" s="141"/>
      <c r="H748" s="141"/>
    </row>
    <row r="749">
      <c r="A749" s="141"/>
      <c r="B749" s="141"/>
      <c r="C749" s="141"/>
      <c r="D749" s="141"/>
      <c r="E749" s="141"/>
      <c r="F749" s="141"/>
      <c r="G749" s="141"/>
      <c r="H749" s="141"/>
    </row>
    <row r="750">
      <c r="A750" s="141"/>
      <c r="B750" s="141"/>
      <c r="C750" s="141"/>
      <c r="D750" s="141"/>
      <c r="E750" s="141"/>
      <c r="F750" s="141"/>
      <c r="G750" s="141"/>
      <c r="H750" s="141"/>
    </row>
    <row r="751">
      <c r="A751" s="141"/>
      <c r="B751" s="141"/>
      <c r="C751" s="141"/>
      <c r="D751" s="141"/>
      <c r="E751" s="141"/>
      <c r="F751" s="141"/>
      <c r="G751" s="141"/>
      <c r="H751" s="141"/>
    </row>
    <row r="752">
      <c r="A752" s="141"/>
      <c r="B752" s="141"/>
      <c r="C752" s="141"/>
      <c r="D752" s="141"/>
      <c r="E752" s="141"/>
      <c r="F752" s="141"/>
      <c r="G752" s="141"/>
      <c r="H752" s="141"/>
    </row>
    <row r="753">
      <c r="A753" s="141"/>
      <c r="B753" s="141"/>
      <c r="C753" s="141"/>
      <c r="D753" s="141"/>
      <c r="E753" s="141"/>
      <c r="F753" s="141"/>
      <c r="G753" s="141"/>
      <c r="H753" s="141"/>
    </row>
    <row r="754">
      <c r="A754" s="141"/>
      <c r="B754" s="141"/>
      <c r="C754" s="141"/>
      <c r="D754" s="141"/>
      <c r="E754" s="141"/>
      <c r="F754" s="141"/>
      <c r="G754" s="141"/>
      <c r="H754" s="141"/>
    </row>
    <row r="755">
      <c r="A755" s="141"/>
      <c r="B755" s="141"/>
      <c r="C755" s="141"/>
      <c r="D755" s="141"/>
      <c r="E755" s="141"/>
      <c r="F755" s="141"/>
      <c r="G755" s="141"/>
      <c r="H755" s="141"/>
    </row>
    <row r="756">
      <c r="A756" s="141"/>
      <c r="B756" s="141"/>
      <c r="C756" s="141"/>
      <c r="D756" s="141"/>
      <c r="E756" s="141"/>
      <c r="F756" s="141"/>
      <c r="G756" s="141"/>
      <c r="H756" s="141"/>
    </row>
    <row r="757">
      <c r="A757" s="141"/>
      <c r="B757" s="141"/>
      <c r="C757" s="141"/>
      <c r="D757" s="141"/>
      <c r="E757" s="141"/>
      <c r="F757" s="141"/>
      <c r="G757" s="141"/>
      <c r="H757" s="141"/>
    </row>
    <row r="758">
      <c r="A758" s="141"/>
      <c r="B758" s="141"/>
      <c r="C758" s="141"/>
      <c r="D758" s="141"/>
      <c r="E758" s="141"/>
      <c r="F758" s="141"/>
      <c r="G758" s="141"/>
      <c r="H758" s="141"/>
    </row>
    <row r="759">
      <c r="A759" s="141"/>
      <c r="B759" s="141"/>
      <c r="C759" s="141"/>
      <c r="D759" s="141"/>
      <c r="E759" s="141"/>
      <c r="F759" s="141"/>
      <c r="G759" s="141"/>
      <c r="H759" s="141"/>
    </row>
    <row r="760">
      <c r="A760" s="141"/>
      <c r="B760" s="141"/>
      <c r="C760" s="141"/>
      <c r="D760" s="141"/>
      <c r="E760" s="141"/>
      <c r="F760" s="141"/>
      <c r="G760" s="141"/>
      <c r="H760" s="141"/>
    </row>
    <row r="761">
      <c r="A761" s="141"/>
      <c r="B761" s="141"/>
      <c r="C761" s="141"/>
      <c r="D761" s="141"/>
      <c r="E761" s="141"/>
      <c r="F761" s="141"/>
      <c r="G761" s="141"/>
      <c r="H761" s="141"/>
    </row>
    <row r="762">
      <c r="A762" s="141"/>
      <c r="B762" s="141"/>
      <c r="C762" s="141"/>
      <c r="D762" s="141"/>
      <c r="E762" s="141"/>
      <c r="F762" s="141"/>
      <c r="G762" s="141"/>
      <c r="H762" s="141"/>
    </row>
    <row r="763">
      <c r="A763" s="141"/>
      <c r="B763" s="141"/>
      <c r="C763" s="141"/>
      <c r="D763" s="141"/>
      <c r="E763" s="141"/>
      <c r="F763" s="141"/>
      <c r="G763" s="141"/>
      <c r="H763" s="141"/>
    </row>
    <row r="764">
      <c r="A764" s="141"/>
      <c r="B764" s="141"/>
      <c r="C764" s="141"/>
      <c r="D764" s="141"/>
      <c r="E764" s="141"/>
      <c r="F764" s="141"/>
      <c r="G764" s="141"/>
      <c r="H764" s="141"/>
    </row>
    <row r="765">
      <c r="A765" s="141"/>
      <c r="B765" s="141"/>
      <c r="C765" s="141"/>
      <c r="D765" s="141"/>
      <c r="E765" s="141"/>
      <c r="F765" s="141"/>
      <c r="G765" s="141"/>
      <c r="H765" s="141"/>
    </row>
    <row r="766">
      <c r="A766" s="141"/>
      <c r="B766" s="141"/>
      <c r="C766" s="141"/>
      <c r="D766" s="141"/>
      <c r="E766" s="141"/>
      <c r="F766" s="141"/>
      <c r="G766" s="141"/>
      <c r="H766" s="141"/>
    </row>
    <row r="767">
      <c r="A767" s="141"/>
      <c r="B767" s="141"/>
      <c r="C767" s="141"/>
      <c r="D767" s="141"/>
      <c r="E767" s="141"/>
      <c r="F767" s="141"/>
      <c r="G767" s="141"/>
      <c r="H767" s="141"/>
    </row>
    <row r="768">
      <c r="A768" s="141"/>
      <c r="B768" s="141"/>
      <c r="C768" s="141"/>
      <c r="D768" s="141"/>
      <c r="E768" s="141"/>
      <c r="F768" s="141"/>
      <c r="G768" s="141"/>
      <c r="H768" s="141"/>
    </row>
    <row r="769">
      <c r="A769" s="141"/>
      <c r="B769" s="141"/>
      <c r="C769" s="141"/>
      <c r="D769" s="141"/>
      <c r="E769" s="141"/>
      <c r="F769" s="141"/>
      <c r="G769" s="141"/>
      <c r="H769" s="141"/>
    </row>
    <row r="770">
      <c r="A770" s="141"/>
      <c r="B770" s="141"/>
      <c r="C770" s="141"/>
      <c r="D770" s="141"/>
      <c r="E770" s="141"/>
      <c r="F770" s="141"/>
      <c r="G770" s="141"/>
      <c r="H770" s="141"/>
    </row>
    <row r="771">
      <c r="A771" s="141"/>
      <c r="B771" s="141"/>
      <c r="C771" s="141"/>
      <c r="D771" s="141"/>
      <c r="E771" s="141"/>
      <c r="F771" s="141"/>
      <c r="G771" s="141"/>
      <c r="H771" s="141"/>
    </row>
    <row r="772">
      <c r="A772" s="141"/>
      <c r="B772" s="141"/>
      <c r="C772" s="141"/>
      <c r="D772" s="141"/>
      <c r="E772" s="141"/>
      <c r="F772" s="141"/>
      <c r="G772" s="141"/>
      <c r="H772" s="141"/>
    </row>
    <row r="773">
      <c r="A773" s="141"/>
      <c r="B773" s="141"/>
      <c r="C773" s="141"/>
      <c r="D773" s="141"/>
      <c r="E773" s="141"/>
      <c r="F773" s="141"/>
      <c r="G773" s="141"/>
      <c r="H773" s="141"/>
    </row>
    <row r="774">
      <c r="A774" s="141"/>
      <c r="B774" s="141"/>
      <c r="C774" s="141"/>
      <c r="D774" s="141"/>
      <c r="E774" s="141"/>
      <c r="F774" s="141"/>
      <c r="G774" s="141"/>
      <c r="H774" s="141"/>
    </row>
    <row r="775">
      <c r="A775" s="141"/>
      <c r="B775" s="141"/>
      <c r="C775" s="141"/>
      <c r="D775" s="141"/>
      <c r="E775" s="141"/>
      <c r="F775" s="141"/>
      <c r="G775" s="141"/>
      <c r="H775" s="141"/>
    </row>
    <row r="776">
      <c r="A776" s="141"/>
      <c r="B776" s="141"/>
      <c r="C776" s="141"/>
      <c r="D776" s="141"/>
      <c r="E776" s="141"/>
      <c r="F776" s="141"/>
      <c r="G776" s="141"/>
      <c r="H776" s="141"/>
    </row>
    <row r="777">
      <c r="A777" s="141"/>
      <c r="B777" s="141"/>
      <c r="C777" s="141"/>
      <c r="D777" s="141"/>
      <c r="E777" s="141"/>
      <c r="F777" s="141"/>
      <c r="G777" s="141"/>
      <c r="H777" s="141"/>
    </row>
    <row r="778">
      <c r="A778" s="141"/>
      <c r="B778" s="141"/>
      <c r="C778" s="141"/>
      <c r="D778" s="141"/>
      <c r="E778" s="141"/>
      <c r="F778" s="141"/>
      <c r="G778" s="141"/>
      <c r="H778" s="141"/>
    </row>
    <row r="779">
      <c r="A779" s="141"/>
      <c r="B779" s="141"/>
      <c r="C779" s="141"/>
      <c r="D779" s="141"/>
      <c r="E779" s="141"/>
      <c r="F779" s="141"/>
      <c r="G779" s="141"/>
      <c r="H779" s="141"/>
    </row>
    <row r="780">
      <c r="A780" s="141"/>
      <c r="B780" s="141"/>
      <c r="C780" s="141"/>
      <c r="D780" s="141"/>
      <c r="E780" s="141"/>
      <c r="F780" s="141"/>
      <c r="G780" s="141"/>
      <c r="H780" s="141"/>
    </row>
    <row r="781">
      <c r="A781" s="141"/>
      <c r="B781" s="141"/>
      <c r="C781" s="141"/>
      <c r="D781" s="141"/>
      <c r="E781" s="141"/>
      <c r="F781" s="141"/>
      <c r="G781" s="141"/>
      <c r="H781" s="141"/>
    </row>
    <row r="782">
      <c r="A782" s="141"/>
      <c r="B782" s="141"/>
      <c r="C782" s="141"/>
      <c r="D782" s="141"/>
      <c r="E782" s="141"/>
      <c r="F782" s="141"/>
      <c r="G782" s="141"/>
      <c r="H782" s="141"/>
    </row>
    <row r="783">
      <c r="A783" s="141"/>
      <c r="B783" s="141"/>
      <c r="C783" s="141"/>
      <c r="D783" s="141"/>
      <c r="E783" s="141"/>
      <c r="F783" s="141"/>
      <c r="G783" s="141"/>
      <c r="H783" s="141"/>
    </row>
    <row r="784">
      <c r="A784" s="141"/>
      <c r="B784" s="141"/>
      <c r="C784" s="141"/>
      <c r="D784" s="141"/>
      <c r="E784" s="141"/>
      <c r="F784" s="141"/>
      <c r="G784" s="141"/>
      <c r="H784" s="141"/>
    </row>
    <row r="785">
      <c r="A785" s="141"/>
      <c r="B785" s="141"/>
      <c r="C785" s="141"/>
      <c r="D785" s="141"/>
      <c r="E785" s="141"/>
      <c r="F785" s="141"/>
      <c r="G785" s="141"/>
      <c r="H785" s="141"/>
    </row>
    <row r="786">
      <c r="A786" s="141"/>
      <c r="B786" s="141"/>
      <c r="C786" s="141"/>
      <c r="D786" s="141"/>
      <c r="E786" s="141"/>
      <c r="F786" s="141"/>
      <c r="G786" s="141"/>
      <c r="H786" s="141"/>
    </row>
    <row r="787">
      <c r="A787" s="141"/>
      <c r="B787" s="141"/>
      <c r="C787" s="141"/>
      <c r="D787" s="141"/>
      <c r="E787" s="141"/>
      <c r="F787" s="141"/>
      <c r="G787" s="141"/>
      <c r="H787" s="141"/>
    </row>
    <row r="788">
      <c r="A788" s="141"/>
      <c r="B788" s="141"/>
      <c r="C788" s="141"/>
      <c r="D788" s="141"/>
      <c r="E788" s="141"/>
      <c r="F788" s="141"/>
      <c r="G788" s="141"/>
      <c r="H788" s="141"/>
    </row>
    <row r="789">
      <c r="A789" s="141"/>
      <c r="B789" s="141"/>
      <c r="C789" s="141"/>
      <c r="D789" s="141"/>
      <c r="E789" s="141"/>
      <c r="F789" s="141"/>
      <c r="G789" s="141"/>
      <c r="H789" s="141"/>
    </row>
    <row r="790">
      <c r="A790" s="141"/>
      <c r="B790" s="141"/>
      <c r="C790" s="141"/>
      <c r="D790" s="141"/>
      <c r="E790" s="141"/>
      <c r="F790" s="141"/>
      <c r="G790" s="141"/>
      <c r="H790" s="141"/>
    </row>
    <row r="791">
      <c r="A791" s="141"/>
      <c r="B791" s="141"/>
      <c r="C791" s="141"/>
      <c r="D791" s="141"/>
      <c r="E791" s="141"/>
      <c r="F791" s="141"/>
      <c r="G791" s="141"/>
      <c r="H791" s="141"/>
    </row>
    <row r="792">
      <c r="A792" s="141"/>
      <c r="B792" s="141"/>
      <c r="C792" s="141"/>
      <c r="D792" s="141"/>
      <c r="E792" s="141"/>
      <c r="F792" s="141"/>
      <c r="G792" s="141"/>
      <c r="H792" s="141"/>
    </row>
    <row r="793">
      <c r="A793" s="141"/>
      <c r="B793" s="141"/>
      <c r="C793" s="141"/>
      <c r="D793" s="141"/>
      <c r="E793" s="141"/>
      <c r="F793" s="141"/>
      <c r="G793" s="141"/>
      <c r="H793" s="141"/>
    </row>
    <row r="794">
      <c r="A794" s="141"/>
      <c r="B794" s="141"/>
      <c r="C794" s="141"/>
      <c r="D794" s="141"/>
      <c r="E794" s="141"/>
      <c r="F794" s="141"/>
      <c r="G794" s="141"/>
      <c r="H794" s="141"/>
    </row>
    <row r="795">
      <c r="A795" s="141"/>
      <c r="B795" s="141"/>
      <c r="C795" s="141"/>
      <c r="D795" s="141"/>
      <c r="E795" s="141"/>
      <c r="F795" s="141"/>
      <c r="G795" s="141"/>
      <c r="H795" s="141"/>
    </row>
    <row r="796">
      <c r="A796" s="141"/>
      <c r="B796" s="141"/>
      <c r="C796" s="141"/>
      <c r="D796" s="141"/>
      <c r="E796" s="141"/>
      <c r="F796" s="141"/>
      <c r="G796" s="141"/>
      <c r="H796" s="141"/>
    </row>
    <row r="797">
      <c r="A797" s="141"/>
      <c r="B797" s="141"/>
      <c r="C797" s="141"/>
      <c r="D797" s="141"/>
      <c r="E797" s="141"/>
      <c r="F797" s="141"/>
      <c r="G797" s="141"/>
      <c r="H797" s="141"/>
    </row>
    <row r="798">
      <c r="A798" s="141"/>
      <c r="B798" s="141"/>
      <c r="C798" s="141"/>
      <c r="D798" s="141"/>
      <c r="E798" s="141"/>
      <c r="F798" s="141"/>
      <c r="G798" s="141"/>
      <c r="H798" s="141"/>
    </row>
    <row r="799">
      <c r="A799" s="141"/>
      <c r="B799" s="141"/>
      <c r="C799" s="141"/>
      <c r="D799" s="141"/>
      <c r="E799" s="141"/>
      <c r="F799" s="141"/>
      <c r="G799" s="141"/>
      <c r="H799" s="141"/>
    </row>
    <row r="800">
      <c r="A800" s="141"/>
      <c r="B800" s="141"/>
      <c r="C800" s="141"/>
      <c r="D800" s="141"/>
      <c r="E800" s="141"/>
      <c r="F800" s="141"/>
      <c r="G800" s="141"/>
      <c r="H800" s="141"/>
    </row>
    <row r="801">
      <c r="A801" s="141"/>
      <c r="B801" s="141"/>
      <c r="C801" s="141"/>
      <c r="D801" s="141"/>
      <c r="E801" s="141"/>
      <c r="F801" s="141"/>
      <c r="G801" s="141"/>
      <c r="H801" s="141"/>
    </row>
    <row r="802">
      <c r="A802" s="141"/>
      <c r="B802" s="141"/>
      <c r="C802" s="141"/>
      <c r="D802" s="141"/>
      <c r="E802" s="141"/>
      <c r="F802" s="141"/>
      <c r="G802" s="141"/>
      <c r="H802" s="141"/>
    </row>
    <row r="803">
      <c r="A803" s="141"/>
      <c r="B803" s="141"/>
      <c r="C803" s="141"/>
      <c r="D803" s="141"/>
      <c r="E803" s="141"/>
      <c r="F803" s="141"/>
      <c r="G803" s="141"/>
      <c r="H803" s="141"/>
    </row>
    <row r="804">
      <c r="A804" s="141"/>
      <c r="B804" s="141"/>
      <c r="C804" s="141"/>
      <c r="D804" s="141"/>
      <c r="E804" s="141"/>
      <c r="F804" s="141"/>
      <c r="G804" s="141"/>
      <c r="H804" s="141"/>
    </row>
    <row r="805">
      <c r="A805" s="141"/>
      <c r="B805" s="141"/>
      <c r="C805" s="141"/>
      <c r="D805" s="141"/>
      <c r="E805" s="141"/>
      <c r="F805" s="141"/>
      <c r="G805" s="141"/>
      <c r="H805" s="141"/>
    </row>
    <row r="806">
      <c r="A806" s="141"/>
      <c r="B806" s="141"/>
      <c r="C806" s="141"/>
      <c r="D806" s="141"/>
      <c r="E806" s="141"/>
      <c r="F806" s="141"/>
      <c r="G806" s="141"/>
      <c r="H806" s="141"/>
    </row>
    <row r="807">
      <c r="A807" s="141"/>
      <c r="B807" s="141"/>
      <c r="C807" s="141"/>
      <c r="D807" s="141"/>
      <c r="E807" s="141"/>
      <c r="F807" s="141"/>
      <c r="G807" s="141"/>
      <c r="H807" s="141"/>
    </row>
    <row r="808">
      <c r="A808" s="141"/>
      <c r="B808" s="141"/>
      <c r="C808" s="141"/>
      <c r="D808" s="141"/>
      <c r="E808" s="141"/>
      <c r="F808" s="141"/>
      <c r="G808" s="141"/>
      <c r="H808" s="141"/>
    </row>
    <row r="809">
      <c r="A809" s="141"/>
      <c r="B809" s="141"/>
      <c r="C809" s="141"/>
      <c r="D809" s="141"/>
      <c r="E809" s="141"/>
      <c r="F809" s="141"/>
      <c r="G809" s="141"/>
      <c r="H809" s="141"/>
    </row>
    <row r="810">
      <c r="A810" s="141"/>
      <c r="B810" s="141"/>
      <c r="C810" s="141"/>
      <c r="D810" s="141"/>
      <c r="E810" s="141"/>
      <c r="F810" s="141"/>
      <c r="G810" s="141"/>
      <c r="H810" s="141"/>
    </row>
    <row r="811">
      <c r="A811" s="141"/>
      <c r="B811" s="141"/>
      <c r="C811" s="141"/>
      <c r="D811" s="141"/>
      <c r="E811" s="141"/>
      <c r="F811" s="141"/>
      <c r="G811" s="141"/>
      <c r="H811" s="141"/>
    </row>
    <row r="812">
      <c r="A812" s="141"/>
      <c r="B812" s="141"/>
      <c r="C812" s="141"/>
      <c r="D812" s="141"/>
      <c r="E812" s="141"/>
      <c r="F812" s="141"/>
      <c r="G812" s="141"/>
      <c r="H812" s="141"/>
    </row>
    <row r="813">
      <c r="A813" s="141"/>
      <c r="B813" s="141"/>
      <c r="C813" s="141"/>
      <c r="D813" s="141"/>
      <c r="E813" s="141"/>
      <c r="F813" s="141"/>
      <c r="G813" s="141"/>
      <c r="H813" s="141"/>
    </row>
    <row r="814">
      <c r="A814" s="141"/>
      <c r="B814" s="141"/>
      <c r="C814" s="141"/>
      <c r="D814" s="141"/>
      <c r="E814" s="141"/>
      <c r="F814" s="141"/>
      <c r="G814" s="141"/>
      <c r="H814" s="141"/>
    </row>
    <row r="815">
      <c r="A815" s="141"/>
      <c r="B815" s="141"/>
      <c r="C815" s="141"/>
      <c r="D815" s="141"/>
      <c r="E815" s="141"/>
      <c r="F815" s="141"/>
      <c r="G815" s="141"/>
      <c r="H815" s="141"/>
    </row>
    <row r="816">
      <c r="A816" s="141"/>
      <c r="B816" s="141"/>
      <c r="C816" s="141"/>
      <c r="D816" s="141"/>
      <c r="E816" s="141"/>
      <c r="F816" s="141"/>
      <c r="G816" s="141"/>
      <c r="H816" s="141"/>
    </row>
    <row r="817">
      <c r="A817" s="141"/>
      <c r="B817" s="141"/>
      <c r="C817" s="141"/>
      <c r="D817" s="141"/>
      <c r="E817" s="141"/>
      <c r="F817" s="141"/>
      <c r="G817" s="141"/>
      <c r="H817" s="141"/>
    </row>
    <row r="818">
      <c r="A818" s="141"/>
      <c r="B818" s="141"/>
      <c r="C818" s="141"/>
      <c r="D818" s="141"/>
      <c r="E818" s="141"/>
      <c r="F818" s="141"/>
      <c r="G818" s="141"/>
      <c r="H818" s="141"/>
    </row>
    <row r="819">
      <c r="A819" s="141"/>
      <c r="B819" s="141"/>
      <c r="C819" s="141"/>
      <c r="D819" s="141"/>
      <c r="E819" s="141"/>
      <c r="F819" s="141"/>
      <c r="G819" s="141"/>
      <c r="H819" s="141"/>
    </row>
    <row r="820">
      <c r="A820" s="141"/>
      <c r="B820" s="141"/>
      <c r="C820" s="141"/>
      <c r="D820" s="141"/>
      <c r="E820" s="141"/>
      <c r="F820" s="141"/>
      <c r="G820" s="141"/>
      <c r="H820" s="141"/>
    </row>
    <row r="821">
      <c r="A821" s="141"/>
      <c r="B821" s="141"/>
      <c r="C821" s="141"/>
      <c r="D821" s="141"/>
      <c r="E821" s="141"/>
      <c r="F821" s="141"/>
      <c r="G821" s="141"/>
      <c r="H821" s="141"/>
    </row>
    <row r="822">
      <c r="A822" s="141"/>
      <c r="B822" s="141"/>
      <c r="C822" s="141"/>
      <c r="D822" s="141"/>
      <c r="E822" s="141"/>
      <c r="F822" s="141"/>
      <c r="G822" s="141"/>
      <c r="H822" s="141"/>
    </row>
    <row r="823">
      <c r="A823" s="141"/>
      <c r="B823" s="141"/>
      <c r="C823" s="141"/>
      <c r="D823" s="141"/>
      <c r="E823" s="141"/>
      <c r="F823" s="141"/>
      <c r="G823" s="141"/>
      <c r="H823" s="141"/>
    </row>
    <row r="824">
      <c r="A824" s="141"/>
      <c r="B824" s="141"/>
      <c r="C824" s="141"/>
      <c r="D824" s="141"/>
      <c r="E824" s="141"/>
      <c r="F824" s="141"/>
      <c r="G824" s="141"/>
      <c r="H824" s="141"/>
    </row>
    <row r="825">
      <c r="A825" s="141"/>
      <c r="B825" s="141"/>
      <c r="C825" s="141"/>
      <c r="D825" s="141"/>
      <c r="E825" s="141"/>
      <c r="F825" s="141"/>
      <c r="G825" s="141"/>
      <c r="H825" s="141"/>
    </row>
    <row r="826">
      <c r="A826" s="141"/>
      <c r="B826" s="141"/>
      <c r="C826" s="141"/>
      <c r="D826" s="141"/>
      <c r="E826" s="141"/>
      <c r="F826" s="141"/>
      <c r="G826" s="141"/>
      <c r="H826" s="141"/>
    </row>
    <row r="827">
      <c r="A827" s="141"/>
      <c r="B827" s="141"/>
      <c r="C827" s="141"/>
      <c r="D827" s="141"/>
      <c r="E827" s="141"/>
      <c r="F827" s="141"/>
      <c r="G827" s="141"/>
      <c r="H827" s="141"/>
    </row>
    <row r="828">
      <c r="A828" s="141"/>
      <c r="B828" s="141"/>
      <c r="C828" s="141"/>
      <c r="D828" s="141"/>
      <c r="E828" s="141"/>
      <c r="F828" s="141"/>
      <c r="G828" s="141"/>
      <c r="H828" s="141"/>
    </row>
    <row r="829">
      <c r="A829" s="141"/>
      <c r="B829" s="141"/>
      <c r="C829" s="141"/>
      <c r="D829" s="141"/>
      <c r="E829" s="141"/>
      <c r="F829" s="141"/>
      <c r="G829" s="141"/>
      <c r="H829" s="141"/>
    </row>
    <row r="830">
      <c r="A830" s="141"/>
      <c r="B830" s="141"/>
      <c r="C830" s="141"/>
      <c r="D830" s="141"/>
      <c r="E830" s="141"/>
      <c r="F830" s="141"/>
      <c r="G830" s="141"/>
      <c r="H830" s="141"/>
    </row>
    <row r="831">
      <c r="A831" s="141"/>
      <c r="B831" s="141"/>
      <c r="C831" s="141"/>
      <c r="D831" s="141"/>
      <c r="E831" s="141"/>
      <c r="F831" s="141"/>
      <c r="G831" s="141"/>
      <c r="H831" s="141"/>
    </row>
    <row r="832">
      <c r="A832" s="141"/>
      <c r="B832" s="141"/>
      <c r="C832" s="141"/>
      <c r="D832" s="141"/>
      <c r="E832" s="141"/>
      <c r="F832" s="141"/>
      <c r="G832" s="141"/>
      <c r="H832" s="141"/>
    </row>
    <row r="833">
      <c r="A833" s="141"/>
      <c r="B833" s="141"/>
      <c r="C833" s="141"/>
      <c r="D833" s="141"/>
      <c r="E833" s="141"/>
      <c r="F833" s="141"/>
      <c r="G833" s="141"/>
      <c r="H833" s="141"/>
    </row>
    <row r="834">
      <c r="A834" s="141"/>
      <c r="B834" s="141"/>
      <c r="C834" s="141"/>
      <c r="D834" s="141"/>
      <c r="E834" s="141"/>
      <c r="F834" s="141"/>
      <c r="G834" s="141"/>
      <c r="H834" s="141"/>
    </row>
    <row r="835">
      <c r="A835" s="141"/>
      <c r="B835" s="141"/>
      <c r="C835" s="141"/>
      <c r="D835" s="141"/>
      <c r="E835" s="141"/>
      <c r="F835" s="141"/>
      <c r="G835" s="141"/>
      <c r="H835" s="141"/>
    </row>
    <row r="836">
      <c r="A836" s="141"/>
      <c r="B836" s="141"/>
      <c r="C836" s="141"/>
      <c r="D836" s="141"/>
      <c r="E836" s="141"/>
      <c r="F836" s="141"/>
      <c r="G836" s="141"/>
      <c r="H836" s="141"/>
    </row>
    <row r="837">
      <c r="A837" s="141"/>
      <c r="B837" s="141"/>
      <c r="C837" s="141"/>
      <c r="D837" s="141"/>
      <c r="E837" s="141"/>
      <c r="F837" s="141"/>
      <c r="G837" s="141"/>
      <c r="H837" s="141"/>
    </row>
    <row r="838">
      <c r="A838" s="141"/>
      <c r="B838" s="141"/>
      <c r="C838" s="141"/>
      <c r="D838" s="141"/>
      <c r="E838" s="141"/>
      <c r="F838" s="141"/>
      <c r="G838" s="141"/>
      <c r="H838" s="141"/>
    </row>
    <row r="839">
      <c r="A839" s="141"/>
      <c r="B839" s="141"/>
      <c r="C839" s="141"/>
      <c r="D839" s="141"/>
      <c r="E839" s="141"/>
      <c r="F839" s="141"/>
      <c r="G839" s="141"/>
      <c r="H839" s="141"/>
    </row>
    <row r="840">
      <c r="A840" s="141"/>
      <c r="B840" s="141"/>
      <c r="C840" s="141"/>
      <c r="D840" s="141"/>
      <c r="E840" s="141"/>
      <c r="F840" s="141"/>
      <c r="G840" s="141"/>
      <c r="H840" s="141"/>
    </row>
    <row r="841">
      <c r="A841" s="141"/>
      <c r="B841" s="141"/>
      <c r="C841" s="141"/>
      <c r="D841" s="141"/>
      <c r="E841" s="141"/>
      <c r="F841" s="141"/>
      <c r="G841" s="141"/>
      <c r="H841" s="141"/>
    </row>
    <row r="842">
      <c r="A842" s="141"/>
      <c r="B842" s="141"/>
      <c r="C842" s="141"/>
      <c r="D842" s="141"/>
      <c r="E842" s="141"/>
      <c r="F842" s="141"/>
      <c r="G842" s="141"/>
      <c r="H842" s="141"/>
    </row>
    <row r="843">
      <c r="A843" s="141"/>
      <c r="B843" s="141"/>
      <c r="C843" s="141"/>
      <c r="D843" s="141"/>
      <c r="E843" s="141"/>
      <c r="F843" s="141"/>
      <c r="G843" s="141"/>
      <c r="H843" s="141"/>
    </row>
    <row r="844">
      <c r="A844" s="141"/>
      <c r="B844" s="141"/>
      <c r="C844" s="141"/>
      <c r="D844" s="141"/>
      <c r="E844" s="141"/>
      <c r="F844" s="141"/>
      <c r="G844" s="141"/>
      <c r="H844" s="141"/>
    </row>
    <row r="845">
      <c r="A845" s="141"/>
      <c r="B845" s="141"/>
      <c r="C845" s="141"/>
      <c r="D845" s="141"/>
      <c r="E845" s="141"/>
      <c r="F845" s="141"/>
      <c r="G845" s="141"/>
      <c r="H845" s="141"/>
    </row>
    <row r="846">
      <c r="A846" s="141"/>
      <c r="B846" s="141"/>
      <c r="C846" s="141"/>
      <c r="D846" s="141"/>
      <c r="E846" s="141"/>
      <c r="F846" s="141"/>
      <c r="G846" s="141"/>
      <c r="H846" s="141"/>
    </row>
    <row r="847">
      <c r="A847" s="141"/>
      <c r="B847" s="141"/>
      <c r="C847" s="141"/>
      <c r="D847" s="141"/>
      <c r="E847" s="141"/>
      <c r="F847" s="141"/>
      <c r="G847" s="141"/>
      <c r="H847" s="141"/>
    </row>
    <row r="848">
      <c r="A848" s="141"/>
      <c r="B848" s="141"/>
      <c r="C848" s="141"/>
      <c r="D848" s="141"/>
      <c r="E848" s="141"/>
      <c r="F848" s="141"/>
      <c r="G848" s="141"/>
      <c r="H848" s="141"/>
    </row>
    <row r="849">
      <c r="A849" s="141"/>
      <c r="B849" s="141"/>
      <c r="C849" s="141"/>
      <c r="D849" s="141"/>
      <c r="E849" s="141"/>
      <c r="F849" s="141"/>
      <c r="G849" s="141"/>
      <c r="H849" s="141"/>
    </row>
    <row r="850">
      <c r="A850" s="141"/>
      <c r="B850" s="141"/>
      <c r="C850" s="141"/>
      <c r="D850" s="141"/>
      <c r="E850" s="141"/>
      <c r="F850" s="141"/>
      <c r="G850" s="141"/>
      <c r="H850" s="141"/>
    </row>
    <row r="851">
      <c r="A851" s="141"/>
      <c r="B851" s="141"/>
      <c r="C851" s="141"/>
      <c r="D851" s="141"/>
      <c r="E851" s="141"/>
      <c r="F851" s="141"/>
      <c r="G851" s="141"/>
      <c r="H851" s="141"/>
    </row>
    <row r="852">
      <c r="A852" s="141"/>
      <c r="B852" s="141"/>
      <c r="C852" s="141"/>
      <c r="D852" s="141"/>
      <c r="E852" s="141"/>
      <c r="F852" s="141"/>
      <c r="G852" s="141"/>
      <c r="H852" s="141"/>
    </row>
    <row r="853">
      <c r="A853" s="141"/>
      <c r="B853" s="141"/>
      <c r="C853" s="141"/>
      <c r="D853" s="141"/>
      <c r="E853" s="141"/>
      <c r="F853" s="141"/>
      <c r="G853" s="141"/>
      <c r="H853" s="141"/>
    </row>
    <row r="854">
      <c r="A854" s="141"/>
      <c r="B854" s="141"/>
      <c r="C854" s="141"/>
      <c r="D854" s="141"/>
      <c r="E854" s="141"/>
      <c r="F854" s="141"/>
      <c r="G854" s="141"/>
      <c r="H854" s="141"/>
    </row>
    <row r="855">
      <c r="A855" s="141"/>
      <c r="B855" s="141"/>
      <c r="C855" s="141"/>
      <c r="D855" s="141"/>
      <c r="E855" s="141"/>
      <c r="F855" s="141"/>
      <c r="G855" s="141"/>
      <c r="H855" s="141"/>
    </row>
    <row r="856">
      <c r="A856" s="141"/>
      <c r="B856" s="141"/>
      <c r="C856" s="141"/>
      <c r="D856" s="141"/>
      <c r="E856" s="141"/>
      <c r="F856" s="141"/>
      <c r="G856" s="141"/>
      <c r="H856" s="141"/>
    </row>
    <row r="857">
      <c r="A857" s="141"/>
      <c r="B857" s="141"/>
      <c r="C857" s="141"/>
      <c r="D857" s="141"/>
      <c r="E857" s="141"/>
      <c r="F857" s="141"/>
      <c r="G857" s="141"/>
      <c r="H857" s="141"/>
    </row>
    <row r="858">
      <c r="A858" s="141"/>
      <c r="B858" s="141"/>
      <c r="C858" s="141"/>
      <c r="D858" s="141"/>
      <c r="E858" s="141"/>
      <c r="F858" s="141"/>
      <c r="G858" s="141"/>
      <c r="H858" s="141"/>
    </row>
    <row r="859">
      <c r="A859" s="141"/>
      <c r="B859" s="141"/>
      <c r="C859" s="141"/>
      <c r="D859" s="141"/>
      <c r="E859" s="141"/>
      <c r="F859" s="141"/>
      <c r="G859" s="141"/>
      <c r="H859" s="141"/>
    </row>
    <row r="860">
      <c r="A860" s="141"/>
      <c r="B860" s="141"/>
      <c r="C860" s="141"/>
      <c r="D860" s="141"/>
      <c r="E860" s="141"/>
      <c r="F860" s="141"/>
      <c r="G860" s="141"/>
      <c r="H860" s="141"/>
    </row>
    <row r="861">
      <c r="A861" s="141"/>
      <c r="B861" s="141"/>
      <c r="C861" s="141"/>
      <c r="D861" s="141"/>
      <c r="E861" s="141"/>
      <c r="F861" s="141"/>
      <c r="G861" s="141"/>
      <c r="H861" s="141"/>
    </row>
    <row r="862">
      <c r="A862" s="141"/>
      <c r="B862" s="141"/>
      <c r="C862" s="141"/>
      <c r="D862" s="141"/>
      <c r="E862" s="141"/>
      <c r="F862" s="141"/>
      <c r="G862" s="141"/>
      <c r="H862" s="141"/>
    </row>
    <row r="863">
      <c r="A863" s="141"/>
      <c r="B863" s="141"/>
      <c r="C863" s="141"/>
      <c r="D863" s="141"/>
      <c r="E863" s="141"/>
      <c r="F863" s="141"/>
      <c r="G863" s="141"/>
      <c r="H863" s="141"/>
    </row>
    <row r="864">
      <c r="A864" s="141"/>
      <c r="B864" s="141"/>
      <c r="C864" s="141"/>
      <c r="D864" s="141"/>
      <c r="E864" s="141"/>
      <c r="F864" s="141"/>
      <c r="G864" s="141"/>
      <c r="H864" s="141"/>
    </row>
    <row r="865">
      <c r="A865" s="141"/>
      <c r="B865" s="141"/>
      <c r="C865" s="141"/>
      <c r="D865" s="141"/>
      <c r="E865" s="141"/>
      <c r="F865" s="141"/>
      <c r="G865" s="141"/>
      <c r="H865" s="141"/>
    </row>
    <row r="866">
      <c r="A866" s="141"/>
      <c r="B866" s="141"/>
      <c r="C866" s="141"/>
      <c r="D866" s="141"/>
      <c r="E866" s="141"/>
      <c r="F866" s="141"/>
      <c r="G866" s="141"/>
      <c r="H866" s="141"/>
    </row>
    <row r="867">
      <c r="A867" s="141"/>
      <c r="B867" s="141"/>
      <c r="C867" s="141"/>
      <c r="D867" s="141"/>
      <c r="E867" s="141"/>
      <c r="F867" s="141"/>
      <c r="G867" s="141"/>
      <c r="H867" s="141"/>
    </row>
    <row r="868">
      <c r="A868" s="141"/>
      <c r="B868" s="141"/>
      <c r="C868" s="141"/>
      <c r="D868" s="141"/>
      <c r="E868" s="141"/>
      <c r="F868" s="141"/>
      <c r="G868" s="141"/>
      <c r="H868" s="141"/>
    </row>
    <row r="869">
      <c r="A869" s="141"/>
      <c r="B869" s="141"/>
      <c r="C869" s="141"/>
      <c r="D869" s="141"/>
      <c r="E869" s="141"/>
      <c r="F869" s="141"/>
      <c r="G869" s="141"/>
      <c r="H869" s="141"/>
    </row>
    <row r="870">
      <c r="A870" s="141"/>
      <c r="B870" s="141"/>
      <c r="C870" s="141"/>
      <c r="D870" s="141"/>
      <c r="E870" s="141"/>
      <c r="F870" s="141"/>
      <c r="G870" s="141"/>
      <c r="H870" s="141"/>
    </row>
    <row r="871">
      <c r="A871" s="141"/>
      <c r="B871" s="141"/>
      <c r="C871" s="141"/>
      <c r="D871" s="141"/>
      <c r="E871" s="141"/>
      <c r="F871" s="141"/>
      <c r="G871" s="141"/>
      <c r="H871" s="141"/>
    </row>
    <row r="872">
      <c r="A872" s="141"/>
      <c r="B872" s="141"/>
      <c r="C872" s="141"/>
      <c r="D872" s="141"/>
      <c r="E872" s="141"/>
      <c r="F872" s="141"/>
      <c r="G872" s="141"/>
      <c r="H872" s="141"/>
    </row>
    <row r="873">
      <c r="A873" s="141"/>
      <c r="B873" s="141"/>
      <c r="C873" s="141"/>
      <c r="D873" s="141"/>
      <c r="E873" s="141"/>
      <c r="F873" s="141"/>
      <c r="G873" s="141"/>
      <c r="H873" s="141"/>
    </row>
    <row r="874">
      <c r="A874" s="141"/>
      <c r="B874" s="141"/>
      <c r="C874" s="141"/>
      <c r="D874" s="141"/>
      <c r="E874" s="141"/>
      <c r="F874" s="141"/>
      <c r="G874" s="141"/>
      <c r="H874" s="141"/>
    </row>
    <row r="875">
      <c r="A875" s="141"/>
      <c r="B875" s="141"/>
      <c r="C875" s="141"/>
      <c r="D875" s="141"/>
      <c r="E875" s="141"/>
      <c r="F875" s="141"/>
      <c r="G875" s="141"/>
      <c r="H875" s="141"/>
    </row>
    <row r="876">
      <c r="A876" s="141"/>
      <c r="B876" s="141"/>
      <c r="C876" s="141"/>
      <c r="D876" s="141"/>
      <c r="E876" s="141"/>
      <c r="F876" s="141"/>
      <c r="G876" s="141"/>
      <c r="H876" s="141"/>
    </row>
    <row r="877">
      <c r="A877" s="141"/>
      <c r="B877" s="141"/>
      <c r="C877" s="141"/>
      <c r="D877" s="141"/>
      <c r="E877" s="141"/>
      <c r="F877" s="141"/>
      <c r="G877" s="141"/>
      <c r="H877" s="141"/>
    </row>
    <row r="878">
      <c r="A878" s="141"/>
      <c r="B878" s="141"/>
      <c r="C878" s="141"/>
      <c r="D878" s="141"/>
      <c r="E878" s="141"/>
      <c r="F878" s="141"/>
      <c r="G878" s="141"/>
      <c r="H878" s="141"/>
    </row>
    <row r="879">
      <c r="A879" s="141"/>
      <c r="B879" s="141"/>
      <c r="C879" s="141"/>
      <c r="D879" s="141"/>
      <c r="E879" s="141"/>
      <c r="F879" s="141"/>
      <c r="G879" s="141"/>
      <c r="H879" s="141"/>
    </row>
    <row r="880">
      <c r="A880" s="141"/>
      <c r="B880" s="141"/>
      <c r="C880" s="141"/>
      <c r="D880" s="141"/>
      <c r="E880" s="141"/>
      <c r="F880" s="141"/>
      <c r="G880" s="141"/>
      <c r="H880" s="141"/>
    </row>
    <row r="881">
      <c r="A881" s="141"/>
      <c r="B881" s="141"/>
      <c r="C881" s="141"/>
      <c r="D881" s="141"/>
      <c r="E881" s="141"/>
      <c r="F881" s="141"/>
      <c r="G881" s="141"/>
      <c r="H881" s="141"/>
    </row>
    <row r="882">
      <c r="A882" s="141"/>
      <c r="B882" s="141"/>
      <c r="C882" s="141"/>
      <c r="D882" s="141"/>
      <c r="E882" s="141"/>
      <c r="F882" s="141"/>
      <c r="G882" s="141"/>
      <c r="H882" s="141"/>
    </row>
    <row r="883">
      <c r="A883" s="141"/>
      <c r="B883" s="141"/>
      <c r="C883" s="141"/>
      <c r="D883" s="141"/>
      <c r="E883" s="141"/>
      <c r="F883" s="141"/>
      <c r="G883" s="141"/>
      <c r="H883" s="141"/>
    </row>
    <row r="884">
      <c r="A884" s="141"/>
      <c r="B884" s="141"/>
      <c r="C884" s="141"/>
      <c r="D884" s="141"/>
      <c r="E884" s="141"/>
      <c r="F884" s="141"/>
      <c r="G884" s="141"/>
      <c r="H884" s="141"/>
    </row>
    <row r="885">
      <c r="A885" s="141"/>
      <c r="B885" s="141"/>
      <c r="C885" s="141"/>
      <c r="D885" s="141"/>
      <c r="E885" s="141"/>
      <c r="F885" s="141"/>
      <c r="G885" s="141"/>
      <c r="H885" s="141"/>
    </row>
    <row r="886">
      <c r="A886" s="141"/>
      <c r="B886" s="141"/>
      <c r="C886" s="141"/>
      <c r="D886" s="141"/>
      <c r="E886" s="141"/>
      <c r="F886" s="141"/>
      <c r="G886" s="141"/>
      <c r="H886" s="141"/>
    </row>
    <row r="887">
      <c r="A887" s="141"/>
      <c r="B887" s="141"/>
      <c r="C887" s="141"/>
      <c r="D887" s="141"/>
      <c r="E887" s="141"/>
      <c r="F887" s="141"/>
      <c r="G887" s="141"/>
      <c r="H887" s="141"/>
    </row>
    <row r="888">
      <c r="A888" s="141"/>
      <c r="B888" s="141"/>
      <c r="C888" s="141"/>
      <c r="D888" s="141"/>
      <c r="E888" s="141"/>
      <c r="F888" s="141"/>
      <c r="G888" s="141"/>
      <c r="H888" s="141"/>
    </row>
    <row r="889">
      <c r="A889" s="141"/>
      <c r="B889" s="141"/>
      <c r="C889" s="141"/>
      <c r="D889" s="141"/>
      <c r="E889" s="141"/>
      <c r="F889" s="141"/>
      <c r="G889" s="141"/>
      <c r="H889" s="141"/>
    </row>
    <row r="890">
      <c r="A890" s="141"/>
      <c r="B890" s="141"/>
      <c r="C890" s="141"/>
      <c r="D890" s="141"/>
      <c r="E890" s="141"/>
      <c r="F890" s="141"/>
      <c r="G890" s="141"/>
      <c r="H890" s="141"/>
    </row>
    <row r="891">
      <c r="A891" s="141"/>
      <c r="B891" s="141"/>
      <c r="C891" s="141"/>
      <c r="D891" s="141"/>
      <c r="E891" s="141"/>
      <c r="F891" s="141"/>
      <c r="G891" s="141"/>
      <c r="H891" s="141"/>
    </row>
    <row r="892">
      <c r="A892" s="141"/>
      <c r="B892" s="141"/>
      <c r="C892" s="141"/>
      <c r="D892" s="141"/>
      <c r="E892" s="141"/>
      <c r="F892" s="141"/>
      <c r="G892" s="141"/>
      <c r="H892" s="141"/>
    </row>
    <row r="893">
      <c r="A893" s="141"/>
      <c r="B893" s="141"/>
      <c r="C893" s="141"/>
      <c r="D893" s="141"/>
      <c r="E893" s="141"/>
      <c r="F893" s="141"/>
      <c r="G893" s="141"/>
      <c r="H893" s="141"/>
    </row>
    <row r="894">
      <c r="A894" s="141"/>
      <c r="B894" s="141"/>
      <c r="C894" s="141"/>
      <c r="D894" s="141"/>
      <c r="E894" s="141"/>
      <c r="F894" s="141"/>
      <c r="G894" s="141"/>
      <c r="H894" s="141"/>
    </row>
    <row r="895">
      <c r="A895" s="141"/>
      <c r="B895" s="141"/>
      <c r="C895" s="141"/>
      <c r="D895" s="141"/>
      <c r="E895" s="141"/>
      <c r="F895" s="141"/>
      <c r="G895" s="141"/>
      <c r="H895" s="141"/>
    </row>
    <row r="896">
      <c r="A896" s="141"/>
      <c r="B896" s="141"/>
      <c r="C896" s="141"/>
      <c r="D896" s="141"/>
      <c r="E896" s="141"/>
      <c r="F896" s="141"/>
      <c r="G896" s="141"/>
      <c r="H896" s="141"/>
    </row>
    <row r="897">
      <c r="A897" s="141"/>
      <c r="B897" s="141"/>
      <c r="C897" s="141"/>
      <c r="D897" s="141"/>
      <c r="E897" s="141"/>
      <c r="F897" s="141"/>
      <c r="G897" s="141"/>
      <c r="H897" s="141"/>
    </row>
    <row r="898">
      <c r="A898" s="141"/>
      <c r="B898" s="141"/>
      <c r="C898" s="141"/>
      <c r="D898" s="141"/>
      <c r="E898" s="141"/>
      <c r="F898" s="141"/>
      <c r="G898" s="141"/>
      <c r="H898" s="141"/>
    </row>
    <row r="899">
      <c r="A899" s="141"/>
      <c r="B899" s="141"/>
      <c r="C899" s="141"/>
      <c r="D899" s="141"/>
      <c r="E899" s="141"/>
      <c r="F899" s="141"/>
      <c r="G899" s="141"/>
      <c r="H899" s="141"/>
    </row>
    <row r="900">
      <c r="A900" s="141"/>
      <c r="B900" s="141"/>
      <c r="C900" s="141"/>
      <c r="D900" s="141"/>
      <c r="E900" s="141"/>
      <c r="F900" s="141"/>
      <c r="G900" s="141"/>
      <c r="H900" s="141"/>
    </row>
    <row r="901">
      <c r="A901" s="141"/>
      <c r="B901" s="141"/>
      <c r="C901" s="141"/>
      <c r="D901" s="141"/>
      <c r="E901" s="141"/>
      <c r="F901" s="141"/>
      <c r="G901" s="141"/>
      <c r="H901" s="141"/>
    </row>
    <row r="902">
      <c r="A902" s="141"/>
      <c r="B902" s="141"/>
      <c r="C902" s="141"/>
      <c r="D902" s="141"/>
      <c r="E902" s="141"/>
      <c r="F902" s="141"/>
      <c r="G902" s="141"/>
      <c r="H902" s="141"/>
    </row>
    <row r="903">
      <c r="A903" s="141"/>
      <c r="B903" s="141"/>
      <c r="C903" s="141"/>
      <c r="D903" s="141"/>
      <c r="E903" s="141"/>
      <c r="F903" s="141"/>
      <c r="G903" s="141"/>
      <c r="H903" s="141"/>
    </row>
    <row r="904">
      <c r="A904" s="141"/>
      <c r="B904" s="141"/>
      <c r="C904" s="141"/>
      <c r="D904" s="141"/>
      <c r="E904" s="141"/>
      <c r="F904" s="141"/>
      <c r="G904" s="141"/>
      <c r="H904" s="141"/>
    </row>
    <row r="905">
      <c r="A905" s="141"/>
      <c r="B905" s="141"/>
      <c r="C905" s="141"/>
      <c r="D905" s="141"/>
      <c r="E905" s="141"/>
      <c r="F905" s="141"/>
      <c r="G905" s="141"/>
      <c r="H905" s="141"/>
    </row>
    <row r="906">
      <c r="A906" s="141"/>
      <c r="B906" s="141"/>
      <c r="C906" s="141"/>
      <c r="D906" s="141"/>
      <c r="E906" s="141"/>
      <c r="F906" s="141"/>
      <c r="G906" s="141"/>
      <c r="H906" s="141"/>
    </row>
    <row r="907">
      <c r="A907" s="141"/>
      <c r="B907" s="141"/>
      <c r="C907" s="141"/>
      <c r="D907" s="141"/>
      <c r="E907" s="141"/>
      <c r="F907" s="141"/>
      <c r="G907" s="141"/>
      <c r="H907" s="141"/>
    </row>
    <row r="908">
      <c r="A908" s="141"/>
      <c r="B908" s="141"/>
      <c r="C908" s="141"/>
      <c r="D908" s="141"/>
      <c r="E908" s="141"/>
      <c r="F908" s="141"/>
      <c r="G908" s="141"/>
      <c r="H908" s="141"/>
    </row>
    <row r="909">
      <c r="A909" s="141"/>
      <c r="B909" s="141"/>
      <c r="C909" s="141"/>
      <c r="D909" s="141"/>
      <c r="E909" s="141"/>
      <c r="F909" s="141"/>
      <c r="G909" s="141"/>
      <c r="H909" s="141"/>
    </row>
    <row r="910">
      <c r="A910" s="141"/>
      <c r="B910" s="141"/>
      <c r="C910" s="141"/>
      <c r="D910" s="141"/>
      <c r="E910" s="141"/>
      <c r="F910" s="141"/>
      <c r="G910" s="141"/>
      <c r="H910" s="141"/>
    </row>
    <row r="911">
      <c r="A911" s="141"/>
      <c r="B911" s="141"/>
      <c r="C911" s="141"/>
      <c r="D911" s="141"/>
      <c r="E911" s="141"/>
      <c r="F911" s="141"/>
      <c r="G911" s="141"/>
      <c r="H911" s="141"/>
    </row>
    <row r="912">
      <c r="A912" s="141"/>
      <c r="B912" s="141"/>
      <c r="C912" s="141"/>
      <c r="D912" s="141"/>
      <c r="E912" s="141"/>
      <c r="F912" s="141"/>
      <c r="G912" s="141"/>
      <c r="H912" s="141"/>
    </row>
    <row r="913">
      <c r="A913" s="141"/>
      <c r="B913" s="141"/>
      <c r="C913" s="141"/>
      <c r="D913" s="141"/>
      <c r="E913" s="141"/>
      <c r="F913" s="141"/>
      <c r="G913" s="141"/>
      <c r="H913" s="141"/>
    </row>
    <row r="914">
      <c r="A914" s="141"/>
      <c r="B914" s="141"/>
      <c r="C914" s="141"/>
      <c r="D914" s="141"/>
      <c r="E914" s="141"/>
      <c r="F914" s="141"/>
      <c r="G914" s="141"/>
      <c r="H914" s="141"/>
    </row>
    <row r="915">
      <c r="A915" s="141"/>
      <c r="B915" s="141"/>
      <c r="C915" s="141"/>
      <c r="D915" s="141"/>
      <c r="E915" s="141"/>
      <c r="F915" s="141"/>
      <c r="G915" s="141"/>
      <c r="H915" s="141"/>
    </row>
    <row r="916">
      <c r="A916" s="141"/>
      <c r="B916" s="141"/>
      <c r="C916" s="141"/>
      <c r="D916" s="141"/>
      <c r="E916" s="141"/>
      <c r="F916" s="141"/>
      <c r="G916" s="141"/>
      <c r="H916" s="141"/>
    </row>
    <row r="917">
      <c r="A917" s="141"/>
      <c r="B917" s="141"/>
      <c r="C917" s="141"/>
      <c r="D917" s="141"/>
      <c r="E917" s="141"/>
      <c r="F917" s="141"/>
      <c r="G917" s="141"/>
      <c r="H917" s="141"/>
    </row>
    <row r="918">
      <c r="A918" s="141"/>
      <c r="B918" s="141"/>
      <c r="C918" s="141"/>
      <c r="D918" s="141"/>
      <c r="E918" s="141"/>
      <c r="F918" s="141"/>
      <c r="G918" s="141"/>
      <c r="H918" s="141"/>
    </row>
    <row r="919">
      <c r="A919" s="141"/>
      <c r="B919" s="141"/>
      <c r="C919" s="141"/>
      <c r="D919" s="141"/>
      <c r="E919" s="141"/>
      <c r="F919" s="141"/>
      <c r="G919" s="141"/>
      <c r="H919" s="141"/>
    </row>
    <row r="920">
      <c r="A920" s="141"/>
      <c r="B920" s="141"/>
      <c r="C920" s="141"/>
      <c r="D920" s="141"/>
      <c r="E920" s="141"/>
      <c r="F920" s="141"/>
      <c r="G920" s="141"/>
      <c r="H920" s="141"/>
    </row>
    <row r="921">
      <c r="A921" s="141"/>
      <c r="B921" s="141"/>
      <c r="C921" s="141"/>
      <c r="D921" s="141"/>
      <c r="E921" s="141"/>
      <c r="F921" s="141"/>
      <c r="G921" s="141"/>
      <c r="H921" s="141"/>
    </row>
    <row r="922">
      <c r="A922" s="141"/>
      <c r="B922" s="141"/>
      <c r="C922" s="141"/>
      <c r="D922" s="141"/>
      <c r="E922" s="141"/>
      <c r="F922" s="141"/>
      <c r="G922" s="141"/>
      <c r="H922" s="141"/>
    </row>
    <row r="923">
      <c r="A923" s="141"/>
      <c r="B923" s="141"/>
      <c r="C923" s="141"/>
      <c r="D923" s="141"/>
      <c r="E923" s="141"/>
      <c r="F923" s="141"/>
      <c r="G923" s="141"/>
      <c r="H923" s="141"/>
    </row>
    <row r="924">
      <c r="A924" s="141"/>
      <c r="B924" s="141"/>
      <c r="C924" s="141"/>
      <c r="D924" s="141"/>
      <c r="E924" s="141"/>
      <c r="F924" s="141"/>
      <c r="G924" s="141"/>
      <c r="H924" s="141"/>
    </row>
    <row r="925">
      <c r="A925" s="141"/>
      <c r="B925" s="141"/>
      <c r="C925" s="141"/>
      <c r="D925" s="141"/>
      <c r="E925" s="141"/>
      <c r="F925" s="141"/>
      <c r="G925" s="141"/>
      <c r="H925" s="141"/>
    </row>
    <row r="926">
      <c r="A926" s="141"/>
      <c r="B926" s="141"/>
      <c r="C926" s="141"/>
      <c r="D926" s="141"/>
      <c r="E926" s="141"/>
      <c r="F926" s="141"/>
      <c r="G926" s="141"/>
      <c r="H926" s="141"/>
    </row>
    <row r="927">
      <c r="A927" s="141"/>
      <c r="B927" s="141"/>
      <c r="C927" s="141"/>
      <c r="D927" s="141"/>
      <c r="E927" s="141"/>
      <c r="F927" s="141"/>
      <c r="G927" s="141"/>
      <c r="H927" s="141"/>
    </row>
    <row r="928">
      <c r="A928" s="141"/>
      <c r="B928" s="141"/>
      <c r="C928" s="141"/>
      <c r="D928" s="141"/>
      <c r="E928" s="141"/>
      <c r="F928" s="141"/>
      <c r="G928" s="141"/>
      <c r="H928" s="141"/>
    </row>
    <row r="929">
      <c r="A929" s="141"/>
      <c r="B929" s="141"/>
      <c r="C929" s="141"/>
      <c r="D929" s="141"/>
      <c r="E929" s="141"/>
      <c r="F929" s="141"/>
      <c r="G929" s="141"/>
      <c r="H929" s="141"/>
    </row>
    <row r="930">
      <c r="A930" s="141"/>
      <c r="B930" s="141"/>
      <c r="C930" s="141"/>
      <c r="D930" s="141"/>
      <c r="E930" s="141"/>
      <c r="F930" s="141"/>
      <c r="G930" s="141"/>
      <c r="H930" s="141"/>
    </row>
    <row r="931">
      <c r="A931" s="141"/>
      <c r="B931" s="141"/>
      <c r="C931" s="141"/>
      <c r="D931" s="141"/>
      <c r="E931" s="141"/>
      <c r="F931" s="141"/>
      <c r="G931" s="141"/>
      <c r="H931" s="141"/>
    </row>
    <row r="932">
      <c r="A932" s="141"/>
      <c r="B932" s="141"/>
      <c r="C932" s="141"/>
      <c r="D932" s="141"/>
      <c r="E932" s="141"/>
      <c r="F932" s="141"/>
      <c r="G932" s="141"/>
      <c r="H932" s="141"/>
    </row>
    <row r="933">
      <c r="A933" s="141"/>
      <c r="B933" s="141"/>
      <c r="C933" s="141"/>
      <c r="D933" s="141"/>
      <c r="E933" s="141"/>
      <c r="F933" s="141"/>
      <c r="G933" s="141"/>
      <c r="H933" s="141"/>
    </row>
    <row r="934">
      <c r="A934" s="141"/>
      <c r="B934" s="141"/>
      <c r="C934" s="141"/>
      <c r="D934" s="141"/>
      <c r="E934" s="141"/>
      <c r="F934" s="141"/>
      <c r="G934" s="141"/>
      <c r="H934" s="141"/>
    </row>
    <row r="935">
      <c r="A935" s="141"/>
      <c r="B935" s="141"/>
      <c r="C935" s="141"/>
      <c r="D935" s="141"/>
      <c r="E935" s="141"/>
      <c r="F935" s="141"/>
      <c r="G935" s="141"/>
      <c r="H935" s="141"/>
    </row>
    <row r="936">
      <c r="A936" s="141"/>
      <c r="B936" s="141"/>
      <c r="C936" s="141"/>
      <c r="D936" s="141"/>
      <c r="E936" s="141"/>
      <c r="F936" s="141"/>
      <c r="G936" s="141"/>
      <c r="H936" s="141"/>
    </row>
    <row r="937">
      <c r="A937" s="141"/>
      <c r="B937" s="141"/>
      <c r="C937" s="141"/>
      <c r="D937" s="141"/>
      <c r="E937" s="141"/>
      <c r="F937" s="141"/>
      <c r="G937" s="141"/>
      <c r="H937" s="141"/>
    </row>
    <row r="938">
      <c r="A938" s="141"/>
      <c r="B938" s="141"/>
      <c r="C938" s="141"/>
      <c r="D938" s="141"/>
      <c r="E938" s="141"/>
      <c r="F938" s="141"/>
      <c r="G938" s="141"/>
      <c r="H938" s="141"/>
    </row>
    <row r="939">
      <c r="A939" s="141"/>
      <c r="B939" s="141"/>
      <c r="C939" s="141"/>
      <c r="D939" s="141"/>
      <c r="E939" s="141"/>
      <c r="F939" s="141"/>
      <c r="G939" s="141"/>
      <c r="H939" s="141"/>
    </row>
    <row r="940">
      <c r="A940" s="141"/>
      <c r="B940" s="141"/>
      <c r="C940" s="141"/>
      <c r="D940" s="141"/>
      <c r="E940" s="141"/>
      <c r="F940" s="141"/>
      <c r="G940" s="141"/>
      <c r="H940" s="141"/>
    </row>
    <row r="941">
      <c r="A941" s="141"/>
      <c r="B941" s="141"/>
      <c r="C941" s="141"/>
      <c r="D941" s="141"/>
      <c r="E941" s="141"/>
      <c r="F941" s="141"/>
      <c r="G941" s="141"/>
      <c r="H941" s="141"/>
    </row>
    <row r="942">
      <c r="A942" s="141"/>
      <c r="B942" s="141"/>
      <c r="C942" s="141"/>
      <c r="D942" s="141"/>
      <c r="E942" s="141"/>
      <c r="F942" s="141"/>
      <c r="G942" s="141"/>
      <c r="H942" s="141"/>
    </row>
    <row r="943">
      <c r="A943" s="141"/>
      <c r="B943" s="141"/>
      <c r="C943" s="141"/>
      <c r="D943" s="141"/>
      <c r="E943" s="141"/>
      <c r="F943" s="141"/>
      <c r="G943" s="141"/>
      <c r="H943" s="141"/>
    </row>
    <row r="944">
      <c r="A944" s="141"/>
      <c r="B944" s="141"/>
      <c r="C944" s="141"/>
      <c r="D944" s="141"/>
      <c r="E944" s="141"/>
      <c r="F944" s="141"/>
      <c r="G944" s="141"/>
      <c r="H944" s="141"/>
    </row>
    <row r="945">
      <c r="A945" s="141"/>
      <c r="B945" s="141"/>
      <c r="C945" s="141"/>
      <c r="D945" s="141"/>
      <c r="E945" s="141"/>
      <c r="F945" s="141"/>
      <c r="G945" s="141"/>
      <c r="H945" s="141"/>
    </row>
    <row r="946">
      <c r="A946" s="141"/>
      <c r="B946" s="141"/>
      <c r="C946" s="141"/>
      <c r="D946" s="141"/>
      <c r="E946" s="141"/>
      <c r="F946" s="141"/>
      <c r="G946" s="141"/>
      <c r="H946" s="141"/>
    </row>
    <row r="947">
      <c r="A947" s="141"/>
      <c r="B947" s="141"/>
      <c r="C947" s="141"/>
      <c r="D947" s="141"/>
      <c r="E947" s="141"/>
      <c r="F947" s="141"/>
      <c r="G947" s="141"/>
      <c r="H947" s="141"/>
    </row>
    <row r="948">
      <c r="A948" s="141"/>
      <c r="B948" s="141"/>
      <c r="C948" s="141"/>
      <c r="D948" s="141"/>
      <c r="E948" s="141"/>
      <c r="F948" s="141"/>
      <c r="G948" s="141"/>
      <c r="H948" s="141"/>
    </row>
    <row r="949">
      <c r="A949" s="141"/>
      <c r="B949" s="141"/>
      <c r="C949" s="141"/>
      <c r="D949" s="141"/>
      <c r="E949" s="141"/>
      <c r="F949" s="141"/>
      <c r="G949" s="141"/>
      <c r="H949" s="141"/>
    </row>
    <row r="950">
      <c r="A950" s="141"/>
      <c r="B950" s="141"/>
      <c r="C950" s="141"/>
      <c r="D950" s="141"/>
      <c r="E950" s="141"/>
      <c r="F950" s="141"/>
      <c r="G950" s="141"/>
      <c r="H950" s="141"/>
    </row>
    <row r="951">
      <c r="A951" s="141"/>
      <c r="B951" s="141"/>
      <c r="C951" s="141"/>
      <c r="D951" s="141"/>
      <c r="E951" s="141"/>
      <c r="F951" s="141"/>
      <c r="G951" s="141"/>
      <c r="H951" s="141"/>
    </row>
    <row r="952">
      <c r="A952" s="141"/>
      <c r="B952" s="141"/>
      <c r="C952" s="141"/>
      <c r="D952" s="141"/>
      <c r="E952" s="141"/>
      <c r="F952" s="141"/>
      <c r="G952" s="141"/>
      <c r="H952" s="141"/>
    </row>
    <row r="953">
      <c r="A953" s="141"/>
      <c r="B953" s="141"/>
      <c r="C953" s="141"/>
      <c r="D953" s="141"/>
      <c r="E953" s="141"/>
      <c r="F953" s="141"/>
      <c r="G953" s="141"/>
      <c r="H953" s="141"/>
    </row>
    <row r="954">
      <c r="A954" s="141"/>
      <c r="B954" s="141"/>
      <c r="C954" s="141"/>
      <c r="D954" s="141"/>
      <c r="E954" s="141"/>
      <c r="F954" s="141"/>
      <c r="G954" s="141"/>
      <c r="H954" s="141"/>
    </row>
    <row r="955">
      <c r="A955" s="141"/>
      <c r="B955" s="141"/>
      <c r="C955" s="141"/>
      <c r="D955" s="141"/>
      <c r="E955" s="141"/>
      <c r="F955" s="141"/>
      <c r="G955" s="141"/>
      <c r="H955" s="141"/>
    </row>
    <row r="956">
      <c r="A956" s="141"/>
      <c r="B956" s="141"/>
      <c r="C956" s="141"/>
      <c r="D956" s="141"/>
      <c r="E956" s="141"/>
      <c r="F956" s="141"/>
      <c r="G956" s="141"/>
      <c r="H956" s="141"/>
    </row>
    <row r="957">
      <c r="A957" s="141"/>
      <c r="B957" s="141"/>
      <c r="C957" s="141"/>
      <c r="D957" s="141"/>
      <c r="E957" s="141"/>
      <c r="F957" s="141"/>
      <c r="G957" s="141"/>
      <c r="H957" s="141"/>
    </row>
    <row r="958">
      <c r="A958" s="141"/>
      <c r="B958" s="141"/>
      <c r="C958" s="141"/>
      <c r="D958" s="141"/>
      <c r="E958" s="141"/>
      <c r="F958" s="141"/>
      <c r="G958" s="141"/>
      <c r="H958" s="141"/>
    </row>
    <row r="959">
      <c r="A959" s="141"/>
      <c r="B959" s="141"/>
      <c r="C959" s="141"/>
      <c r="D959" s="141"/>
      <c r="E959" s="141"/>
      <c r="F959" s="141"/>
      <c r="G959" s="141"/>
      <c r="H959" s="141"/>
    </row>
    <row r="960">
      <c r="A960" s="141"/>
      <c r="B960" s="141"/>
      <c r="C960" s="141"/>
      <c r="D960" s="141"/>
      <c r="E960" s="141"/>
      <c r="F960" s="141"/>
      <c r="G960" s="141"/>
      <c r="H960" s="141"/>
    </row>
    <row r="961">
      <c r="A961" s="141"/>
      <c r="B961" s="141"/>
      <c r="C961" s="141"/>
      <c r="D961" s="141"/>
      <c r="E961" s="141"/>
      <c r="F961" s="141"/>
      <c r="G961" s="141"/>
      <c r="H961" s="141"/>
    </row>
    <row r="962">
      <c r="A962" s="141"/>
      <c r="B962" s="141"/>
      <c r="C962" s="141"/>
      <c r="D962" s="141"/>
      <c r="E962" s="141"/>
      <c r="F962" s="141"/>
      <c r="G962" s="141"/>
      <c r="H962" s="141"/>
    </row>
    <row r="963">
      <c r="A963" s="141"/>
      <c r="B963" s="141"/>
      <c r="C963" s="141"/>
      <c r="D963" s="141"/>
      <c r="E963" s="141"/>
      <c r="F963" s="141"/>
      <c r="G963" s="141"/>
      <c r="H963" s="141"/>
    </row>
    <row r="964">
      <c r="A964" s="141"/>
      <c r="B964" s="141"/>
      <c r="C964" s="141"/>
      <c r="D964" s="141"/>
      <c r="E964" s="141"/>
      <c r="F964" s="141"/>
      <c r="G964" s="141"/>
      <c r="H964" s="141"/>
    </row>
    <row r="965">
      <c r="A965" s="141"/>
      <c r="B965" s="141"/>
      <c r="C965" s="141"/>
      <c r="D965" s="141"/>
      <c r="E965" s="141"/>
      <c r="F965" s="141"/>
      <c r="G965" s="141"/>
      <c r="H965" s="141"/>
    </row>
    <row r="966">
      <c r="A966" s="141"/>
      <c r="B966" s="141"/>
      <c r="C966" s="141"/>
      <c r="D966" s="141"/>
      <c r="E966" s="141"/>
      <c r="F966" s="141"/>
      <c r="G966" s="141"/>
      <c r="H966" s="141"/>
    </row>
    <row r="967">
      <c r="A967" s="141"/>
      <c r="B967" s="141"/>
      <c r="C967" s="141"/>
      <c r="D967" s="141"/>
      <c r="E967" s="141"/>
      <c r="F967" s="141"/>
      <c r="G967" s="141"/>
      <c r="H967" s="141"/>
    </row>
    <row r="968">
      <c r="A968" s="141"/>
      <c r="B968" s="141"/>
      <c r="C968" s="141"/>
      <c r="D968" s="141"/>
      <c r="E968" s="141"/>
      <c r="F968" s="141"/>
      <c r="G968" s="141"/>
      <c r="H968" s="141"/>
    </row>
    <row r="969">
      <c r="A969" s="141"/>
      <c r="B969" s="141"/>
      <c r="C969" s="141"/>
      <c r="D969" s="141"/>
      <c r="E969" s="141"/>
      <c r="F969" s="141"/>
      <c r="G969" s="141"/>
      <c r="H969" s="141"/>
    </row>
    <row r="970">
      <c r="A970" s="141"/>
      <c r="B970" s="141"/>
      <c r="C970" s="141"/>
      <c r="D970" s="141"/>
      <c r="E970" s="141"/>
      <c r="F970" s="141"/>
      <c r="G970" s="141"/>
      <c r="H970" s="141"/>
    </row>
    <row r="971">
      <c r="A971" s="141"/>
      <c r="B971" s="141"/>
      <c r="C971" s="141"/>
      <c r="D971" s="141"/>
      <c r="E971" s="141"/>
      <c r="F971" s="141"/>
      <c r="G971" s="141"/>
      <c r="H971" s="141"/>
    </row>
    <row r="972">
      <c r="A972" s="141"/>
      <c r="B972" s="141"/>
      <c r="C972" s="141"/>
      <c r="D972" s="141"/>
      <c r="E972" s="141"/>
      <c r="F972" s="141"/>
      <c r="G972" s="141"/>
      <c r="H972" s="141"/>
    </row>
    <row r="973">
      <c r="A973" s="141"/>
      <c r="B973" s="141"/>
      <c r="C973" s="141"/>
      <c r="D973" s="141"/>
      <c r="E973" s="141"/>
      <c r="F973" s="141"/>
      <c r="G973" s="141"/>
      <c r="H973" s="141"/>
    </row>
    <row r="974">
      <c r="A974" s="141"/>
      <c r="B974" s="141"/>
      <c r="C974" s="141"/>
      <c r="D974" s="141"/>
      <c r="E974" s="141"/>
      <c r="F974" s="141"/>
      <c r="G974" s="141"/>
      <c r="H974" s="141"/>
    </row>
    <row r="975">
      <c r="A975" s="141"/>
      <c r="B975" s="141"/>
      <c r="C975" s="141"/>
      <c r="D975" s="141"/>
      <c r="E975" s="141"/>
      <c r="F975" s="141"/>
      <c r="G975" s="141"/>
      <c r="H975" s="141"/>
    </row>
    <row r="976">
      <c r="A976" s="141"/>
      <c r="B976" s="141"/>
      <c r="C976" s="141"/>
      <c r="D976" s="141"/>
      <c r="E976" s="141"/>
      <c r="F976" s="141"/>
      <c r="G976" s="141"/>
      <c r="H976" s="141"/>
    </row>
    <row r="977">
      <c r="A977" s="141"/>
      <c r="B977" s="141"/>
      <c r="C977" s="141"/>
      <c r="D977" s="141"/>
      <c r="E977" s="141"/>
      <c r="F977" s="141"/>
      <c r="G977" s="141"/>
      <c r="H977" s="141"/>
    </row>
    <row r="978">
      <c r="A978" s="141"/>
      <c r="B978" s="141"/>
      <c r="C978" s="141"/>
      <c r="D978" s="141"/>
      <c r="E978" s="141"/>
      <c r="F978" s="141"/>
      <c r="G978" s="141"/>
      <c r="H978" s="141"/>
    </row>
    <row r="979">
      <c r="A979" s="141"/>
      <c r="B979" s="141"/>
      <c r="C979" s="141"/>
      <c r="D979" s="141"/>
      <c r="E979" s="141"/>
      <c r="F979" s="141"/>
      <c r="G979" s="141"/>
      <c r="H979" s="141"/>
    </row>
    <row r="980">
      <c r="A980" s="141"/>
      <c r="B980" s="141"/>
      <c r="C980" s="141"/>
      <c r="D980" s="141"/>
      <c r="E980" s="141"/>
      <c r="F980" s="141"/>
      <c r="G980" s="141"/>
      <c r="H980" s="141"/>
    </row>
    <row r="981">
      <c r="A981" s="141"/>
      <c r="B981" s="141"/>
      <c r="C981" s="141"/>
      <c r="D981" s="141"/>
      <c r="E981" s="141"/>
      <c r="F981" s="141"/>
      <c r="G981" s="141"/>
      <c r="H981" s="141"/>
    </row>
    <row r="982">
      <c r="A982" s="141"/>
      <c r="B982" s="141"/>
      <c r="C982" s="141"/>
      <c r="D982" s="141"/>
      <c r="E982" s="141"/>
      <c r="F982" s="141"/>
      <c r="G982" s="141"/>
      <c r="H982" s="141"/>
    </row>
    <row r="983">
      <c r="A983" s="141"/>
      <c r="B983" s="141"/>
      <c r="C983" s="141"/>
      <c r="D983" s="141"/>
      <c r="E983" s="141"/>
      <c r="F983" s="141"/>
      <c r="G983" s="141"/>
      <c r="H983" s="141"/>
    </row>
    <row r="984">
      <c r="A984" s="141"/>
      <c r="B984" s="141"/>
      <c r="C984" s="141"/>
      <c r="D984" s="141"/>
      <c r="E984" s="141"/>
      <c r="F984" s="141"/>
      <c r="G984" s="141"/>
      <c r="H984" s="141"/>
    </row>
    <row r="985">
      <c r="A985" s="141"/>
      <c r="B985" s="141"/>
      <c r="C985" s="141"/>
      <c r="D985" s="141"/>
      <c r="E985" s="141"/>
      <c r="F985" s="141"/>
      <c r="G985" s="141"/>
      <c r="H985" s="141"/>
    </row>
    <row r="986">
      <c r="A986" s="141"/>
      <c r="B986" s="141"/>
      <c r="C986" s="141"/>
      <c r="D986" s="141"/>
      <c r="E986" s="141"/>
      <c r="F986" s="141"/>
      <c r="G986" s="141"/>
      <c r="H986" s="141"/>
    </row>
    <row r="987">
      <c r="A987" s="141"/>
      <c r="B987" s="141"/>
      <c r="C987" s="141"/>
      <c r="D987" s="141"/>
      <c r="E987" s="141"/>
      <c r="F987" s="141"/>
      <c r="G987" s="141"/>
      <c r="H987" s="141"/>
    </row>
    <row r="988">
      <c r="A988" s="141"/>
      <c r="B988" s="141"/>
      <c r="C988" s="141"/>
      <c r="D988" s="141"/>
      <c r="E988" s="141"/>
      <c r="F988" s="141"/>
      <c r="G988" s="141"/>
      <c r="H988" s="141"/>
    </row>
    <row r="989">
      <c r="A989" s="141"/>
      <c r="B989" s="141"/>
      <c r="C989" s="141"/>
      <c r="D989" s="141"/>
      <c r="E989" s="141"/>
      <c r="F989" s="141"/>
      <c r="G989" s="141"/>
      <c r="H989" s="141"/>
    </row>
    <row r="990">
      <c r="A990" s="141"/>
      <c r="B990" s="141"/>
      <c r="C990" s="141"/>
      <c r="D990" s="141"/>
      <c r="E990" s="141"/>
      <c r="F990" s="141"/>
      <c r="G990" s="141"/>
      <c r="H990" s="141"/>
    </row>
    <row r="991">
      <c r="A991" s="141"/>
      <c r="B991" s="141"/>
      <c r="C991" s="141"/>
      <c r="D991" s="141"/>
      <c r="E991" s="141"/>
      <c r="F991" s="141"/>
      <c r="G991" s="141"/>
      <c r="H991" s="141"/>
    </row>
    <row r="992">
      <c r="A992" s="141"/>
      <c r="B992" s="141"/>
      <c r="C992" s="141"/>
      <c r="D992" s="141"/>
      <c r="E992" s="141"/>
      <c r="F992" s="141"/>
      <c r="G992" s="141"/>
      <c r="H992" s="141"/>
    </row>
    <row r="993">
      <c r="A993" s="141"/>
      <c r="B993" s="141"/>
      <c r="C993" s="141"/>
      <c r="D993" s="141"/>
      <c r="E993" s="141"/>
      <c r="F993" s="141"/>
      <c r="G993" s="141"/>
      <c r="H993" s="141"/>
    </row>
    <row r="994">
      <c r="A994" s="141"/>
      <c r="B994" s="141"/>
      <c r="C994" s="141"/>
      <c r="D994" s="141"/>
      <c r="E994" s="141"/>
      <c r="F994" s="141"/>
      <c r="G994" s="141"/>
      <c r="H994" s="141"/>
    </row>
    <row r="995">
      <c r="A995" s="141"/>
      <c r="B995" s="141"/>
      <c r="C995" s="141"/>
      <c r="D995" s="141"/>
      <c r="E995" s="141"/>
      <c r="F995" s="141"/>
      <c r="G995" s="141"/>
      <c r="H995" s="141"/>
    </row>
    <row r="996">
      <c r="A996" s="141"/>
      <c r="B996" s="141"/>
      <c r="C996" s="141"/>
      <c r="D996" s="141"/>
      <c r="E996" s="141"/>
      <c r="F996" s="141"/>
      <c r="G996" s="141"/>
      <c r="H996" s="141"/>
    </row>
    <row r="997">
      <c r="A997" s="141"/>
      <c r="B997" s="141"/>
      <c r="C997" s="141"/>
      <c r="D997" s="141"/>
      <c r="E997" s="141"/>
      <c r="F997" s="141"/>
      <c r="G997" s="141"/>
      <c r="H997" s="141"/>
    </row>
    <row r="998">
      <c r="A998" s="141"/>
      <c r="B998" s="141"/>
      <c r="C998" s="141"/>
      <c r="D998" s="141"/>
      <c r="E998" s="141"/>
      <c r="F998" s="141"/>
      <c r="G998" s="141"/>
      <c r="H998" s="141"/>
    </row>
    <row r="999">
      <c r="A999" s="141"/>
      <c r="B999" s="141"/>
      <c r="C999" s="141"/>
      <c r="D999" s="141"/>
      <c r="E999" s="141"/>
      <c r="F999" s="141"/>
      <c r="G999" s="141"/>
      <c r="H999" s="141"/>
    </row>
    <row r="1000">
      <c r="A1000" s="141"/>
      <c r="B1000" s="141"/>
      <c r="C1000" s="141"/>
      <c r="D1000" s="141"/>
      <c r="E1000" s="141"/>
      <c r="F1000" s="141"/>
      <c r="G1000" s="141"/>
      <c r="H1000" s="141"/>
    </row>
  </sheetData>
  <autoFilter ref="$A$5:$AB$1000"/>
  <mergeCells count="1">
    <mergeCell ref="I3:J3"/>
  </mergeCells>
  <conditionalFormatting sqref="B6:B290">
    <cfRule type="expression" dxfId="0" priority="1">
      <formula>C6=TRUE</formula>
    </cfRule>
  </conditionalFormatting>
  <conditionalFormatting sqref="B6:B290">
    <cfRule type="expression" dxfId="1" priority="2">
      <formula>D6=TRUE</formula>
    </cfRule>
  </conditionalFormatting>
  <conditionalFormatting sqref="A6:M290 N6">
    <cfRule type="expression" dxfId="2" priority="3">
      <formula>AND(ISBLANK($A6), NOT(ISBLANK($B6)), NOT(ISBLANK($C6)))</formula>
    </cfRule>
  </conditionalFormatting>
  <conditionalFormatting sqref="A265">
    <cfRule type="notContainsBlanks" dxfId="3" priority="4">
      <formula>LEN(TRIM(A265))&gt;0</formula>
    </cfRule>
  </conditionalFormatting>
  <hyperlinks>
    <hyperlink r:id="rId1" ref="H181"/>
    <hyperlink r:id="rId2" ref="H218"/>
    <hyperlink r:id="rId3" ref="G244"/>
    <hyperlink r:id="rId4" ref="G252"/>
    <hyperlink r:id="rId5" ref="G260"/>
  </hyperlinks>
  <printOptions gridLines="1" horizontalCentered="1"/>
  <pageMargins bottom="0.75" footer="0.0" header="0.0" left="0.7" right="0.7" top="0.75"/>
  <pageSetup fitToHeight="0" paperSize="9" cellComments="atEnd" orientation="landscape" pageOrder="overThenDown"/>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0"/>
    <col customWidth="1" min="2" max="2" width="42.25"/>
    <col customWidth="1" min="3" max="3" width="16.25"/>
    <col customWidth="1" min="4" max="4" width="63.13"/>
    <col customWidth="1" min="5" max="5" width="29.25"/>
    <col customWidth="1" min="6" max="6" width="19.63"/>
    <col customWidth="1" min="7" max="7" width="16.13"/>
    <col customWidth="1" min="10" max="10" width="17.63"/>
  </cols>
  <sheetData>
    <row r="1">
      <c r="A1" s="148" t="s">
        <v>1</v>
      </c>
      <c r="B1" s="148" t="s">
        <v>1059</v>
      </c>
      <c r="C1" s="149" t="s">
        <v>1060</v>
      </c>
      <c r="D1" s="150" t="s">
        <v>3</v>
      </c>
      <c r="E1" s="148" t="s">
        <v>4</v>
      </c>
      <c r="F1" s="150" t="s">
        <v>6</v>
      </c>
      <c r="G1" s="150" t="s">
        <v>7</v>
      </c>
      <c r="H1" s="151" t="s">
        <v>8</v>
      </c>
      <c r="I1" s="152"/>
      <c r="J1" s="153"/>
      <c r="K1" s="154" t="s">
        <v>9</v>
      </c>
    </row>
    <row r="2">
      <c r="A2" s="155"/>
      <c r="B2" s="156"/>
      <c r="C2" s="156"/>
      <c r="D2" s="139"/>
      <c r="E2" s="156"/>
      <c r="F2" s="14" t="s">
        <v>1061</v>
      </c>
      <c r="H2" s="157" t="s">
        <v>11</v>
      </c>
      <c r="I2" s="157" t="s">
        <v>12</v>
      </c>
      <c r="J2" s="158" t="s">
        <v>13</v>
      </c>
      <c r="K2" s="21"/>
    </row>
    <row r="3">
      <c r="A3" s="140"/>
      <c r="B3" s="140"/>
      <c r="C3" s="140"/>
      <c r="D3" s="140"/>
      <c r="E3" s="140"/>
      <c r="F3" s="140"/>
      <c r="G3" s="140"/>
      <c r="H3" s="140"/>
      <c r="I3" s="140"/>
      <c r="J3" s="140"/>
      <c r="K3" s="140"/>
    </row>
    <row r="4">
      <c r="A4" s="159" t="str">
        <f>IFERROR(__xludf.DUMMYFUNCTION("IMPORTRANGE(""https://docs.google.com/spreadsheets/d/1jPQAIJcL_xa3oBVFEsYRGLGf7ESTOwzsTSjKZ-0CTYE/edit?gid=1995294799#gid=1995294799"",""Wastewater-enums!A3:A"")"),"null value menu")</f>
        <v>null value menu</v>
      </c>
      <c r="B4" s="159" t="str">
        <f>IFERROR(__xludf.DUMMYFUNCTION("ARRAYFORMULA(IMPORTRANGE(""https://docs.google.com/spreadsheets/d/1jPQAIJcL_xa3oBVFEsYRGLGf7ESTOwzsTSjKZ-0CTYE/edit?gid=208305190#gid=208305190"", ""Wastewater-enums!D2:D"") &amp; ""    "" &amp; IMPORTRANGE(""https://docs.google.com/spreadsheets/d/1jPQAIJcL_xa3oB"&amp;"VFEsYRGLGf7ESTOwzsTSjKZ-0CTYE/edit?gid=208305190#gid=208305190"", ""Wastewater-enums!E2:E"") &amp; ""    "" &amp; IMPORTRANGE(""https://docs.google.com/spreadsheets/d/1jPQAIJcL_xa3oBVFEsYRGLGf7ESTOwzsTSjKZ-0CTYE/edit?gid=208305190#gid=208305190"", ""Wastewater-en"&amp;"ums!F2:F"") &amp; ""    "" &amp; IMPORTRANGE(""https://docs.google.com/spreadsheets/d/1jPQAIJcL_xa3oBVFEsYRGLGf7ESTOwzsTSjKZ-0CTYE/edit?gid=208305190#gid=208305190"", ""Wastewater-enums!G2:G"") &amp; ""    "" &amp; IMPORTRANGE(""https://docs.google.com/spreadsheets/d/1jP"&amp;"QAIJcL_xa3oBVFEsYRGLGf7ESTOwzsTSjKZ-0CTYE/edit?gid=208305190#gid=208305190"", ""Wastewater-enums!H2:H""))
"),"                ")</f>
        <v>                </v>
      </c>
      <c r="C4" s="160" t="str">
        <f>IFERROR(__xludf.DUMMYFUNCTION("ARRAYFORMULA(TRIM(IMPORTRANGE(""https://docs.google.com/spreadsheets/d/1jPQAIJcL_xa3oBVFEsYRGLGf7ESTOwzsTSjKZ-0CTYE/edit?gid=208305190#gid=208305190"", ""Wastewater-enums!C2:C"")))"),"")</f>
        <v/>
      </c>
      <c r="D4" s="16" t="str">
        <f>IFERROR(__xludf.DUMMYFUNCTION("IMPORTRANGE(""https://docs.google.com/spreadsheets/d/1jPQAIJcL_xa3oBVFEsYRGLGf7ESTOwzsTSjKZ-0CTYE/edit?gid=208305190#gid=208305190"",""Wastewater-enums!I2:I"")"),"")</f>
        <v/>
      </c>
      <c r="E4" s="16"/>
      <c r="F4" s="16"/>
      <c r="G4" s="16"/>
      <c r="H4" s="16"/>
      <c r="I4" s="16"/>
      <c r="J4" s="16"/>
      <c r="K4" s="16"/>
      <c r="L4" s="142"/>
      <c r="M4" s="142"/>
      <c r="N4" s="142"/>
      <c r="O4" s="142"/>
      <c r="P4" s="142"/>
      <c r="Q4" s="142"/>
      <c r="R4" s="142"/>
      <c r="S4" s="142"/>
      <c r="T4" s="142"/>
      <c r="U4" s="142"/>
      <c r="V4" s="142"/>
      <c r="W4" s="142"/>
      <c r="X4" s="142"/>
      <c r="Y4" s="142"/>
      <c r="Z4" s="142"/>
    </row>
    <row r="5">
      <c r="A5" s="141"/>
      <c r="B5" s="141" t="str">
        <f>IFERROR(__xludf.DUMMYFUNCTION("""COMPUTED_VALUE"""),"Not Applicable [GENEPIO:0001619]                ")</f>
        <v>Not Applicable [GENEPIO:0001619]                </v>
      </c>
      <c r="C5" s="119" t="str">
        <f>IFERROR(__xludf.DUMMYFUNCTION("""COMPUTED_VALUE"""),"GENEPIO:0001619")</f>
        <v>GENEPIO:0001619</v>
      </c>
      <c r="D5" s="141" t="str">
        <f>IFERROR(__xludf.DUMMYFUNCTION("""COMPUTED_VALUE"""),"A categorical choice recorded when a datum does not apply to a given context.")</f>
        <v>A categorical choice recorded when a datum does not apply to a given context.</v>
      </c>
      <c r="E5" s="141"/>
      <c r="F5" s="141"/>
      <c r="G5" s="141"/>
      <c r="H5" s="141"/>
      <c r="I5" s="141"/>
      <c r="J5" s="141"/>
      <c r="K5" s="141"/>
      <c r="L5" s="141"/>
      <c r="M5" s="141"/>
      <c r="N5" s="141"/>
      <c r="O5" s="141"/>
      <c r="P5" s="141"/>
      <c r="Q5" s="141"/>
      <c r="R5" s="141"/>
      <c r="S5" s="141"/>
      <c r="T5" s="141"/>
      <c r="U5" s="141"/>
      <c r="V5" s="141"/>
      <c r="W5" s="141"/>
      <c r="X5" s="141"/>
      <c r="Y5" s="141"/>
      <c r="Z5" s="141"/>
    </row>
    <row r="6">
      <c r="A6" s="141"/>
      <c r="B6" s="141" t="str">
        <f>IFERROR(__xludf.DUMMYFUNCTION("""COMPUTED_VALUE"""),"Missing [GENEPIO:0001618]                ")</f>
        <v>Missing [GENEPIO:0001618]                </v>
      </c>
      <c r="C6" s="141" t="str">
        <f>IFERROR(__xludf.DUMMYFUNCTION("""COMPUTED_VALUE"""),"GENEPIO:0001618")</f>
        <v>GENEPIO:0001618</v>
      </c>
      <c r="D6" s="141" t="str">
        <f>IFERROR(__xludf.DUMMYFUNCTION("""COMPUTED_VALUE"""),"A categorical choice recorded when a datum is not included for an unknown reason.")</f>
        <v>A categorical choice recorded when a datum is not included for an unknown reason.</v>
      </c>
      <c r="E6" s="141"/>
      <c r="F6" s="141"/>
      <c r="G6" s="141"/>
      <c r="H6" s="141"/>
      <c r="I6" s="141"/>
      <c r="J6" s="141"/>
      <c r="K6" s="141"/>
      <c r="L6" s="141"/>
      <c r="M6" s="141"/>
      <c r="N6" s="141"/>
      <c r="O6" s="141"/>
      <c r="P6" s="141"/>
      <c r="Q6" s="141"/>
      <c r="R6" s="141"/>
      <c r="S6" s="141"/>
      <c r="T6" s="141"/>
      <c r="U6" s="141"/>
      <c r="V6" s="141"/>
      <c r="W6" s="141"/>
      <c r="X6" s="141"/>
      <c r="Y6" s="141"/>
      <c r="Z6" s="141"/>
    </row>
    <row r="7">
      <c r="A7" s="141"/>
      <c r="B7" s="141" t="str">
        <f>IFERROR(__xludf.DUMMYFUNCTION("""COMPUTED_VALUE"""),"Not Collected [GENEPIO:0001620]                ")</f>
        <v>Not Collected [GENEPIO:0001620]                </v>
      </c>
      <c r="C7" s="141" t="str">
        <f>IFERROR(__xludf.DUMMYFUNCTION("""COMPUTED_VALUE"""),"GENEPIO:0001620")</f>
        <v>GENEPIO:0001620</v>
      </c>
      <c r="D7" s="141" t="str">
        <f>IFERROR(__xludf.DUMMYFUNCTION("""COMPUTED_VALUE"""),"A categorical choice recorded when a datum was not measured or collected.")</f>
        <v>A categorical choice recorded when a datum was not measured or collected.</v>
      </c>
      <c r="E7" s="141"/>
      <c r="F7" s="141"/>
      <c r="G7" s="141"/>
      <c r="H7" s="141"/>
      <c r="I7" s="141"/>
      <c r="J7" s="141"/>
      <c r="K7" s="141"/>
      <c r="L7" s="141"/>
      <c r="M7" s="141"/>
      <c r="N7" s="141"/>
      <c r="O7" s="141"/>
      <c r="P7" s="141"/>
      <c r="Q7" s="141"/>
      <c r="R7" s="141"/>
      <c r="S7" s="141"/>
      <c r="T7" s="141"/>
      <c r="U7" s="141"/>
      <c r="V7" s="141"/>
      <c r="W7" s="141"/>
      <c r="X7" s="141"/>
      <c r="Y7" s="141"/>
      <c r="Z7" s="141"/>
    </row>
    <row r="8">
      <c r="A8" s="141"/>
      <c r="B8" s="141" t="str">
        <f>IFERROR(__xludf.DUMMYFUNCTION("""COMPUTED_VALUE"""),"Not Provided [GENEPIO:0001668]                ")</f>
        <v>Not Provided [GENEPIO:0001668]                </v>
      </c>
      <c r="C8" s="141" t="str">
        <f>IFERROR(__xludf.DUMMYFUNCTION("""COMPUTED_VALUE"""),"GENEPIO:0001668")</f>
        <v>GENEPIO:0001668</v>
      </c>
      <c r="D8" s="141"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8" s="141"/>
      <c r="F8" s="141"/>
      <c r="G8" s="141"/>
      <c r="H8" s="141"/>
      <c r="I8" s="141"/>
      <c r="J8" s="141"/>
      <c r="K8" s="141"/>
      <c r="L8" s="141"/>
      <c r="M8" s="141"/>
      <c r="N8" s="141"/>
      <c r="O8" s="141"/>
      <c r="P8" s="141"/>
      <c r="Q8" s="141"/>
      <c r="R8" s="141"/>
      <c r="S8" s="141"/>
      <c r="T8" s="141"/>
      <c r="U8" s="141"/>
      <c r="V8" s="141"/>
      <c r="W8" s="141"/>
      <c r="X8" s="141"/>
      <c r="Y8" s="141"/>
      <c r="Z8" s="141"/>
    </row>
    <row r="9">
      <c r="A9" s="141"/>
      <c r="B9" s="141" t="str">
        <f>IFERROR(__xludf.DUMMYFUNCTION("""COMPUTED_VALUE"""),"Restricted Access [GENEPIO:0001810]                ")</f>
        <v>Restricted Access [GENEPIO:0001810]                </v>
      </c>
      <c r="C9" s="141" t="str">
        <f>IFERROR(__xludf.DUMMYFUNCTION("""COMPUTED_VALUE"""),"GENEPIO:0001810")</f>
        <v>GENEPIO:0001810</v>
      </c>
      <c r="D9" s="141"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9" s="141"/>
      <c r="F9" s="141"/>
      <c r="G9" s="141"/>
      <c r="H9" s="141"/>
      <c r="I9" s="141"/>
      <c r="J9" s="141"/>
      <c r="K9" s="141"/>
      <c r="L9" s="141"/>
      <c r="M9" s="141"/>
      <c r="N9" s="141"/>
      <c r="O9" s="141"/>
      <c r="P9" s="141"/>
      <c r="Q9" s="141"/>
      <c r="R9" s="141"/>
      <c r="S9" s="141"/>
      <c r="T9" s="141"/>
      <c r="U9" s="141"/>
      <c r="V9" s="141"/>
      <c r="W9" s="141"/>
      <c r="X9" s="141"/>
      <c r="Y9" s="141"/>
      <c r="Z9" s="141"/>
    </row>
    <row r="10">
      <c r="A10" s="141" t="str">
        <f>IFERROR(__xludf.DUMMYFUNCTION("""COMPUTED_VALUE"""),"geo_loc_name (country) menu")</f>
        <v>geo_loc_name (country) menu</v>
      </c>
      <c r="B10" s="141" t="str">
        <f>IFERROR(__xludf.DUMMYFUNCTION("""COMPUTED_VALUE"""),"                ")</f>
        <v>                </v>
      </c>
      <c r="C10" s="141" t="str">
        <f>IFERROR(__xludf.DUMMYFUNCTION("""COMPUTED_VALUE"""),"")</f>
        <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row>
    <row r="11">
      <c r="A11" s="141"/>
      <c r="B11" s="141" t="str">
        <f>IFERROR(__xludf.DUMMYFUNCTION("""COMPUTED_VALUE"""),"Afghanistan [GAZ:00006882]                ")</f>
        <v>Afghanistan [GAZ:00006882]                </v>
      </c>
      <c r="C11" s="141" t="str">
        <f>IFERROR(__xludf.DUMMYFUNCTION("""COMPUTED_VALUE"""),"GAZ:00006882")</f>
        <v>GAZ:00006882</v>
      </c>
      <c r="D11" s="141"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1" s="141"/>
      <c r="F11" s="141"/>
      <c r="G11" s="141"/>
      <c r="H11" s="141"/>
      <c r="I11" s="141"/>
      <c r="J11" s="141"/>
      <c r="K11" s="141"/>
      <c r="L11" s="141"/>
      <c r="M11" s="141"/>
      <c r="N11" s="141"/>
      <c r="O11" s="141"/>
      <c r="P11" s="141"/>
      <c r="Q11" s="141"/>
      <c r="R11" s="141"/>
      <c r="S11" s="141"/>
      <c r="T11" s="141"/>
      <c r="U11" s="141"/>
      <c r="V11" s="141"/>
      <c r="W11" s="141"/>
      <c r="X11" s="141"/>
      <c r="Y11" s="141"/>
      <c r="Z11" s="141"/>
    </row>
    <row r="12">
      <c r="A12" s="141"/>
      <c r="B12" s="141" t="str">
        <f>IFERROR(__xludf.DUMMYFUNCTION("""COMPUTED_VALUE"""),"Albania [GAZ:00002953]                ")</f>
        <v>Albania [GAZ:00002953]                </v>
      </c>
      <c r="C12" s="141" t="str">
        <f>IFERROR(__xludf.DUMMYFUNCTION("""COMPUTED_VALUE"""),"GAZ:00002953")</f>
        <v>GAZ:00002953</v>
      </c>
      <c r="D12" s="141"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2" s="141"/>
      <c r="F12" s="141"/>
      <c r="G12" s="141"/>
      <c r="H12" s="141"/>
      <c r="I12" s="141"/>
      <c r="J12" s="141"/>
      <c r="K12" s="141"/>
      <c r="L12" s="141"/>
      <c r="M12" s="141"/>
      <c r="N12" s="141"/>
      <c r="O12" s="141"/>
      <c r="P12" s="141"/>
      <c r="Q12" s="141"/>
      <c r="R12" s="141"/>
      <c r="S12" s="141"/>
      <c r="T12" s="141"/>
      <c r="U12" s="141"/>
      <c r="V12" s="141"/>
      <c r="W12" s="141"/>
      <c r="X12" s="141"/>
      <c r="Y12" s="141"/>
      <c r="Z12" s="141"/>
    </row>
    <row r="13">
      <c r="A13" s="141"/>
      <c r="B13" s="141" t="str">
        <f>IFERROR(__xludf.DUMMYFUNCTION("""COMPUTED_VALUE"""),"Algeria [GAZ:00000563]                ")</f>
        <v>Algeria [GAZ:00000563]                </v>
      </c>
      <c r="C13" s="141" t="str">
        <f>IFERROR(__xludf.DUMMYFUNCTION("""COMPUTED_VALUE"""),"GAZ:00000563")</f>
        <v>GAZ:00000563</v>
      </c>
      <c r="D13" s="141"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3" s="141"/>
      <c r="F13" s="141"/>
      <c r="G13" s="141"/>
      <c r="H13" s="141"/>
      <c r="I13" s="141"/>
      <c r="J13" s="141"/>
      <c r="K13" s="141"/>
      <c r="L13" s="141"/>
      <c r="M13" s="141"/>
      <c r="N13" s="141"/>
      <c r="O13" s="141"/>
      <c r="P13" s="141"/>
      <c r="Q13" s="141"/>
      <c r="R13" s="141"/>
      <c r="S13" s="141"/>
      <c r="T13" s="141"/>
      <c r="U13" s="141"/>
      <c r="V13" s="141"/>
      <c r="W13" s="141"/>
      <c r="X13" s="141"/>
      <c r="Y13" s="141"/>
      <c r="Z13" s="141"/>
    </row>
    <row r="14">
      <c r="A14" s="141"/>
      <c r="B14" s="141" t="str">
        <f>IFERROR(__xludf.DUMMYFUNCTION("""COMPUTED_VALUE"""),"American Samoa [GAZ:00003957]                ")</f>
        <v>American Samoa [GAZ:00003957]                </v>
      </c>
      <c r="C14" s="141" t="str">
        <f>IFERROR(__xludf.DUMMYFUNCTION("""COMPUTED_VALUE"""),"GAZ:00003957")</f>
        <v>GAZ:00003957</v>
      </c>
      <c r="D14" s="141"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4" s="141"/>
      <c r="F14" s="141"/>
      <c r="G14" s="141"/>
      <c r="H14" s="141"/>
      <c r="I14" s="141"/>
      <c r="J14" s="141"/>
      <c r="K14" s="141"/>
      <c r="L14" s="141"/>
      <c r="M14" s="141"/>
      <c r="N14" s="141"/>
      <c r="O14" s="141"/>
      <c r="P14" s="141"/>
      <c r="Q14" s="141"/>
      <c r="R14" s="141"/>
      <c r="S14" s="141"/>
      <c r="T14" s="141"/>
      <c r="U14" s="141"/>
      <c r="V14" s="141"/>
      <c r="W14" s="141"/>
      <c r="X14" s="141"/>
      <c r="Y14" s="141"/>
      <c r="Z14" s="141"/>
    </row>
    <row r="15">
      <c r="A15" s="141"/>
      <c r="B15" s="141" t="str">
        <f>IFERROR(__xludf.DUMMYFUNCTION("""COMPUTED_VALUE"""),"Andorra [GAZ:00002948]                ")</f>
        <v>Andorra [GAZ:00002948]                </v>
      </c>
      <c r="C15" s="141" t="str">
        <f>IFERROR(__xludf.DUMMYFUNCTION("""COMPUTED_VALUE"""),"GAZ:00002948")</f>
        <v>GAZ:00002948</v>
      </c>
      <c r="D15" s="141"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5" s="141"/>
      <c r="F15" s="141"/>
      <c r="G15" s="141"/>
      <c r="H15" s="141"/>
      <c r="I15" s="141"/>
      <c r="J15" s="141"/>
      <c r="K15" s="141"/>
      <c r="L15" s="141"/>
      <c r="M15" s="141"/>
      <c r="N15" s="141"/>
      <c r="O15" s="141"/>
      <c r="P15" s="141"/>
      <c r="Q15" s="141"/>
      <c r="R15" s="141"/>
      <c r="S15" s="141"/>
      <c r="T15" s="141"/>
      <c r="U15" s="141"/>
      <c r="V15" s="141"/>
      <c r="W15" s="141"/>
      <c r="X15" s="141"/>
      <c r="Y15" s="141"/>
      <c r="Z15" s="141"/>
    </row>
    <row r="16">
      <c r="A16" s="141"/>
      <c r="B16" s="141" t="str">
        <f>IFERROR(__xludf.DUMMYFUNCTION("""COMPUTED_VALUE"""),"Angola [GAZ:00001095]                ")</f>
        <v>Angola [GAZ:00001095]                </v>
      </c>
      <c r="C16" s="141" t="str">
        <f>IFERROR(__xludf.DUMMYFUNCTION("""COMPUTED_VALUE"""),"GAZ:00001095")</f>
        <v>GAZ:00001095</v>
      </c>
      <c r="D16" s="141"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6" s="141"/>
      <c r="F16" s="141"/>
      <c r="G16" s="141"/>
      <c r="H16" s="141"/>
      <c r="I16" s="141"/>
      <c r="J16" s="141"/>
      <c r="K16" s="141"/>
      <c r="L16" s="141"/>
      <c r="M16" s="141"/>
      <c r="N16" s="141"/>
      <c r="O16" s="141"/>
      <c r="P16" s="141"/>
      <c r="Q16" s="141"/>
      <c r="R16" s="141"/>
      <c r="S16" s="141"/>
      <c r="T16" s="141"/>
      <c r="U16" s="141"/>
      <c r="V16" s="141"/>
      <c r="W16" s="141"/>
      <c r="X16" s="141"/>
      <c r="Y16" s="141"/>
      <c r="Z16" s="141"/>
    </row>
    <row r="17">
      <c r="A17" s="141"/>
      <c r="B17" s="141" t="str">
        <f>IFERROR(__xludf.DUMMYFUNCTION("""COMPUTED_VALUE"""),"Anguilla [GAZ:00009159]                ")</f>
        <v>Anguilla [GAZ:00009159]                </v>
      </c>
      <c r="C17" s="141" t="str">
        <f>IFERROR(__xludf.DUMMYFUNCTION("""COMPUTED_VALUE"""),"GAZ:00009159")</f>
        <v>GAZ:00009159</v>
      </c>
      <c r="D17" s="141"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7" s="141"/>
      <c r="F17" s="141"/>
      <c r="G17" s="141"/>
      <c r="H17" s="141"/>
      <c r="I17" s="141"/>
      <c r="J17" s="141"/>
      <c r="K17" s="141"/>
      <c r="L17" s="141"/>
      <c r="M17" s="141"/>
      <c r="N17" s="141"/>
      <c r="O17" s="141"/>
      <c r="P17" s="141"/>
      <c r="Q17" s="141"/>
      <c r="R17" s="141"/>
      <c r="S17" s="141"/>
      <c r="T17" s="141"/>
      <c r="U17" s="141"/>
      <c r="V17" s="141"/>
      <c r="W17" s="141"/>
      <c r="X17" s="141"/>
      <c r="Y17" s="141"/>
      <c r="Z17" s="141"/>
    </row>
    <row r="18">
      <c r="A18" s="141"/>
      <c r="B18" s="141" t="str">
        <f>IFERROR(__xludf.DUMMYFUNCTION("""COMPUTED_VALUE"""),"Antarctica [GAZ:00000462]                ")</f>
        <v>Antarctica [GAZ:00000462]                </v>
      </c>
      <c r="C18" s="141" t="str">
        <f>IFERROR(__xludf.DUMMYFUNCTION("""COMPUTED_VALUE"""),"GAZ:00000462")</f>
        <v>GAZ:00000462</v>
      </c>
      <c r="D18" s="141"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8" s="141"/>
      <c r="F18" s="141"/>
      <c r="G18" s="141"/>
      <c r="H18" s="141"/>
      <c r="I18" s="141"/>
      <c r="J18" s="141"/>
      <c r="K18" s="141"/>
      <c r="L18" s="141"/>
      <c r="M18" s="141"/>
      <c r="N18" s="141"/>
      <c r="O18" s="141"/>
      <c r="P18" s="141"/>
      <c r="Q18" s="141"/>
      <c r="R18" s="141"/>
      <c r="S18" s="141"/>
      <c r="T18" s="141"/>
      <c r="U18" s="141"/>
      <c r="V18" s="141"/>
      <c r="W18" s="141"/>
      <c r="X18" s="141"/>
      <c r="Y18" s="141"/>
      <c r="Z18" s="141"/>
    </row>
    <row r="19">
      <c r="A19" s="141"/>
      <c r="B19" s="141" t="str">
        <f>IFERROR(__xludf.DUMMYFUNCTION("""COMPUTED_VALUE"""),"Antigua and Barbuda [GAZ:00006883]                ")</f>
        <v>Antigua and Barbuda [GAZ:00006883]                </v>
      </c>
      <c r="C19" s="141" t="str">
        <f>IFERROR(__xludf.DUMMYFUNCTION("""COMPUTED_VALUE"""),"GAZ:00006883")</f>
        <v>GAZ:00006883</v>
      </c>
      <c r="D19" s="141"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9" s="141"/>
      <c r="F19" s="141"/>
      <c r="G19" s="141"/>
      <c r="H19" s="141"/>
      <c r="I19" s="141"/>
      <c r="J19" s="141"/>
      <c r="K19" s="141"/>
      <c r="L19" s="141"/>
      <c r="M19" s="141"/>
      <c r="N19" s="141"/>
      <c r="O19" s="141"/>
      <c r="P19" s="141"/>
      <c r="Q19" s="141"/>
      <c r="R19" s="141"/>
      <c r="S19" s="141"/>
      <c r="T19" s="141"/>
      <c r="U19" s="141"/>
      <c r="V19" s="141"/>
      <c r="W19" s="141"/>
      <c r="X19" s="141"/>
      <c r="Y19" s="141"/>
      <c r="Z19" s="141"/>
    </row>
    <row r="20">
      <c r="A20" s="141"/>
      <c r="B20" s="141" t="str">
        <f>IFERROR(__xludf.DUMMYFUNCTION("""COMPUTED_VALUE"""),"Argentina [GAZ:00002928]                ")</f>
        <v>Argentina [GAZ:00002928]                </v>
      </c>
      <c r="C20" s="141" t="str">
        <f>IFERROR(__xludf.DUMMYFUNCTION("""COMPUTED_VALUE"""),"GAZ:00002928")</f>
        <v>GAZ:00002928</v>
      </c>
      <c r="D20" s="141"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20" s="141"/>
      <c r="F20" s="141"/>
      <c r="G20" s="141"/>
      <c r="H20" s="141"/>
      <c r="I20" s="141"/>
      <c r="J20" s="141"/>
      <c r="K20" s="141"/>
      <c r="L20" s="141"/>
      <c r="M20" s="141"/>
      <c r="N20" s="141"/>
      <c r="O20" s="141"/>
      <c r="P20" s="141"/>
      <c r="Q20" s="141"/>
      <c r="R20" s="141"/>
      <c r="S20" s="141"/>
      <c r="T20" s="141"/>
      <c r="U20" s="141"/>
      <c r="V20" s="141"/>
      <c r="W20" s="141"/>
      <c r="X20" s="141"/>
      <c r="Y20" s="141"/>
      <c r="Z20" s="141"/>
    </row>
    <row r="21">
      <c r="A21" s="141"/>
      <c r="B21" s="141" t="str">
        <f>IFERROR(__xludf.DUMMYFUNCTION("""COMPUTED_VALUE"""),"Armenia [GAZ:00004094]                ")</f>
        <v>Armenia [GAZ:00004094]                </v>
      </c>
      <c r="C21" s="141" t="str">
        <f>IFERROR(__xludf.DUMMYFUNCTION("""COMPUTED_VALUE"""),"GAZ:00004094")</f>
        <v>GAZ:00004094</v>
      </c>
      <c r="D21" s="141"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21" s="141"/>
      <c r="F21" s="141"/>
      <c r="G21" s="141"/>
      <c r="H21" s="141"/>
      <c r="I21" s="141"/>
      <c r="J21" s="141"/>
      <c r="K21" s="141"/>
      <c r="L21" s="141"/>
      <c r="M21" s="141"/>
      <c r="N21" s="141"/>
      <c r="O21" s="141"/>
      <c r="P21" s="141"/>
      <c r="Q21" s="141"/>
      <c r="R21" s="141"/>
      <c r="S21" s="141"/>
      <c r="T21" s="141"/>
      <c r="U21" s="141"/>
      <c r="V21" s="141"/>
      <c r="W21" s="141"/>
      <c r="X21" s="141"/>
      <c r="Y21" s="141"/>
      <c r="Z21" s="141"/>
    </row>
    <row r="22">
      <c r="A22" s="141"/>
      <c r="B22" s="141" t="str">
        <f>IFERROR(__xludf.DUMMYFUNCTION("""COMPUTED_VALUE"""),"Aruba [GAZ:00004025]                ")</f>
        <v>Aruba [GAZ:00004025]                </v>
      </c>
      <c r="C22" s="141" t="str">
        <f>IFERROR(__xludf.DUMMYFUNCTION("""COMPUTED_VALUE"""),"GAZ:00004025")</f>
        <v>GAZ:00004025</v>
      </c>
      <c r="D22" s="141"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22" s="141"/>
      <c r="F22" s="141"/>
      <c r="G22" s="141"/>
      <c r="H22" s="141"/>
      <c r="I22" s="141"/>
      <c r="J22" s="141"/>
      <c r="K22" s="141"/>
      <c r="L22" s="141"/>
      <c r="M22" s="141"/>
      <c r="N22" s="141"/>
      <c r="O22" s="141"/>
      <c r="P22" s="141"/>
      <c r="Q22" s="141"/>
      <c r="R22" s="141"/>
      <c r="S22" s="141"/>
      <c r="T22" s="141"/>
      <c r="U22" s="141"/>
      <c r="V22" s="141"/>
      <c r="W22" s="141"/>
      <c r="X22" s="141"/>
      <c r="Y22" s="141"/>
      <c r="Z22" s="141"/>
    </row>
    <row r="23">
      <c r="A23" s="141"/>
      <c r="B23" s="141" t="str">
        <f>IFERROR(__xludf.DUMMYFUNCTION("""COMPUTED_VALUE"""),"Ashmore and Cartier Islands [GAZ:00005901]                ")</f>
        <v>Ashmore and Cartier Islands [GAZ:00005901]                </v>
      </c>
      <c r="C23" s="141" t="str">
        <f>IFERROR(__xludf.DUMMYFUNCTION("""COMPUTED_VALUE"""),"GAZ:00005901")</f>
        <v>GAZ:00005901</v>
      </c>
      <c r="D23" s="141"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23" s="141"/>
      <c r="F23" s="141"/>
      <c r="G23" s="141"/>
      <c r="H23" s="141"/>
      <c r="I23" s="141"/>
      <c r="J23" s="141"/>
      <c r="K23" s="141"/>
      <c r="L23" s="141"/>
      <c r="M23" s="141"/>
      <c r="N23" s="141"/>
      <c r="O23" s="141"/>
      <c r="P23" s="141"/>
      <c r="Q23" s="141"/>
      <c r="R23" s="141"/>
      <c r="S23" s="141"/>
      <c r="T23" s="141"/>
      <c r="U23" s="141"/>
      <c r="V23" s="141"/>
      <c r="W23" s="141"/>
      <c r="X23" s="141"/>
      <c r="Y23" s="141"/>
      <c r="Z23" s="141"/>
    </row>
    <row r="24">
      <c r="A24" s="141"/>
      <c r="B24" s="141" t="str">
        <f>IFERROR(__xludf.DUMMYFUNCTION("""COMPUTED_VALUE"""),"Australia [GAZ:00000463]                ")</f>
        <v>Australia [GAZ:00000463]                </v>
      </c>
      <c r="C24" s="141" t="str">
        <f>IFERROR(__xludf.DUMMYFUNCTION("""COMPUTED_VALUE"""),"GAZ:00000463")</f>
        <v>GAZ:00000463</v>
      </c>
      <c r="D24" s="141"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24" s="141"/>
      <c r="F24" s="141"/>
      <c r="G24" s="141"/>
      <c r="H24" s="141"/>
      <c r="I24" s="141"/>
      <c r="J24" s="141"/>
      <c r="K24" s="141"/>
      <c r="L24" s="141"/>
      <c r="M24" s="141"/>
      <c r="N24" s="141"/>
      <c r="O24" s="141"/>
      <c r="P24" s="141"/>
      <c r="Q24" s="141"/>
      <c r="R24" s="141"/>
      <c r="S24" s="141"/>
      <c r="T24" s="141"/>
      <c r="U24" s="141"/>
      <c r="V24" s="141"/>
      <c r="W24" s="141"/>
      <c r="X24" s="141"/>
      <c r="Y24" s="141"/>
      <c r="Z24" s="141"/>
    </row>
    <row r="25">
      <c r="A25" s="141"/>
      <c r="B25" s="141" t="str">
        <f>IFERROR(__xludf.DUMMYFUNCTION("""COMPUTED_VALUE"""),"Austria [GAZ:00002942]                ")</f>
        <v>Austria [GAZ:00002942]                </v>
      </c>
      <c r="C25" s="141" t="str">
        <f>IFERROR(__xludf.DUMMYFUNCTION("""COMPUTED_VALUE"""),"GAZ:00002942")</f>
        <v>GAZ:00002942</v>
      </c>
      <c r="D25" s="141"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25" s="141"/>
      <c r="F25" s="141"/>
      <c r="G25" s="141"/>
      <c r="H25" s="141"/>
      <c r="I25" s="141"/>
      <c r="J25" s="141"/>
      <c r="K25" s="141"/>
      <c r="L25" s="141"/>
      <c r="M25" s="141"/>
      <c r="N25" s="141"/>
      <c r="O25" s="141"/>
      <c r="P25" s="141"/>
      <c r="Q25" s="141"/>
      <c r="R25" s="141"/>
      <c r="S25" s="141"/>
      <c r="T25" s="141"/>
      <c r="U25" s="141"/>
      <c r="V25" s="141"/>
      <c r="W25" s="141"/>
      <c r="X25" s="141"/>
      <c r="Y25" s="141"/>
      <c r="Z25" s="141"/>
    </row>
    <row r="26">
      <c r="A26" s="141"/>
      <c r="B26" s="141" t="str">
        <f>IFERROR(__xludf.DUMMYFUNCTION("""COMPUTED_VALUE"""),"Azerbaijan [GAZ:00004941]                ")</f>
        <v>Azerbaijan [GAZ:00004941]                </v>
      </c>
      <c r="C26" s="141" t="str">
        <f>IFERROR(__xludf.DUMMYFUNCTION("""COMPUTED_VALUE"""),"GAZ:00004941")</f>
        <v>GAZ:00004941</v>
      </c>
      <c r="D26" s="141"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26" s="141"/>
      <c r="F26" s="141"/>
      <c r="G26" s="141"/>
      <c r="H26" s="141"/>
      <c r="I26" s="141"/>
      <c r="J26" s="141"/>
      <c r="K26" s="141"/>
      <c r="L26" s="141"/>
      <c r="M26" s="141"/>
      <c r="N26" s="141"/>
      <c r="O26" s="141"/>
      <c r="P26" s="141"/>
      <c r="Q26" s="141"/>
      <c r="R26" s="141"/>
      <c r="S26" s="141"/>
      <c r="T26" s="141"/>
      <c r="U26" s="141"/>
      <c r="V26" s="141"/>
      <c r="W26" s="141"/>
      <c r="X26" s="141"/>
      <c r="Y26" s="141"/>
      <c r="Z26" s="141"/>
    </row>
    <row r="27">
      <c r="A27" s="141"/>
      <c r="B27" s="141" t="str">
        <f>IFERROR(__xludf.DUMMYFUNCTION("""COMPUTED_VALUE"""),"Bahamas [GAZ:00002733]                ")</f>
        <v>Bahamas [GAZ:00002733]                </v>
      </c>
      <c r="C27" s="141" t="str">
        <f>IFERROR(__xludf.DUMMYFUNCTION("""COMPUTED_VALUE"""),"GAZ:00002733")</f>
        <v>GAZ:00002733</v>
      </c>
      <c r="D27" s="141"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27" s="141"/>
      <c r="F27" s="141"/>
      <c r="G27" s="141"/>
      <c r="H27" s="141"/>
      <c r="I27" s="141"/>
      <c r="J27" s="141"/>
      <c r="K27" s="141"/>
      <c r="L27" s="141"/>
      <c r="M27" s="141"/>
      <c r="N27" s="141"/>
      <c r="O27" s="141"/>
      <c r="P27" s="141"/>
      <c r="Q27" s="141"/>
      <c r="R27" s="141"/>
      <c r="S27" s="141"/>
      <c r="T27" s="141"/>
      <c r="U27" s="141"/>
      <c r="V27" s="141"/>
      <c r="W27" s="141"/>
      <c r="X27" s="141"/>
      <c r="Y27" s="141"/>
      <c r="Z27" s="141"/>
    </row>
    <row r="28">
      <c r="A28" s="141"/>
      <c r="B28" s="141" t="str">
        <f>IFERROR(__xludf.DUMMYFUNCTION("""COMPUTED_VALUE"""),"Bahrain [GAZ:00005281]                ")</f>
        <v>Bahrain [GAZ:00005281]                </v>
      </c>
      <c r="C28" s="141" t="str">
        <f>IFERROR(__xludf.DUMMYFUNCTION("""COMPUTED_VALUE"""),"GAZ:00005281")</f>
        <v>GAZ:00005281</v>
      </c>
      <c r="D28" s="141"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28" s="141"/>
      <c r="F28" s="141"/>
      <c r="G28" s="141"/>
      <c r="H28" s="141"/>
      <c r="I28" s="141"/>
      <c r="J28" s="141"/>
      <c r="K28" s="141"/>
      <c r="L28" s="141"/>
      <c r="M28" s="141"/>
      <c r="N28" s="141"/>
      <c r="O28" s="141"/>
      <c r="P28" s="141"/>
      <c r="Q28" s="141"/>
      <c r="R28" s="141"/>
      <c r="S28" s="141"/>
      <c r="T28" s="141"/>
      <c r="U28" s="141"/>
      <c r="V28" s="141"/>
      <c r="W28" s="141"/>
      <c r="X28" s="141"/>
      <c r="Y28" s="141"/>
      <c r="Z28" s="141"/>
    </row>
    <row r="29">
      <c r="A29" s="141"/>
      <c r="B29" s="141" t="str">
        <f>IFERROR(__xludf.DUMMYFUNCTION("""COMPUTED_VALUE"""),"Baker Island [GAZ:00007117]                ")</f>
        <v>Baker Island [GAZ:00007117]                </v>
      </c>
      <c r="C29" s="141" t="str">
        <f>IFERROR(__xludf.DUMMYFUNCTION("""COMPUTED_VALUE"""),"GAZ:00007117")</f>
        <v>GAZ:00007117</v>
      </c>
      <c r="D29" s="141"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29" s="141"/>
      <c r="F29" s="141"/>
      <c r="G29" s="141"/>
      <c r="H29" s="141"/>
      <c r="I29" s="141"/>
      <c r="J29" s="141"/>
      <c r="K29" s="141"/>
      <c r="L29" s="141"/>
      <c r="M29" s="141"/>
      <c r="N29" s="141"/>
      <c r="O29" s="141"/>
      <c r="P29" s="141"/>
      <c r="Q29" s="141"/>
      <c r="R29" s="141"/>
      <c r="S29" s="141"/>
      <c r="T29" s="141"/>
      <c r="U29" s="141"/>
      <c r="V29" s="141"/>
      <c r="W29" s="141"/>
      <c r="X29" s="141"/>
      <c r="Y29" s="141"/>
      <c r="Z29" s="141"/>
    </row>
    <row r="30">
      <c r="A30" s="141"/>
      <c r="B30" s="141" t="str">
        <f>IFERROR(__xludf.DUMMYFUNCTION("""COMPUTED_VALUE"""),"Bangladesh [GAZ:00003750]                ")</f>
        <v>Bangladesh [GAZ:00003750]                </v>
      </c>
      <c r="C30" s="141" t="str">
        <f>IFERROR(__xludf.DUMMYFUNCTION("""COMPUTED_VALUE"""),"GAZ:00003750")</f>
        <v>GAZ:00003750</v>
      </c>
      <c r="D30" s="141"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30" s="141"/>
      <c r="F30" s="141"/>
      <c r="G30" s="141"/>
      <c r="H30" s="141"/>
      <c r="I30" s="141"/>
      <c r="J30" s="141"/>
      <c r="K30" s="141"/>
      <c r="L30" s="141"/>
      <c r="M30" s="141"/>
      <c r="N30" s="141"/>
      <c r="O30" s="141"/>
      <c r="P30" s="141"/>
      <c r="Q30" s="141"/>
      <c r="R30" s="141"/>
      <c r="S30" s="141"/>
      <c r="T30" s="141"/>
      <c r="U30" s="141"/>
      <c r="V30" s="141"/>
      <c r="W30" s="141"/>
      <c r="X30" s="141"/>
      <c r="Y30" s="141"/>
      <c r="Z30" s="141"/>
    </row>
    <row r="31">
      <c r="A31" s="141"/>
      <c r="B31" s="141" t="str">
        <f>IFERROR(__xludf.DUMMYFUNCTION("""COMPUTED_VALUE"""),"Barbados [GAZ:00001251]                ")</f>
        <v>Barbados [GAZ:00001251]                </v>
      </c>
      <c r="C31" s="141" t="str">
        <f>IFERROR(__xludf.DUMMYFUNCTION("""COMPUTED_VALUE"""),"GAZ:00001251")</f>
        <v>GAZ:00001251</v>
      </c>
      <c r="D31" s="141"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31" s="141"/>
      <c r="F31" s="141"/>
      <c r="G31" s="141"/>
      <c r="H31" s="141"/>
      <c r="I31" s="141"/>
      <c r="J31" s="141"/>
      <c r="K31" s="141"/>
      <c r="L31" s="141"/>
      <c r="M31" s="141"/>
      <c r="N31" s="141"/>
      <c r="O31" s="141"/>
      <c r="P31" s="141"/>
      <c r="Q31" s="141"/>
      <c r="R31" s="141"/>
      <c r="S31" s="141"/>
      <c r="T31" s="141"/>
      <c r="U31" s="141"/>
      <c r="V31" s="141"/>
      <c r="W31" s="141"/>
      <c r="X31" s="141"/>
      <c r="Y31" s="141"/>
      <c r="Z31" s="141"/>
    </row>
    <row r="32">
      <c r="A32" s="141"/>
      <c r="B32" s="141" t="str">
        <f>IFERROR(__xludf.DUMMYFUNCTION("""COMPUTED_VALUE"""),"Bassas da India [GAZ:00005810]                ")</f>
        <v>Bassas da India [GAZ:00005810]                </v>
      </c>
      <c r="C32" s="141" t="str">
        <f>IFERROR(__xludf.DUMMYFUNCTION("""COMPUTED_VALUE"""),"GAZ:00005810")</f>
        <v>GAZ:00005810</v>
      </c>
      <c r="D32" s="141"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32" s="141"/>
      <c r="F32" s="141"/>
      <c r="G32" s="141"/>
      <c r="H32" s="141"/>
      <c r="I32" s="141"/>
      <c r="J32" s="141"/>
      <c r="K32" s="141"/>
      <c r="L32" s="141"/>
      <c r="M32" s="141"/>
      <c r="N32" s="141"/>
      <c r="O32" s="141"/>
      <c r="P32" s="141"/>
      <c r="Q32" s="141"/>
      <c r="R32" s="141"/>
      <c r="S32" s="141"/>
      <c r="T32" s="141"/>
      <c r="U32" s="141"/>
      <c r="V32" s="141"/>
      <c r="W32" s="141"/>
      <c r="X32" s="141"/>
      <c r="Y32" s="141"/>
      <c r="Z32" s="141"/>
    </row>
    <row r="33">
      <c r="A33" s="141"/>
      <c r="B33" s="141" t="str">
        <f>IFERROR(__xludf.DUMMYFUNCTION("""COMPUTED_VALUE"""),"Belarus [GAZ:00006886]                ")</f>
        <v>Belarus [GAZ:00006886]                </v>
      </c>
      <c r="C33" s="141" t="str">
        <f>IFERROR(__xludf.DUMMYFUNCTION("""COMPUTED_VALUE"""),"GAZ:00006886")</f>
        <v>GAZ:00006886</v>
      </c>
      <c r="D33" s="141"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33" s="141"/>
      <c r="F33" s="141"/>
      <c r="G33" s="141"/>
      <c r="H33" s="141"/>
      <c r="I33" s="141"/>
      <c r="J33" s="141"/>
      <c r="K33" s="141"/>
      <c r="L33" s="141"/>
      <c r="M33" s="141"/>
      <c r="N33" s="141"/>
      <c r="O33" s="141"/>
      <c r="P33" s="141"/>
      <c r="Q33" s="141"/>
      <c r="R33" s="141"/>
      <c r="S33" s="141"/>
      <c r="T33" s="141"/>
      <c r="U33" s="141"/>
      <c r="V33" s="141"/>
      <c r="W33" s="141"/>
      <c r="X33" s="141"/>
      <c r="Y33" s="141"/>
      <c r="Z33" s="141"/>
    </row>
    <row r="34">
      <c r="A34" s="141"/>
      <c r="B34" s="141" t="str">
        <f>IFERROR(__xludf.DUMMYFUNCTION("""COMPUTED_VALUE"""),"Belgium [GAZ:00002938]                ")</f>
        <v>Belgium [GAZ:00002938]                </v>
      </c>
      <c r="C34" s="141" t="str">
        <f>IFERROR(__xludf.DUMMYFUNCTION("""COMPUTED_VALUE"""),"GAZ:00002938")</f>
        <v>GAZ:00002938</v>
      </c>
      <c r="D34" s="141"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34" s="141"/>
      <c r="F34" s="141"/>
      <c r="G34" s="141"/>
      <c r="H34" s="141"/>
      <c r="I34" s="141"/>
      <c r="J34" s="141"/>
      <c r="K34" s="141"/>
      <c r="L34" s="141"/>
      <c r="M34" s="141"/>
      <c r="N34" s="141"/>
      <c r="O34" s="141"/>
      <c r="P34" s="141"/>
      <c r="Q34" s="141"/>
      <c r="R34" s="141"/>
      <c r="S34" s="141"/>
      <c r="T34" s="141"/>
      <c r="U34" s="141"/>
      <c r="V34" s="141"/>
      <c r="W34" s="141"/>
      <c r="X34" s="141"/>
      <c r="Y34" s="141"/>
      <c r="Z34" s="141"/>
    </row>
    <row r="35">
      <c r="A35" s="141"/>
      <c r="B35" s="141" t="str">
        <f>IFERROR(__xludf.DUMMYFUNCTION("""COMPUTED_VALUE"""),"Belize [GAZ:00002934]                ")</f>
        <v>Belize [GAZ:00002934]                </v>
      </c>
      <c r="C35" s="141" t="str">
        <f>IFERROR(__xludf.DUMMYFUNCTION("""COMPUTED_VALUE"""),"GAZ:00002934")</f>
        <v>GAZ:00002934</v>
      </c>
      <c r="D35" s="141"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35" s="141"/>
      <c r="F35" s="141"/>
      <c r="G35" s="141"/>
      <c r="H35" s="141"/>
      <c r="I35" s="141"/>
      <c r="J35" s="141"/>
      <c r="K35" s="141"/>
      <c r="L35" s="141"/>
      <c r="M35" s="141"/>
      <c r="N35" s="141"/>
      <c r="O35" s="141"/>
      <c r="P35" s="141"/>
      <c r="Q35" s="141"/>
      <c r="R35" s="141"/>
      <c r="S35" s="141"/>
      <c r="T35" s="141"/>
      <c r="U35" s="141"/>
      <c r="V35" s="141"/>
      <c r="W35" s="141"/>
      <c r="X35" s="141"/>
      <c r="Y35" s="141"/>
      <c r="Z35" s="141"/>
    </row>
    <row r="36">
      <c r="A36" s="141"/>
      <c r="B36" s="141" t="str">
        <f>IFERROR(__xludf.DUMMYFUNCTION("""COMPUTED_VALUE"""),"Benin [GAZ:00000904]                ")</f>
        <v>Benin [GAZ:00000904]                </v>
      </c>
      <c r="C36" s="141" t="str">
        <f>IFERROR(__xludf.DUMMYFUNCTION("""COMPUTED_VALUE"""),"GAZ:00000904")</f>
        <v>GAZ:00000904</v>
      </c>
      <c r="D36" s="141"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36" s="141"/>
      <c r="F36" s="141"/>
      <c r="G36" s="141"/>
      <c r="H36" s="141"/>
      <c r="I36" s="141"/>
      <c r="J36" s="141"/>
      <c r="K36" s="141"/>
      <c r="L36" s="141"/>
      <c r="M36" s="141"/>
      <c r="N36" s="141"/>
      <c r="O36" s="141"/>
      <c r="P36" s="141"/>
      <c r="Q36" s="141"/>
      <c r="R36" s="141"/>
      <c r="S36" s="141"/>
      <c r="T36" s="141"/>
      <c r="U36" s="141"/>
      <c r="V36" s="141"/>
      <c r="W36" s="141"/>
      <c r="X36" s="141"/>
      <c r="Y36" s="141"/>
      <c r="Z36" s="141"/>
    </row>
    <row r="37">
      <c r="A37" s="141"/>
      <c r="B37" s="141" t="str">
        <f>IFERROR(__xludf.DUMMYFUNCTION("""COMPUTED_VALUE"""),"Bermuda [GAZ:00001264]                ")</f>
        <v>Bermuda [GAZ:00001264]                </v>
      </c>
      <c r="C37" s="141" t="str">
        <f>IFERROR(__xludf.DUMMYFUNCTION("""COMPUTED_VALUE"""),"GAZ:00001264")</f>
        <v>GAZ:00001264</v>
      </c>
      <c r="D37" s="141"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37" s="141"/>
      <c r="F37" s="141"/>
      <c r="G37" s="141"/>
      <c r="H37" s="141"/>
      <c r="I37" s="141"/>
      <c r="J37" s="141"/>
      <c r="K37" s="141"/>
      <c r="L37" s="141"/>
      <c r="M37" s="141"/>
      <c r="N37" s="141"/>
      <c r="O37" s="141"/>
      <c r="P37" s="141"/>
      <c r="Q37" s="141"/>
      <c r="R37" s="141"/>
      <c r="S37" s="141"/>
      <c r="T37" s="141"/>
      <c r="U37" s="141"/>
      <c r="V37" s="141"/>
      <c r="W37" s="141"/>
      <c r="X37" s="141"/>
      <c r="Y37" s="141"/>
      <c r="Z37" s="141"/>
    </row>
    <row r="38">
      <c r="A38" s="141"/>
      <c r="B38" s="141" t="str">
        <f>IFERROR(__xludf.DUMMYFUNCTION("""COMPUTED_VALUE"""),"Bhutan [GAZ:00003920]                ")</f>
        <v>Bhutan [GAZ:00003920]                </v>
      </c>
      <c r="C38" s="141" t="str">
        <f>IFERROR(__xludf.DUMMYFUNCTION("""COMPUTED_VALUE"""),"GAZ:00003920")</f>
        <v>GAZ:00003920</v>
      </c>
      <c r="D38" s="141"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38" s="141"/>
      <c r="F38" s="141"/>
      <c r="G38" s="141"/>
      <c r="H38" s="141"/>
      <c r="I38" s="141"/>
      <c r="J38" s="141"/>
      <c r="K38" s="141"/>
      <c r="L38" s="141"/>
      <c r="M38" s="141"/>
      <c r="N38" s="141"/>
      <c r="O38" s="141"/>
      <c r="P38" s="141"/>
      <c r="Q38" s="141"/>
      <c r="R38" s="141"/>
      <c r="S38" s="141"/>
      <c r="T38" s="141"/>
      <c r="U38" s="141"/>
      <c r="V38" s="141"/>
      <c r="W38" s="141"/>
      <c r="X38" s="141"/>
      <c r="Y38" s="141"/>
      <c r="Z38" s="141"/>
    </row>
    <row r="39">
      <c r="A39" s="141"/>
      <c r="B39" s="141" t="str">
        <f>IFERROR(__xludf.DUMMYFUNCTION("""COMPUTED_VALUE"""),"Bolivia [GAZ:00002511]                ")</f>
        <v>Bolivia [GAZ:00002511]                </v>
      </c>
      <c r="C39" s="141" t="str">
        <f>IFERROR(__xludf.DUMMYFUNCTION("""COMPUTED_VALUE"""),"GAZ:00002511")</f>
        <v>GAZ:00002511</v>
      </c>
      <c r="D39" s="141"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39" s="141"/>
      <c r="F39" s="141"/>
      <c r="G39" s="141"/>
      <c r="H39" s="141"/>
      <c r="I39" s="141"/>
      <c r="J39" s="141"/>
      <c r="K39" s="141"/>
      <c r="L39" s="141"/>
      <c r="M39" s="141"/>
      <c r="N39" s="141"/>
      <c r="O39" s="141"/>
      <c r="P39" s="141"/>
      <c r="Q39" s="141"/>
      <c r="R39" s="141"/>
      <c r="S39" s="141"/>
      <c r="T39" s="141"/>
      <c r="U39" s="141"/>
      <c r="V39" s="141"/>
      <c r="W39" s="141"/>
      <c r="X39" s="141"/>
      <c r="Y39" s="141"/>
      <c r="Z39" s="141"/>
    </row>
    <row r="40">
      <c r="A40" s="141"/>
      <c r="B40" s="141" t="str">
        <f>IFERROR(__xludf.DUMMYFUNCTION("""COMPUTED_VALUE"""),"Borneo [GAZ:00025355]                ")</f>
        <v>Borneo [GAZ:00025355]                </v>
      </c>
      <c r="C40" s="141" t="str">
        <f>IFERROR(__xludf.DUMMYFUNCTION("""COMPUTED_VALUE"""),"GAZ:00025355")</f>
        <v>GAZ:00025355</v>
      </c>
      <c r="D40" s="141"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40" s="141"/>
      <c r="F40" s="141"/>
      <c r="G40" s="141"/>
      <c r="H40" s="141"/>
      <c r="I40" s="141"/>
      <c r="J40" s="141"/>
      <c r="K40" s="141"/>
      <c r="L40" s="141"/>
      <c r="M40" s="141"/>
      <c r="N40" s="141"/>
      <c r="O40" s="141"/>
      <c r="P40" s="141"/>
      <c r="Q40" s="141"/>
      <c r="R40" s="141"/>
      <c r="S40" s="141"/>
      <c r="T40" s="141"/>
      <c r="U40" s="141"/>
      <c r="V40" s="141"/>
      <c r="W40" s="141"/>
      <c r="X40" s="141"/>
      <c r="Y40" s="141"/>
      <c r="Z40" s="141"/>
    </row>
    <row r="41">
      <c r="A41" s="141"/>
      <c r="B41" s="141" t="str">
        <f>IFERROR(__xludf.DUMMYFUNCTION("""COMPUTED_VALUE"""),"Bosnia and Herzegovina [GAZ:00006887]                ")</f>
        <v>Bosnia and Herzegovina [GAZ:00006887]                </v>
      </c>
      <c r="C41" s="141" t="str">
        <f>IFERROR(__xludf.DUMMYFUNCTION("""COMPUTED_VALUE"""),"GAZ:00006887")</f>
        <v>GAZ:00006887</v>
      </c>
      <c r="D41" s="141"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41" s="141"/>
      <c r="F41" s="141"/>
      <c r="G41" s="141"/>
      <c r="H41" s="141"/>
      <c r="I41" s="141"/>
      <c r="J41" s="141"/>
      <c r="K41" s="141"/>
      <c r="L41" s="141"/>
      <c r="M41" s="141"/>
      <c r="N41" s="141"/>
      <c r="O41" s="141"/>
      <c r="P41" s="141"/>
      <c r="Q41" s="141"/>
      <c r="R41" s="141"/>
      <c r="S41" s="141"/>
      <c r="T41" s="141"/>
      <c r="U41" s="141"/>
      <c r="V41" s="141"/>
      <c r="W41" s="141"/>
      <c r="X41" s="141"/>
      <c r="Y41" s="141"/>
      <c r="Z41" s="141"/>
    </row>
    <row r="42">
      <c r="A42" s="141"/>
      <c r="B42" s="141" t="str">
        <f>IFERROR(__xludf.DUMMYFUNCTION("""COMPUTED_VALUE"""),"Botswana [GAZ:00001097]                ")</f>
        <v>Botswana [GAZ:00001097]                </v>
      </c>
      <c r="C42" s="141" t="str">
        <f>IFERROR(__xludf.DUMMYFUNCTION("""COMPUTED_VALUE"""),"GAZ:00001097")</f>
        <v>GAZ:00001097</v>
      </c>
      <c r="D42" s="141"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42" s="141"/>
      <c r="F42" s="141"/>
      <c r="G42" s="141"/>
      <c r="H42" s="141"/>
      <c r="I42" s="141"/>
      <c r="J42" s="141"/>
      <c r="K42" s="141"/>
      <c r="L42" s="141"/>
      <c r="M42" s="141"/>
      <c r="N42" s="141"/>
      <c r="O42" s="141"/>
      <c r="P42" s="141"/>
      <c r="Q42" s="141"/>
      <c r="R42" s="141"/>
      <c r="S42" s="141"/>
      <c r="T42" s="141"/>
      <c r="U42" s="141"/>
      <c r="V42" s="141"/>
      <c r="W42" s="141"/>
      <c r="X42" s="141"/>
      <c r="Y42" s="141"/>
      <c r="Z42" s="141"/>
    </row>
    <row r="43">
      <c r="A43" s="141"/>
      <c r="B43" s="141" t="str">
        <f>IFERROR(__xludf.DUMMYFUNCTION("""COMPUTED_VALUE"""),"Bouvet Island [GAZ:00001453]                ")</f>
        <v>Bouvet Island [GAZ:00001453]                </v>
      </c>
      <c r="C43" s="141" t="str">
        <f>IFERROR(__xludf.DUMMYFUNCTION("""COMPUTED_VALUE"""),"GAZ:00001453")</f>
        <v>GAZ:00001453</v>
      </c>
      <c r="D43" s="141"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43" s="141"/>
      <c r="F43" s="141"/>
      <c r="G43" s="141"/>
      <c r="H43" s="141"/>
      <c r="I43" s="141"/>
      <c r="J43" s="141"/>
      <c r="K43" s="141"/>
      <c r="L43" s="141"/>
      <c r="M43" s="141"/>
      <c r="N43" s="141"/>
      <c r="O43" s="141"/>
      <c r="P43" s="141"/>
      <c r="Q43" s="141"/>
      <c r="R43" s="141"/>
      <c r="S43" s="141"/>
      <c r="T43" s="141"/>
      <c r="U43" s="141"/>
      <c r="V43" s="141"/>
      <c r="W43" s="141"/>
      <c r="X43" s="141"/>
      <c r="Y43" s="141"/>
      <c r="Z43" s="141"/>
    </row>
    <row r="44">
      <c r="A44" s="141"/>
      <c r="B44" s="141" t="str">
        <f>IFERROR(__xludf.DUMMYFUNCTION("""COMPUTED_VALUE"""),"Brazil [GAZ:00002828]                ")</f>
        <v>Brazil [GAZ:00002828]                </v>
      </c>
      <c r="C44" s="141" t="str">
        <f>IFERROR(__xludf.DUMMYFUNCTION("""COMPUTED_VALUE"""),"GAZ:00002828")</f>
        <v>GAZ:00002828</v>
      </c>
      <c r="D44" s="141"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44" s="141"/>
      <c r="F44" s="141"/>
      <c r="G44" s="141"/>
      <c r="H44" s="141"/>
      <c r="I44" s="141"/>
      <c r="J44" s="141"/>
      <c r="K44" s="141"/>
      <c r="L44" s="141"/>
      <c r="M44" s="141"/>
      <c r="N44" s="141"/>
      <c r="O44" s="141"/>
      <c r="P44" s="141"/>
      <c r="Q44" s="141"/>
      <c r="R44" s="141"/>
      <c r="S44" s="141"/>
      <c r="T44" s="141"/>
      <c r="U44" s="141"/>
      <c r="V44" s="141"/>
      <c r="W44" s="141"/>
      <c r="X44" s="141"/>
      <c r="Y44" s="141"/>
      <c r="Z44" s="141"/>
    </row>
    <row r="45">
      <c r="A45" s="141"/>
      <c r="B45" s="141" t="str">
        <f>IFERROR(__xludf.DUMMYFUNCTION("""COMPUTED_VALUE"""),"British Virgin Islands [GAZ:00003961]                ")</f>
        <v>British Virgin Islands [GAZ:00003961]                </v>
      </c>
      <c r="C45" s="141" t="str">
        <f>IFERROR(__xludf.DUMMYFUNCTION("""COMPUTED_VALUE"""),"GAZ:00003961")</f>
        <v>GAZ:00003961</v>
      </c>
      <c r="D45" s="141"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45" s="141"/>
      <c r="F45" s="141"/>
      <c r="G45" s="141"/>
      <c r="H45" s="141"/>
      <c r="I45" s="141"/>
      <c r="J45" s="141"/>
      <c r="K45" s="141"/>
      <c r="L45" s="141"/>
      <c r="M45" s="141"/>
      <c r="N45" s="141"/>
      <c r="O45" s="141"/>
      <c r="P45" s="141"/>
      <c r="Q45" s="141"/>
      <c r="R45" s="141"/>
      <c r="S45" s="141"/>
      <c r="T45" s="141"/>
      <c r="U45" s="141"/>
      <c r="V45" s="141"/>
      <c r="W45" s="141"/>
      <c r="X45" s="141"/>
      <c r="Y45" s="141"/>
      <c r="Z45" s="141"/>
    </row>
    <row r="46">
      <c r="A46" s="141"/>
      <c r="B46" s="141" t="str">
        <f>IFERROR(__xludf.DUMMYFUNCTION("""COMPUTED_VALUE"""),"Brunei [GAZ:00003901]                ")</f>
        <v>Brunei [GAZ:00003901]                </v>
      </c>
      <c r="C46" s="141" t="str">
        <f>IFERROR(__xludf.DUMMYFUNCTION("""COMPUTED_VALUE"""),"GAZ:00003901")</f>
        <v>GAZ:00003901</v>
      </c>
      <c r="D46" s="141"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46" s="141"/>
      <c r="F46" s="141"/>
      <c r="G46" s="141"/>
      <c r="H46" s="141"/>
      <c r="I46" s="141"/>
      <c r="J46" s="141"/>
      <c r="K46" s="141"/>
      <c r="L46" s="141"/>
      <c r="M46" s="141"/>
      <c r="N46" s="141"/>
      <c r="O46" s="141"/>
      <c r="P46" s="141"/>
      <c r="Q46" s="141"/>
      <c r="R46" s="141"/>
      <c r="S46" s="141"/>
      <c r="T46" s="141"/>
      <c r="U46" s="141"/>
      <c r="V46" s="141"/>
      <c r="W46" s="141"/>
      <c r="X46" s="141"/>
      <c r="Y46" s="141"/>
      <c r="Z46" s="141"/>
    </row>
    <row r="47">
      <c r="A47" s="141"/>
      <c r="B47" s="141" t="str">
        <f>IFERROR(__xludf.DUMMYFUNCTION("""COMPUTED_VALUE"""),"Bulgaria [GAZ:00002950]                ")</f>
        <v>Bulgaria [GAZ:00002950]                </v>
      </c>
      <c r="C47" s="141" t="str">
        <f>IFERROR(__xludf.DUMMYFUNCTION("""COMPUTED_VALUE"""),"GAZ:00002950")</f>
        <v>GAZ:00002950</v>
      </c>
      <c r="D47" s="141"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47" s="141"/>
      <c r="F47" s="141"/>
      <c r="G47" s="141"/>
      <c r="H47" s="141"/>
      <c r="I47" s="141"/>
      <c r="J47" s="141"/>
      <c r="K47" s="141"/>
      <c r="L47" s="141"/>
      <c r="M47" s="141"/>
      <c r="N47" s="141"/>
      <c r="O47" s="141"/>
      <c r="P47" s="141"/>
      <c r="Q47" s="141"/>
      <c r="R47" s="141"/>
      <c r="S47" s="141"/>
      <c r="T47" s="141"/>
      <c r="U47" s="141"/>
      <c r="V47" s="141"/>
      <c r="W47" s="141"/>
      <c r="X47" s="141"/>
      <c r="Y47" s="141"/>
      <c r="Z47" s="141"/>
    </row>
    <row r="48">
      <c r="A48" s="141"/>
      <c r="B48" s="141" t="str">
        <f>IFERROR(__xludf.DUMMYFUNCTION("""COMPUTED_VALUE"""),"Burkina Faso [GAZ:00000905]                ")</f>
        <v>Burkina Faso [GAZ:00000905]                </v>
      </c>
      <c r="C48" s="141" t="str">
        <f>IFERROR(__xludf.DUMMYFUNCTION("""COMPUTED_VALUE"""),"GAZ:00000905")</f>
        <v>GAZ:00000905</v>
      </c>
      <c r="D48" s="141"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48" s="141"/>
      <c r="F48" s="141"/>
      <c r="G48" s="141"/>
      <c r="H48" s="141"/>
      <c r="I48" s="141"/>
      <c r="J48" s="141"/>
      <c r="K48" s="141"/>
      <c r="L48" s="141"/>
      <c r="M48" s="141"/>
      <c r="N48" s="141"/>
      <c r="O48" s="141"/>
      <c r="P48" s="141"/>
      <c r="Q48" s="141"/>
      <c r="R48" s="141"/>
      <c r="S48" s="141"/>
      <c r="T48" s="141"/>
      <c r="U48" s="141"/>
      <c r="V48" s="141"/>
      <c r="W48" s="141"/>
      <c r="X48" s="141"/>
      <c r="Y48" s="141"/>
      <c r="Z48" s="141"/>
    </row>
    <row r="49">
      <c r="A49" s="141"/>
      <c r="B49" s="141" t="str">
        <f>IFERROR(__xludf.DUMMYFUNCTION("""COMPUTED_VALUE"""),"Burundi [GAZ:00001090]                ")</f>
        <v>Burundi [GAZ:00001090]                </v>
      </c>
      <c r="C49" s="141" t="str">
        <f>IFERROR(__xludf.DUMMYFUNCTION("""COMPUTED_VALUE"""),"GAZ:00001090")</f>
        <v>GAZ:00001090</v>
      </c>
      <c r="D49" s="141"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49" s="141"/>
      <c r="F49" s="141"/>
      <c r="G49" s="141"/>
      <c r="H49" s="141"/>
      <c r="I49" s="141"/>
      <c r="J49" s="141"/>
      <c r="K49" s="141"/>
      <c r="L49" s="141"/>
      <c r="M49" s="141"/>
      <c r="N49" s="141"/>
      <c r="O49" s="141"/>
      <c r="P49" s="141"/>
      <c r="Q49" s="141"/>
      <c r="R49" s="141"/>
      <c r="S49" s="141"/>
      <c r="T49" s="141"/>
      <c r="U49" s="141"/>
      <c r="V49" s="141"/>
      <c r="W49" s="141"/>
      <c r="X49" s="141"/>
      <c r="Y49" s="141"/>
      <c r="Z49" s="141"/>
    </row>
    <row r="50">
      <c r="A50" s="141"/>
      <c r="B50" s="141" t="str">
        <f>IFERROR(__xludf.DUMMYFUNCTION("""COMPUTED_VALUE"""),"Cambodia [GAZ:00006888]                ")</f>
        <v>Cambodia [GAZ:00006888]                </v>
      </c>
      <c r="C50" s="141" t="str">
        <f>IFERROR(__xludf.DUMMYFUNCTION("""COMPUTED_VALUE"""),"GAZ:00006888")</f>
        <v>GAZ:00006888</v>
      </c>
      <c r="D50" s="141"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50" s="141"/>
      <c r="F50" s="141"/>
      <c r="G50" s="141"/>
      <c r="H50" s="141"/>
      <c r="I50" s="141"/>
      <c r="J50" s="141"/>
      <c r="K50" s="141"/>
      <c r="L50" s="141"/>
      <c r="M50" s="141"/>
      <c r="N50" s="141"/>
      <c r="O50" s="141"/>
      <c r="P50" s="141"/>
      <c r="Q50" s="141"/>
      <c r="R50" s="141"/>
      <c r="S50" s="141"/>
      <c r="T50" s="141"/>
      <c r="U50" s="141"/>
      <c r="V50" s="141"/>
      <c r="W50" s="141"/>
      <c r="X50" s="141"/>
      <c r="Y50" s="141"/>
      <c r="Z50" s="141"/>
    </row>
    <row r="51">
      <c r="A51" s="141"/>
      <c r="B51" s="141" t="str">
        <f>IFERROR(__xludf.DUMMYFUNCTION("""COMPUTED_VALUE"""),"Cameroon [GAZ:00001093]                ")</f>
        <v>Cameroon [GAZ:00001093]                </v>
      </c>
      <c r="C51" s="141" t="str">
        <f>IFERROR(__xludf.DUMMYFUNCTION("""COMPUTED_VALUE"""),"GAZ:00001093")</f>
        <v>GAZ:00001093</v>
      </c>
      <c r="D51" s="141"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51" s="141"/>
      <c r="F51" s="141"/>
      <c r="G51" s="141"/>
      <c r="H51" s="141"/>
      <c r="I51" s="141"/>
      <c r="J51" s="141"/>
      <c r="K51" s="141"/>
      <c r="L51" s="141"/>
      <c r="M51" s="141"/>
      <c r="N51" s="141"/>
      <c r="O51" s="141"/>
      <c r="P51" s="141"/>
      <c r="Q51" s="141"/>
      <c r="R51" s="141"/>
      <c r="S51" s="141"/>
      <c r="T51" s="141"/>
      <c r="U51" s="141"/>
      <c r="V51" s="141"/>
      <c r="W51" s="141"/>
      <c r="X51" s="141"/>
      <c r="Y51" s="141"/>
      <c r="Z51" s="141"/>
    </row>
    <row r="52">
      <c r="A52" s="141"/>
      <c r="B52" s="141" t="str">
        <f>IFERROR(__xludf.DUMMYFUNCTION("""COMPUTED_VALUE"""),"Canada [GAZ:00002560]                ")</f>
        <v>Canada [GAZ:00002560]                </v>
      </c>
      <c r="C52" s="141" t="str">
        <f>IFERROR(__xludf.DUMMYFUNCTION("""COMPUTED_VALUE"""),"GAZ:00002560")</f>
        <v>GAZ:00002560</v>
      </c>
      <c r="D52" s="141"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52" s="141"/>
      <c r="F52" s="141"/>
      <c r="G52" s="141"/>
      <c r="H52" s="141"/>
      <c r="I52" s="141"/>
      <c r="J52" s="141"/>
      <c r="K52" s="141"/>
      <c r="L52" s="141"/>
      <c r="M52" s="141"/>
      <c r="N52" s="141"/>
      <c r="O52" s="141"/>
      <c r="P52" s="141"/>
      <c r="Q52" s="141"/>
      <c r="R52" s="141"/>
      <c r="S52" s="141"/>
      <c r="T52" s="141"/>
      <c r="U52" s="141"/>
      <c r="V52" s="141"/>
      <c r="W52" s="141"/>
      <c r="X52" s="141"/>
      <c r="Y52" s="141"/>
      <c r="Z52" s="141"/>
    </row>
    <row r="53">
      <c r="A53" s="141"/>
      <c r="B53" s="141" t="str">
        <f>IFERROR(__xludf.DUMMYFUNCTION("""COMPUTED_VALUE"""),"Cape Verde [GAZ:00001227]                ")</f>
        <v>Cape Verde [GAZ:00001227]                </v>
      </c>
      <c r="C53" s="141" t="str">
        <f>IFERROR(__xludf.DUMMYFUNCTION("""COMPUTED_VALUE"""),"GAZ:00001227")</f>
        <v>GAZ:00001227</v>
      </c>
      <c r="D53" s="141"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53" s="141"/>
      <c r="F53" s="141"/>
      <c r="G53" s="141"/>
      <c r="H53" s="141"/>
      <c r="I53" s="141"/>
      <c r="J53" s="141"/>
      <c r="K53" s="141"/>
      <c r="L53" s="141"/>
      <c r="M53" s="141"/>
      <c r="N53" s="141"/>
      <c r="O53" s="141"/>
      <c r="P53" s="141"/>
      <c r="Q53" s="141"/>
      <c r="R53" s="141"/>
      <c r="S53" s="141"/>
      <c r="T53" s="141"/>
      <c r="U53" s="141"/>
      <c r="V53" s="141"/>
      <c r="W53" s="141"/>
      <c r="X53" s="141"/>
      <c r="Y53" s="141"/>
      <c r="Z53" s="141"/>
    </row>
    <row r="54">
      <c r="A54" s="141"/>
      <c r="B54" s="141" t="str">
        <f>IFERROR(__xludf.DUMMYFUNCTION("""COMPUTED_VALUE"""),"Cayman Islands [GAZ:00003986]                ")</f>
        <v>Cayman Islands [GAZ:00003986]                </v>
      </c>
      <c r="C54" s="141" t="str">
        <f>IFERROR(__xludf.DUMMYFUNCTION("""COMPUTED_VALUE"""),"GAZ:00003986")</f>
        <v>GAZ:00003986</v>
      </c>
      <c r="D54" s="141"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54" s="141"/>
      <c r="F54" s="141"/>
      <c r="G54" s="141"/>
      <c r="H54" s="141"/>
      <c r="I54" s="141"/>
      <c r="J54" s="141"/>
      <c r="K54" s="141"/>
      <c r="L54" s="141"/>
      <c r="M54" s="141"/>
      <c r="N54" s="141"/>
      <c r="O54" s="141"/>
      <c r="P54" s="141"/>
      <c r="Q54" s="141"/>
      <c r="R54" s="141"/>
      <c r="S54" s="141"/>
      <c r="T54" s="141"/>
      <c r="U54" s="141"/>
      <c r="V54" s="141"/>
      <c r="W54" s="141"/>
      <c r="X54" s="141"/>
      <c r="Y54" s="141"/>
      <c r="Z54" s="141"/>
    </row>
    <row r="55">
      <c r="A55" s="141"/>
      <c r="B55" s="141" t="str">
        <f>IFERROR(__xludf.DUMMYFUNCTION("""COMPUTED_VALUE"""),"Central African Republic [GAZ:00001089]                ")</f>
        <v>Central African Republic [GAZ:00001089]                </v>
      </c>
      <c r="C55" s="141" t="str">
        <f>IFERROR(__xludf.DUMMYFUNCTION("""COMPUTED_VALUE"""),"GAZ:00001089")</f>
        <v>GAZ:00001089</v>
      </c>
      <c r="D55" s="141"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55" s="141"/>
      <c r="F55" s="141"/>
      <c r="G55" s="141"/>
      <c r="H55" s="141"/>
      <c r="I55" s="141"/>
      <c r="J55" s="141"/>
      <c r="K55" s="141"/>
      <c r="L55" s="141"/>
      <c r="M55" s="141"/>
      <c r="N55" s="141"/>
      <c r="O55" s="141"/>
      <c r="P55" s="141"/>
      <c r="Q55" s="141"/>
      <c r="R55" s="141"/>
      <c r="S55" s="141"/>
      <c r="T55" s="141"/>
      <c r="U55" s="141"/>
      <c r="V55" s="141"/>
      <c r="W55" s="141"/>
      <c r="X55" s="141"/>
      <c r="Y55" s="141"/>
      <c r="Z55" s="141"/>
    </row>
    <row r="56">
      <c r="A56" s="141"/>
      <c r="B56" s="141" t="str">
        <f>IFERROR(__xludf.DUMMYFUNCTION("""COMPUTED_VALUE"""),"Chad [GAZ:00000586]                ")</f>
        <v>Chad [GAZ:00000586]                </v>
      </c>
      <c r="C56" s="141" t="str">
        <f>IFERROR(__xludf.DUMMYFUNCTION("""COMPUTED_VALUE"""),"GAZ:00000586")</f>
        <v>GAZ:00000586</v>
      </c>
      <c r="D56" s="141"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56" s="141"/>
      <c r="F56" s="141"/>
      <c r="G56" s="141"/>
      <c r="H56" s="141"/>
      <c r="I56" s="141"/>
      <c r="J56" s="141"/>
      <c r="K56" s="141"/>
      <c r="L56" s="141"/>
      <c r="M56" s="141"/>
      <c r="N56" s="141"/>
      <c r="O56" s="141"/>
      <c r="P56" s="141"/>
      <c r="Q56" s="141"/>
      <c r="R56" s="141"/>
      <c r="S56" s="141"/>
      <c r="T56" s="141"/>
      <c r="U56" s="141"/>
      <c r="V56" s="141"/>
      <c r="W56" s="141"/>
      <c r="X56" s="141"/>
      <c r="Y56" s="141"/>
      <c r="Z56" s="141"/>
    </row>
    <row r="57">
      <c r="A57" s="141"/>
      <c r="B57" s="141" t="str">
        <f>IFERROR(__xludf.DUMMYFUNCTION("""COMPUTED_VALUE"""),"Chile [GAZ:00002825]                ")</f>
        <v>Chile [GAZ:00002825]                </v>
      </c>
      <c r="C57" s="141" t="str">
        <f>IFERROR(__xludf.DUMMYFUNCTION("""COMPUTED_VALUE"""),"GAZ:00002825")</f>
        <v>GAZ:00002825</v>
      </c>
      <c r="D57" s="141"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57" s="141"/>
      <c r="F57" s="141"/>
      <c r="G57" s="141"/>
      <c r="H57" s="141"/>
      <c r="I57" s="141"/>
      <c r="J57" s="141"/>
      <c r="K57" s="141"/>
      <c r="L57" s="141"/>
      <c r="M57" s="141"/>
      <c r="N57" s="141"/>
      <c r="O57" s="141"/>
      <c r="P57" s="141"/>
      <c r="Q57" s="141"/>
      <c r="R57" s="141"/>
      <c r="S57" s="141"/>
      <c r="T57" s="141"/>
      <c r="U57" s="141"/>
      <c r="V57" s="141"/>
      <c r="W57" s="141"/>
      <c r="X57" s="141"/>
      <c r="Y57" s="141"/>
      <c r="Z57" s="141"/>
    </row>
    <row r="58">
      <c r="A58" s="141"/>
      <c r="B58" s="141" t="str">
        <f>IFERROR(__xludf.DUMMYFUNCTION("""COMPUTED_VALUE"""),"China [GAZ:00002845]                ")</f>
        <v>China [GAZ:00002845]                </v>
      </c>
      <c r="C58" s="141" t="str">
        <f>IFERROR(__xludf.DUMMYFUNCTION("""COMPUTED_VALUE"""),"GAZ:00002845")</f>
        <v>GAZ:00002845</v>
      </c>
      <c r="D58" s="141"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58" s="141"/>
      <c r="F58" s="141"/>
      <c r="G58" s="141"/>
      <c r="H58" s="141"/>
      <c r="I58" s="141"/>
      <c r="J58" s="141"/>
      <c r="K58" s="141"/>
      <c r="L58" s="141"/>
      <c r="M58" s="141"/>
      <c r="N58" s="141"/>
      <c r="O58" s="141"/>
      <c r="P58" s="141"/>
      <c r="Q58" s="141"/>
      <c r="R58" s="141"/>
      <c r="S58" s="141"/>
      <c r="T58" s="141"/>
      <c r="U58" s="141"/>
      <c r="V58" s="141"/>
      <c r="W58" s="141"/>
      <c r="X58" s="141"/>
      <c r="Y58" s="141"/>
      <c r="Z58" s="141"/>
    </row>
    <row r="59">
      <c r="A59" s="141"/>
      <c r="B59" s="141" t="str">
        <f>IFERROR(__xludf.DUMMYFUNCTION("""COMPUTED_VALUE"""),"Christmas Island [GAZ:00005915]                ")</f>
        <v>Christmas Island [GAZ:00005915]                </v>
      </c>
      <c r="C59" s="141" t="str">
        <f>IFERROR(__xludf.DUMMYFUNCTION("""COMPUTED_VALUE"""),"GAZ:00005915")</f>
        <v>GAZ:00005915</v>
      </c>
      <c r="D59" s="141"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59" s="141"/>
      <c r="F59" s="141"/>
      <c r="G59" s="141"/>
      <c r="H59" s="141"/>
      <c r="I59" s="141"/>
      <c r="J59" s="141"/>
      <c r="K59" s="141"/>
      <c r="L59" s="141"/>
      <c r="M59" s="141"/>
      <c r="N59" s="141"/>
      <c r="O59" s="141"/>
      <c r="P59" s="141"/>
      <c r="Q59" s="141"/>
      <c r="R59" s="141"/>
      <c r="S59" s="141"/>
      <c r="T59" s="141"/>
      <c r="U59" s="141"/>
      <c r="V59" s="141"/>
      <c r="W59" s="141"/>
      <c r="X59" s="141"/>
      <c r="Y59" s="141"/>
      <c r="Z59" s="141"/>
    </row>
    <row r="60">
      <c r="A60" s="141"/>
      <c r="B60" s="141" t="str">
        <f>IFERROR(__xludf.DUMMYFUNCTION("""COMPUTED_VALUE"""),"Clipperton Island [GAZ:00005838]                ")</f>
        <v>Clipperton Island [GAZ:00005838]                </v>
      </c>
      <c r="C60" s="141" t="str">
        <f>IFERROR(__xludf.DUMMYFUNCTION("""COMPUTED_VALUE"""),"GAZ:00005838")</f>
        <v>GAZ:00005838</v>
      </c>
      <c r="D60" s="141" t="str">
        <f>IFERROR(__xludf.DUMMYFUNCTION("""COMPUTED_VALUE"""),"A nine-square km coral atoll in the North Pacific Ocean, southwest of Mexico and west of Costa Rica.")</f>
        <v>A nine-square km coral atoll in the North Pacific Ocean, southwest of Mexico and west of Costa Rica.</v>
      </c>
      <c r="E60" s="141"/>
      <c r="F60" s="141"/>
      <c r="G60" s="141"/>
      <c r="H60" s="141"/>
      <c r="I60" s="141"/>
      <c r="J60" s="141"/>
      <c r="K60" s="141"/>
      <c r="L60" s="141"/>
      <c r="M60" s="141"/>
      <c r="N60" s="141"/>
      <c r="O60" s="141"/>
      <c r="P60" s="141"/>
      <c r="Q60" s="141"/>
      <c r="R60" s="141"/>
      <c r="S60" s="141"/>
      <c r="T60" s="141"/>
      <c r="U60" s="141"/>
      <c r="V60" s="141"/>
      <c r="W60" s="141"/>
      <c r="X60" s="141"/>
      <c r="Y60" s="141"/>
      <c r="Z60" s="141"/>
    </row>
    <row r="61">
      <c r="A61" s="141"/>
      <c r="B61" s="141" t="str">
        <f>IFERROR(__xludf.DUMMYFUNCTION("""COMPUTED_VALUE"""),"Cocos Islands [GAZ:00009721]                ")</f>
        <v>Cocos Islands [GAZ:00009721]                </v>
      </c>
      <c r="C61" s="141" t="str">
        <f>IFERROR(__xludf.DUMMYFUNCTION("""COMPUTED_VALUE"""),"GAZ:00009721")</f>
        <v>GAZ:00009721</v>
      </c>
      <c r="D61" s="141"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61" s="141"/>
      <c r="F61" s="141"/>
      <c r="G61" s="141"/>
      <c r="H61" s="141"/>
      <c r="I61" s="141"/>
      <c r="J61" s="141"/>
      <c r="K61" s="141"/>
      <c r="L61" s="141"/>
      <c r="M61" s="141"/>
      <c r="N61" s="141"/>
      <c r="O61" s="141"/>
      <c r="P61" s="141"/>
      <c r="Q61" s="141"/>
      <c r="R61" s="141"/>
      <c r="S61" s="141"/>
      <c r="T61" s="141"/>
      <c r="U61" s="141"/>
      <c r="V61" s="141"/>
      <c r="W61" s="141"/>
      <c r="X61" s="141"/>
      <c r="Y61" s="141"/>
      <c r="Z61" s="141"/>
    </row>
    <row r="62">
      <c r="A62" s="141"/>
      <c r="B62" s="141" t="str">
        <f>IFERROR(__xludf.DUMMYFUNCTION("""COMPUTED_VALUE"""),"Colombia [GAZ:00002929]                ")</f>
        <v>Colombia [GAZ:00002929]                </v>
      </c>
      <c r="C62" s="141" t="str">
        <f>IFERROR(__xludf.DUMMYFUNCTION("""COMPUTED_VALUE"""),"GAZ:00002929")</f>
        <v>GAZ:00002929</v>
      </c>
      <c r="D62" s="141"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62" s="141"/>
      <c r="F62" s="141"/>
      <c r="G62" s="141"/>
      <c r="H62" s="141"/>
      <c r="I62" s="141"/>
      <c r="J62" s="141"/>
      <c r="K62" s="141"/>
      <c r="L62" s="141"/>
      <c r="M62" s="141"/>
      <c r="N62" s="141"/>
      <c r="O62" s="141"/>
      <c r="P62" s="141"/>
      <c r="Q62" s="141"/>
      <c r="R62" s="141"/>
      <c r="S62" s="141"/>
      <c r="T62" s="141"/>
      <c r="U62" s="141"/>
      <c r="V62" s="141"/>
      <c r="W62" s="141"/>
      <c r="X62" s="141"/>
      <c r="Y62" s="141"/>
      <c r="Z62" s="141"/>
    </row>
    <row r="63">
      <c r="A63" s="141"/>
      <c r="B63" s="141" t="str">
        <f>IFERROR(__xludf.DUMMYFUNCTION("""COMPUTED_VALUE"""),"Comoros [GAZ:00005820]                ")</f>
        <v>Comoros [GAZ:00005820]                </v>
      </c>
      <c r="C63" s="141" t="str">
        <f>IFERROR(__xludf.DUMMYFUNCTION("""COMPUTED_VALUE"""),"GAZ:00005820")</f>
        <v>GAZ:00005820</v>
      </c>
      <c r="D63" s="141"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63" s="141"/>
      <c r="F63" s="141"/>
      <c r="G63" s="141"/>
      <c r="H63" s="141"/>
      <c r="I63" s="141"/>
      <c r="J63" s="141"/>
      <c r="K63" s="141"/>
      <c r="L63" s="141"/>
      <c r="M63" s="141"/>
      <c r="N63" s="141"/>
      <c r="O63" s="141"/>
      <c r="P63" s="141"/>
      <c r="Q63" s="141"/>
      <c r="R63" s="141"/>
      <c r="S63" s="141"/>
      <c r="T63" s="141"/>
      <c r="U63" s="141"/>
      <c r="V63" s="141"/>
      <c r="W63" s="141"/>
      <c r="X63" s="141"/>
      <c r="Y63" s="141"/>
      <c r="Z63" s="141"/>
    </row>
    <row r="64">
      <c r="A64" s="141"/>
      <c r="B64" s="141" t="str">
        <f>IFERROR(__xludf.DUMMYFUNCTION("""COMPUTED_VALUE"""),"Cook Islands [GAZ:00053798]                ")</f>
        <v>Cook Islands [GAZ:00053798]                </v>
      </c>
      <c r="C64" s="141" t="str">
        <f>IFERROR(__xludf.DUMMYFUNCTION("""COMPUTED_VALUE"""),"GAZ:00053798")</f>
        <v>GAZ:00053798</v>
      </c>
      <c r="D64" s="141"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64" s="141"/>
      <c r="F64" s="141"/>
      <c r="G64" s="141"/>
      <c r="H64" s="141"/>
      <c r="I64" s="141"/>
      <c r="J64" s="141"/>
      <c r="K64" s="141"/>
      <c r="L64" s="141"/>
      <c r="M64" s="141"/>
      <c r="N64" s="141"/>
      <c r="O64" s="141"/>
      <c r="P64" s="141"/>
      <c r="Q64" s="141"/>
      <c r="R64" s="141"/>
      <c r="S64" s="141"/>
      <c r="T64" s="141"/>
      <c r="U64" s="141"/>
      <c r="V64" s="141"/>
      <c r="W64" s="141"/>
      <c r="X64" s="141"/>
      <c r="Y64" s="141"/>
      <c r="Z64" s="141"/>
    </row>
    <row r="65">
      <c r="A65" s="141"/>
      <c r="B65" s="141" t="str">
        <f>IFERROR(__xludf.DUMMYFUNCTION("""COMPUTED_VALUE"""),"Coral Sea Islands [GAZ:00005917]                ")</f>
        <v>Coral Sea Islands [GAZ:00005917]                </v>
      </c>
      <c r="C65" s="141" t="str">
        <f>IFERROR(__xludf.DUMMYFUNCTION("""COMPUTED_VALUE"""),"GAZ:00005917")</f>
        <v>GAZ:00005917</v>
      </c>
      <c r="D65" s="141"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65" s="141"/>
      <c r="F65" s="141"/>
      <c r="G65" s="141"/>
      <c r="H65" s="141"/>
      <c r="I65" s="141"/>
      <c r="J65" s="141"/>
      <c r="K65" s="141"/>
      <c r="L65" s="141"/>
      <c r="M65" s="141"/>
      <c r="N65" s="141"/>
      <c r="O65" s="141"/>
      <c r="P65" s="141"/>
      <c r="Q65" s="141"/>
      <c r="R65" s="141"/>
      <c r="S65" s="141"/>
      <c r="T65" s="141"/>
      <c r="U65" s="141"/>
      <c r="V65" s="141"/>
      <c r="W65" s="141"/>
      <c r="X65" s="141"/>
      <c r="Y65" s="141"/>
      <c r="Z65" s="141"/>
    </row>
    <row r="66">
      <c r="A66" s="141"/>
      <c r="B66" s="141" t="str">
        <f>IFERROR(__xludf.DUMMYFUNCTION("""COMPUTED_VALUE"""),"Costa Rica [GAZ:00002901]                ")</f>
        <v>Costa Rica [GAZ:00002901]                </v>
      </c>
      <c r="C66" s="141" t="str">
        <f>IFERROR(__xludf.DUMMYFUNCTION("""COMPUTED_VALUE"""),"GAZ:00002901")</f>
        <v>GAZ:00002901</v>
      </c>
      <c r="D66" s="141"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66" s="141"/>
      <c r="F66" s="141"/>
      <c r="G66" s="141"/>
      <c r="H66" s="141"/>
      <c r="I66" s="141"/>
      <c r="J66" s="141"/>
      <c r="K66" s="141"/>
      <c r="L66" s="141"/>
      <c r="M66" s="141"/>
      <c r="N66" s="141"/>
      <c r="O66" s="141"/>
      <c r="P66" s="141"/>
      <c r="Q66" s="141"/>
      <c r="R66" s="141"/>
      <c r="S66" s="141"/>
      <c r="T66" s="141"/>
      <c r="U66" s="141"/>
      <c r="V66" s="141"/>
      <c r="W66" s="141"/>
      <c r="X66" s="141"/>
      <c r="Y66" s="141"/>
      <c r="Z66" s="141"/>
    </row>
    <row r="67">
      <c r="A67" s="141"/>
      <c r="B67" s="141" t="str">
        <f>IFERROR(__xludf.DUMMYFUNCTION("""COMPUTED_VALUE"""),"Cote d'Ivoire [GAZ:00000906]                ")</f>
        <v>Cote d'Ivoire [GAZ:00000906]                </v>
      </c>
      <c r="C67" s="141" t="str">
        <f>IFERROR(__xludf.DUMMYFUNCTION("""COMPUTED_VALUE"""),"GAZ:00000906")</f>
        <v>GAZ:00000906</v>
      </c>
      <c r="D67" s="141"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67" s="141"/>
      <c r="F67" s="141"/>
      <c r="G67" s="141"/>
      <c r="H67" s="141"/>
      <c r="I67" s="141"/>
      <c r="J67" s="141"/>
      <c r="K67" s="141"/>
      <c r="L67" s="141"/>
      <c r="M67" s="141"/>
      <c r="N67" s="141"/>
      <c r="O67" s="141"/>
      <c r="P67" s="141"/>
      <c r="Q67" s="141"/>
      <c r="R67" s="141"/>
      <c r="S67" s="141"/>
      <c r="T67" s="141"/>
      <c r="U67" s="141"/>
      <c r="V67" s="141"/>
      <c r="W67" s="141"/>
      <c r="X67" s="141"/>
      <c r="Y67" s="141"/>
      <c r="Z67" s="141"/>
    </row>
    <row r="68">
      <c r="A68" s="141"/>
      <c r="B68" s="141" t="str">
        <f>IFERROR(__xludf.DUMMYFUNCTION("""COMPUTED_VALUE"""),"Croatia [GAZ:00002719]                ")</f>
        <v>Croatia [GAZ:00002719]                </v>
      </c>
      <c r="C68" s="141" t="str">
        <f>IFERROR(__xludf.DUMMYFUNCTION("""COMPUTED_VALUE"""),"GAZ:00002719")</f>
        <v>GAZ:00002719</v>
      </c>
      <c r="D68" s="141"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68" s="141"/>
      <c r="F68" s="141"/>
      <c r="G68" s="141"/>
      <c r="H68" s="141"/>
      <c r="I68" s="141"/>
      <c r="J68" s="141"/>
      <c r="K68" s="141"/>
      <c r="L68" s="141"/>
      <c r="M68" s="141"/>
      <c r="N68" s="141"/>
      <c r="O68" s="141"/>
      <c r="P68" s="141"/>
      <c r="Q68" s="141"/>
      <c r="R68" s="141"/>
      <c r="S68" s="141"/>
      <c r="T68" s="141"/>
      <c r="U68" s="141"/>
      <c r="V68" s="141"/>
      <c r="W68" s="141"/>
      <c r="X68" s="141"/>
      <c r="Y68" s="141"/>
      <c r="Z68" s="141"/>
    </row>
    <row r="69">
      <c r="A69" s="141"/>
      <c r="B69" s="141" t="str">
        <f>IFERROR(__xludf.DUMMYFUNCTION("""COMPUTED_VALUE"""),"Cuba [GAZ:00003762]                ")</f>
        <v>Cuba [GAZ:00003762]                </v>
      </c>
      <c r="C69" s="141" t="str">
        <f>IFERROR(__xludf.DUMMYFUNCTION("""COMPUTED_VALUE"""),"GAZ:00003762")</f>
        <v>GAZ:00003762</v>
      </c>
      <c r="D69" s="141"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69" s="141"/>
      <c r="F69" s="141"/>
      <c r="G69" s="141"/>
      <c r="H69" s="141"/>
      <c r="I69" s="141"/>
      <c r="J69" s="141"/>
      <c r="K69" s="141"/>
      <c r="L69" s="141"/>
      <c r="M69" s="141"/>
      <c r="N69" s="141"/>
      <c r="O69" s="141"/>
      <c r="P69" s="141"/>
      <c r="Q69" s="141"/>
      <c r="R69" s="141"/>
      <c r="S69" s="141"/>
      <c r="T69" s="141"/>
      <c r="U69" s="141"/>
      <c r="V69" s="141"/>
      <c r="W69" s="141"/>
      <c r="X69" s="141"/>
      <c r="Y69" s="141"/>
      <c r="Z69" s="141"/>
    </row>
    <row r="70">
      <c r="A70" s="141"/>
      <c r="B70" s="141" t="str">
        <f>IFERROR(__xludf.DUMMYFUNCTION("""COMPUTED_VALUE"""),"Curacao [GAZ:00012582]                ")</f>
        <v>Curacao [GAZ:00012582]                </v>
      </c>
      <c r="C70" s="141" t="str">
        <f>IFERROR(__xludf.DUMMYFUNCTION("""COMPUTED_VALUE"""),"GAZ:00012582")</f>
        <v>GAZ:00012582</v>
      </c>
      <c r="D70" s="141" t="str">
        <f>IFERROR(__xludf.DUMMYFUNCTION("""COMPUTED_VALUE"""),"One of five island areas of the Netherlands Antilles.")</f>
        <v>One of five island areas of the Netherlands Antilles.</v>
      </c>
      <c r="E70" s="141"/>
      <c r="F70" s="141"/>
      <c r="G70" s="141"/>
      <c r="H70" s="141"/>
      <c r="I70" s="141"/>
      <c r="J70" s="141"/>
      <c r="K70" s="141"/>
      <c r="L70" s="141"/>
      <c r="M70" s="141"/>
      <c r="N70" s="141"/>
      <c r="O70" s="141"/>
      <c r="P70" s="141"/>
      <c r="Q70" s="141"/>
      <c r="R70" s="141"/>
      <c r="S70" s="141"/>
      <c r="T70" s="141"/>
      <c r="U70" s="141"/>
      <c r="V70" s="141"/>
      <c r="W70" s="141"/>
      <c r="X70" s="141"/>
      <c r="Y70" s="141"/>
      <c r="Z70" s="141"/>
    </row>
    <row r="71">
      <c r="A71" s="141"/>
      <c r="B71" s="141" t="str">
        <f>IFERROR(__xludf.DUMMYFUNCTION("""COMPUTED_VALUE"""),"Cyprus [GAZ:00004006]                ")</f>
        <v>Cyprus [GAZ:00004006]                </v>
      </c>
      <c r="C71" s="141" t="str">
        <f>IFERROR(__xludf.DUMMYFUNCTION("""COMPUTED_VALUE"""),"GAZ:00004006")</f>
        <v>GAZ:00004006</v>
      </c>
      <c r="D71" s="141"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71" s="141"/>
      <c r="F71" s="141"/>
      <c r="G71" s="141"/>
      <c r="H71" s="141"/>
      <c r="I71" s="141"/>
      <c r="J71" s="141"/>
      <c r="K71" s="141"/>
      <c r="L71" s="141"/>
      <c r="M71" s="141"/>
      <c r="N71" s="141"/>
      <c r="O71" s="141"/>
      <c r="P71" s="141"/>
      <c r="Q71" s="141"/>
      <c r="R71" s="141"/>
      <c r="S71" s="141"/>
      <c r="T71" s="141"/>
      <c r="U71" s="141"/>
      <c r="V71" s="141"/>
      <c r="W71" s="141"/>
      <c r="X71" s="141"/>
      <c r="Y71" s="141"/>
      <c r="Z71" s="141"/>
    </row>
    <row r="72">
      <c r="A72" s="141"/>
      <c r="B72" s="141" t="str">
        <f>IFERROR(__xludf.DUMMYFUNCTION("""COMPUTED_VALUE"""),"Czech Republic [GAZ:00002954]                ")</f>
        <v>Czech Republic [GAZ:00002954]                </v>
      </c>
      <c r="C72" s="141" t="str">
        <f>IFERROR(__xludf.DUMMYFUNCTION("""COMPUTED_VALUE"""),"GAZ:00002954")</f>
        <v>GAZ:00002954</v>
      </c>
      <c r="D72" s="141"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72" s="141"/>
      <c r="F72" s="141"/>
      <c r="G72" s="141"/>
      <c r="H72" s="141"/>
      <c r="I72" s="141"/>
      <c r="J72" s="141"/>
      <c r="K72" s="141"/>
      <c r="L72" s="141"/>
      <c r="M72" s="141"/>
      <c r="N72" s="141"/>
      <c r="O72" s="141"/>
      <c r="P72" s="141"/>
      <c r="Q72" s="141"/>
      <c r="R72" s="141"/>
      <c r="S72" s="141"/>
      <c r="T72" s="141"/>
      <c r="U72" s="141"/>
      <c r="V72" s="141"/>
      <c r="W72" s="141"/>
      <c r="X72" s="141"/>
      <c r="Y72" s="141"/>
      <c r="Z72" s="141"/>
    </row>
    <row r="73">
      <c r="A73" s="141"/>
      <c r="B73" s="141" t="str">
        <f>IFERROR(__xludf.DUMMYFUNCTION("""COMPUTED_VALUE"""),"Democratic Republic of the Congo [GAZ:00001086]                ")</f>
        <v>Democratic Republic of the Congo [GAZ:00001086]                </v>
      </c>
      <c r="C73" s="141" t="str">
        <f>IFERROR(__xludf.DUMMYFUNCTION("""COMPUTED_VALUE"""),"GAZ:00001086")</f>
        <v>GAZ:00001086</v>
      </c>
      <c r="D73" s="141"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73" s="141"/>
      <c r="F73" s="141"/>
      <c r="G73" s="141"/>
      <c r="H73" s="141"/>
      <c r="I73" s="141"/>
      <c r="J73" s="141"/>
      <c r="K73" s="141"/>
      <c r="L73" s="141"/>
      <c r="M73" s="141"/>
      <c r="N73" s="141"/>
      <c r="O73" s="141"/>
      <c r="P73" s="141"/>
      <c r="Q73" s="141"/>
      <c r="R73" s="141"/>
      <c r="S73" s="141"/>
      <c r="T73" s="141"/>
      <c r="U73" s="141"/>
      <c r="V73" s="141"/>
      <c r="W73" s="141"/>
      <c r="X73" s="141"/>
      <c r="Y73" s="141"/>
      <c r="Z73" s="141"/>
    </row>
    <row r="74">
      <c r="A74" s="141"/>
      <c r="B74" s="141" t="str">
        <f>IFERROR(__xludf.DUMMYFUNCTION("""COMPUTED_VALUE"""),"Denmark [GAZ:00005852]                ")</f>
        <v>Denmark [GAZ:00005852]                </v>
      </c>
      <c r="C74" s="141" t="str">
        <f>IFERROR(__xludf.DUMMYFUNCTION("""COMPUTED_VALUE"""),"GAZ:00005852")</f>
        <v>GAZ:00005852</v>
      </c>
      <c r="D74" s="141"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74" s="141"/>
      <c r="F74" s="141"/>
      <c r="G74" s="141"/>
      <c r="H74" s="141"/>
      <c r="I74" s="141"/>
      <c r="J74" s="141"/>
      <c r="K74" s="141"/>
      <c r="L74" s="141"/>
      <c r="M74" s="141"/>
      <c r="N74" s="141"/>
      <c r="O74" s="141"/>
      <c r="P74" s="141"/>
      <c r="Q74" s="141"/>
      <c r="R74" s="141"/>
      <c r="S74" s="141"/>
      <c r="T74" s="141"/>
      <c r="U74" s="141"/>
      <c r="V74" s="141"/>
      <c r="W74" s="141"/>
      <c r="X74" s="141"/>
      <c r="Y74" s="141"/>
      <c r="Z74" s="141"/>
    </row>
    <row r="75">
      <c r="A75" s="141"/>
      <c r="B75" s="141" t="str">
        <f>IFERROR(__xludf.DUMMYFUNCTION("""COMPUTED_VALUE"""),"Djibouti [GAZ:00000582]                ")</f>
        <v>Djibouti [GAZ:00000582]                </v>
      </c>
      <c r="C75" s="141" t="str">
        <f>IFERROR(__xludf.DUMMYFUNCTION("""COMPUTED_VALUE"""),"GAZ:00000582")</f>
        <v>GAZ:00000582</v>
      </c>
      <c r="D75" s="141"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75" s="141"/>
      <c r="F75" s="141"/>
      <c r="G75" s="141"/>
      <c r="H75" s="141"/>
      <c r="I75" s="141"/>
      <c r="J75" s="141"/>
      <c r="K75" s="141"/>
      <c r="L75" s="141"/>
      <c r="M75" s="141"/>
      <c r="N75" s="141"/>
      <c r="O75" s="141"/>
      <c r="P75" s="141"/>
      <c r="Q75" s="141"/>
      <c r="R75" s="141"/>
      <c r="S75" s="141"/>
      <c r="T75" s="141"/>
      <c r="U75" s="141"/>
      <c r="V75" s="141"/>
      <c r="W75" s="141"/>
      <c r="X75" s="141"/>
      <c r="Y75" s="141"/>
      <c r="Z75" s="141"/>
    </row>
    <row r="76">
      <c r="A76" s="141"/>
      <c r="B76" s="141" t="str">
        <f>IFERROR(__xludf.DUMMYFUNCTION("""COMPUTED_VALUE"""),"Dominica [GAZ:00006890]                ")</f>
        <v>Dominica [GAZ:00006890]                </v>
      </c>
      <c r="C76" s="141" t="str">
        <f>IFERROR(__xludf.DUMMYFUNCTION("""COMPUTED_VALUE"""),"GAZ:00006890")</f>
        <v>GAZ:00006890</v>
      </c>
      <c r="D76" s="141" t="str">
        <f>IFERROR(__xludf.DUMMYFUNCTION("""COMPUTED_VALUE"""),"An island nation in the Caribbean Sea. Dominica is divided into ten parishes.")</f>
        <v>An island nation in the Caribbean Sea. Dominica is divided into ten parishes.</v>
      </c>
      <c r="E76" s="141"/>
      <c r="F76" s="141"/>
      <c r="G76" s="141"/>
      <c r="H76" s="141"/>
      <c r="I76" s="141"/>
      <c r="J76" s="141"/>
      <c r="K76" s="141"/>
      <c r="L76" s="141"/>
      <c r="M76" s="141"/>
      <c r="N76" s="141"/>
      <c r="O76" s="141"/>
      <c r="P76" s="141"/>
      <c r="Q76" s="141"/>
      <c r="R76" s="141"/>
      <c r="S76" s="141"/>
      <c r="T76" s="141"/>
      <c r="U76" s="141"/>
      <c r="V76" s="141"/>
      <c r="W76" s="141"/>
      <c r="X76" s="141"/>
      <c r="Y76" s="141"/>
      <c r="Z76" s="141"/>
    </row>
    <row r="77">
      <c r="A77" s="141"/>
      <c r="B77" s="141" t="str">
        <f>IFERROR(__xludf.DUMMYFUNCTION("""COMPUTED_VALUE"""),"Dominican Republic [GAZ:00003952]                ")</f>
        <v>Dominican Republic [GAZ:00003952]                </v>
      </c>
      <c r="C77" s="141" t="str">
        <f>IFERROR(__xludf.DUMMYFUNCTION("""COMPUTED_VALUE"""),"GAZ:00003952")</f>
        <v>GAZ:00003952</v>
      </c>
      <c r="D77" s="141"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77" s="141"/>
      <c r="F77" s="141"/>
      <c r="G77" s="141"/>
      <c r="H77" s="141"/>
      <c r="I77" s="141"/>
      <c r="J77" s="141"/>
      <c r="K77" s="141"/>
      <c r="L77" s="141"/>
      <c r="M77" s="141"/>
      <c r="N77" s="141"/>
      <c r="O77" s="141"/>
      <c r="P77" s="141"/>
      <c r="Q77" s="141"/>
      <c r="R77" s="141"/>
      <c r="S77" s="141"/>
      <c r="T77" s="141"/>
      <c r="U77" s="141"/>
      <c r="V77" s="141"/>
      <c r="W77" s="141"/>
      <c r="X77" s="141"/>
      <c r="Y77" s="141"/>
      <c r="Z77" s="141"/>
    </row>
    <row r="78">
      <c r="A78" s="141"/>
      <c r="B78" s="141" t="str">
        <f>IFERROR(__xludf.DUMMYFUNCTION("""COMPUTED_VALUE"""),"Ecuador [GAZ:00002912]                ")</f>
        <v>Ecuador [GAZ:00002912]                </v>
      </c>
      <c r="C78" s="141" t="str">
        <f>IFERROR(__xludf.DUMMYFUNCTION("""COMPUTED_VALUE"""),"GAZ:00002912")</f>
        <v>GAZ:00002912</v>
      </c>
      <c r="D78" s="141"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78" s="141"/>
      <c r="F78" s="141"/>
      <c r="G78" s="141"/>
      <c r="H78" s="141"/>
      <c r="I78" s="141"/>
      <c r="J78" s="141"/>
      <c r="K78" s="141"/>
      <c r="L78" s="141"/>
      <c r="M78" s="141"/>
      <c r="N78" s="141"/>
      <c r="O78" s="141"/>
      <c r="P78" s="141"/>
      <c r="Q78" s="141"/>
      <c r="R78" s="141"/>
      <c r="S78" s="141"/>
      <c r="T78" s="141"/>
      <c r="U78" s="141"/>
      <c r="V78" s="141"/>
      <c r="W78" s="141"/>
      <c r="X78" s="141"/>
      <c r="Y78" s="141"/>
      <c r="Z78" s="141"/>
    </row>
    <row r="79">
      <c r="A79" s="141"/>
      <c r="B79" s="141" t="str">
        <f>IFERROR(__xludf.DUMMYFUNCTION("""COMPUTED_VALUE"""),"Egypt [GAZ:00003934]                ")</f>
        <v>Egypt [GAZ:00003934]                </v>
      </c>
      <c r="C79" s="141" t="str">
        <f>IFERROR(__xludf.DUMMYFUNCTION("""COMPUTED_VALUE"""),"GAZ:00003934")</f>
        <v>GAZ:00003934</v>
      </c>
      <c r="D79" s="141"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79" s="141"/>
      <c r="F79" s="141"/>
      <c r="G79" s="141"/>
      <c r="H79" s="141"/>
      <c r="I79" s="141"/>
      <c r="J79" s="141"/>
      <c r="K79" s="141"/>
      <c r="L79" s="141"/>
      <c r="M79" s="141"/>
      <c r="N79" s="141"/>
      <c r="O79" s="141"/>
      <c r="P79" s="141"/>
      <c r="Q79" s="141"/>
      <c r="R79" s="141"/>
      <c r="S79" s="141"/>
      <c r="T79" s="141"/>
      <c r="U79" s="141"/>
      <c r="V79" s="141"/>
      <c r="W79" s="141"/>
      <c r="X79" s="141"/>
      <c r="Y79" s="141"/>
      <c r="Z79" s="141"/>
    </row>
    <row r="80">
      <c r="A80" s="141"/>
      <c r="B80" s="141" t="str">
        <f>IFERROR(__xludf.DUMMYFUNCTION("""COMPUTED_VALUE"""),"El Salvador [GAZ:00002935]                ")</f>
        <v>El Salvador [GAZ:00002935]                </v>
      </c>
      <c r="C80" s="141" t="str">
        <f>IFERROR(__xludf.DUMMYFUNCTION("""COMPUTED_VALUE"""),"GAZ:00002935")</f>
        <v>GAZ:00002935</v>
      </c>
      <c r="D80" s="141"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80" s="141"/>
      <c r="F80" s="141"/>
      <c r="G80" s="141"/>
      <c r="H80" s="141"/>
      <c r="I80" s="141"/>
      <c r="J80" s="141"/>
      <c r="K80" s="141"/>
      <c r="L80" s="141"/>
      <c r="M80" s="141"/>
      <c r="N80" s="141"/>
      <c r="O80" s="141"/>
      <c r="P80" s="141"/>
      <c r="Q80" s="141"/>
      <c r="R80" s="141"/>
      <c r="S80" s="141"/>
      <c r="T80" s="141"/>
      <c r="U80" s="141"/>
      <c r="V80" s="141"/>
      <c r="W80" s="141"/>
      <c r="X80" s="141"/>
      <c r="Y80" s="141"/>
      <c r="Z80" s="141"/>
    </row>
    <row r="81">
      <c r="A81" s="141"/>
      <c r="B81" s="141" t="str">
        <f>IFERROR(__xludf.DUMMYFUNCTION("""COMPUTED_VALUE"""),"Equatorial Guinea [GAZ:00001091]                ")</f>
        <v>Equatorial Guinea [GAZ:00001091]                </v>
      </c>
      <c r="C81" s="141" t="str">
        <f>IFERROR(__xludf.DUMMYFUNCTION("""COMPUTED_VALUE"""),"GAZ:00001091")</f>
        <v>GAZ:00001091</v>
      </c>
      <c r="D81" s="141"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81" s="141"/>
      <c r="F81" s="141"/>
      <c r="G81" s="141"/>
      <c r="H81" s="141"/>
      <c r="I81" s="141"/>
      <c r="J81" s="141"/>
      <c r="K81" s="141"/>
      <c r="L81" s="141"/>
      <c r="M81" s="141"/>
      <c r="N81" s="141"/>
      <c r="O81" s="141"/>
      <c r="P81" s="141"/>
      <c r="Q81" s="141"/>
      <c r="R81" s="141"/>
      <c r="S81" s="141"/>
      <c r="T81" s="141"/>
      <c r="U81" s="141"/>
      <c r="V81" s="141"/>
      <c r="W81" s="141"/>
      <c r="X81" s="141"/>
      <c r="Y81" s="141"/>
      <c r="Z81" s="141"/>
    </row>
    <row r="82">
      <c r="A82" s="141"/>
      <c r="B82" s="141" t="str">
        <f>IFERROR(__xludf.DUMMYFUNCTION("""COMPUTED_VALUE"""),"Eritrea [GAZ:00000581]                ")</f>
        <v>Eritrea [GAZ:00000581]                </v>
      </c>
      <c r="C82" s="141" t="str">
        <f>IFERROR(__xludf.DUMMYFUNCTION("""COMPUTED_VALUE"""),"GAZ:00000581")</f>
        <v>GAZ:00000581</v>
      </c>
      <c r="D82" s="141"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82" s="141"/>
      <c r="F82" s="141"/>
      <c r="G82" s="141"/>
      <c r="H82" s="141"/>
      <c r="I82" s="141"/>
      <c r="J82" s="141"/>
      <c r="K82" s="141"/>
      <c r="L82" s="141"/>
      <c r="M82" s="141"/>
      <c r="N82" s="141"/>
      <c r="O82" s="141"/>
      <c r="P82" s="141"/>
      <c r="Q82" s="141"/>
      <c r="R82" s="141"/>
      <c r="S82" s="141"/>
      <c r="T82" s="141"/>
      <c r="U82" s="141"/>
      <c r="V82" s="141"/>
      <c r="W82" s="141"/>
      <c r="X82" s="141"/>
      <c r="Y82" s="141"/>
      <c r="Z82" s="141"/>
    </row>
    <row r="83">
      <c r="A83" s="141"/>
      <c r="B83" s="141" t="str">
        <f>IFERROR(__xludf.DUMMYFUNCTION("""COMPUTED_VALUE"""),"Estonia [GAZ:00002959]                ")</f>
        <v>Estonia [GAZ:00002959]                </v>
      </c>
      <c r="C83" s="141" t="str">
        <f>IFERROR(__xludf.DUMMYFUNCTION("""COMPUTED_VALUE"""),"GAZ:00002959")</f>
        <v>GAZ:00002959</v>
      </c>
      <c r="D83" s="141"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83" s="141"/>
      <c r="F83" s="141"/>
      <c r="G83" s="141"/>
      <c r="H83" s="141"/>
      <c r="I83" s="141"/>
      <c r="J83" s="141"/>
      <c r="K83" s="141"/>
      <c r="L83" s="141"/>
      <c r="M83" s="141"/>
      <c r="N83" s="141"/>
      <c r="O83" s="141"/>
      <c r="P83" s="141"/>
      <c r="Q83" s="141"/>
      <c r="R83" s="141"/>
      <c r="S83" s="141"/>
      <c r="T83" s="141"/>
      <c r="U83" s="141"/>
      <c r="V83" s="141"/>
      <c r="W83" s="141"/>
      <c r="X83" s="141"/>
      <c r="Y83" s="141"/>
      <c r="Z83" s="141"/>
    </row>
    <row r="84">
      <c r="A84" s="141"/>
      <c r="B84" s="141" t="str">
        <f>IFERROR(__xludf.DUMMYFUNCTION("""COMPUTED_VALUE"""),"Eswatini [GAZ:00001099]                ")</f>
        <v>Eswatini [GAZ:00001099]                </v>
      </c>
      <c r="C84" s="141" t="str">
        <f>IFERROR(__xludf.DUMMYFUNCTION("""COMPUTED_VALUE"""),"GAZ:00001099")</f>
        <v>GAZ:00001099</v>
      </c>
      <c r="D84" s="141"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84" s="141"/>
      <c r="F84" s="141"/>
      <c r="G84" s="141"/>
      <c r="H84" s="141"/>
      <c r="I84" s="141"/>
      <c r="J84" s="141"/>
      <c r="K84" s="141"/>
      <c r="L84" s="141"/>
      <c r="M84" s="141"/>
      <c r="N84" s="141"/>
      <c r="O84" s="141"/>
      <c r="P84" s="141"/>
      <c r="Q84" s="141"/>
      <c r="R84" s="141"/>
      <c r="S84" s="141"/>
      <c r="T84" s="141"/>
      <c r="U84" s="141"/>
      <c r="V84" s="141"/>
      <c r="W84" s="141"/>
      <c r="X84" s="141"/>
      <c r="Y84" s="141"/>
      <c r="Z84" s="141"/>
    </row>
    <row r="85">
      <c r="A85" s="141"/>
      <c r="B85" s="141" t="str">
        <f>IFERROR(__xludf.DUMMYFUNCTION("""COMPUTED_VALUE"""),"Ethiopia [GAZ:00000567]                ")</f>
        <v>Ethiopia [GAZ:00000567]                </v>
      </c>
      <c r="C85" s="141" t="str">
        <f>IFERROR(__xludf.DUMMYFUNCTION("""COMPUTED_VALUE"""),"GAZ:00000567")</f>
        <v>GAZ:00000567</v>
      </c>
      <c r="D85" s="141"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85" s="141"/>
      <c r="F85" s="141"/>
      <c r="G85" s="141"/>
      <c r="H85" s="141"/>
      <c r="I85" s="141"/>
      <c r="J85" s="141"/>
      <c r="K85" s="141"/>
      <c r="L85" s="141"/>
      <c r="M85" s="141"/>
      <c r="N85" s="141"/>
      <c r="O85" s="141"/>
      <c r="P85" s="141"/>
      <c r="Q85" s="141"/>
      <c r="R85" s="141"/>
      <c r="S85" s="141"/>
      <c r="T85" s="141"/>
      <c r="U85" s="141"/>
      <c r="V85" s="141"/>
      <c r="W85" s="141"/>
      <c r="X85" s="141"/>
      <c r="Y85" s="141"/>
      <c r="Z85" s="141"/>
    </row>
    <row r="86">
      <c r="A86" s="141"/>
      <c r="B86" s="141" t="str">
        <f>IFERROR(__xludf.DUMMYFUNCTION("""COMPUTED_VALUE"""),"Europa Island [GAZ:00005811]                ")</f>
        <v>Europa Island [GAZ:00005811]                </v>
      </c>
      <c r="C86" s="141" t="str">
        <f>IFERROR(__xludf.DUMMYFUNCTION("""COMPUTED_VALUE"""),"GAZ:00005811")</f>
        <v>GAZ:00005811</v>
      </c>
      <c r="D86" s="141"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86" s="141"/>
      <c r="F86" s="141"/>
      <c r="G86" s="141"/>
      <c r="H86" s="141"/>
      <c r="I86" s="141"/>
      <c r="J86" s="141"/>
      <c r="K86" s="141"/>
      <c r="L86" s="141"/>
      <c r="M86" s="141"/>
      <c r="N86" s="141"/>
      <c r="O86" s="141"/>
      <c r="P86" s="141"/>
      <c r="Q86" s="141"/>
      <c r="R86" s="141"/>
      <c r="S86" s="141"/>
      <c r="T86" s="141"/>
      <c r="U86" s="141"/>
      <c r="V86" s="141"/>
      <c r="W86" s="141"/>
      <c r="X86" s="141"/>
      <c r="Y86" s="141"/>
      <c r="Z86" s="141"/>
    </row>
    <row r="87">
      <c r="A87" s="141"/>
      <c r="B87" s="141" t="str">
        <f>IFERROR(__xludf.DUMMYFUNCTION("""COMPUTED_VALUE"""),"Falkland Islands (Islas Malvinas) [GAZ:00001412]                ")</f>
        <v>Falkland Islands (Islas Malvinas) [GAZ:00001412]                </v>
      </c>
      <c r="C87" s="141" t="str">
        <f>IFERROR(__xludf.DUMMYFUNCTION("""COMPUTED_VALUE"""),"GAZ:00001412")</f>
        <v>GAZ:00001412</v>
      </c>
      <c r="D87" s="141"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87" s="141"/>
      <c r="F87" s="141"/>
      <c r="G87" s="141"/>
      <c r="H87" s="141"/>
      <c r="I87" s="141"/>
      <c r="J87" s="141"/>
      <c r="K87" s="141"/>
      <c r="L87" s="141"/>
      <c r="M87" s="141"/>
      <c r="N87" s="141"/>
      <c r="O87" s="141"/>
      <c r="P87" s="141"/>
      <c r="Q87" s="141"/>
      <c r="R87" s="141"/>
      <c r="S87" s="141"/>
      <c r="T87" s="141"/>
      <c r="U87" s="141"/>
      <c r="V87" s="141"/>
      <c r="W87" s="141"/>
      <c r="X87" s="141"/>
      <c r="Y87" s="141"/>
      <c r="Z87" s="141"/>
    </row>
    <row r="88">
      <c r="A88" s="141"/>
      <c r="B88" s="141" t="str">
        <f>IFERROR(__xludf.DUMMYFUNCTION("""COMPUTED_VALUE"""),"Faroe Islands [GAZ:00059206]                ")</f>
        <v>Faroe Islands [GAZ:00059206]                </v>
      </c>
      <c r="C88" s="141" t="str">
        <f>IFERROR(__xludf.DUMMYFUNCTION("""COMPUTED_VALUE"""),"GAZ:00059206")</f>
        <v>GAZ:00059206</v>
      </c>
      <c r="D88" s="141"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88" s="141"/>
      <c r="F88" s="141"/>
      <c r="G88" s="141"/>
      <c r="H88" s="141"/>
      <c r="I88" s="141"/>
      <c r="J88" s="141"/>
      <c r="K88" s="141"/>
      <c r="L88" s="141"/>
      <c r="M88" s="141"/>
      <c r="N88" s="141"/>
      <c r="O88" s="141"/>
      <c r="P88" s="141"/>
      <c r="Q88" s="141"/>
      <c r="R88" s="141"/>
      <c r="S88" s="141"/>
      <c r="T88" s="141"/>
      <c r="U88" s="141"/>
      <c r="V88" s="141"/>
      <c r="W88" s="141"/>
      <c r="X88" s="141"/>
      <c r="Y88" s="141"/>
      <c r="Z88" s="141"/>
    </row>
    <row r="89">
      <c r="A89" s="141"/>
      <c r="B89" s="141" t="str">
        <f>IFERROR(__xludf.DUMMYFUNCTION("""COMPUTED_VALUE"""),"Fiji [GAZ:00006891]                ")</f>
        <v>Fiji [GAZ:00006891]                </v>
      </c>
      <c r="C89" s="141" t="str">
        <f>IFERROR(__xludf.DUMMYFUNCTION("""COMPUTED_VALUE"""),"GAZ:00006891")</f>
        <v>GAZ:00006891</v>
      </c>
      <c r="D89" s="141"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89" s="141"/>
      <c r="F89" s="141"/>
      <c r="G89" s="141"/>
      <c r="H89" s="141"/>
      <c r="I89" s="141"/>
      <c r="J89" s="141"/>
      <c r="K89" s="141"/>
      <c r="L89" s="141"/>
      <c r="M89" s="141"/>
      <c r="N89" s="141"/>
      <c r="O89" s="141"/>
      <c r="P89" s="141"/>
      <c r="Q89" s="141"/>
      <c r="R89" s="141"/>
      <c r="S89" s="141"/>
      <c r="T89" s="141"/>
      <c r="U89" s="141"/>
      <c r="V89" s="141"/>
      <c r="W89" s="141"/>
      <c r="X89" s="141"/>
      <c r="Y89" s="141"/>
      <c r="Z89" s="141"/>
    </row>
    <row r="90">
      <c r="A90" s="141"/>
      <c r="B90" s="141" t="str">
        <f>IFERROR(__xludf.DUMMYFUNCTION("""COMPUTED_VALUE"""),"Finland [GAZ:00002937]                ")</f>
        <v>Finland [GAZ:00002937]                </v>
      </c>
      <c r="C90" s="141" t="str">
        <f>IFERROR(__xludf.DUMMYFUNCTION("""COMPUTED_VALUE"""),"GAZ:00002937")</f>
        <v>GAZ:00002937</v>
      </c>
      <c r="D90" s="141"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90" s="141"/>
      <c r="F90" s="141"/>
      <c r="G90" s="141"/>
      <c r="H90" s="141"/>
      <c r="I90" s="141"/>
      <c r="J90" s="141"/>
      <c r="K90" s="141"/>
      <c r="L90" s="141"/>
      <c r="M90" s="141"/>
      <c r="N90" s="141"/>
      <c r="O90" s="141"/>
      <c r="P90" s="141"/>
      <c r="Q90" s="141"/>
      <c r="R90" s="141"/>
      <c r="S90" s="141"/>
      <c r="T90" s="141"/>
      <c r="U90" s="141"/>
      <c r="V90" s="141"/>
      <c r="W90" s="141"/>
      <c r="X90" s="141"/>
      <c r="Y90" s="141"/>
      <c r="Z90" s="141"/>
    </row>
    <row r="91">
      <c r="A91" s="141"/>
      <c r="B91" s="141" t="str">
        <f>IFERROR(__xludf.DUMMYFUNCTION("""COMPUTED_VALUE"""),"France [GAZ:00003940]                ")</f>
        <v>France [GAZ:00003940]                </v>
      </c>
      <c r="C91" s="141" t="str">
        <f>IFERROR(__xludf.DUMMYFUNCTION("""COMPUTED_VALUE"""),"GAZ:00003940")</f>
        <v>GAZ:00003940</v>
      </c>
      <c r="D91" s="141"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91" s="141"/>
      <c r="F91" s="141"/>
      <c r="G91" s="141"/>
      <c r="H91" s="141"/>
      <c r="I91" s="141"/>
      <c r="J91" s="141"/>
      <c r="K91" s="141"/>
      <c r="L91" s="141"/>
      <c r="M91" s="141"/>
      <c r="N91" s="141"/>
      <c r="O91" s="141"/>
      <c r="P91" s="141"/>
      <c r="Q91" s="141"/>
      <c r="R91" s="141"/>
      <c r="S91" s="141"/>
      <c r="T91" s="141"/>
      <c r="U91" s="141"/>
      <c r="V91" s="141"/>
      <c r="W91" s="141"/>
      <c r="X91" s="141"/>
      <c r="Y91" s="141"/>
      <c r="Z91" s="141"/>
    </row>
    <row r="92">
      <c r="A92" s="141"/>
      <c r="B92" s="141" t="str">
        <f>IFERROR(__xludf.DUMMYFUNCTION("""COMPUTED_VALUE"""),"French Guiana [GAZ:00002516]                ")</f>
        <v>French Guiana [GAZ:00002516]                </v>
      </c>
      <c r="C92" s="141" t="str">
        <f>IFERROR(__xludf.DUMMYFUNCTION("""COMPUTED_VALUE"""),"GAZ:00002516")</f>
        <v>GAZ:00002516</v>
      </c>
      <c r="D92" s="141"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92" s="141"/>
      <c r="F92" s="141"/>
      <c r="G92" s="141"/>
      <c r="H92" s="141"/>
      <c r="I92" s="141"/>
      <c r="J92" s="141"/>
      <c r="K92" s="141"/>
      <c r="L92" s="141"/>
      <c r="M92" s="141"/>
      <c r="N92" s="141"/>
      <c r="O92" s="141"/>
      <c r="P92" s="141"/>
      <c r="Q92" s="141"/>
      <c r="R92" s="141"/>
      <c r="S92" s="141"/>
      <c r="T92" s="141"/>
      <c r="U92" s="141"/>
      <c r="V92" s="141"/>
      <c r="W92" s="141"/>
      <c r="X92" s="141"/>
      <c r="Y92" s="141"/>
      <c r="Z92" s="141"/>
    </row>
    <row r="93">
      <c r="A93" s="141"/>
      <c r="B93" s="141" t="str">
        <f>IFERROR(__xludf.DUMMYFUNCTION("""COMPUTED_VALUE"""),"French Polynesia [GAZ:00002918]                ")</f>
        <v>French Polynesia [GAZ:00002918]                </v>
      </c>
      <c r="C93" s="141" t="str">
        <f>IFERROR(__xludf.DUMMYFUNCTION("""COMPUTED_VALUE"""),"GAZ:00002918")</f>
        <v>GAZ:00002918</v>
      </c>
      <c r="D93" s="141"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93" s="141"/>
      <c r="F93" s="141"/>
      <c r="G93" s="141"/>
      <c r="H93" s="141"/>
      <c r="I93" s="141"/>
      <c r="J93" s="141"/>
      <c r="K93" s="141"/>
      <c r="L93" s="141"/>
      <c r="M93" s="141"/>
      <c r="N93" s="141"/>
      <c r="O93" s="141"/>
      <c r="P93" s="141"/>
      <c r="Q93" s="141"/>
      <c r="R93" s="141"/>
      <c r="S93" s="141"/>
      <c r="T93" s="141"/>
      <c r="U93" s="141"/>
      <c r="V93" s="141"/>
      <c r="W93" s="141"/>
      <c r="X93" s="141"/>
      <c r="Y93" s="141"/>
      <c r="Z93" s="141"/>
    </row>
    <row r="94">
      <c r="A94" s="141"/>
      <c r="B94" s="141" t="str">
        <f>IFERROR(__xludf.DUMMYFUNCTION("""COMPUTED_VALUE"""),"French Southern and Antarctic Lands [GAZ:00003753]                ")</f>
        <v>French Southern and Antarctic Lands [GAZ:00003753]                </v>
      </c>
      <c r="C94" s="141" t="str">
        <f>IFERROR(__xludf.DUMMYFUNCTION("""COMPUTED_VALUE"""),"GAZ:00003753")</f>
        <v>GAZ:00003753</v>
      </c>
      <c r="D94" s="141"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94" s="141"/>
      <c r="F94" s="141"/>
      <c r="G94" s="141"/>
      <c r="H94" s="141"/>
      <c r="I94" s="141"/>
      <c r="J94" s="141"/>
      <c r="K94" s="141"/>
      <c r="L94" s="141"/>
      <c r="M94" s="141"/>
      <c r="N94" s="141"/>
      <c r="O94" s="141"/>
      <c r="P94" s="141"/>
      <c r="Q94" s="141"/>
      <c r="R94" s="141"/>
      <c r="S94" s="141"/>
      <c r="T94" s="141"/>
      <c r="U94" s="141"/>
      <c r="V94" s="141"/>
      <c r="W94" s="141"/>
      <c r="X94" s="141"/>
      <c r="Y94" s="141"/>
      <c r="Z94" s="141"/>
    </row>
    <row r="95">
      <c r="A95" s="141"/>
      <c r="B95" s="141" t="str">
        <f>IFERROR(__xludf.DUMMYFUNCTION("""COMPUTED_VALUE"""),"Gabon [GAZ:00001092]                ")</f>
        <v>Gabon [GAZ:00001092]                </v>
      </c>
      <c r="C95" s="141" t="str">
        <f>IFERROR(__xludf.DUMMYFUNCTION("""COMPUTED_VALUE"""),"GAZ:00001092")</f>
        <v>GAZ:00001092</v>
      </c>
      <c r="D95" s="141"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95" s="141"/>
      <c r="F95" s="141"/>
      <c r="G95" s="141"/>
      <c r="H95" s="141"/>
      <c r="I95" s="141"/>
      <c r="J95" s="141"/>
      <c r="K95" s="141"/>
      <c r="L95" s="141"/>
      <c r="M95" s="141"/>
      <c r="N95" s="141"/>
      <c r="O95" s="141"/>
      <c r="P95" s="141"/>
      <c r="Q95" s="141"/>
      <c r="R95" s="141"/>
      <c r="S95" s="141"/>
      <c r="T95" s="141"/>
      <c r="U95" s="141"/>
      <c r="V95" s="141"/>
      <c r="W95" s="141"/>
      <c r="X95" s="141"/>
      <c r="Y95" s="141"/>
      <c r="Z95" s="141"/>
    </row>
    <row r="96">
      <c r="A96" s="141"/>
      <c r="B96" s="141" t="str">
        <f>IFERROR(__xludf.DUMMYFUNCTION("""COMPUTED_VALUE"""),"Gambia [GAZ:00000907]                ")</f>
        <v>Gambia [GAZ:00000907]                </v>
      </c>
      <c r="C96" s="141" t="str">
        <f>IFERROR(__xludf.DUMMYFUNCTION("""COMPUTED_VALUE"""),"GAZ:00000907")</f>
        <v>GAZ:00000907</v>
      </c>
      <c r="D96" s="141"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96" s="141"/>
      <c r="F96" s="141"/>
      <c r="G96" s="141"/>
      <c r="H96" s="141"/>
      <c r="I96" s="141"/>
      <c r="J96" s="141"/>
      <c r="K96" s="141"/>
      <c r="L96" s="141"/>
      <c r="M96" s="141"/>
      <c r="N96" s="141"/>
      <c r="O96" s="141"/>
      <c r="P96" s="141"/>
      <c r="Q96" s="141"/>
      <c r="R96" s="141"/>
      <c r="S96" s="141"/>
      <c r="T96" s="141"/>
      <c r="U96" s="141"/>
      <c r="V96" s="141"/>
      <c r="W96" s="141"/>
      <c r="X96" s="141"/>
      <c r="Y96" s="141"/>
      <c r="Z96" s="141"/>
    </row>
    <row r="97">
      <c r="A97" s="141"/>
      <c r="B97" s="141" t="str">
        <f>IFERROR(__xludf.DUMMYFUNCTION("""COMPUTED_VALUE"""),"Gaza Strip [GAZ:00009571]                ")</f>
        <v>Gaza Strip [GAZ:00009571]                </v>
      </c>
      <c r="C97" s="141" t="str">
        <f>IFERROR(__xludf.DUMMYFUNCTION("""COMPUTED_VALUE"""),"GAZ:00009571")</f>
        <v>GAZ:00009571</v>
      </c>
      <c r="D97" s="141"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97" s="141"/>
      <c r="F97" s="141"/>
      <c r="G97" s="141"/>
      <c r="H97" s="141"/>
      <c r="I97" s="141"/>
      <c r="J97" s="141"/>
      <c r="K97" s="141"/>
      <c r="L97" s="141"/>
      <c r="M97" s="141"/>
      <c r="N97" s="141"/>
      <c r="O97" s="141"/>
      <c r="P97" s="141"/>
      <c r="Q97" s="141"/>
      <c r="R97" s="141"/>
      <c r="S97" s="141"/>
      <c r="T97" s="141"/>
      <c r="U97" s="141"/>
      <c r="V97" s="141"/>
      <c r="W97" s="141"/>
      <c r="X97" s="141"/>
      <c r="Y97" s="141"/>
      <c r="Z97" s="141"/>
    </row>
    <row r="98">
      <c r="A98" s="141"/>
      <c r="B98" s="141" t="str">
        <f>IFERROR(__xludf.DUMMYFUNCTION("""COMPUTED_VALUE"""),"Georgia [GAZ:00004942]                ")</f>
        <v>Georgia [GAZ:00004942]                </v>
      </c>
      <c r="C98" s="141" t="str">
        <f>IFERROR(__xludf.DUMMYFUNCTION("""COMPUTED_VALUE"""),"GAZ:00004942")</f>
        <v>GAZ:00004942</v>
      </c>
      <c r="D98" s="141"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98" s="141"/>
      <c r="F98" s="141"/>
      <c r="G98" s="141"/>
      <c r="H98" s="141"/>
      <c r="I98" s="141"/>
      <c r="J98" s="141"/>
      <c r="K98" s="141"/>
      <c r="L98" s="141"/>
      <c r="M98" s="141"/>
      <c r="N98" s="141"/>
      <c r="O98" s="141"/>
      <c r="P98" s="141"/>
      <c r="Q98" s="141"/>
      <c r="R98" s="141"/>
      <c r="S98" s="141"/>
      <c r="T98" s="141"/>
      <c r="U98" s="141"/>
      <c r="V98" s="141"/>
      <c r="W98" s="141"/>
      <c r="X98" s="141"/>
      <c r="Y98" s="141"/>
      <c r="Z98" s="141"/>
    </row>
    <row r="99">
      <c r="A99" s="141"/>
      <c r="B99" s="141" t="str">
        <f>IFERROR(__xludf.DUMMYFUNCTION("""COMPUTED_VALUE"""),"Germany [GAZ:00002646]                ")</f>
        <v>Germany [GAZ:00002646]                </v>
      </c>
      <c r="C99" s="141" t="str">
        <f>IFERROR(__xludf.DUMMYFUNCTION("""COMPUTED_VALUE"""),"GAZ:00002646")</f>
        <v>GAZ:00002646</v>
      </c>
      <c r="D99" s="141"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99" s="141"/>
      <c r="F99" s="141"/>
      <c r="G99" s="141"/>
      <c r="H99" s="141"/>
      <c r="I99" s="141"/>
      <c r="J99" s="141"/>
      <c r="K99" s="141"/>
      <c r="L99" s="141"/>
      <c r="M99" s="141"/>
      <c r="N99" s="141"/>
      <c r="O99" s="141"/>
      <c r="P99" s="141"/>
      <c r="Q99" s="141"/>
      <c r="R99" s="141"/>
      <c r="S99" s="141"/>
      <c r="T99" s="141"/>
      <c r="U99" s="141"/>
      <c r="V99" s="141"/>
      <c r="W99" s="141"/>
      <c r="X99" s="141"/>
      <c r="Y99" s="141"/>
      <c r="Z99" s="141"/>
    </row>
    <row r="100">
      <c r="A100" s="141"/>
      <c r="B100" s="141" t="str">
        <f>IFERROR(__xludf.DUMMYFUNCTION("""COMPUTED_VALUE"""),"Ghana [GAZ:00000908]                ")</f>
        <v>Ghana [GAZ:00000908]                </v>
      </c>
      <c r="C100" s="141" t="str">
        <f>IFERROR(__xludf.DUMMYFUNCTION("""COMPUTED_VALUE"""),"GAZ:00000908")</f>
        <v>GAZ:00000908</v>
      </c>
      <c r="D100" s="141"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row>
    <row r="101">
      <c r="A101" s="141"/>
      <c r="B101" s="141" t="str">
        <f>IFERROR(__xludf.DUMMYFUNCTION("""COMPUTED_VALUE"""),"Gibraltar [GAZ:00003987]                ")</f>
        <v>Gibraltar [GAZ:00003987]                </v>
      </c>
      <c r="C101" s="141" t="str">
        <f>IFERROR(__xludf.DUMMYFUNCTION("""COMPUTED_VALUE"""),"GAZ:00003987")</f>
        <v>GAZ:00003987</v>
      </c>
      <c r="D101" s="141"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row>
    <row r="102">
      <c r="A102" s="141"/>
      <c r="B102" s="141" t="str">
        <f>IFERROR(__xludf.DUMMYFUNCTION("""COMPUTED_VALUE"""),"Glorioso Islands [GAZ:00005808]                ")</f>
        <v>Glorioso Islands [GAZ:00005808]                </v>
      </c>
      <c r="C102" s="141" t="str">
        <f>IFERROR(__xludf.DUMMYFUNCTION("""COMPUTED_VALUE"""),"GAZ:00005808")</f>
        <v>GAZ:00005808</v>
      </c>
      <c r="D102" s="141"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row>
    <row r="103">
      <c r="A103" s="141"/>
      <c r="B103" s="141" t="str">
        <f>IFERROR(__xludf.DUMMYFUNCTION("""COMPUTED_VALUE"""),"Greece [GAZ:00002945]                ")</f>
        <v>Greece [GAZ:00002945]                </v>
      </c>
      <c r="C103" s="141" t="str">
        <f>IFERROR(__xludf.DUMMYFUNCTION("""COMPUTED_VALUE"""),"GAZ:00002945")</f>
        <v>GAZ:00002945</v>
      </c>
      <c r="D103" s="141"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row>
    <row r="104">
      <c r="A104" s="141"/>
      <c r="B104" s="141" t="str">
        <f>IFERROR(__xludf.DUMMYFUNCTION("""COMPUTED_VALUE"""),"Greenland [GAZ:00001507]                ")</f>
        <v>Greenland [GAZ:00001507]                </v>
      </c>
      <c r="C104" s="141" t="str">
        <f>IFERROR(__xludf.DUMMYFUNCTION("""COMPUTED_VALUE"""),"GAZ:00001507")</f>
        <v>GAZ:00001507</v>
      </c>
      <c r="D104" s="141"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row>
    <row r="105">
      <c r="A105" s="141"/>
      <c r="B105" s="141" t="str">
        <f>IFERROR(__xludf.DUMMYFUNCTION("""COMPUTED_VALUE"""),"Grenada [GAZ:02000573]                ")</f>
        <v>Grenada [GAZ:02000573]                </v>
      </c>
      <c r="C105" s="141" t="str">
        <f>IFERROR(__xludf.DUMMYFUNCTION("""COMPUTED_VALUE"""),"GAZ:02000573")</f>
        <v>GAZ:02000573</v>
      </c>
      <c r="D105" s="141"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row>
    <row r="106">
      <c r="A106" s="141"/>
      <c r="B106" s="141" t="str">
        <f>IFERROR(__xludf.DUMMYFUNCTION("""COMPUTED_VALUE"""),"Guadeloupe [GAZ:00067142]                ")</f>
        <v>Guadeloupe [GAZ:00067142]                </v>
      </c>
      <c r="C106" s="141" t="str">
        <f>IFERROR(__xludf.DUMMYFUNCTION("""COMPUTED_VALUE"""),"GAZ:00067142")</f>
        <v>GAZ:00067142</v>
      </c>
      <c r="D106" s="141"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row>
    <row r="107">
      <c r="A107" s="141"/>
      <c r="B107" s="141" t="str">
        <f>IFERROR(__xludf.DUMMYFUNCTION("""COMPUTED_VALUE"""),"Guam [GAZ:00003706]                ")</f>
        <v>Guam [GAZ:00003706]                </v>
      </c>
      <c r="C107" s="141" t="str">
        <f>IFERROR(__xludf.DUMMYFUNCTION("""COMPUTED_VALUE"""),"GAZ:00003706")</f>
        <v>GAZ:00003706</v>
      </c>
      <c r="D107" s="141"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row>
    <row r="108">
      <c r="A108" s="141"/>
      <c r="B108" s="141" t="str">
        <f>IFERROR(__xludf.DUMMYFUNCTION("""COMPUTED_VALUE"""),"Guatemala [GAZ:00002936]                ")</f>
        <v>Guatemala [GAZ:00002936]                </v>
      </c>
      <c r="C108" s="141" t="str">
        <f>IFERROR(__xludf.DUMMYFUNCTION("""COMPUTED_VALUE"""),"GAZ:00002936")</f>
        <v>GAZ:00002936</v>
      </c>
      <c r="D108" s="141"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row>
    <row r="109">
      <c r="A109" s="141"/>
      <c r="B109" s="141" t="str">
        <f>IFERROR(__xludf.DUMMYFUNCTION("""COMPUTED_VALUE"""),"Guernsey [GAZ:00001550]                ")</f>
        <v>Guernsey [GAZ:00001550]                </v>
      </c>
      <c r="C109" s="141" t="str">
        <f>IFERROR(__xludf.DUMMYFUNCTION("""COMPUTED_VALUE"""),"GAZ:00001550")</f>
        <v>GAZ:00001550</v>
      </c>
      <c r="D109" s="141" t="str">
        <f>IFERROR(__xludf.DUMMYFUNCTION("""COMPUTED_VALUE"""),"A British Crown Dependency in the English Channel off the coast of Normandy.")</f>
        <v>A British Crown Dependency in the English Channel off the coast of Normandy.</v>
      </c>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row>
    <row r="110">
      <c r="A110" s="141"/>
      <c r="B110" s="141" t="str">
        <f>IFERROR(__xludf.DUMMYFUNCTION("""COMPUTED_VALUE"""),"Guinea [GAZ:00000909]                ")</f>
        <v>Guinea [GAZ:00000909]                </v>
      </c>
      <c r="C110" s="141" t="str">
        <f>IFERROR(__xludf.DUMMYFUNCTION("""COMPUTED_VALUE"""),"GAZ:00000909")</f>
        <v>GAZ:00000909</v>
      </c>
      <c r="D110" s="141"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row>
    <row r="111">
      <c r="A111" s="141"/>
      <c r="B111" s="141" t="str">
        <f>IFERROR(__xludf.DUMMYFUNCTION("""COMPUTED_VALUE"""),"Guinea-Bissau [GAZ:00000910]                ")</f>
        <v>Guinea-Bissau [GAZ:00000910]                </v>
      </c>
      <c r="C111" s="141" t="str">
        <f>IFERROR(__xludf.DUMMYFUNCTION("""COMPUTED_VALUE"""),"GAZ:00000910")</f>
        <v>GAZ:00000910</v>
      </c>
      <c r="D111" s="141"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row>
    <row r="112">
      <c r="A112" s="141"/>
      <c r="B112" s="141" t="str">
        <f>IFERROR(__xludf.DUMMYFUNCTION("""COMPUTED_VALUE"""),"Guyana [GAZ:00002522]                ")</f>
        <v>Guyana [GAZ:00002522]                </v>
      </c>
      <c r="C112" s="141" t="str">
        <f>IFERROR(__xludf.DUMMYFUNCTION("""COMPUTED_VALUE"""),"GAZ:00002522")</f>
        <v>GAZ:00002522</v>
      </c>
      <c r="D112" s="141"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row>
    <row r="113">
      <c r="A113" s="141"/>
      <c r="B113" s="141" t="str">
        <f>IFERROR(__xludf.DUMMYFUNCTION("""COMPUTED_VALUE"""),"Haiti [GAZ:00003953]                ")</f>
        <v>Haiti [GAZ:00003953]                </v>
      </c>
      <c r="C113" s="141" t="str">
        <f>IFERROR(__xludf.DUMMYFUNCTION("""COMPUTED_VALUE"""),"GAZ:00003953")</f>
        <v>GAZ:00003953</v>
      </c>
      <c r="D113" s="141"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row>
    <row r="114">
      <c r="A114" s="141"/>
      <c r="B114" s="141" t="str">
        <f>IFERROR(__xludf.DUMMYFUNCTION("""COMPUTED_VALUE"""),"Heard Island and McDonald Islands [GAZ:00009718]                ")</f>
        <v>Heard Island and McDonald Islands [GAZ:00009718]                </v>
      </c>
      <c r="C114" s="141" t="str">
        <f>IFERROR(__xludf.DUMMYFUNCTION("""COMPUTED_VALUE"""),"GAZ:00009718")</f>
        <v>GAZ:00009718</v>
      </c>
      <c r="D114" s="141"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row>
    <row r="115">
      <c r="A115" s="141"/>
      <c r="B115" s="141" t="str">
        <f>IFERROR(__xludf.DUMMYFUNCTION("""COMPUTED_VALUE"""),"Honduras [GAZ:00002894]                ")</f>
        <v>Honduras [GAZ:00002894]                </v>
      </c>
      <c r="C115" s="141" t="str">
        <f>IFERROR(__xludf.DUMMYFUNCTION("""COMPUTED_VALUE"""),"GAZ:00002894")</f>
        <v>GAZ:00002894</v>
      </c>
      <c r="D115" s="141"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row>
    <row r="116">
      <c r="A116" s="141"/>
      <c r="B116" s="141" t="str">
        <f>IFERROR(__xludf.DUMMYFUNCTION("""COMPUTED_VALUE"""),"Hong Kong [GAZ:00003203]                ")</f>
        <v>Hong Kong [GAZ:00003203]                </v>
      </c>
      <c r="C116" s="141" t="str">
        <f>IFERROR(__xludf.DUMMYFUNCTION("""COMPUTED_VALUE"""),"GAZ:00003203")</f>
        <v>GAZ:00003203</v>
      </c>
      <c r="D116" s="141"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row>
    <row r="117">
      <c r="A117" s="141"/>
      <c r="B117" s="141" t="str">
        <f>IFERROR(__xludf.DUMMYFUNCTION("""COMPUTED_VALUE"""),"Howland Island [GAZ:00007120]                ")</f>
        <v>Howland Island [GAZ:00007120]                </v>
      </c>
      <c r="C117" s="141" t="str">
        <f>IFERROR(__xludf.DUMMYFUNCTION("""COMPUTED_VALUE"""),"GAZ:00007120")</f>
        <v>GAZ:00007120</v>
      </c>
      <c r="D117" s="141"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row>
    <row r="118">
      <c r="A118" s="141"/>
      <c r="B118" s="141" t="str">
        <f>IFERROR(__xludf.DUMMYFUNCTION("""COMPUTED_VALUE"""),"Hungary [GAZ:00002952]                ")</f>
        <v>Hungary [GAZ:00002952]                </v>
      </c>
      <c r="C118" s="141" t="str">
        <f>IFERROR(__xludf.DUMMYFUNCTION("""COMPUTED_VALUE"""),"GAZ:00002952")</f>
        <v>GAZ:00002952</v>
      </c>
      <c r="D118" s="141"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row>
    <row r="119">
      <c r="A119" s="141"/>
      <c r="B119" s="141" t="str">
        <f>IFERROR(__xludf.DUMMYFUNCTION("""COMPUTED_VALUE"""),"Iceland [GAZ:00000843]                ")</f>
        <v>Iceland [GAZ:00000843]                </v>
      </c>
      <c r="C119" s="141" t="str">
        <f>IFERROR(__xludf.DUMMYFUNCTION("""COMPUTED_VALUE"""),"GAZ:00000843")</f>
        <v>GAZ:00000843</v>
      </c>
      <c r="D119" s="141"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row>
    <row r="120">
      <c r="A120" s="141"/>
      <c r="B120" s="141" t="str">
        <f>IFERROR(__xludf.DUMMYFUNCTION("""COMPUTED_VALUE"""),"India [GAZ:00002839]                ")</f>
        <v>India [GAZ:00002839]                </v>
      </c>
      <c r="C120" s="141" t="str">
        <f>IFERROR(__xludf.DUMMYFUNCTION("""COMPUTED_VALUE"""),"GAZ:00002839")</f>
        <v>GAZ:00002839</v>
      </c>
      <c r="D120" s="141"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row>
    <row r="121">
      <c r="A121" s="141"/>
      <c r="B121" s="141" t="str">
        <f>IFERROR(__xludf.DUMMYFUNCTION("""COMPUTED_VALUE"""),"Indonesia [GAZ:00003727]                ")</f>
        <v>Indonesia [GAZ:00003727]                </v>
      </c>
      <c r="C121" s="141" t="str">
        <f>IFERROR(__xludf.DUMMYFUNCTION("""COMPUTED_VALUE"""),"GAZ:00003727")</f>
        <v>GAZ:00003727</v>
      </c>
      <c r="D121" s="141"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row>
    <row r="122">
      <c r="A122" s="141"/>
      <c r="B122" s="141" t="str">
        <f>IFERROR(__xludf.DUMMYFUNCTION("""COMPUTED_VALUE"""),"Iran [GAZ:00004474]                ")</f>
        <v>Iran [GAZ:00004474]                </v>
      </c>
      <c r="C122" s="141" t="str">
        <f>IFERROR(__xludf.DUMMYFUNCTION("""COMPUTED_VALUE"""),"GAZ:00004474")</f>
        <v>GAZ:00004474</v>
      </c>
      <c r="D122" s="141"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row>
    <row r="123">
      <c r="A123" s="141"/>
      <c r="B123" s="141" t="str">
        <f>IFERROR(__xludf.DUMMYFUNCTION("""COMPUTED_VALUE"""),"Iraq [GAZ:00004483]                ")</f>
        <v>Iraq [GAZ:00004483]                </v>
      </c>
      <c r="C123" s="141" t="str">
        <f>IFERROR(__xludf.DUMMYFUNCTION("""COMPUTED_VALUE"""),"GAZ:00004483")</f>
        <v>GAZ:00004483</v>
      </c>
      <c r="D123" s="141"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row>
    <row r="124">
      <c r="A124" s="141"/>
      <c r="B124" s="141" t="str">
        <f>IFERROR(__xludf.DUMMYFUNCTION("""COMPUTED_VALUE"""),"Ireland [GAZ:00002943]                ")</f>
        <v>Ireland [GAZ:00002943]                </v>
      </c>
      <c r="C124" s="141" t="str">
        <f>IFERROR(__xludf.DUMMYFUNCTION("""COMPUTED_VALUE"""),"GAZ:00002943")</f>
        <v>GAZ:00002943</v>
      </c>
      <c r="D124" s="141"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row>
    <row r="125">
      <c r="A125" s="141"/>
      <c r="B125" s="141" t="str">
        <f>IFERROR(__xludf.DUMMYFUNCTION("""COMPUTED_VALUE"""),"Isle of Man [GAZ:00052477]                ")</f>
        <v>Isle of Man [GAZ:00052477]                </v>
      </c>
      <c r="C125" s="141" t="str">
        <f>IFERROR(__xludf.DUMMYFUNCTION("""COMPUTED_VALUE"""),"GAZ:00052477")</f>
        <v>GAZ:00052477</v>
      </c>
      <c r="D125" s="141"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row>
    <row r="126">
      <c r="A126" s="141"/>
      <c r="B126" s="141" t="str">
        <f>IFERROR(__xludf.DUMMYFUNCTION("""COMPUTED_VALUE"""),"Israel [GAZ:00002476]                ")</f>
        <v>Israel [GAZ:00002476]                </v>
      </c>
      <c r="C126" s="141" t="str">
        <f>IFERROR(__xludf.DUMMYFUNCTION("""COMPUTED_VALUE"""),"GAZ:00002476")</f>
        <v>GAZ:00002476</v>
      </c>
      <c r="D126" s="141"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row>
    <row r="127">
      <c r="A127" s="141"/>
      <c r="B127" s="141" t="str">
        <f>IFERROR(__xludf.DUMMYFUNCTION("""COMPUTED_VALUE"""),"Italy [GAZ:00002650]                ")</f>
        <v>Italy [GAZ:00002650]                </v>
      </c>
      <c r="C127" s="141" t="str">
        <f>IFERROR(__xludf.DUMMYFUNCTION("""COMPUTED_VALUE"""),"GAZ:00002650")</f>
        <v>GAZ:00002650</v>
      </c>
      <c r="D127" s="141"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row>
    <row r="128">
      <c r="A128" s="141"/>
      <c r="B128" s="141" t="str">
        <f>IFERROR(__xludf.DUMMYFUNCTION("""COMPUTED_VALUE"""),"Jamaica [GAZ:00003781]                ")</f>
        <v>Jamaica [GAZ:00003781]                </v>
      </c>
      <c r="C128" s="141" t="str">
        <f>IFERROR(__xludf.DUMMYFUNCTION("""COMPUTED_VALUE"""),"GAZ:00003781")</f>
        <v>GAZ:00003781</v>
      </c>
      <c r="D128" s="141"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row>
    <row r="129">
      <c r="A129" s="141"/>
      <c r="B129" s="141" t="str">
        <f>IFERROR(__xludf.DUMMYFUNCTION("""COMPUTED_VALUE"""),"Jan Mayen [GAZ:00005853]                ")</f>
        <v>Jan Mayen [GAZ:00005853]                </v>
      </c>
      <c r="C129" s="141" t="str">
        <f>IFERROR(__xludf.DUMMYFUNCTION("""COMPUTED_VALUE"""),"GAZ:00005853")</f>
        <v>GAZ:00005853</v>
      </c>
      <c r="D129" s="141"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row>
    <row r="130">
      <c r="A130" s="141"/>
      <c r="B130" s="141" t="str">
        <f>IFERROR(__xludf.DUMMYFUNCTION("""COMPUTED_VALUE"""),"Japan [GAZ:00002747]                ")</f>
        <v>Japan [GAZ:00002747]                </v>
      </c>
      <c r="C130" s="141" t="str">
        <f>IFERROR(__xludf.DUMMYFUNCTION("""COMPUTED_VALUE"""),"GAZ:00002747")</f>
        <v>GAZ:00002747</v>
      </c>
      <c r="D130" s="141"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row>
    <row r="131">
      <c r="A131" s="141"/>
      <c r="B131" s="141" t="str">
        <f>IFERROR(__xludf.DUMMYFUNCTION("""COMPUTED_VALUE"""),"Jarvis Island [GAZ:00007118]                ")</f>
        <v>Jarvis Island [GAZ:00007118]                </v>
      </c>
      <c r="C131" s="141" t="str">
        <f>IFERROR(__xludf.DUMMYFUNCTION("""COMPUTED_VALUE"""),"GAZ:00007118")</f>
        <v>GAZ:00007118</v>
      </c>
      <c r="D131" s="141"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row>
    <row r="132">
      <c r="A132" s="141"/>
      <c r="B132" s="141" t="str">
        <f>IFERROR(__xludf.DUMMYFUNCTION("""COMPUTED_VALUE"""),"Jersey [GAZ:00001551]                ")</f>
        <v>Jersey [GAZ:00001551]                </v>
      </c>
      <c r="C132" s="141" t="str">
        <f>IFERROR(__xludf.DUMMYFUNCTION("""COMPUTED_VALUE"""),"GAZ:00001551")</f>
        <v>GAZ:00001551</v>
      </c>
      <c r="D132" s="141"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row>
    <row r="133">
      <c r="A133" s="141"/>
      <c r="B133" s="141" t="str">
        <f>IFERROR(__xludf.DUMMYFUNCTION("""COMPUTED_VALUE"""),"Johnston Atoll [GAZ:00007114]                ")</f>
        <v>Johnston Atoll [GAZ:00007114]                </v>
      </c>
      <c r="C133" s="141" t="str">
        <f>IFERROR(__xludf.DUMMYFUNCTION("""COMPUTED_VALUE"""),"GAZ:00007114")</f>
        <v>GAZ:00007114</v>
      </c>
      <c r="D133" s="141"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row>
    <row r="134">
      <c r="A134" s="141"/>
      <c r="B134" s="141" t="str">
        <f>IFERROR(__xludf.DUMMYFUNCTION("""COMPUTED_VALUE"""),"Jordan [GAZ:00002473]                ")</f>
        <v>Jordan [GAZ:00002473]                </v>
      </c>
      <c r="C134" s="141" t="str">
        <f>IFERROR(__xludf.DUMMYFUNCTION("""COMPUTED_VALUE"""),"GAZ:00002473")</f>
        <v>GAZ:00002473</v>
      </c>
      <c r="D134" s="141"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1"/>
    </row>
    <row r="135">
      <c r="A135" s="141"/>
      <c r="B135" s="141" t="str">
        <f>IFERROR(__xludf.DUMMYFUNCTION("""COMPUTED_VALUE"""),"Juan de Nova Island [GAZ:00005809]                ")</f>
        <v>Juan de Nova Island [GAZ:00005809]                </v>
      </c>
      <c r="C135" s="141" t="str">
        <f>IFERROR(__xludf.DUMMYFUNCTION("""COMPUTED_VALUE"""),"GAZ:00005809")</f>
        <v>GAZ:00005809</v>
      </c>
      <c r="D135" s="141"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1"/>
    </row>
    <row r="136">
      <c r="A136" s="141"/>
      <c r="B136" s="141" t="str">
        <f>IFERROR(__xludf.DUMMYFUNCTION("""COMPUTED_VALUE"""),"Kazakhstan [GAZ:00004999]                ")</f>
        <v>Kazakhstan [GAZ:00004999]                </v>
      </c>
      <c r="C136" s="141" t="str">
        <f>IFERROR(__xludf.DUMMYFUNCTION("""COMPUTED_VALUE"""),"GAZ:00004999")</f>
        <v>GAZ:00004999</v>
      </c>
      <c r="D136" s="141"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row>
    <row r="137">
      <c r="A137" s="141"/>
      <c r="B137" s="141" t="str">
        <f>IFERROR(__xludf.DUMMYFUNCTION("""COMPUTED_VALUE"""),"Kenya [GAZ:00001101]                ")</f>
        <v>Kenya [GAZ:00001101]                </v>
      </c>
      <c r="C137" s="141" t="str">
        <f>IFERROR(__xludf.DUMMYFUNCTION("""COMPUTED_VALUE"""),"GAZ:00001101")</f>
        <v>GAZ:00001101</v>
      </c>
      <c r="D137" s="141"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row>
    <row r="138">
      <c r="A138" s="141"/>
      <c r="B138" s="141" t="str">
        <f>IFERROR(__xludf.DUMMYFUNCTION("""COMPUTED_VALUE"""),"Kerguelen Archipelago [GAZ:00005682]                ")</f>
        <v>Kerguelen Archipelago [GAZ:00005682]                </v>
      </c>
      <c r="C138" s="141" t="str">
        <f>IFERROR(__xludf.DUMMYFUNCTION("""COMPUTED_VALUE"""),"GAZ:00005682")</f>
        <v>GAZ:00005682</v>
      </c>
      <c r="D138" s="141"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row>
    <row r="139">
      <c r="A139" s="141"/>
      <c r="B139" s="141" t="str">
        <f>IFERROR(__xludf.DUMMYFUNCTION("""COMPUTED_VALUE"""),"Kingman Reef [GAZ:00007116]                ")</f>
        <v>Kingman Reef [GAZ:00007116]                </v>
      </c>
      <c r="C139" s="141" t="str">
        <f>IFERROR(__xludf.DUMMYFUNCTION("""COMPUTED_VALUE"""),"GAZ:00007116")</f>
        <v>GAZ:00007116</v>
      </c>
      <c r="D139" s="141"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1"/>
    </row>
    <row r="140">
      <c r="A140" s="141"/>
      <c r="B140" s="141" t="str">
        <f>IFERROR(__xludf.DUMMYFUNCTION("""COMPUTED_VALUE"""),"Kiribati [GAZ:00006894]                ")</f>
        <v>Kiribati [GAZ:00006894]                </v>
      </c>
      <c r="C140" s="141" t="str">
        <f>IFERROR(__xludf.DUMMYFUNCTION("""COMPUTED_VALUE"""),"GAZ:00006894")</f>
        <v>GAZ:00006894</v>
      </c>
      <c r="D140" s="141"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40" s="141"/>
      <c r="F140" s="141"/>
      <c r="G140" s="141"/>
      <c r="H140" s="141"/>
      <c r="I140" s="141"/>
      <c r="J140" s="141"/>
      <c r="K140" s="141"/>
      <c r="L140" s="141"/>
      <c r="M140" s="141"/>
      <c r="N140" s="141"/>
      <c r="O140" s="141"/>
      <c r="P140" s="141"/>
      <c r="Q140" s="141"/>
      <c r="R140" s="141"/>
      <c r="S140" s="141"/>
      <c r="T140" s="141"/>
      <c r="U140" s="141"/>
      <c r="V140" s="141"/>
      <c r="W140" s="141"/>
      <c r="X140" s="141"/>
      <c r="Y140" s="141"/>
      <c r="Z140" s="141"/>
    </row>
    <row r="141">
      <c r="A141" s="141"/>
      <c r="B141" s="141" t="str">
        <f>IFERROR(__xludf.DUMMYFUNCTION("""COMPUTED_VALUE"""),"Kosovo [GAZ:00011337]                ")</f>
        <v>Kosovo [GAZ:00011337]                </v>
      </c>
      <c r="C141" s="141" t="str">
        <f>IFERROR(__xludf.DUMMYFUNCTION("""COMPUTED_VALUE"""),"GAZ:00011337")</f>
        <v>GAZ:00011337</v>
      </c>
      <c r="D141" s="141"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41" s="141"/>
      <c r="F141" s="141"/>
      <c r="G141" s="141"/>
      <c r="H141" s="141"/>
      <c r="I141" s="141"/>
      <c r="J141" s="141"/>
      <c r="K141" s="141"/>
      <c r="L141" s="141"/>
      <c r="M141" s="141"/>
      <c r="N141" s="141"/>
      <c r="O141" s="141"/>
      <c r="P141" s="141"/>
      <c r="Q141" s="141"/>
      <c r="R141" s="141"/>
      <c r="S141" s="141"/>
      <c r="T141" s="141"/>
      <c r="U141" s="141"/>
      <c r="V141" s="141"/>
      <c r="W141" s="141"/>
      <c r="X141" s="141"/>
      <c r="Y141" s="141"/>
      <c r="Z141" s="141"/>
    </row>
    <row r="142">
      <c r="A142" s="141"/>
      <c r="B142" s="141" t="str">
        <f>IFERROR(__xludf.DUMMYFUNCTION("""COMPUTED_VALUE"""),"Kuwait [GAZ:00005285]                ")</f>
        <v>Kuwait [GAZ:00005285]                </v>
      </c>
      <c r="C142" s="141" t="str">
        <f>IFERROR(__xludf.DUMMYFUNCTION("""COMPUTED_VALUE"""),"GAZ:00005285")</f>
        <v>GAZ:00005285</v>
      </c>
      <c r="D142" s="141"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row>
    <row r="143">
      <c r="A143" s="141"/>
      <c r="B143" s="141" t="str">
        <f>IFERROR(__xludf.DUMMYFUNCTION("""COMPUTED_VALUE"""),"Kyrgyzstan [GAZ:00006893]                ")</f>
        <v>Kyrgyzstan [GAZ:00006893]                </v>
      </c>
      <c r="C143" s="141" t="str">
        <f>IFERROR(__xludf.DUMMYFUNCTION("""COMPUTED_VALUE"""),"GAZ:00006893")</f>
        <v>GAZ:00006893</v>
      </c>
      <c r="D143" s="141"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43" s="141"/>
      <c r="F143" s="141"/>
      <c r="G143" s="141"/>
      <c r="H143" s="141"/>
      <c r="I143" s="141"/>
      <c r="J143" s="141"/>
      <c r="K143" s="141"/>
      <c r="L143" s="141"/>
      <c r="M143" s="141"/>
      <c r="N143" s="141"/>
      <c r="O143" s="141"/>
      <c r="P143" s="141"/>
      <c r="Q143" s="141"/>
      <c r="R143" s="141"/>
      <c r="S143" s="141"/>
      <c r="T143" s="141"/>
      <c r="U143" s="141"/>
      <c r="V143" s="141"/>
      <c r="W143" s="141"/>
      <c r="X143" s="141"/>
      <c r="Y143" s="141"/>
      <c r="Z143" s="141"/>
    </row>
    <row r="144">
      <c r="A144" s="141"/>
      <c r="B144" s="141" t="str">
        <f>IFERROR(__xludf.DUMMYFUNCTION("""COMPUTED_VALUE"""),"Laos [GAZ:00006889]                ")</f>
        <v>Laos [GAZ:00006889]                </v>
      </c>
      <c r="C144" s="141" t="str">
        <f>IFERROR(__xludf.DUMMYFUNCTION("""COMPUTED_VALUE"""),"GAZ:00006889")</f>
        <v>GAZ:00006889</v>
      </c>
      <c r="D144" s="141"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44" s="141"/>
      <c r="F144" s="141"/>
      <c r="G144" s="141"/>
      <c r="H144" s="141"/>
      <c r="I144" s="141"/>
      <c r="J144" s="141"/>
      <c r="K144" s="141"/>
      <c r="L144" s="141"/>
      <c r="M144" s="141"/>
      <c r="N144" s="141"/>
      <c r="O144" s="141"/>
      <c r="P144" s="141"/>
      <c r="Q144" s="141"/>
      <c r="R144" s="141"/>
      <c r="S144" s="141"/>
      <c r="T144" s="141"/>
      <c r="U144" s="141"/>
      <c r="V144" s="141"/>
      <c r="W144" s="141"/>
      <c r="X144" s="141"/>
      <c r="Y144" s="141"/>
      <c r="Z144" s="141"/>
    </row>
    <row r="145">
      <c r="A145" s="141"/>
      <c r="B145" s="141" t="str">
        <f>IFERROR(__xludf.DUMMYFUNCTION("""COMPUTED_VALUE"""),"Latvia [GAZ:00002958]                ")</f>
        <v>Latvia [GAZ:00002958]                </v>
      </c>
      <c r="C145" s="141" t="str">
        <f>IFERROR(__xludf.DUMMYFUNCTION("""COMPUTED_VALUE"""),"GAZ:00002958")</f>
        <v>GAZ:00002958</v>
      </c>
      <c r="D145" s="141"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1"/>
    </row>
    <row r="146">
      <c r="A146" s="141"/>
      <c r="B146" s="141" t="str">
        <f>IFERROR(__xludf.DUMMYFUNCTION("""COMPUTED_VALUE"""),"Lebanon [GAZ:00002478]                ")</f>
        <v>Lebanon [GAZ:00002478]                </v>
      </c>
      <c r="C146" s="141" t="str">
        <f>IFERROR(__xludf.DUMMYFUNCTION("""COMPUTED_VALUE"""),"GAZ:00002478")</f>
        <v>GAZ:00002478</v>
      </c>
      <c r="D146" s="141"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46" s="141"/>
      <c r="F146" s="141"/>
      <c r="G146" s="141"/>
      <c r="H146" s="141"/>
      <c r="I146" s="141"/>
      <c r="J146" s="141"/>
      <c r="K146" s="141"/>
      <c r="L146" s="141"/>
      <c r="M146" s="141"/>
      <c r="N146" s="141"/>
      <c r="O146" s="141"/>
      <c r="P146" s="141"/>
      <c r="Q146" s="141"/>
      <c r="R146" s="141"/>
      <c r="S146" s="141"/>
      <c r="T146" s="141"/>
      <c r="U146" s="141"/>
      <c r="V146" s="141"/>
      <c r="W146" s="141"/>
      <c r="X146" s="141"/>
      <c r="Y146" s="141"/>
      <c r="Z146" s="141"/>
    </row>
    <row r="147">
      <c r="A147" s="141"/>
      <c r="B147" s="141" t="str">
        <f>IFERROR(__xludf.DUMMYFUNCTION("""COMPUTED_VALUE"""),"Lesotho [GAZ:00001098]                ")</f>
        <v>Lesotho [GAZ:00001098]                </v>
      </c>
      <c r="C147" s="141" t="str">
        <f>IFERROR(__xludf.DUMMYFUNCTION("""COMPUTED_VALUE"""),"GAZ:00001098")</f>
        <v>GAZ:00001098</v>
      </c>
      <c r="D147" s="141"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47" s="141"/>
      <c r="F147" s="141"/>
      <c r="G147" s="141"/>
      <c r="H147" s="141"/>
      <c r="I147" s="141"/>
      <c r="J147" s="141"/>
      <c r="K147" s="141"/>
      <c r="L147" s="141"/>
      <c r="M147" s="141"/>
      <c r="N147" s="141"/>
      <c r="O147" s="141"/>
      <c r="P147" s="141"/>
      <c r="Q147" s="141"/>
      <c r="R147" s="141"/>
      <c r="S147" s="141"/>
      <c r="T147" s="141"/>
      <c r="U147" s="141"/>
      <c r="V147" s="141"/>
      <c r="W147" s="141"/>
      <c r="X147" s="141"/>
      <c r="Y147" s="141"/>
      <c r="Z147" s="141"/>
    </row>
    <row r="148">
      <c r="A148" s="141"/>
      <c r="B148" s="141" t="str">
        <f>IFERROR(__xludf.DUMMYFUNCTION("""COMPUTED_VALUE"""),"Liberia [GAZ:00000911]                ")</f>
        <v>Liberia [GAZ:00000911]                </v>
      </c>
      <c r="C148" s="141" t="str">
        <f>IFERROR(__xludf.DUMMYFUNCTION("""COMPUTED_VALUE"""),"GAZ:00000911")</f>
        <v>GAZ:00000911</v>
      </c>
      <c r="D148" s="141" t="str">
        <f>IFERROR(__xludf.DUMMYFUNCTION("""COMPUTED_VALUE"""),"A country on the west coast of Africa, bordered by Sierra Leone, Guinea, Cote d'Ivoire, and the Atlantic Ocean.")</f>
        <v>A country on the west coast of Africa, bordered by Sierra Leone, Guinea, Cote d'Ivoire, and the Atlantic Ocean.</v>
      </c>
      <c r="E148" s="141"/>
      <c r="F148" s="141"/>
      <c r="G148" s="141"/>
      <c r="H148" s="141"/>
      <c r="I148" s="141"/>
      <c r="J148" s="141"/>
      <c r="K148" s="141"/>
      <c r="L148" s="141"/>
      <c r="M148" s="141"/>
      <c r="N148" s="141"/>
      <c r="O148" s="141"/>
      <c r="P148" s="141"/>
      <c r="Q148" s="141"/>
      <c r="R148" s="141"/>
      <c r="S148" s="141"/>
      <c r="T148" s="141"/>
      <c r="U148" s="141"/>
      <c r="V148" s="141"/>
      <c r="W148" s="141"/>
      <c r="X148" s="141"/>
      <c r="Y148" s="141"/>
      <c r="Z148" s="141"/>
    </row>
    <row r="149">
      <c r="A149" s="141"/>
      <c r="B149" s="141" t="str">
        <f>IFERROR(__xludf.DUMMYFUNCTION("""COMPUTED_VALUE"""),"Libya [GAZ:00000566]                ")</f>
        <v>Libya [GAZ:00000566]                </v>
      </c>
      <c r="C149" s="141" t="str">
        <f>IFERROR(__xludf.DUMMYFUNCTION("""COMPUTED_VALUE"""),"GAZ:00000566")</f>
        <v>GAZ:00000566</v>
      </c>
      <c r="D149" s="141"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49" s="141"/>
      <c r="F149" s="141"/>
      <c r="G149" s="141"/>
      <c r="H149" s="141"/>
      <c r="I149" s="141"/>
      <c r="J149" s="141"/>
      <c r="K149" s="141"/>
      <c r="L149" s="141"/>
      <c r="M149" s="141"/>
      <c r="N149" s="141"/>
      <c r="O149" s="141"/>
      <c r="P149" s="141"/>
      <c r="Q149" s="141"/>
      <c r="R149" s="141"/>
      <c r="S149" s="141"/>
      <c r="T149" s="141"/>
      <c r="U149" s="141"/>
      <c r="V149" s="141"/>
      <c r="W149" s="141"/>
      <c r="X149" s="141"/>
      <c r="Y149" s="141"/>
      <c r="Z149" s="141"/>
    </row>
    <row r="150">
      <c r="A150" s="141"/>
      <c r="B150" s="141" t="str">
        <f>IFERROR(__xludf.DUMMYFUNCTION("""COMPUTED_VALUE"""),"Liechtenstein [GAZ:00003858]                ")</f>
        <v>Liechtenstein [GAZ:00003858]                </v>
      </c>
      <c r="C150" s="141" t="str">
        <f>IFERROR(__xludf.DUMMYFUNCTION("""COMPUTED_VALUE"""),"GAZ:00003858")</f>
        <v>GAZ:00003858</v>
      </c>
      <c r="D150" s="141"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50" s="141"/>
      <c r="F150" s="141"/>
      <c r="G150" s="141"/>
      <c r="H150" s="141"/>
      <c r="I150" s="141"/>
      <c r="J150" s="141"/>
      <c r="K150" s="141"/>
      <c r="L150" s="141"/>
      <c r="M150" s="141"/>
      <c r="N150" s="141"/>
      <c r="O150" s="141"/>
      <c r="P150" s="141"/>
      <c r="Q150" s="141"/>
      <c r="R150" s="141"/>
      <c r="S150" s="141"/>
      <c r="T150" s="141"/>
      <c r="U150" s="141"/>
      <c r="V150" s="141"/>
      <c r="W150" s="141"/>
      <c r="X150" s="141"/>
      <c r="Y150" s="141"/>
      <c r="Z150" s="141"/>
    </row>
    <row r="151">
      <c r="A151" s="141"/>
      <c r="B151" s="141" t="str">
        <f>IFERROR(__xludf.DUMMYFUNCTION("""COMPUTED_VALUE"""),"Line Islands [GAZ:00007144]                ")</f>
        <v>Line Islands [GAZ:00007144]                </v>
      </c>
      <c r="C151" s="141" t="str">
        <f>IFERROR(__xludf.DUMMYFUNCTION("""COMPUTED_VALUE"""),"GAZ:00007144")</f>
        <v>GAZ:00007144</v>
      </c>
      <c r="D151" s="141"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1"/>
    </row>
    <row r="152">
      <c r="A152" s="141"/>
      <c r="B152" s="141" t="str">
        <f>IFERROR(__xludf.DUMMYFUNCTION("""COMPUTED_VALUE"""),"Lithuania [GAZ:00002960]                ")</f>
        <v>Lithuania [GAZ:00002960]                </v>
      </c>
      <c r="C152" s="141" t="str">
        <f>IFERROR(__xludf.DUMMYFUNCTION("""COMPUTED_VALUE"""),"GAZ:00002960")</f>
        <v>GAZ:00002960</v>
      </c>
      <c r="D152" s="141"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52" s="141"/>
      <c r="F152" s="141"/>
      <c r="G152" s="141"/>
      <c r="H152" s="141"/>
      <c r="I152" s="141"/>
      <c r="J152" s="141"/>
      <c r="K152" s="141"/>
      <c r="L152" s="141"/>
      <c r="M152" s="141"/>
      <c r="N152" s="141"/>
      <c r="O152" s="141"/>
      <c r="P152" s="141"/>
      <c r="Q152" s="141"/>
      <c r="R152" s="141"/>
      <c r="S152" s="141"/>
      <c r="T152" s="141"/>
      <c r="U152" s="141"/>
      <c r="V152" s="141"/>
      <c r="W152" s="141"/>
      <c r="X152" s="141"/>
      <c r="Y152" s="141"/>
      <c r="Z152" s="141"/>
    </row>
    <row r="153">
      <c r="A153" s="141"/>
      <c r="B153" s="141" t="str">
        <f>IFERROR(__xludf.DUMMYFUNCTION("""COMPUTED_VALUE"""),"Luxembourg [GAZ:00002947]                ")</f>
        <v>Luxembourg [GAZ:00002947]                </v>
      </c>
      <c r="C153" s="141" t="str">
        <f>IFERROR(__xludf.DUMMYFUNCTION("""COMPUTED_VALUE"""),"GAZ:00002947")</f>
        <v>GAZ:00002947</v>
      </c>
      <c r="D153" s="141"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53" s="141"/>
      <c r="F153" s="141"/>
      <c r="G153" s="141"/>
      <c r="H153" s="141"/>
      <c r="I153" s="141"/>
      <c r="J153" s="141"/>
      <c r="K153" s="141"/>
      <c r="L153" s="141"/>
      <c r="M153" s="141"/>
      <c r="N153" s="141"/>
      <c r="O153" s="141"/>
      <c r="P153" s="141"/>
      <c r="Q153" s="141"/>
      <c r="R153" s="141"/>
      <c r="S153" s="141"/>
      <c r="T153" s="141"/>
      <c r="U153" s="141"/>
      <c r="V153" s="141"/>
      <c r="W153" s="141"/>
      <c r="X153" s="141"/>
      <c r="Y153" s="141"/>
      <c r="Z153" s="141"/>
    </row>
    <row r="154">
      <c r="A154" s="141"/>
      <c r="B154" s="141" t="str">
        <f>IFERROR(__xludf.DUMMYFUNCTION("""COMPUTED_VALUE"""),"Macau [GAZ:00003202]                ")</f>
        <v>Macau [GAZ:00003202]                </v>
      </c>
      <c r="C154" s="141" t="str">
        <f>IFERROR(__xludf.DUMMYFUNCTION("""COMPUTED_VALUE"""),"GAZ:00003202")</f>
        <v>GAZ:00003202</v>
      </c>
      <c r="D154" s="141"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54" s="141"/>
      <c r="F154" s="141"/>
      <c r="G154" s="141"/>
      <c r="H154" s="141"/>
      <c r="I154" s="141"/>
      <c r="J154" s="141"/>
      <c r="K154" s="141"/>
      <c r="L154" s="141"/>
      <c r="M154" s="141"/>
      <c r="N154" s="141"/>
      <c r="O154" s="141"/>
      <c r="P154" s="141"/>
      <c r="Q154" s="141"/>
      <c r="R154" s="141"/>
      <c r="S154" s="141"/>
      <c r="T154" s="141"/>
      <c r="U154" s="141"/>
      <c r="V154" s="141"/>
      <c r="W154" s="141"/>
      <c r="X154" s="141"/>
      <c r="Y154" s="141"/>
      <c r="Z154" s="141"/>
    </row>
    <row r="155">
      <c r="A155" s="141"/>
      <c r="B155" s="141" t="str">
        <f>IFERROR(__xludf.DUMMYFUNCTION("""COMPUTED_VALUE"""),"Madagascar [GAZ:00001108]                ")</f>
        <v>Madagascar [GAZ:00001108]                </v>
      </c>
      <c r="C155" s="141" t="str">
        <f>IFERROR(__xludf.DUMMYFUNCTION("""COMPUTED_VALUE"""),"GAZ:00001108")</f>
        <v>GAZ:00001108</v>
      </c>
      <c r="D155" s="141"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55" s="141"/>
      <c r="F155" s="141"/>
      <c r="G155" s="141"/>
      <c r="H155" s="141"/>
      <c r="I155" s="141"/>
      <c r="J155" s="141"/>
      <c r="K155" s="141"/>
      <c r="L155" s="141"/>
      <c r="M155" s="141"/>
      <c r="N155" s="141"/>
      <c r="O155" s="141"/>
      <c r="P155" s="141"/>
      <c r="Q155" s="141"/>
      <c r="R155" s="141"/>
      <c r="S155" s="141"/>
      <c r="T155" s="141"/>
      <c r="U155" s="141"/>
      <c r="V155" s="141"/>
      <c r="W155" s="141"/>
      <c r="X155" s="141"/>
      <c r="Y155" s="141"/>
      <c r="Z155" s="141"/>
    </row>
    <row r="156">
      <c r="A156" s="141"/>
      <c r="B156" s="141" t="str">
        <f>IFERROR(__xludf.DUMMYFUNCTION("""COMPUTED_VALUE"""),"Malawi [GAZ:00001105]                ")</f>
        <v>Malawi [GAZ:00001105]                </v>
      </c>
      <c r="C156" s="141" t="str">
        <f>IFERROR(__xludf.DUMMYFUNCTION("""COMPUTED_VALUE"""),"GAZ:00001105")</f>
        <v>GAZ:00001105</v>
      </c>
      <c r="D156" s="141"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56" s="141"/>
      <c r="F156" s="141"/>
      <c r="G156" s="141"/>
      <c r="H156" s="141"/>
      <c r="I156" s="141"/>
      <c r="J156" s="141"/>
      <c r="K156" s="141"/>
      <c r="L156" s="141"/>
      <c r="M156" s="141"/>
      <c r="N156" s="141"/>
      <c r="O156" s="141"/>
      <c r="P156" s="141"/>
      <c r="Q156" s="141"/>
      <c r="R156" s="141"/>
      <c r="S156" s="141"/>
      <c r="T156" s="141"/>
      <c r="U156" s="141"/>
      <c r="V156" s="141"/>
      <c r="W156" s="141"/>
      <c r="X156" s="141"/>
      <c r="Y156" s="141"/>
      <c r="Z156" s="141"/>
    </row>
    <row r="157">
      <c r="A157" s="141"/>
      <c r="B157" s="141" t="str">
        <f>IFERROR(__xludf.DUMMYFUNCTION("""COMPUTED_VALUE"""),"Malaysia [GAZ:00003902]                ")</f>
        <v>Malaysia [GAZ:00003902]                </v>
      </c>
      <c r="C157" s="141" t="str">
        <f>IFERROR(__xludf.DUMMYFUNCTION("""COMPUTED_VALUE"""),"GAZ:00003902")</f>
        <v>GAZ:00003902</v>
      </c>
      <c r="D157" s="141"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1"/>
    </row>
    <row r="158">
      <c r="A158" s="141"/>
      <c r="B158" s="141" t="str">
        <f>IFERROR(__xludf.DUMMYFUNCTION("""COMPUTED_VALUE"""),"Maldives [GAZ:00006924]                ")</f>
        <v>Maldives [GAZ:00006924]                </v>
      </c>
      <c r="C158" s="141" t="str">
        <f>IFERROR(__xludf.DUMMYFUNCTION("""COMPUTED_VALUE"""),"GAZ:00006924")</f>
        <v>GAZ:00006924</v>
      </c>
      <c r="D158" s="141"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58" s="141"/>
      <c r="F158" s="141"/>
      <c r="G158" s="141"/>
      <c r="H158" s="141"/>
      <c r="I158" s="141"/>
      <c r="J158" s="141"/>
      <c r="K158" s="141"/>
      <c r="L158" s="141"/>
      <c r="M158" s="141"/>
      <c r="N158" s="141"/>
      <c r="O158" s="141"/>
      <c r="P158" s="141"/>
      <c r="Q158" s="141"/>
      <c r="R158" s="141"/>
      <c r="S158" s="141"/>
      <c r="T158" s="141"/>
      <c r="U158" s="141"/>
      <c r="V158" s="141"/>
      <c r="W158" s="141"/>
      <c r="X158" s="141"/>
      <c r="Y158" s="141"/>
      <c r="Z158" s="141"/>
    </row>
    <row r="159">
      <c r="A159" s="141"/>
      <c r="B159" s="141" t="str">
        <f>IFERROR(__xludf.DUMMYFUNCTION("""COMPUTED_VALUE"""),"Mali [GAZ:00000584]                ")</f>
        <v>Mali [GAZ:00000584]                </v>
      </c>
      <c r="C159" s="141" t="str">
        <f>IFERROR(__xludf.DUMMYFUNCTION("""COMPUTED_VALUE"""),"GAZ:00000584")</f>
        <v>GAZ:00000584</v>
      </c>
      <c r="D159" s="141"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59" s="141"/>
      <c r="F159" s="141"/>
      <c r="G159" s="141"/>
      <c r="H159" s="141"/>
      <c r="I159" s="141"/>
      <c r="J159" s="141"/>
      <c r="K159" s="141"/>
      <c r="L159" s="141"/>
      <c r="M159" s="141"/>
      <c r="N159" s="141"/>
      <c r="O159" s="141"/>
      <c r="P159" s="141"/>
      <c r="Q159" s="141"/>
      <c r="R159" s="141"/>
      <c r="S159" s="141"/>
      <c r="T159" s="141"/>
      <c r="U159" s="141"/>
      <c r="V159" s="141"/>
      <c r="W159" s="141"/>
      <c r="X159" s="141"/>
      <c r="Y159" s="141"/>
      <c r="Z159" s="141"/>
    </row>
    <row r="160">
      <c r="A160" s="141"/>
      <c r="B160" s="141" t="str">
        <f>IFERROR(__xludf.DUMMYFUNCTION("""COMPUTED_VALUE"""),"Malta [GAZ:00004017]                ")</f>
        <v>Malta [GAZ:00004017]                </v>
      </c>
      <c r="C160" s="141" t="str">
        <f>IFERROR(__xludf.DUMMYFUNCTION("""COMPUTED_VALUE"""),"GAZ:00004017")</f>
        <v>GAZ:00004017</v>
      </c>
      <c r="D160" s="141" t="str">
        <f>IFERROR(__xludf.DUMMYFUNCTION("""COMPUTED_VALUE"""),"A Southern European country and consists of an archipelago situated centrally in the Mediterranean.")</f>
        <v>A Southern European country and consists of an archipelago situated centrally in the Mediterranean.</v>
      </c>
      <c r="E160" s="141"/>
      <c r="F160" s="141"/>
      <c r="G160" s="141"/>
      <c r="H160" s="141"/>
      <c r="I160" s="141"/>
      <c r="J160" s="141"/>
      <c r="K160" s="141"/>
      <c r="L160" s="141"/>
      <c r="M160" s="141"/>
      <c r="N160" s="141"/>
      <c r="O160" s="141"/>
      <c r="P160" s="141"/>
      <c r="Q160" s="141"/>
      <c r="R160" s="141"/>
      <c r="S160" s="141"/>
      <c r="T160" s="141"/>
      <c r="U160" s="141"/>
      <c r="V160" s="141"/>
      <c r="W160" s="141"/>
      <c r="X160" s="141"/>
      <c r="Y160" s="141"/>
      <c r="Z160" s="141"/>
    </row>
    <row r="161">
      <c r="A161" s="141"/>
      <c r="B161" s="141" t="str">
        <f>IFERROR(__xludf.DUMMYFUNCTION("""COMPUTED_VALUE"""),"Marshall Islands [GAZ:00007161]                ")</f>
        <v>Marshall Islands [GAZ:00007161]                </v>
      </c>
      <c r="C161" s="141" t="str">
        <f>IFERROR(__xludf.DUMMYFUNCTION("""COMPUTED_VALUE"""),"GAZ:00007161")</f>
        <v>GAZ:00007161</v>
      </c>
      <c r="D161" s="141"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61" s="141"/>
      <c r="F161" s="141"/>
      <c r="G161" s="141"/>
      <c r="H161" s="141"/>
      <c r="I161" s="141"/>
      <c r="J161" s="141"/>
      <c r="K161" s="141"/>
      <c r="L161" s="141"/>
      <c r="M161" s="141"/>
      <c r="N161" s="141"/>
      <c r="O161" s="141"/>
      <c r="P161" s="141"/>
      <c r="Q161" s="141"/>
      <c r="R161" s="141"/>
      <c r="S161" s="141"/>
      <c r="T161" s="141"/>
      <c r="U161" s="141"/>
      <c r="V161" s="141"/>
      <c r="W161" s="141"/>
      <c r="X161" s="141"/>
      <c r="Y161" s="141"/>
      <c r="Z161" s="141"/>
    </row>
    <row r="162">
      <c r="A162" s="141"/>
      <c r="B162" s="141" t="str">
        <f>IFERROR(__xludf.DUMMYFUNCTION("""COMPUTED_VALUE"""),"Martinique [GAZ:00067143]                ")</f>
        <v>Martinique [GAZ:00067143]                </v>
      </c>
      <c r="C162" s="141" t="str">
        <f>IFERROR(__xludf.DUMMYFUNCTION("""COMPUTED_VALUE"""),"GAZ:00067143")</f>
        <v>GAZ:00067143</v>
      </c>
      <c r="D162" s="141" t="str">
        <f>IFERROR(__xludf.DUMMYFUNCTION("""COMPUTED_VALUE"""),"An island and an overseas department/region and single territorial collectivity of France.")</f>
        <v>An island and an overseas department/region and single territorial collectivity of France.</v>
      </c>
      <c r="E162" s="141"/>
      <c r="F162" s="141"/>
      <c r="G162" s="141"/>
      <c r="H162" s="141"/>
      <c r="I162" s="141"/>
      <c r="J162" s="141"/>
      <c r="K162" s="141"/>
      <c r="L162" s="141"/>
      <c r="M162" s="141"/>
      <c r="N162" s="141"/>
      <c r="O162" s="141"/>
      <c r="P162" s="141"/>
      <c r="Q162" s="141"/>
      <c r="R162" s="141"/>
      <c r="S162" s="141"/>
      <c r="T162" s="141"/>
      <c r="U162" s="141"/>
      <c r="V162" s="141"/>
      <c r="W162" s="141"/>
      <c r="X162" s="141"/>
      <c r="Y162" s="141"/>
      <c r="Z162" s="141"/>
    </row>
    <row r="163">
      <c r="A163" s="141"/>
      <c r="B163" s="141" t="str">
        <f>IFERROR(__xludf.DUMMYFUNCTION("""COMPUTED_VALUE"""),"Mauritania [GAZ:00000583]                ")</f>
        <v>Mauritania [GAZ:00000583]                </v>
      </c>
      <c r="C163" s="141" t="str">
        <f>IFERROR(__xludf.DUMMYFUNCTION("""COMPUTED_VALUE"""),"GAZ:00000583")</f>
        <v>GAZ:00000583</v>
      </c>
      <c r="D163" s="141"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63" s="141"/>
      <c r="F163" s="141"/>
      <c r="G163" s="141"/>
      <c r="H163" s="141"/>
      <c r="I163" s="141"/>
      <c r="J163" s="141"/>
      <c r="K163" s="141"/>
      <c r="L163" s="141"/>
      <c r="M163" s="141"/>
      <c r="N163" s="141"/>
      <c r="O163" s="141"/>
      <c r="P163" s="141"/>
      <c r="Q163" s="141"/>
      <c r="R163" s="141"/>
      <c r="S163" s="141"/>
      <c r="T163" s="141"/>
      <c r="U163" s="141"/>
      <c r="V163" s="141"/>
      <c r="W163" s="141"/>
      <c r="X163" s="141"/>
      <c r="Y163" s="141"/>
      <c r="Z163" s="141"/>
    </row>
    <row r="164">
      <c r="A164" s="141"/>
      <c r="B164" s="141" t="str">
        <f>IFERROR(__xludf.DUMMYFUNCTION("""COMPUTED_VALUE"""),"Mauritius [GAZ:00003745]                ")</f>
        <v>Mauritius [GAZ:00003745]                </v>
      </c>
      <c r="C164" s="141" t="str">
        <f>IFERROR(__xludf.DUMMYFUNCTION("""COMPUTED_VALUE"""),"GAZ:00003745")</f>
        <v>GAZ:00003745</v>
      </c>
      <c r="D164" s="141"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1"/>
    </row>
    <row r="165">
      <c r="A165" s="141"/>
      <c r="B165" s="141" t="str">
        <f>IFERROR(__xludf.DUMMYFUNCTION("""COMPUTED_VALUE"""),"Mayotte [GAZ:00003943]                ")</f>
        <v>Mayotte [GAZ:00003943]                </v>
      </c>
      <c r="C165" s="141" t="str">
        <f>IFERROR(__xludf.DUMMYFUNCTION("""COMPUTED_VALUE"""),"GAZ:00003943")</f>
        <v>GAZ:00003943</v>
      </c>
      <c r="D165" s="141"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65" s="141"/>
      <c r="F165" s="141"/>
      <c r="G165" s="141"/>
      <c r="H165" s="141"/>
      <c r="I165" s="141"/>
      <c r="J165" s="141"/>
      <c r="K165" s="141"/>
      <c r="L165" s="141"/>
      <c r="M165" s="141"/>
      <c r="N165" s="141"/>
      <c r="O165" s="141"/>
      <c r="P165" s="141"/>
      <c r="Q165" s="141"/>
      <c r="R165" s="141"/>
      <c r="S165" s="141"/>
      <c r="T165" s="141"/>
      <c r="U165" s="141"/>
      <c r="V165" s="141"/>
      <c r="W165" s="141"/>
      <c r="X165" s="141"/>
      <c r="Y165" s="141"/>
      <c r="Z165" s="141"/>
    </row>
    <row r="166">
      <c r="A166" s="141"/>
      <c r="B166" s="141" t="str">
        <f>IFERROR(__xludf.DUMMYFUNCTION("""COMPUTED_VALUE"""),"Mexico [GAZ:00002852]                ")</f>
        <v>Mexico [GAZ:00002852]                </v>
      </c>
      <c r="C166" s="141" t="str">
        <f>IFERROR(__xludf.DUMMYFUNCTION("""COMPUTED_VALUE"""),"GAZ:00002852")</f>
        <v>GAZ:00002852</v>
      </c>
      <c r="D166" s="141"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66" s="141"/>
      <c r="F166" s="141"/>
      <c r="G166" s="141"/>
      <c r="H166" s="141"/>
      <c r="I166" s="141"/>
      <c r="J166" s="141"/>
      <c r="K166" s="141"/>
      <c r="L166" s="141"/>
      <c r="M166" s="141"/>
      <c r="N166" s="141"/>
      <c r="O166" s="141"/>
      <c r="P166" s="141"/>
      <c r="Q166" s="141"/>
      <c r="R166" s="141"/>
      <c r="S166" s="141"/>
      <c r="T166" s="141"/>
      <c r="U166" s="141"/>
      <c r="V166" s="141"/>
      <c r="W166" s="141"/>
      <c r="X166" s="141"/>
      <c r="Y166" s="141"/>
      <c r="Z166" s="141"/>
    </row>
    <row r="167">
      <c r="A167" s="141"/>
      <c r="B167" s="141" t="str">
        <f>IFERROR(__xludf.DUMMYFUNCTION("""COMPUTED_VALUE"""),"Micronesia [GAZ:00005862]                ")</f>
        <v>Micronesia [GAZ:00005862]                </v>
      </c>
      <c r="C167" s="141" t="str">
        <f>IFERROR(__xludf.DUMMYFUNCTION("""COMPUTED_VALUE"""),"GAZ:00005862")</f>
        <v>GAZ:00005862</v>
      </c>
      <c r="D167" s="141"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67" s="141"/>
      <c r="F167" s="141"/>
      <c r="G167" s="141"/>
      <c r="H167" s="141"/>
      <c r="I167" s="141"/>
      <c r="J167" s="141"/>
      <c r="K167" s="141"/>
      <c r="L167" s="141"/>
      <c r="M167" s="141"/>
      <c r="N167" s="141"/>
      <c r="O167" s="141"/>
      <c r="P167" s="141"/>
      <c r="Q167" s="141"/>
      <c r="R167" s="141"/>
      <c r="S167" s="141"/>
      <c r="T167" s="141"/>
      <c r="U167" s="141"/>
      <c r="V167" s="141"/>
      <c r="W167" s="141"/>
      <c r="X167" s="141"/>
      <c r="Y167" s="141"/>
      <c r="Z167" s="141"/>
    </row>
    <row r="168">
      <c r="A168" s="141"/>
      <c r="B168" s="141" t="str">
        <f>IFERROR(__xludf.DUMMYFUNCTION("""COMPUTED_VALUE"""),"Midway Islands [GAZ:00007112]                ")</f>
        <v>Midway Islands [GAZ:00007112]                </v>
      </c>
      <c r="C168" s="141" t="str">
        <f>IFERROR(__xludf.DUMMYFUNCTION("""COMPUTED_VALUE"""),"GAZ:00007112")</f>
        <v>GAZ:00007112</v>
      </c>
      <c r="D168" s="141"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row>
    <row r="169">
      <c r="A169" s="141"/>
      <c r="B169" s="141" t="str">
        <f>IFERROR(__xludf.DUMMYFUNCTION("""COMPUTED_VALUE"""),"Moldova [GAZ:00003897]                ")</f>
        <v>Moldova [GAZ:00003897]                </v>
      </c>
      <c r="C169" s="141" t="str">
        <f>IFERROR(__xludf.DUMMYFUNCTION("""COMPUTED_VALUE"""),"GAZ:00003897")</f>
        <v>GAZ:00003897</v>
      </c>
      <c r="D169" s="141"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row>
    <row r="170">
      <c r="A170" s="141"/>
      <c r="B170" s="141" t="str">
        <f>IFERROR(__xludf.DUMMYFUNCTION("""COMPUTED_VALUE"""),"Monaco [GAZ:00003857]                ")</f>
        <v>Monaco [GAZ:00003857]                </v>
      </c>
      <c r="C170" s="141" t="str">
        <f>IFERROR(__xludf.DUMMYFUNCTION("""COMPUTED_VALUE"""),"GAZ:00003857")</f>
        <v>GAZ:00003857</v>
      </c>
      <c r="D170" s="141"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70" s="141"/>
      <c r="F170" s="141"/>
      <c r="G170" s="141"/>
      <c r="H170" s="141"/>
      <c r="I170" s="141"/>
      <c r="J170" s="141"/>
      <c r="K170" s="141"/>
      <c r="L170" s="141"/>
      <c r="M170" s="141"/>
      <c r="N170" s="141"/>
      <c r="O170" s="141"/>
      <c r="P170" s="141"/>
      <c r="Q170" s="141"/>
      <c r="R170" s="141"/>
      <c r="S170" s="141"/>
      <c r="T170" s="141"/>
      <c r="U170" s="141"/>
      <c r="V170" s="141"/>
      <c r="W170" s="141"/>
      <c r="X170" s="141"/>
      <c r="Y170" s="141"/>
      <c r="Z170" s="141"/>
    </row>
    <row r="171">
      <c r="A171" s="141"/>
      <c r="B171" s="141" t="str">
        <f>IFERROR(__xludf.DUMMYFUNCTION("""COMPUTED_VALUE"""),"Mongolia [GAZ:00008744]                ")</f>
        <v>Mongolia [GAZ:00008744]                </v>
      </c>
      <c r="C171" s="141" t="str">
        <f>IFERROR(__xludf.DUMMYFUNCTION("""COMPUTED_VALUE"""),"GAZ:00008744")</f>
        <v>GAZ:00008744</v>
      </c>
      <c r="D171" s="141"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71" s="141"/>
      <c r="F171" s="141"/>
      <c r="G171" s="141"/>
      <c r="H171" s="141"/>
      <c r="I171" s="141"/>
      <c r="J171" s="141"/>
      <c r="K171" s="141"/>
      <c r="L171" s="141"/>
      <c r="M171" s="141"/>
      <c r="N171" s="141"/>
      <c r="O171" s="141"/>
      <c r="P171" s="141"/>
      <c r="Q171" s="141"/>
      <c r="R171" s="141"/>
      <c r="S171" s="141"/>
      <c r="T171" s="141"/>
      <c r="U171" s="141"/>
      <c r="V171" s="141"/>
      <c r="W171" s="141"/>
      <c r="X171" s="141"/>
      <c r="Y171" s="141"/>
      <c r="Z171" s="141"/>
    </row>
    <row r="172">
      <c r="A172" s="141"/>
      <c r="B172" s="141" t="str">
        <f>IFERROR(__xludf.DUMMYFUNCTION("""COMPUTED_VALUE"""),"Montenegro [GAZ:00006898]                ")</f>
        <v>Montenegro [GAZ:00006898]                </v>
      </c>
      <c r="C172" s="141" t="str">
        <f>IFERROR(__xludf.DUMMYFUNCTION("""COMPUTED_VALUE"""),"GAZ:00006898")</f>
        <v>GAZ:00006898</v>
      </c>
      <c r="D172" s="141"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72" s="141"/>
      <c r="F172" s="141"/>
      <c r="G172" s="141"/>
      <c r="H172" s="141"/>
      <c r="I172" s="141"/>
      <c r="J172" s="141"/>
      <c r="K172" s="141"/>
      <c r="L172" s="141"/>
      <c r="M172" s="141"/>
      <c r="N172" s="141"/>
      <c r="O172" s="141"/>
      <c r="P172" s="141"/>
      <c r="Q172" s="141"/>
      <c r="R172" s="141"/>
      <c r="S172" s="141"/>
      <c r="T172" s="141"/>
      <c r="U172" s="141"/>
      <c r="V172" s="141"/>
      <c r="W172" s="141"/>
      <c r="X172" s="141"/>
      <c r="Y172" s="141"/>
      <c r="Z172" s="141"/>
    </row>
    <row r="173">
      <c r="A173" s="141"/>
      <c r="B173" s="141" t="str">
        <f>IFERROR(__xludf.DUMMYFUNCTION("""COMPUTED_VALUE"""),"Montserrat [GAZ:00003988]                ")</f>
        <v>Montserrat [GAZ:00003988]                </v>
      </c>
      <c r="C173" s="141" t="str">
        <f>IFERROR(__xludf.DUMMYFUNCTION("""COMPUTED_VALUE"""),"GAZ:00003988")</f>
        <v>GAZ:00003988</v>
      </c>
      <c r="D173" s="141" t="str">
        <f>IFERROR(__xludf.DUMMYFUNCTION("""COMPUTED_VALUE"""),"A British overseas territory located in the Leeward Islands. Montserrat is divided into three parishes.")</f>
        <v>A British overseas territory located in the Leeward Islands. Montserrat is divided into three parishes.</v>
      </c>
      <c r="E173" s="141"/>
      <c r="F173" s="141"/>
      <c r="G173" s="141"/>
      <c r="H173" s="141"/>
      <c r="I173" s="141"/>
      <c r="J173" s="141"/>
      <c r="K173" s="141"/>
      <c r="L173" s="141"/>
      <c r="M173" s="141"/>
      <c r="N173" s="141"/>
      <c r="O173" s="141"/>
      <c r="P173" s="141"/>
      <c r="Q173" s="141"/>
      <c r="R173" s="141"/>
      <c r="S173" s="141"/>
      <c r="T173" s="141"/>
      <c r="U173" s="141"/>
      <c r="V173" s="141"/>
      <c r="W173" s="141"/>
      <c r="X173" s="141"/>
      <c r="Y173" s="141"/>
      <c r="Z173" s="141"/>
    </row>
    <row r="174">
      <c r="A174" s="141"/>
      <c r="B174" s="141" t="str">
        <f>IFERROR(__xludf.DUMMYFUNCTION("""COMPUTED_VALUE"""),"Morocco [GAZ:00000565]                ")</f>
        <v>Morocco [GAZ:00000565]                </v>
      </c>
      <c r="C174" s="141" t="str">
        <f>IFERROR(__xludf.DUMMYFUNCTION("""COMPUTED_VALUE"""),"GAZ:00000565")</f>
        <v>GAZ:00000565</v>
      </c>
      <c r="D174" s="141"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1"/>
    </row>
    <row r="175">
      <c r="A175" s="141"/>
      <c r="B175" s="141" t="str">
        <f>IFERROR(__xludf.DUMMYFUNCTION("""COMPUTED_VALUE"""),"Mozambique [GAZ:00001100]                ")</f>
        <v>Mozambique [GAZ:00001100]                </v>
      </c>
      <c r="C175" s="141" t="str">
        <f>IFERROR(__xludf.DUMMYFUNCTION("""COMPUTED_VALUE"""),"GAZ:00001100")</f>
        <v>GAZ:00001100</v>
      </c>
      <c r="D175" s="141"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1"/>
    </row>
    <row r="176">
      <c r="A176" s="141"/>
      <c r="B176" s="141" t="str">
        <f>IFERROR(__xludf.DUMMYFUNCTION("""COMPUTED_VALUE"""),"Myanmar [GAZ:00006899]                ")</f>
        <v>Myanmar [GAZ:00006899]                </v>
      </c>
      <c r="C176" s="141" t="str">
        <f>IFERROR(__xludf.DUMMYFUNCTION("""COMPUTED_VALUE"""),"GAZ:00006899")</f>
        <v>GAZ:00006899</v>
      </c>
      <c r="D176" s="141"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1"/>
    </row>
    <row r="177">
      <c r="A177" s="141"/>
      <c r="B177" s="141" t="str">
        <f>IFERROR(__xludf.DUMMYFUNCTION("""COMPUTED_VALUE"""),"Namibia [GAZ:00001096]                ")</f>
        <v>Namibia [GAZ:00001096]                </v>
      </c>
      <c r="C177" s="141" t="str">
        <f>IFERROR(__xludf.DUMMYFUNCTION("""COMPUTED_VALUE"""),"GAZ:00001096")</f>
        <v>GAZ:00001096</v>
      </c>
      <c r="D177" s="141"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1"/>
    </row>
    <row r="178">
      <c r="A178" s="141"/>
      <c r="B178" s="141" t="str">
        <f>IFERROR(__xludf.DUMMYFUNCTION("""COMPUTED_VALUE"""),"Nauru [GAZ:00006900]                ")</f>
        <v>Nauru [GAZ:00006900]                </v>
      </c>
      <c r="C178" s="141" t="str">
        <f>IFERROR(__xludf.DUMMYFUNCTION("""COMPUTED_VALUE"""),"GAZ:00006900")</f>
        <v>GAZ:00006900</v>
      </c>
      <c r="D178" s="141"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1"/>
    </row>
    <row r="179">
      <c r="A179" s="141"/>
      <c r="B179" s="141" t="str">
        <f>IFERROR(__xludf.DUMMYFUNCTION("""COMPUTED_VALUE"""),"Navassa Island [GAZ:00007119]                ")</f>
        <v>Navassa Island [GAZ:00007119]                </v>
      </c>
      <c r="C179" s="141" t="str">
        <f>IFERROR(__xludf.DUMMYFUNCTION("""COMPUTED_VALUE"""),"GAZ:00007119")</f>
        <v>GAZ:00007119</v>
      </c>
      <c r="D179" s="141"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1"/>
    </row>
    <row r="180">
      <c r="A180" s="141"/>
      <c r="B180" s="141" t="str">
        <f>IFERROR(__xludf.DUMMYFUNCTION("""COMPUTED_VALUE"""),"Nepal [GAZ:00004399]                ")</f>
        <v>Nepal [GAZ:00004399]                </v>
      </c>
      <c r="C180" s="141" t="str">
        <f>IFERROR(__xludf.DUMMYFUNCTION("""COMPUTED_VALUE"""),"GAZ:00004399")</f>
        <v>GAZ:00004399</v>
      </c>
      <c r="D180" s="141"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1"/>
    </row>
    <row r="181">
      <c r="A181" s="141"/>
      <c r="B181" s="141" t="str">
        <f>IFERROR(__xludf.DUMMYFUNCTION("""COMPUTED_VALUE"""),"Netherlands [GAZ:00002946]                ")</f>
        <v>Netherlands [GAZ:00002946]                </v>
      </c>
      <c r="C181" s="141" t="str">
        <f>IFERROR(__xludf.DUMMYFUNCTION("""COMPUTED_VALUE"""),"GAZ:00002946")</f>
        <v>GAZ:00002946</v>
      </c>
      <c r="D181" s="141"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1"/>
    </row>
    <row r="182">
      <c r="A182" s="141"/>
      <c r="B182" s="141" t="str">
        <f>IFERROR(__xludf.DUMMYFUNCTION("""COMPUTED_VALUE"""),"New Caledonia [GAZ:00005206]                ")</f>
        <v>New Caledonia [GAZ:00005206]                </v>
      </c>
      <c r="C182" s="141" t="str">
        <f>IFERROR(__xludf.DUMMYFUNCTION("""COMPUTED_VALUE"""),"GAZ:00005206")</f>
        <v>GAZ:00005206</v>
      </c>
      <c r="D182" s="141"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1"/>
    </row>
    <row r="183">
      <c r="A183" s="141"/>
      <c r="B183" s="141" t="str">
        <f>IFERROR(__xludf.DUMMYFUNCTION("""COMPUTED_VALUE"""),"New Zealand [GAZ:00000469]                ")</f>
        <v>New Zealand [GAZ:00000469]                </v>
      </c>
      <c r="C183" s="141" t="str">
        <f>IFERROR(__xludf.DUMMYFUNCTION("""COMPUTED_VALUE"""),"GAZ:00000469")</f>
        <v>GAZ:00000469</v>
      </c>
      <c r="D183" s="141"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1"/>
    </row>
    <row r="184">
      <c r="A184" s="141"/>
      <c r="B184" s="141" t="str">
        <f>IFERROR(__xludf.DUMMYFUNCTION("""COMPUTED_VALUE"""),"Nicaragua [GAZ:00002978]                ")</f>
        <v>Nicaragua [GAZ:00002978]                </v>
      </c>
      <c r="C184" s="141" t="str">
        <f>IFERROR(__xludf.DUMMYFUNCTION("""COMPUTED_VALUE"""),"GAZ:00002978")</f>
        <v>GAZ:00002978</v>
      </c>
      <c r="D184" s="141"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1"/>
    </row>
    <row r="185">
      <c r="A185" s="141"/>
      <c r="B185" s="141" t="str">
        <f>IFERROR(__xludf.DUMMYFUNCTION("""COMPUTED_VALUE"""),"Niger [GAZ:00000585]                ")</f>
        <v>Niger [GAZ:00000585]                </v>
      </c>
      <c r="C185" s="141" t="str">
        <f>IFERROR(__xludf.DUMMYFUNCTION("""COMPUTED_VALUE"""),"GAZ:00000585")</f>
        <v>GAZ:00000585</v>
      </c>
      <c r="D185" s="141"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1"/>
    </row>
    <row r="186">
      <c r="A186" s="141"/>
      <c r="B186" s="141" t="str">
        <f>IFERROR(__xludf.DUMMYFUNCTION("""COMPUTED_VALUE"""),"Nigeria [GAZ:00000912]                ")</f>
        <v>Nigeria [GAZ:00000912]                </v>
      </c>
      <c r="C186" s="141" t="str">
        <f>IFERROR(__xludf.DUMMYFUNCTION("""COMPUTED_VALUE"""),"GAZ:00000912")</f>
        <v>GAZ:00000912</v>
      </c>
      <c r="D186" s="141"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row>
    <row r="187">
      <c r="A187" s="141"/>
      <c r="B187" s="141" t="str">
        <f>IFERROR(__xludf.DUMMYFUNCTION("""COMPUTED_VALUE"""),"Niue [GAZ:00006902]                ")</f>
        <v>Niue [GAZ:00006902]                </v>
      </c>
      <c r="C187" s="141" t="str">
        <f>IFERROR(__xludf.DUMMYFUNCTION("""COMPUTED_VALUE"""),"GAZ:00006902")</f>
        <v>GAZ:00006902</v>
      </c>
      <c r="D187" s="141"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row>
    <row r="188">
      <c r="A188" s="141"/>
      <c r="B188" s="141" t="str">
        <f>IFERROR(__xludf.DUMMYFUNCTION("""COMPUTED_VALUE"""),"Norfolk Island [GAZ:00005908]                ")</f>
        <v>Norfolk Island [GAZ:00005908]                </v>
      </c>
      <c r="C188" s="141" t="str">
        <f>IFERROR(__xludf.DUMMYFUNCTION("""COMPUTED_VALUE"""),"GAZ:00005908")</f>
        <v>GAZ:00005908</v>
      </c>
      <c r="D188" s="141" t="str">
        <f>IFERROR(__xludf.DUMMYFUNCTION("""COMPUTED_VALUE"""),"A Territory of Australia that includes Norfolk Island and neighboring islands.")</f>
        <v>A Territory of Australia that includes Norfolk Island and neighboring islands.</v>
      </c>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row>
    <row r="189">
      <c r="A189" s="141"/>
      <c r="B189" s="141" t="str">
        <f>IFERROR(__xludf.DUMMYFUNCTION("""COMPUTED_VALUE"""),"North Korea [GAZ:00002801]                ")</f>
        <v>North Korea [GAZ:00002801]                </v>
      </c>
      <c r="C189" s="141" t="str">
        <f>IFERROR(__xludf.DUMMYFUNCTION("""COMPUTED_VALUE"""),"GAZ:00002801")</f>
        <v>GAZ:00002801</v>
      </c>
      <c r="D189" s="141"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row>
    <row r="190">
      <c r="A190" s="141"/>
      <c r="B190" s="141" t="str">
        <f>IFERROR(__xludf.DUMMYFUNCTION("""COMPUTED_VALUE"""),"North Macedonia [GAZ:00006895]                ")</f>
        <v>North Macedonia [GAZ:00006895]                </v>
      </c>
      <c r="C190" s="141" t="str">
        <f>IFERROR(__xludf.DUMMYFUNCTION("""COMPUTED_VALUE"""),"GAZ:00006895")</f>
        <v>GAZ:00006895</v>
      </c>
      <c r="D190" s="141"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row>
    <row r="191">
      <c r="A191" s="141"/>
      <c r="B191" s="141" t="str">
        <f>IFERROR(__xludf.DUMMYFUNCTION("""COMPUTED_VALUE"""),"North Sea [GAZ:00002284]                ")</f>
        <v>North Sea [GAZ:00002284]                </v>
      </c>
      <c r="C191" s="141" t="str">
        <f>IFERROR(__xludf.DUMMYFUNCTION("""COMPUTED_VALUE"""),"GAZ:00002284")</f>
        <v>GAZ:00002284</v>
      </c>
      <c r="D191" s="141" t="str">
        <f>IFERROR(__xludf.DUMMYFUNCTION("""COMPUTED_VALUE"""),"A sea situated between the eastern coasts of the British Isles and the western coast of Europe.")</f>
        <v>A sea situated between the eastern coasts of the British Isles and the western coast of Europe.</v>
      </c>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row>
    <row r="192">
      <c r="A192" s="141"/>
      <c r="B192" s="141" t="str">
        <f>IFERROR(__xludf.DUMMYFUNCTION("""COMPUTED_VALUE"""),"Northern Mariana Islands [GAZ:00003958]                ")</f>
        <v>Northern Mariana Islands [GAZ:00003958]                </v>
      </c>
      <c r="C192" s="141" t="str">
        <f>IFERROR(__xludf.DUMMYFUNCTION("""COMPUTED_VALUE"""),"GAZ:00003958")</f>
        <v>GAZ:00003958</v>
      </c>
      <c r="D192" s="141" t="str">
        <f>IFERROR(__xludf.DUMMYFUNCTION("""COMPUTED_VALUE"""),"A group of 15 islands about three-quarters of the way from Hawaii to the Philippines.")</f>
        <v>A group of 15 islands about three-quarters of the way from Hawaii to the Philippines.</v>
      </c>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row>
    <row r="193">
      <c r="A193" s="141"/>
      <c r="B193" s="141" t="str">
        <f>IFERROR(__xludf.DUMMYFUNCTION("""COMPUTED_VALUE"""),"Norway [GAZ:00002699]                ")</f>
        <v>Norway [GAZ:00002699]                </v>
      </c>
      <c r="C193" s="141" t="str">
        <f>IFERROR(__xludf.DUMMYFUNCTION("""COMPUTED_VALUE"""),"GAZ:00002699")</f>
        <v>GAZ:00002699</v>
      </c>
      <c r="D193" s="141"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row>
    <row r="194">
      <c r="A194" s="141"/>
      <c r="B194" s="141" t="str">
        <f>IFERROR(__xludf.DUMMYFUNCTION("""COMPUTED_VALUE"""),"Oman [GAZ:00005283]                ")</f>
        <v>Oman [GAZ:00005283]                </v>
      </c>
      <c r="C194" s="141" t="str">
        <f>IFERROR(__xludf.DUMMYFUNCTION("""COMPUTED_VALUE"""),"GAZ:00005283")</f>
        <v>GAZ:00005283</v>
      </c>
      <c r="D194" s="141"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row>
    <row r="195">
      <c r="A195" s="141"/>
      <c r="B195" s="141" t="str">
        <f>IFERROR(__xludf.DUMMYFUNCTION("""COMPUTED_VALUE"""),"Pakistan [GAZ:00005246]                ")</f>
        <v>Pakistan [GAZ:00005246]                </v>
      </c>
      <c r="C195" s="141" t="str">
        <f>IFERROR(__xludf.DUMMYFUNCTION("""COMPUTED_VALUE"""),"GAZ:00005246")</f>
        <v>GAZ:00005246</v>
      </c>
      <c r="D195" s="141"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row>
    <row r="196">
      <c r="A196" s="141"/>
      <c r="B196" s="141" t="str">
        <f>IFERROR(__xludf.DUMMYFUNCTION("""COMPUTED_VALUE"""),"Palau [GAZ:00006905]                ")</f>
        <v>Palau [GAZ:00006905]                </v>
      </c>
      <c r="C196" s="141" t="str">
        <f>IFERROR(__xludf.DUMMYFUNCTION("""COMPUTED_VALUE"""),"GAZ:00006905")</f>
        <v>GAZ:00006905</v>
      </c>
      <c r="D196" s="141"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row>
    <row r="197">
      <c r="A197" s="141"/>
      <c r="B197" s="141" t="str">
        <f>IFERROR(__xludf.DUMMYFUNCTION("""COMPUTED_VALUE"""),"Panama [GAZ:00002892]                ")</f>
        <v>Panama [GAZ:00002892]                </v>
      </c>
      <c r="C197" s="141" t="str">
        <f>IFERROR(__xludf.DUMMYFUNCTION("""COMPUTED_VALUE"""),"GAZ:00002892")</f>
        <v>GAZ:00002892</v>
      </c>
      <c r="D197" s="141"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row>
    <row r="198">
      <c r="A198" s="141"/>
      <c r="B198" s="141" t="str">
        <f>IFERROR(__xludf.DUMMYFUNCTION("""COMPUTED_VALUE"""),"Papua New Guinea [GAZ:00003922]                ")</f>
        <v>Papua New Guinea [GAZ:00003922]                </v>
      </c>
      <c r="C198" s="141" t="str">
        <f>IFERROR(__xludf.DUMMYFUNCTION("""COMPUTED_VALUE"""),"GAZ:00003922")</f>
        <v>GAZ:00003922</v>
      </c>
      <c r="D198" s="141"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row>
    <row r="199">
      <c r="A199" s="141"/>
      <c r="B199" s="141" t="str">
        <f>IFERROR(__xludf.DUMMYFUNCTION("""COMPUTED_VALUE"""),"Paracel Islands [GAZ:00010832]                ")</f>
        <v>Paracel Islands [GAZ:00010832]                </v>
      </c>
      <c r="C199" s="141" t="str">
        <f>IFERROR(__xludf.DUMMYFUNCTION("""COMPUTED_VALUE"""),"GAZ:00010832")</f>
        <v>GAZ:00010832</v>
      </c>
      <c r="D199" s="141"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row>
    <row r="200">
      <c r="A200" s="141"/>
      <c r="B200" s="141" t="str">
        <f>IFERROR(__xludf.DUMMYFUNCTION("""COMPUTED_VALUE"""),"Paraguay [GAZ:00002933]                ")</f>
        <v>Paraguay [GAZ:00002933]                </v>
      </c>
      <c r="C200" s="141" t="str">
        <f>IFERROR(__xludf.DUMMYFUNCTION("""COMPUTED_VALUE"""),"GAZ:00002933")</f>
        <v>GAZ:00002933</v>
      </c>
      <c r="D200" s="141"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row>
    <row r="201">
      <c r="A201" s="141"/>
      <c r="B201" s="141" t="str">
        <f>IFERROR(__xludf.DUMMYFUNCTION("""COMPUTED_VALUE"""),"Peru [GAZ:00002932]                ")</f>
        <v>Peru [GAZ:00002932]                </v>
      </c>
      <c r="C201" s="141" t="str">
        <f>IFERROR(__xludf.DUMMYFUNCTION("""COMPUTED_VALUE"""),"GAZ:00002932")</f>
        <v>GAZ:00002932</v>
      </c>
      <c r="D201" s="141"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row>
    <row r="202">
      <c r="A202" s="141"/>
      <c r="B202" s="141" t="str">
        <f>IFERROR(__xludf.DUMMYFUNCTION("""COMPUTED_VALUE"""),"Philippines [GAZ:00004525]                ")</f>
        <v>Philippines [GAZ:00004525]                </v>
      </c>
      <c r="C202" s="141" t="str">
        <f>IFERROR(__xludf.DUMMYFUNCTION("""COMPUTED_VALUE"""),"GAZ:00004525")</f>
        <v>GAZ:00004525</v>
      </c>
      <c r="D202" s="141"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row>
    <row r="203">
      <c r="A203" s="141"/>
      <c r="B203" s="141" t="str">
        <f>IFERROR(__xludf.DUMMYFUNCTION("""COMPUTED_VALUE"""),"Pitcairn Islands [GAZ:00005867]                ")</f>
        <v>Pitcairn Islands [GAZ:00005867]                </v>
      </c>
      <c r="C203" s="141" t="str">
        <f>IFERROR(__xludf.DUMMYFUNCTION("""COMPUTED_VALUE"""),"GAZ:00005867")</f>
        <v>GAZ:00005867</v>
      </c>
      <c r="D203" s="141"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row>
    <row r="204">
      <c r="A204" s="141"/>
      <c r="B204" s="141" t="str">
        <f>IFERROR(__xludf.DUMMYFUNCTION("""COMPUTED_VALUE"""),"Poland [GAZ:00002939]                ")</f>
        <v>Poland [GAZ:00002939]                </v>
      </c>
      <c r="C204" s="141" t="str">
        <f>IFERROR(__xludf.DUMMYFUNCTION("""COMPUTED_VALUE"""),"GAZ:00002939")</f>
        <v>GAZ:00002939</v>
      </c>
      <c r="D204" s="141"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row>
    <row r="205">
      <c r="A205" s="141"/>
      <c r="B205" s="141" t="str">
        <f>IFERROR(__xludf.DUMMYFUNCTION("""COMPUTED_VALUE"""),"Portugal [GAZ:00004126]                ")</f>
        <v>Portugal [GAZ:00004126]                </v>
      </c>
      <c r="C205" s="141" t="str">
        <f>IFERROR(__xludf.DUMMYFUNCTION("""COMPUTED_VALUE"""),"GAZ:00004126")</f>
        <v>GAZ:00004126</v>
      </c>
      <c r="D205" s="141"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row>
    <row r="206">
      <c r="A206" s="141"/>
      <c r="B206" s="141" t="str">
        <f>IFERROR(__xludf.DUMMYFUNCTION("""COMPUTED_VALUE"""),"Puerto Rico [GAZ:00006935]                ")</f>
        <v>Puerto Rico [GAZ:00006935]                </v>
      </c>
      <c r="C206" s="141" t="str">
        <f>IFERROR(__xludf.DUMMYFUNCTION("""COMPUTED_VALUE"""),"GAZ:00006935")</f>
        <v>GAZ:00006935</v>
      </c>
      <c r="D206" s="141"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row>
    <row r="207">
      <c r="A207" s="141"/>
      <c r="B207" s="141" t="str">
        <f>IFERROR(__xludf.DUMMYFUNCTION("""COMPUTED_VALUE"""),"Qatar [GAZ:00005286]                ")</f>
        <v>Qatar [GAZ:00005286]                </v>
      </c>
      <c r="C207" s="141" t="str">
        <f>IFERROR(__xludf.DUMMYFUNCTION("""COMPUTED_VALUE"""),"GAZ:00005286")</f>
        <v>GAZ:00005286</v>
      </c>
      <c r="D207" s="141"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row>
    <row r="208">
      <c r="A208" s="141"/>
      <c r="B208" s="141" t="str">
        <f>IFERROR(__xludf.DUMMYFUNCTION("""COMPUTED_VALUE"""),"Republic of the Congo [GAZ:00001088]                ")</f>
        <v>Republic of the Congo [GAZ:00001088]                </v>
      </c>
      <c r="C208" s="141" t="str">
        <f>IFERROR(__xludf.DUMMYFUNCTION("""COMPUTED_VALUE"""),"GAZ:00001088")</f>
        <v>GAZ:00001088</v>
      </c>
      <c r="D208" s="141"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row>
    <row r="209">
      <c r="A209" s="141"/>
      <c r="B209" s="141" t="str">
        <f>IFERROR(__xludf.DUMMYFUNCTION("""COMPUTED_VALUE"""),"Reunion [GAZ:00003945]                ")</f>
        <v>Reunion [GAZ:00003945]                </v>
      </c>
      <c r="C209" s="141" t="str">
        <f>IFERROR(__xludf.DUMMYFUNCTION("""COMPUTED_VALUE"""),"GAZ:00003945")</f>
        <v>GAZ:00003945</v>
      </c>
      <c r="D209" s="141"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row>
    <row r="210">
      <c r="A210" s="141"/>
      <c r="B210" s="141" t="str">
        <f>IFERROR(__xludf.DUMMYFUNCTION("""COMPUTED_VALUE"""),"Romania [GAZ:00002951]                ")</f>
        <v>Romania [GAZ:00002951]                </v>
      </c>
      <c r="C210" s="141" t="str">
        <f>IFERROR(__xludf.DUMMYFUNCTION("""COMPUTED_VALUE"""),"GAZ:00002951")</f>
        <v>GAZ:00002951</v>
      </c>
      <c r="D210" s="141"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row>
    <row r="211">
      <c r="A211" s="141"/>
      <c r="B211" s="141" t="str">
        <f>IFERROR(__xludf.DUMMYFUNCTION("""COMPUTED_VALUE"""),"Ross Sea [GAZ:00023304]                ")</f>
        <v>Ross Sea [GAZ:00023304]                </v>
      </c>
      <c r="C211" s="141" t="str">
        <f>IFERROR(__xludf.DUMMYFUNCTION("""COMPUTED_VALUE"""),"GAZ:00023304")</f>
        <v>GAZ:00023304</v>
      </c>
      <c r="D211" s="141"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row>
    <row r="212">
      <c r="A212" s="141"/>
      <c r="B212" s="141" t="str">
        <f>IFERROR(__xludf.DUMMYFUNCTION("""COMPUTED_VALUE"""),"Russia [GAZ:00002721]                ")</f>
        <v>Russia [GAZ:00002721]                </v>
      </c>
      <c r="C212" s="141" t="str">
        <f>IFERROR(__xludf.DUMMYFUNCTION("""COMPUTED_VALUE"""),"GAZ:00002721")</f>
        <v>GAZ:00002721</v>
      </c>
      <c r="D212" s="141"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row>
    <row r="213">
      <c r="A213" s="141"/>
      <c r="B213" s="141" t="str">
        <f>IFERROR(__xludf.DUMMYFUNCTION("""COMPUTED_VALUE"""),"Rwanda [GAZ:00001087]                ")</f>
        <v>Rwanda [GAZ:00001087]                </v>
      </c>
      <c r="C213" s="141" t="str">
        <f>IFERROR(__xludf.DUMMYFUNCTION("""COMPUTED_VALUE"""),"GAZ:00001087")</f>
        <v>GAZ:00001087</v>
      </c>
      <c r="D213" s="141"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row>
    <row r="214">
      <c r="A214" s="141"/>
      <c r="B214" s="141" t="str">
        <f>IFERROR(__xludf.DUMMYFUNCTION("""COMPUTED_VALUE"""),"Saint Helena [GAZ:00000849]                ")</f>
        <v>Saint Helena [GAZ:00000849]                </v>
      </c>
      <c r="C214" s="141" t="str">
        <f>IFERROR(__xludf.DUMMYFUNCTION("""COMPUTED_VALUE"""),"GAZ:00000849")</f>
        <v>GAZ:00000849</v>
      </c>
      <c r="D214" s="141" t="str">
        <f>IFERROR(__xludf.DUMMYFUNCTION("""COMPUTED_VALUE"""),"An island of volcanic origin and a British overseas territory in the South Atlantic Ocean.")</f>
        <v>An island of volcanic origin and a British overseas territory in the South Atlantic Ocean.</v>
      </c>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row>
    <row r="215">
      <c r="A215" s="141"/>
      <c r="B215" s="141" t="str">
        <f>IFERROR(__xludf.DUMMYFUNCTION("""COMPUTED_VALUE"""),"Saint Kitts and Nevis [GAZ:00006906]                ")</f>
        <v>Saint Kitts and Nevis [GAZ:00006906]                </v>
      </c>
      <c r="C215" s="141" t="str">
        <f>IFERROR(__xludf.DUMMYFUNCTION("""COMPUTED_VALUE"""),"GAZ:00006906")</f>
        <v>GAZ:00006906</v>
      </c>
      <c r="D215" s="141"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row>
    <row r="216">
      <c r="A216" s="141"/>
      <c r="B216" s="141" t="str">
        <f>IFERROR(__xludf.DUMMYFUNCTION("""COMPUTED_VALUE"""),"Saint Lucia [GAZ:00006909]                ")</f>
        <v>Saint Lucia [GAZ:00006909]                </v>
      </c>
      <c r="C216" s="141" t="str">
        <f>IFERROR(__xludf.DUMMYFUNCTION("""COMPUTED_VALUE"""),"GAZ:00006909")</f>
        <v>GAZ:00006909</v>
      </c>
      <c r="D216" s="141" t="str">
        <f>IFERROR(__xludf.DUMMYFUNCTION("""COMPUTED_VALUE"""),"An island nation in the eastern Caribbean Sea on the boundary with the Atlantic Ocean.")</f>
        <v>An island nation in the eastern Caribbean Sea on the boundary with the Atlantic Ocean.</v>
      </c>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row>
    <row r="217">
      <c r="A217" s="141"/>
      <c r="B217" s="141" t="str">
        <f>IFERROR(__xludf.DUMMYFUNCTION("""COMPUTED_VALUE"""),"Saint Pierre and Miquelon [GAZ:00003942]                ")</f>
        <v>Saint Pierre and Miquelon [GAZ:00003942]                </v>
      </c>
      <c r="C217" s="141" t="str">
        <f>IFERROR(__xludf.DUMMYFUNCTION("""COMPUTED_VALUE"""),"GAZ:00003942")</f>
        <v>GAZ:00003942</v>
      </c>
      <c r="D217" s="141"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row>
    <row r="218">
      <c r="A218" s="141"/>
      <c r="B218" s="141" t="str">
        <f>IFERROR(__xludf.DUMMYFUNCTION("""COMPUTED_VALUE"""),"Saint Martin [GAZ:00005841]                ")</f>
        <v>Saint Martin [GAZ:00005841]                </v>
      </c>
      <c r="C218" s="141" t="str">
        <f>IFERROR(__xludf.DUMMYFUNCTION("""COMPUTED_VALUE"""),"GAZ:00005841")</f>
        <v>GAZ:00005841</v>
      </c>
      <c r="D218" s="141"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row>
    <row r="219">
      <c r="A219" s="141"/>
      <c r="B219" s="141" t="str">
        <f>IFERROR(__xludf.DUMMYFUNCTION("""COMPUTED_VALUE"""),"Saint Vincent and the Grenadines [GAZ:02000565]                ")</f>
        <v>Saint Vincent and the Grenadines [GAZ:02000565]                </v>
      </c>
      <c r="C219" s="141" t="str">
        <f>IFERROR(__xludf.DUMMYFUNCTION("""COMPUTED_VALUE"""),"GAZ:02000565")</f>
        <v>GAZ:02000565</v>
      </c>
      <c r="D219" s="141" t="str">
        <f>IFERROR(__xludf.DUMMYFUNCTION("""COMPUTED_VALUE"""),"An island nation in the Lesser Antilles chain of the Caribbean Sea.")</f>
        <v>An island nation in the Lesser Antilles chain of the Caribbean Sea.</v>
      </c>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row>
    <row r="220">
      <c r="A220" s="141"/>
      <c r="B220" s="141" t="str">
        <f>IFERROR(__xludf.DUMMYFUNCTION("""COMPUTED_VALUE"""),"Samoa [GAZ:00006910]                ")</f>
        <v>Samoa [GAZ:00006910]                </v>
      </c>
      <c r="C220" s="141" t="str">
        <f>IFERROR(__xludf.DUMMYFUNCTION("""COMPUTED_VALUE"""),"GAZ:00006910")</f>
        <v>GAZ:00006910</v>
      </c>
      <c r="D220" s="141"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row>
    <row r="221">
      <c r="A221" s="141"/>
      <c r="B221" s="141" t="str">
        <f>IFERROR(__xludf.DUMMYFUNCTION("""COMPUTED_VALUE"""),"San Marino [GAZ:00003102]                ")</f>
        <v>San Marino [GAZ:00003102]                </v>
      </c>
      <c r="C221" s="141" t="str">
        <f>IFERROR(__xludf.DUMMYFUNCTION("""COMPUTED_VALUE"""),"GAZ:00003102")</f>
        <v>GAZ:00003102</v>
      </c>
      <c r="D221" s="141"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row>
    <row r="222">
      <c r="A222" s="141"/>
      <c r="B222" s="141" t="str">
        <f>IFERROR(__xludf.DUMMYFUNCTION("""COMPUTED_VALUE"""),"Sao Tome and Principe [GAZ:00006927]                ")</f>
        <v>Sao Tome and Principe [GAZ:00006927]                </v>
      </c>
      <c r="C222" s="141" t="str">
        <f>IFERROR(__xludf.DUMMYFUNCTION("""COMPUTED_VALUE"""),"GAZ:00006927")</f>
        <v>GAZ:00006927</v>
      </c>
      <c r="D222" s="141"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row>
    <row r="223">
      <c r="A223" s="141"/>
      <c r="B223" s="141" t="str">
        <f>IFERROR(__xludf.DUMMYFUNCTION("""COMPUTED_VALUE"""),"Saudi Arabia [GAZ:00005279]                ")</f>
        <v>Saudi Arabia [GAZ:00005279]                </v>
      </c>
      <c r="C223" s="141" t="str">
        <f>IFERROR(__xludf.DUMMYFUNCTION("""COMPUTED_VALUE"""),"GAZ:00005279")</f>
        <v>GAZ:00005279</v>
      </c>
      <c r="D223" s="141"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row>
    <row r="224">
      <c r="A224" s="141"/>
      <c r="B224" s="141" t="str">
        <f>IFERROR(__xludf.DUMMYFUNCTION("""COMPUTED_VALUE"""),"Senegal [GAZ:00000913]                ")</f>
        <v>Senegal [GAZ:00000913]                </v>
      </c>
      <c r="C224" s="141" t="str">
        <f>IFERROR(__xludf.DUMMYFUNCTION("""COMPUTED_VALUE"""),"GAZ:00000913")</f>
        <v>GAZ:00000913</v>
      </c>
      <c r="D224" s="141"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row>
    <row r="225">
      <c r="A225" s="141"/>
      <c r="B225" s="141" t="str">
        <f>IFERROR(__xludf.DUMMYFUNCTION("""COMPUTED_VALUE"""),"Serbia [GAZ:00002957]                ")</f>
        <v>Serbia [GAZ:00002957]                </v>
      </c>
      <c r="C225" s="141" t="str">
        <f>IFERROR(__xludf.DUMMYFUNCTION("""COMPUTED_VALUE"""),"GAZ:00002957")</f>
        <v>GAZ:00002957</v>
      </c>
      <c r="D225" s="141"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row>
    <row r="226">
      <c r="A226" s="141"/>
      <c r="B226" s="141" t="str">
        <f>IFERROR(__xludf.DUMMYFUNCTION("""COMPUTED_VALUE"""),"Seychelles [GAZ:00006922]                ")</f>
        <v>Seychelles [GAZ:00006922]                </v>
      </c>
      <c r="C226" s="141" t="str">
        <f>IFERROR(__xludf.DUMMYFUNCTION("""COMPUTED_VALUE"""),"GAZ:00006922")</f>
        <v>GAZ:00006922</v>
      </c>
      <c r="D226" s="141"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row>
    <row r="227">
      <c r="A227" s="141"/>
      <c r="B227" s="141" t="str">
        <f>IFERROR(__xludf.DUMMYFUNCTION("""COMPUTED_VALUE"""),"Sierra Leone [GAZ:00000914]                ")</f>
        <v>Sierra Leone [GAZ:00000914]                </v>
      </c>
      <c r="C227" s="141" t="str">
        <f>IFERROR(__xludf.DUMMYFUNCTION("""COMPUTED_VALUE"""),"GAZ:00000914")</f>
        <v>GAZ:00000914</v>
      </c>
      <c r="D227" s="141"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row>
    <row r="228">
      <c r="A228" s="141"/>
      <c r="B228" s="141" t="str">
        <f>IFERROR(__xludf.DUMMYFUNCTION("""COMPUTED_VALUE"""),"Singapore [GAZ:00003923]                ")</f>
        <v>Singapore [GAZ:00003923]                </v>
      </c>
      <c r="C228" s="141" t="str">
        <f>IFERROR(__xludf.DUMMYFUNCTION("""COMPUTED_VALUE"""),"GAZ:00003923")</f>
        <v>GAZ:00003923</v>
      </c>
      <c r="D228" s="141"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row>
    <row r="229">
      <c r="A229" s="141"/>
      <c r="B229" s="141" t="str">
        <f>IFERROR(__xludf.DUMMYFUNCTION("""COMPUTED_VALUE"""),"Sint Maarten [GAZ:00012579]                ")</f>
        <v>Sint Maarten [GAZ:00012579]                </v>
      </c>
      <c r="C229" s="141" t="str">
        <f>IFERROR(__xludf.DUMMYFUNCTION("""COMPUTED_VALUE"""),"GAZ:00012579")</f>
        <v>GAZ:00012579</v>
      </c>
      <c r="D229" s="141"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row>
    <row r="230">
      <c r="A230" s="141"/>
      <c r="B230" s="141" t="str">
        <f>IFERROR(__xludf.DUMMYFUNCTION("""COMPUTED_VALUE"""),"Slovakia [GAZ:00002956]                ")</f>
        <v>Slovakia [GAZ:00002956]                </v>
      </c>
      <c r="C230" s="141" t="str">
        <f>IFERROR(__xludf.DUMMYFUNCTION("""COMPUTED_VALUE"""),"GAZ:00002956")</f>
        <v>GAZ:00002956</v>
      </c>
      <c r="D230" s="141"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row>
    <row r="231">
      <c r="A231" s="141"/>
      <c r="B231" s="141" t="str">
        <f>IFERROR(__xludf.DUMMYFUNCTION("""COMPUTED_VALUE"""),"Slovenia [GAZ:00002955]                ")</f>
        <v>Slovenia [GAZ:00002955]                </v>
      </c>
      <c r="C231" s="141" t="str">
        <f>IFERROR(__xludf.DUMMYFUNCTION("""COMPUTED_VALUE"""),"GAZ:00002955")</f>
        <v>GAZ:00002955</v>
      </c>
      <c r="D231" s="141"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row>
    <row r="232">
      <c r="A232" s="141"/>
      <c r="B232" s="141" t="str">
        <f>IFERROR(__xludf.DUMMYFUNCTION("""COMPUTED_VALUE"""),"Solomon Islands [GAZ:00005275]                ")</f>
        <v>Solomon Islands [GAZ:00005275]                </v>
      </c>
      <c r="C232" s="141" t="str">
        <f>IFERROR(__xludf.DUMMYFUNCTION("""COMPUTED_VALUE"""),"GAZ:00005275")</f>
        <v>GAZ:00005275</v>
      </c>
      <c r="D232" s="141"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row>
    <row r="233">
      <c r="A233" s="141"/>
      <c r="B233" s="141" t="str">
        <f>IFERROR(__xludf.DUMMYFUNCTION("""COMPUTED_VALUE"""),"Somalia [GAZ:00001104]                ")</f>
        <v>Somalia [GAZ:00001104]                </v>
      </c>
      <c r="C233" s="141" t="str">
        <f>IFERROR(__xludf.DUMMYFUNCTION("""COMPUTED_VALUE"""),"GAZ:00001104")</f>
        <v>GAZ:00001104</v>
      </c>
      <c r="D233" s="141"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row>
    <row r="234">
      <c r="A234" s="141"/>
      <c r="B234" s="141" t="str">
        <f>IFERROR(__xludf.DUMMYFUNCTION("""COMPUTED_VALUE"""),"South Africa [GAZ:00001094]                ")</f>
        <v>South Africa [GAZ:00001094]                </v>
      </c>
      <c r="C234" s="141" t="str">
        <f>IFERROR(__xludf.DUMMYFUNCTION("""COMPUTED_VALUE"""),"GAZ:00001094")</f>
        <v>GAZ:00001094</v>
      </c>
      <c r="D234" s="141"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row>
    <row r="235">
      <c r="A235" s="141"/>
      <c r="B235" s="141" t="str">
        <f>IFERROR(__xludf.DUMMYFUNCTION("""COMPUTED_VALUE"""),"South Georgia and the South Sandwich Islands [GAZ:00003990]                ")</f>
        <v>South Georgia and the South Sandwich Islands [GAZ:00003990]                </v>
      </c>
      <c r="C235" s="141" t="str">
        <f>IFERROR(__xludf.DUMMYFUNCTION("""COMPUTED_VALUE"""),"GAZ:00003990")</f>
        <v>GAZ:00003990</v>
      </c>
      <c r="D235" s="141"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row>
    <row r="236">
      <c r="A236" s="141"/>
      <c r="B236" s="141" t="str">
        <f>IFERROR(__xludf.DUMMYFUNCTION("""COMPUTED_VALUE"""),"South Korea [GAZ:00002802]                ")</f>
        <v>South Korea [GAZ:00002802]                </v>
      </c>
      <c r="C236" s="141" t="str">
        <f>IFERROR(__xludf.DUMMYFUNCTION("""COMPUTED_VALUE"""),"GAZ:00002802")</f>
        <v>GAZ:00002802</v>
      </c>
      <c r="D236" s="141"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row>
    <row r="237">
      <c r="A237" s="141"/>
      <c r="B237" s="141" t="str">
        <f>IFERROR(__xludf.DUMMYFUNCTION("""COMPUTED_VALUE"""),"South Sudan [GAZ:00233439]                ")</f>
        <v>South Sudan [GAZ:00233439]                </v>
      </c>
      <c r="C237" s="141" t="str">
        <f>IFERROR(__xludf.DUMMYFUNCTION("""COMPUTED_VALUE"""),"GAZ:00233439")</f>
        <v>GAZ:00233439</v>
      </c>
      <c r="D237" s="141"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row>
    <row r="238">
      <c r="A238" s="141"/>
      <c r="B238" s="141" t="str">
        <f>IFERROR(__xludf.DUMMYFUNCTION("""COMPUTED_VALUE"""),"Spain [GAZ:00000591]                ")</f>
        <v>Spain [GAZ:00000591]                </v>
      </c>
      <c r="C238" s="141" t="str">
        <f>IFERROR(__xludf.DUMMYFUNCTION("""COMPUTED_VALUE"""),"GAZ:00000591")</f>
        <v>GAZ:00000591</v>
      </c>
      <c r="D238" s="141"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row>
    <row r="239">
      <c r="A239" s="141"/>
      <c r="B239" s="141" t="str">
        <f>IFERROR(__xludf.DUMMYFUNCTION("""COMPUTED_VALUE"""),"Spratly Islands [GAZ:00010831]                ")</f>
        <v>Spratly Islands [GAZ:00010831]                </v>
      </c>
      <c r="C239" s="141" t="str">
        <f>IFERROR(__xludf.DUMMYFUNCTION("""COMPUTED_VALUE"""),"GAZ:00010831")</f>
        <v>GAZ:00010831</v>
      </c>
      <c r="D239" s="141"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row>
    <row r="240">
      <c r="A240" s="141"/>
      <c r="B240" s="141" t="str">
        <f>IFERROR(__xludf.DUMMYFUNCTION("""COMPUTED_VALUE"""),"Sri Lanka [GAZ:00003924]                ")</f>
        <v>Sri Lanka [GAZ:00003924]                </v>
      </c>
      <c r="C240" s="141" t="str">
        <f>IFERROR(__xludf.DUMMYFUNCTION("""COMPUTED_VALUE"""),"GAZ:00003924")</f>
        <v>GAZ:00003924</v>
      </c>
      <c r="D240" s="141"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row>
    <row r="241">
      <c r="A241" s="141"/>
      <c r="B241" s="141" t="str">
        <f>IFERROR(__xludf.DUMMYFUNCTION("""COMPUTED_VALUE"""),"State of Palestine [GAZ:00002475]                ")</f>
        <v>State of Palestine [GAZ:00002475]                </v>
      </c>
      <c r="C241" s="141" t="str">
        <f>IFERROR(__xludf.DUMMYFUNCTION("""COMPUTED_VALUE"""),"GAZ:00002475")</f>
        <v>GAZ:00002475</v>
      </c>
      <c r="D241" s="141"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row>
    <row r="242">
      <c r="A242" s="141"/>
      <c r="B242" s="141" t="str">
        <f>IFERROR(__xludf.DUMMYFUNCTION("""COMPUTED_VALUE"""),"Sudan [GAZ:00000560]                ")</f>
        <v>Sudan [GAZ:00000560]                </v>
      </c>
      <c r="C242" s="141" t="str">
        <f>IFERROR(__xludf.DUMMYFUNCTION("""COMPUTED_VALUE"""),"GAZ:00000560")</f>
        <v>GAZ:00000560</v>
      </c>
      <c r="D242" s="141"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row>
    <row r="243">
      <c r="A243" s="141"/>
      <c r="B243" s="141" t="str">
        <f>IFERROR(__xludf.DUMMYFUNCTION("""COMPUTED_VALUE"""),"Suriname [GAZ:00002525]                ")</f>
        <v>Suriname [GAZ:00002525]                </v>
      </c>
      <c r="C243" s="141" t="str">
        <f>IFERROR(__xludf.DUMMYFUNCTION("""COMPUTED_VALUE"""),"GAZ:00002525")</f>
        <v>GAZ:00002525</v>
      </c>
      <c r="D243" s="141"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row>
    <row r="244">
      <c r="A244" s="141"/>
      <c r="B244" s="141" t="str">
        <f>IFERROR(__xludf.DUMMYFUNCTION("""COMPUTED_VALUE"""),"Svalbard [GAZ:00005396]                ")</f>
        <v>Svalbard [GAZ:00005396]                </v>
      </c>
      <c r="C244" s="141" t="str">
        <f>IFERROR(__xludf.DUMMYFUNCTION("""COMPUTED_VALUE"""),"GAZ:00005396")</f>
        <v>GAZ:00005396</v>
      </c>
      <c r="D244" s="141"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row>
    <row r="245">
      <c r="A245" s="141"/>
      <c r="B245" s="141" t="str">
        <f>IFERROR(__xludf.DUMMYFUNCTION("""COMPUTED_VALUE"""),"Sweden [GAZ:00002729]                ")</f>
        <v>Sweden [GAZ:00002729]                </v>
      </c>
      <c r="C245" s="141" t="str">
        <f>IFERROR(__xludf.DUMMYFUNCTION("""COMPUTED_VALUE"""),"GAZ:00002729")</f>
        <v>GAZ:00002729</v>
      </c>
      <c r="D245" s="141"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row>
    <row r="246">
      <c r="A246" s="141"/>
      <c r="B246" s="141" t="str">
        <f>IFERROR(__xludf.DUMMYFUNCTION("""COMPUTED_VALUE"""),"Switzerland [GAZ:00002941]                ")</f>
        <v>Switzerland [GAZ:00002941]                </v>
      </c>
      <c r="C246" s="141" t="str">
        <f>IFERROR(__xludf.DUMMYFUNCTION("""COMPUTED_VALUE"""),"GAZ:00002941")</f>
        <v>GAZ:00002941</v>
      </c>
      <c r="D246" s="141"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row>
    <row r="247">
      <c r="A247" s="141"/>
      <c r="B247" s="141" t="str">
        <f>IFERROR(__xludf.DUMMYFUNCTION("""COMPUTED_VALUE"""),"Syria [GAZ:00002474]                ")</f>
        <v>Syria [GAZ:00002474]                </v>
      </c>
      <c r="C247" s="141" t="str">
        <f>IFERROR(__xludf.DUMMYFUNCTION("""COMPUTED_VALUE"""),"GAZ:00002474")</f>
        <v>GAZ:00002474</v>
      </c>
      <c r="D247" s="141"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row>
    <row r="248">
      <c r="A248" s="141"/>
      <c r="B248" s="141" t="str">
        <f>IFERROR(__xludf.DUMMYFUNCTION("""COMPUTED_VALUE"""),"Taiwan [GAZ:00005341]                ")</f>
        <v>Taiwan [GAZ:00005341]                </v>
      </c>
      <c r="C248" s="141" t="str">
        <f>IFERROR(__xludf.DUMMYFUNCTION("""COMPUTED_VALUE"""),"GAZ:00005341")</f>
        <v>GAZ:00005341</v>
      </c>
      <c r="D248" s="141"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row>
    <row r="249">
      <c r="A249" s="141"/>
      <c r="B249" s="141" t="str">
        <f>IFERROR(__xludf.DUMMYFUNCTION("""COMPUTED_VALUE"""),"Tajikistan [GAZ:00006912]                ")</f>
        <v>Tajikistan [GAZ:00006912]                </v>
      </c>
      <c r="C249" s="141" t="str">
        <f>IFERROR(__xludf.DUMMYFUNCTION("""COMPUTED_VALUE"""),"GAZ:00006912")</f>
        <v>GAZ:00006912</v>
      </c>
      <c r="D249" s="141"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row>
    <row r="250">
      <c r="A250" s="141"/>
      <c r="B250" s="141" t="str">
        <f>IFERROR(__xludf.DUMMYFUNCTION("""COMPUTED_VALUE"""),"Tanzania [GAZ:00001103]                ")</f>
        <v>Tanzania [GAZ:00001103]                </v>
      </c>
      <c r="C250" s="141" t="str">
        <f>IFERROR(__xludf.DUMMYFUNCTION("""COMPUTED_VALUE"""),"GAZ:00001103")</f>
        <v>GAZ:00001103</v>
      </c>
      <c r="D250" s="141"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row>
    <row r="251">
      <c r="A251" s="141"/>
      <c r="B251" s="141" t="str">
        <f>IFERROR(__xludf.DUMMYFUNCTION("""COMPUTED_VALUE"""),"Thailand [GAZ:00003744]                ")</f>
        <v>Thailand [GAZ:00003744]                </v>
      </c>
      <c r="C251" s="141" t="str">
        <f>IFERROR(__xludf.DUMMYFUNCTION("""COMPUTED_VALUE"""),"GAZ:00003744")</f>
        <v>GAZ:00003744</v>
      </c>
      <c r="D251" s="141"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row>
    <row r="252">
      <c r="A252" s="141"/>
      <c r="B252" s="141" t="str">
        <f>IFERROR(__xludf.DUMMYFUNCTION("""COMPUTED_VALUE"""),"Timor-Leste [GAZ:00006913]                ")</f>
        <v>Timor-Leste [GAZ:00006913]                </v>
      </c>
      <c r="C252" s="141" t="str">
        <f>IFERROR(__xludf.DUMMYFUNCTION("""COMPUTED_VALUE"""),"GAZ:00006913")</f>
        <v>GAZ:00006913</v>
      </c>
      <c r="D252" s="141"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row>
    <row r="253">
      <c r="A253" s="141"/>
      <c r="B253" s="141" t="str">
        <f>IFERROR(__xludf.DUMMYFUNCTION("""COMPUTED_VALUE"""),"Togo [GAZ:00000915]                ")</f>
        <v>Togo [GAZ:00000915]                </v>
      </c>
      <c r="C253" s="141" t="str">
        <f>IFERROR(__xludf.DUMMYFUNCTION("""COMPUTED_VALUE"""),"GAZ:00000915")</f>
        <v>GAZ:00000915</v>
      </c>
      <c r="D253" s="141"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row>
    <row r="254">
      <c r="A254" s="141"/>
      <c r="B254" s="141" t="str">
        <f>IFERROR(__xludf.DUMMYFUNCTION("""COMPUTED_VALUE"""),"Tokelau [GAZ:00260188]                ")</f>
        <v>Tokelau [GAZ:00260188]                </v>
      </c>
      <c r="C254" s="141" t="str">
        <f>IFERROR(__xludf.DUMMYFUNCTION("""COMPUTED_VALUE"""),"GAZ:00260188")</f>
        <v>GAZ:00260188</v>
      </c>
      <c r="D254" s="141"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row>
    <row r="255">
      <c r="A255" s="141"/>
      <c r="B255" s="141" t="str">
        <f>IFERROR(__xludf.DUMMYFUNCTION("""COMPUTED_VALUE"""),"Tonga [GAZ:00006916]                ")</f>
        <v>Tonga [GAZ:00006916]                </v>
      </c>
      <c r="C255" s="141" t="str">
        <f>IFERROR(__xludf.DUMMYFUNCTION("""COMPUTED_VALUE"""),"GAZ:00006916")</f>
        <v>GAZ:00006916</v>
      </c>
      <c r="D255" s="141"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row>
    <row r="256">
      <c r="A256" s="141"/>
      <c r="B256" s="141" t="str">
        <f>IFERROR(__xludf.DUMMYFUNCTION("""COMPUTED_VALUE"""),"Trinidad and Tobago [GAZ:00003767]                ")</f>
        <v>Trinidad and Tobago [GAZ:00003767]                </v>
      </c>
      <c r="C256" s="141" t="str">
        <f>IFERROR(__xludf.DUMMYFUNCTION("""COMPUTED_VALUE"""),"GAZ:00003767")</f>
        <v>GAZ:00003767</v>
      </c>
      <c r="D256" s="141"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row>
    <row r="257">
      <c r="A257" s="141"/>
      <c r="B257" s="141" t="str">
        <f>IFERROR(__xludf.DUMMYFUNCTION("""COMPUTED_VALUE"""),"Tromelin Island [GAZ:00005812]                ")</f>
        <v>Tromelin Island [GAZ:00005812]                </v>
      </c>
      <c r="C257" s="141" t="str">
        <f>IFERROR(__xludf.DUMMYFUNCTION("""COMPUTED_VALUE"""),"GAZ:00005812")</f>
        <v>GAZ:00005812</v>
      </c>
      <c r="D257" s="141"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row>
    <row r="258">
      <c r="A258" s="141"/>
      <c r="B258" s="141" t="str">
        <f>IFERROR(__xludf.DUMMYFUNCTION("""COMPUTED_VALUE"""),"Tunisia [GAZ:00000562]                ")</f>
        <v>Tunisia [GAZ:00000562]                </v>
      </c>
      <c r="C258" s="141" t="str">
        <f>IFERROR(__xludf.DUMMYFUNCTION("""COMPUTED_VALUE"""),"GAZ:00000562")</f>
        <v>GAZ:00000562</v>
      </c>
      <c r="D258" s="141"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row>
    <row r="259">
      <c r="A259" s="141"/>
      <c r="B259" s="141" t="str">
        <f>IFERROR(__xludf.DUMMYFUNCTION("""COMPUTED_VALUE"""),"Turkey [GAZ:00000558]                ")</f>
        <v>Turkey [GAZ:00000558]                </v>
      </c>
      <c r="C259" s="141" t="str">
        <f>IFERROR(__xludf.DUMMYFUNCTION("""COMPUTED_VALUE"""),"GAZ:00000558")</f>
        <v>GAZ:00000558</v>
      </c>
      <c r="D259" s="141"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row>
    <row r="260">
      <c r="A260" s="141"/>
      <c r="B260" s="141" t="str">
        <f>IFERROR(__xludf.DUMMYFUNCTION("""COMPUTED_VALUE"""),"Turkmenistan [GAZ:00005018]                ")</f>
        <v>Turkmenistan [GAZ:00005018]                </v>
      </c>
      <c r="C260" s="141" t="str">
        <f>IFERROR(__xludf.DUMMYFUNCTION("""COMPUTED_VALUE"""),"GAZ:00005018")</f>
        <v>GAZ:00005018</v>
      </c>
      <c r="D260" s="141"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row>
    <row r="261">
      <c r="A261" s="141"/>
      <c r="B261" s="141" t="str">
        <f>IFERROR(__xludf.DUMMYFUNCTION("""COMPUTED_VALUE"""),"Turks and Caicos Islands [GAZ:00003955]                ")</f>
        <v>Turks and Caicos Islands [GAZ:00003955]                </v>
      </c>
      <c r="C261" s="141" t="str">
        <f>IFERROR(__xludf.DUMMYFUNCTION("""COMPUTED_VALUE"""),"GAZ:00003955")</f>
        <v>GAZ:00003955</v>
      </c>
      <c r="D261" s="141"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row>
    <row r="262">
      <c r="A262" s="141"/>
      <c r="B262" s="141" t="str">
        <f>IFERROR(__xludf.DUMMYFUNCTION("""COMPUTED_VALUE"""),"Tuvalu [GAZ:00009715]                ")</f>
        <v>Tuvalu [GAZ:00009715]                </v>
      </c>
      <c r="C262" s="141" t="str">
        <f>IFERROR(__xludf.DUMMYFUNCTION("""COMPUTED_VALUE"""),"GAZ:00009715")</f>
        <v>GAZ:00009715</v>
      </c>
      <c r="D262" s="141" t="str">
        <f>IFERROR(__xludf.DUMMYFUNCTION("""COMPUTED_VALUE"""),"A Polynesian island nation located in the Pacific Ocean midway between Hawaii and Australia.")</f>
        <v>A Polynesian island nation located in the Pacific Ocean midway between Hawaii and Australia.</v>
      </c>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row>
    <row r="263">
      <c r="A263" s="141"/>
      <c r="B263" s="141" t="str">
        <f>IFERROR(__xludf.DUMMYFUNCTION("""COMPUTED_VALUE"""),"United States of America [GAZ:00002459]                ")</f>
        <v>United States of America [GAZ:00002459]                </v>
      </c>
      <c r="C263" s="141" t="str">
        <f>IFERROR(__xludf.DUMMYFUNCTION("""COMPUTED_VALUE"""),"GAZ:00002459")</f>
        <v>GAZ:00002459</v>
      </c>
      <c r="D263" s="141"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row>
    <row r="264">
      <c r="A264" s="141"/>
      <c r="B264" s="141" t="str">
        <f>IFERROR(__xludf.DUMMYFUNCTION("""COMPUTED_VALUE"""),"Uganda [GAZ:00001102]                ")</f>
        <v>Uganda [GAZ:00001102]                </v>
      </c>
      <c r="C264" s="141" t="str">
        <f>IFERROR(__xludf.DUMMYFUNCTION("""COMPUTED_VALUE"""),"GAZ:00001102")</f>
        <v>GAZ:00001102</v>
      </c>
      <c r="D264" s="141"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row>
    <row r="265">
      <c r="A265" s="141"/>
      <c r="B265" s="141" t="str">
        <f>IFERROR(__xludf.DUMMYFUNCTION("""COMPUTED_VALUE"""),"Ukraine [GAZ:00002724]                ")</f>
        <v>Ukraine [GAZ:00002724]                </v>
      </c>
      <c r="C265" s="141" t="str">
        <f>IFERROR(__xludf.DUMMYFUNCTION("""COMPUTED_VALUE"""),"GAZ:00002724")</f>
        <v>GAZ:00002724</v>
      </c>
      <c r="D265" s="141"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row>
    <row r="266">
      <c r="A266" s="141"/>
      <c r="B266" s="141" t="str">
        <f>IFERROR(__xludf.DUMMYFUNCTION("""COMPUTED_VALUE"""),"United Arab Emirates [GAZ:00005282]                ")</f>
        <v>United Arab Emirates [GAZ:00005282]                </v>
      </c>
      <c r="C266" s="141" t="str">
        <f>IFERROR(__xludf.DUMMYFUNCTION("""COMPUTED_VALUE"""),"GAZ:00005282")</f>
        <v>GAZ:00005282</v>
      </c>
      <c r="D266" s="141"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row>
    <row r="267">
      <c r="A267" s="141"/>
      <c r="B267" s="141" t="str">
        <f>IFERROR(__xludf.DUMMYFUNCTION("""COMPUTED_VALUE"""),"United Kingdom [GAZ:00002637]                ")</f>
        <v>United Kingdom [GAZ:00002637]                </v>
      </c>
      <c r="C267" s="141" t="str">
        <f>IFERROR(__xludf.DUMMYFUNCTION("""COMPUTED_VALUE"""),"GAZ:00002637")</f>
        <v>GAZ:00002637</v>
      </c>
      <c r="D267" s="141"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row>
    <row r="268">
      <c r="A268" s="141"/>
      <c r="B268" s="141" t="str">
        <f>IFERROR(__xludf.DUMMYFUNCTION("""COMPUTED_VALUE"""),"Uruguay [GAZ:00002930]                ")</f>
        <v>Uruguay [GAZ:00002930]                </v>
      </c>
      <c r="C268" s="141" t="str">
        <f>IFERROR(__xludf.DUMMYFUNCTION("""COMPUTED_VALUE"""),"GAZ:00002930")</f>
        <v>GAZ:00002930</v>
      </c>
      <c r="D268" s="141"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row>
    <row r="269">
      <c r="A269" s="141"/>
      <c r="B269" s="141" t="str">
        <f>IFERROR(__xludf.DUMMYFUNCTION("""COMPUTED_VALUE"""),"Uzbekistan [GAZ:00004979]                ")</f>
        <v>Uzbekistan [GAZ:00004979]                </v>
      </c>
      <c r="C269" s="141" t="str">
        <f>IFERROR(__xludf.DUMMYFUNCTION("""COMPUTED_VALUE"""),"GAZ:00004979")</f>
        <v>GAZ:00004979</v>
      </c>
      <c r="D269" s="141"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row>
    <row r="270">
      <c r="A270" s="141"/>
      <c r="B270" s="141" t="str">
        <f>IFERROR(__xludf.DUMMYFUNCTION("""COMPUTED_VALUE"""),"Vanuatu [GAZ:00006918]                ")</f>
        <v>Vanuatu [GAZ:00006918]                </v>
      </c>
      <c r="C270" s="141" t="str">
        <f>IFERROR(__xludf.DUMMYFUNCTION("""COMPUTED_VALUE"""),"GAZ:00006918")</f>
        <v>GAZ:00006918</v>
      </c>
      <c r="D270" s="141"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row>
    <row r="271">
      <c r="A271" s="141"/>
      <c r="B271" s="141" t="str">
        <f>IFERROR(__xludf.DUMMYFUNCTION("""COMPUTED_VALUE"""),"Venezuela [GAZ:00002931]                ")</f>
        <v>Venezuela [GAZ:00002931]                </v>
      </c>
      <c r="C271" s="141" t="str">
        <f>IFERROR(__xludf.DUMMYFUNCTION("""COMPUTED_VALUE"""),"GAZ:00002931")</f>
        <v>GAZ:00002931</v>
      </c>
      <c r="D271" s="141"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row>
    <row r="272">
      <c r="A272" s="141"/>
      <c r="B272" s="141" t="str">
        <f>IFERROR(__xludf.DUMMYFUNCTION("""COMPUTED_VALUE"""),"Viet Nam [GAZ:00003756]                ")</f>
        <v>Viet Nam [GAZ:00003756]                </v>
      </c>
      <c r="C272" s="141" t="str">
        <f>IFERROR(__xludf.DUMMYFUNCTION("""COMPUTED_VALUE"""),"GAZ:00003756")</f>
        <v>GAZ:00003756</v>
      </c>
      <c r="D272" s="141"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row>
    <row r="273">
      <c r="A273" s="141"/>
      <c r="B273" s="141" t="str">
        <f>IFERROR(__xludf.DUMMYFUNCTION("""COMPUTED_VALUE"""),"Virgin Islands [GAZ:00003959]                ")</f>
        <v>Virgin Islands [GAZ:00003959]                </v>
      </c>
      <c r="C273" s="141" t="str">
        <f>IFERROR(__xludf.DUMMYFUNCTION("""COMPUTED_VALUE"""),"GAZ:00003959")</f>
        <v>GAZ:00003959</v>
      </c>
      <c r="D273" s="141"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row>
    <row r="274">
      <c r="A274" s="141"/>
      <c r="B274" s="141" t="str">
        <f>IFERROR(__xludf.DUMMYFUNCTION("""COMPUTED_VALUE"""),"Wake Island [GAZ:00007111]                ")</f>
        <v>Wake Island [GAZ:00007111]                </v>
      </c>
      <c r="C274" s="141" t="str">
        <f>IFERROR(__xludf.DUMMYFUNCTION("""COMPUTED_VALUE"""),"GAZ:00007111")</f>
        <v>GAZ:00007111</v>
      </c>
      <c r="D274" s="141"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1"/>
    </row>
    <row r="275">
      <c r="A275" s="141"/>
      <c r="B275" s="141" t="str">
        <f>IFERROR(__xludf.DUMMYFUNCTION("""COMPUTED_VALUE"""),"Wallis and Futuna [GAZ:00007191]                ")</f>
        <v>Wallis and Futuna [GAZ:00007191]                </v>
      </c>
      <c r="C275" s="141" t="str">
        <f>IFERROR(__xludf.DUMMYFUNCTION("""COMPUTED_VALUE"""),"GAZ:00007191")</f>
        <v>GAZ:00007191</v>
      </c>
      <c r="D275" s="141"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1"/>
    </row>
    <row r="276">
      <c r="A276" s="141"/>
      <c r="B276" s="141" t="str">
        <f>IFERROR(__xludf.DUMMYFUNCTION("""COMPUTED_VALUE"""),"West Bank [GAZ:00009572]                ")</f>
        <v>West Bank [GAZ:00009572]                </v>
      </c>
      <c r="C276" s="141" t="str">
        <f>IFERROR(__xludf.DUMMYFUNCTION("""COMPUTED_VALUE"""),"GAZ:00009572")</f>
        <v>GAZ:00009572</v>
      </c>
      <c r="D276" s="141"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1"/>
    </row>
    <row r="277">
      <c r="A277" s="141"/>
      <c r="B277" s="141" t="str">
        <f>IFERROR(__xludf.DUMMYFUNCTION("""COMPUTED_VALUE"""),"Western Sahara [GAZ:00000564]                ")</f>
        <v>Western Sahara [GAZ:00000564]                </v>
      </c>
      <c r="C277" s="141" t="str">
        <f>IFERROR(__xludf.DUMMYFUNCTION("""COMPUTED_VALUE"""),"GAZ:00000564")</f>
        <v>GAZ:00000564</v>
      </c>
      <c r="D277" s="141"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1"/>
    </row>
    <row r="278">
      <c r="A278" s="141"/>
      <c r="B278" s="141" t="str">
        <f>IFERROR(__xludf.DUMMYFUNCTION("""COMPUTED_VALUE"""),"Yemen [GAZ:00005284]                ")</f>
        <v>Yemen [GAZ:00005284]                </v>
      </c>
      <c r="C278" s="141" t="str">
        <f>IFERROR(__xludf.DUMMYFUNCTION("""COMPUTED_VALUE"""),"GAZ:00005284")</f>
        <v>GAZ:00005284</v>
      </c>
      <c r="D278" s="141"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1"/>
    </row>
    <row r="279">
      <c r="A279" s="141"/>
      <c r="B279" s="141" t="str">
        <f>IFERROR(__xludf.DUMMYFUNCTION("""COMPUTED_VALUE"""),"Zambia [GAZ:00001107]                ")</f>
        <v>Zambia [GAZ:00001107]                </v>
      </c>
      <c r="C279" s="141" t="str">
        <f>IFERROR(__xludf.DUMMYFUNCTION("""COMPUTED_VALUE"""),"GAZ:00001107")</f>
        <v>GAZ:00001107</v>
      </c>
      <c r="D279" s="141"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279" s="141"/>
      <c r="F279" s="141"/>
      <c r="G279" s="141"/>
      <c r="H279" s="141"/>
      <c r="I279" s="141"/>
      <c r="J279" s="141"/>
      <c r="K279" s="141"/>
      <c r="L279" s="141"/>
      <c r="M279" s="141"/>
      <c r="N279" s="141"/>
      <c r="O279" s="141"/>
      <c r="P279" s="141"/>
      <c r="Q279" s="141"/>
      <c r="R279" s="141"/>
      <c r="S279" s="141"/>
      <c r="T279" s="141"/>
      <c r="U279" s="141"/>
      <c r="V279" s="141"/>
      <c r="W279" s="141"/>
      <c r="X279" s="141"/>
      <c r="Y279" s="141"/>
      <c r="Z279" s="141"/>
    </row>
    <row r="280">
      <c r="A280" s="141"/>
      <c r="B280" s="141" t="str">
        <f>IFERROR(__xludf.DUMMYFUNCTION("""COMPUTED_VALUE"""),"Zimbabwe [GAZ:00001106]                ")</f>
        <v>Zimbabwe [GAZ:00001106]                </v>
      </c>
      <c r="C280" s="141" t="str">
        <f>IFERROR(__xludf.DUMMYFUNCTION("""COMPUTED_VALUE"""),"GAZ:00001106")</f>
        <v>GAZ:00001106</v>
      </c>
      <c r="D280" s="141"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280" s="141"/>
      <c r="F280" s="141"/>
      <c r="G280" s="141"/>
      <c r="H280" s="141"/>
      <c r="I280" s="141"/>
      <c r="J280" s="141"/>
      <c r="K280" s="141"/>
      <c r="L280" s="141"/>
      <c r="M280" s="141"/>
      <c r="N280" s="141"/>
      <c r="O280" s="141"/>
      <c r="P280" s="141"/>
      <c r="Q280" s="141"/>
      <c r="R280" s="141"/>
      <c r="S280" s="141"/>
      <c r="T280" s="141"/>
      <c r="U280" s="141"/>
      <c r="V280" s="141"/>
      <c r="W280" s="141"/>
      <c r="X280" s="141"/>
      <c r="Y280" s="141"/>
      <c r="Z280" s="141"/>
    </row>
    <row r="281">
      <c r="A281" s="141"/>
      <c r="B281" s="141" t="str">
        <f>IFERROR(__xludf.DUMMYFUNCTION("""COMPUTED_VALUE"""),"                ")</f>
        <v>                </v>
      </c>
      <c r="C281" s="141" t="str">
        <f>IFERROR(__xludf.DUMMYFUNCTION("""COMPUTED_VALUE"""),"")</f>
        <v/>
      </c>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c r="Z281" s="141"/>
    </row>
    <row r="282">
      <c r="A282" s="141"/>
      <c r="B282" s="141" t="str">
        <f>IFERROR(__xludf.DUMMYFUNCTION("""COMPUTED_VALUE"""),"                ")</f>
        <v>                </v>
      </c>
      <c r="C282" s="141" t="str">
        <f>IFERROR(__xludf.DUMMYFUNCTION("""COMPUTED_VALUE"""),"")</f>
        <v/>
      </c>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c r="Z282" s="141"/>
    </row>
    <row r="283">
      <c r="A283" s="141" t="str">
        <f>IFERROR(__xludf.DUMMYFUNCTION("""COMPUTED_VALUE"""),"watershed shapefile availability menu")</f>
        <v>watershed shapefile availability menu</v>
      </c>
      <c r="B283" s="141" t="str">
        <f>IFERROR(__xludf.DUMMYFUNCTION("""COMPUTED_VALUE"""),"                ")</f>
        <v>                </v>
      </c>
      <c r="C283" s="141" t="str">
        <f>IFERROR(__xludf.DUMMYFUNCTION("""COMPUTED_VALUE"""),"")</f>
        <v/>
      </c>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c r="Z283" s="141"/>
    </row>
    <row r="284">
      <c r="A284" s="141"/>
      <c r="B284" s="141" t="str">
        <f>IFERROR(__xludf.DUMMYFUNCTION("""COMPUTED_VALUE"""),"Available [GENEPIO:0100993]                ")</f>
        <v>Available [GENEPIO:0100993]                </v>
      </c>
      <c r="C284" s="141" t="str">
        <f>IFERROR(__xludf.DUMMYFUNCTION("""COMPUTED_VALUE"""),"GENEPIO:0100993")</f>
        <v>GENEPIO:0100993</v>
      </c>
      <c r="D284" s="141" t="str">
        <f>IFERROR(__xludf.DUMMYFUNCTION("""COMPUTED_VALUE"""),"A datum status in which the required datum is able to be used, obtained or selected.")</f>
        <v>A datum status in which the required datum is able to be used, obtained or selected.</v>
      </c>
      <c r="E284" s="141"/>
      <c r="F284" s="141"/>
      <c r="G284" s="141"/>
      <c r="H284" s="141"/>
      <c r="I284" s="141"/>
      <c r="J284" s="141"/>
      <c r="K284" s="141"/>
      <c r="L284" s="141"/>
      <c r="M284" s="141"/>
      <c r="N284" s="141"/>
      <c r="O284" s="141"/>
      <c r="P284" s="141"/>
      <c r="Q284" s="141"/>
      <c r="R284" s="141"/>
      <c r="S284" s="141"/>
      <c r="T284" s="141"/>
      <c r="U284" s="141"/>
      <c r="V284" s="141"/>
      <c r="W284" s="141"/>
      <c r="X284" s="141"/>
      <c r="Y284" s="141"/>
      <c r="Z284" s="141"/>
    </row>
    <row r="285">
      <c r="A285" s="141"/>
      <c r="B285" s="141" t="str">
        <f>IFERROR(__xludf.DUMMYFUNCTION("""COMPUTED_VALUE"""),"Unknown [GENEPIO:0100995]                ")</f>
        <v>Unknown [GENEPIO:0100995]                </v>
      </c>
      <c r="C285" s="141" t="str">
        <f>IFERROR(__xludf.DUMMYFUNCTION("""COMPUTED_VALUE"""),"GENEPIO:0100995")</f>
        <v>GENEPIO:0100995</v>
      </c>
      <c r="D285" s="141" t="str">
        <f>IFERROR(__xludf.DUMMYFUNCTION("""COMPUTED_VALUE"""),"A datum status in which the availabilty or presence of the required datum is not known.")</f>
        <v>A datum status in which the availabilty or presence of the required datum is not known.</v>
      </c>
      <c r="E285" s="141"/>
      <c r="F285" s="141"/>
      <c r="G285" s="141"/>
      <c r="H285" s="141"/>
      <c r="I285" s="141"/>
      <c r="J285" s="141"/>
      <c r="K285" s="141"/>
      <c r="L285" s="141"/>
      <c r="M285" s="141"/>
      <c r="N285" s="141"/>
      <c r="O285" s="141"/>
      <c r="P285" s="141"/>
      <c r="Q285" s="141"/>
      <c r="R285" s="141"/>
      <c r="S285" s="141"/>
      <c r="T285" s="141"/>
      <c r="U285" s="141"/>
      <c r="V285" s="141"/>
      <c r="W285" s="141"/>
      <c r="X285" s="141"/>
      <c r="Y285" s="141"/>
      <c r="Z285" s="141"/>
    </row>
    <row r="286">
      <c r="A286" s="141" t="str">
        <f>IFERROR(__xludf.DUMMYFUNCTION("""COMPUTED_VALUE"""),"organism menu")</f>
        <v>organism menu</v>
      </c>
      <c r="B286" s="141" t="str">
        <f>IFERROR(__xludf.DUMMYFUNCTION("""COMPUTED_VALUE"""),"                ")</f>
        <v>                </v>
      </c>
      <c r="C286" s="141" t="str">
        <f>IFERROR(__xludf.DUMMYFUNCTION("""COMPUTED_VALUE"""),"")</f>
        <v/>
      </c>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c r="Z286" s="141"/>
    </row>
    <row r="287">
      <c r="A287" s="141"/>
      <c r="B287" s="141" t="str">
        <f>IFERROR(__xludf.DUMMYFUNCTION("""COMPUTED_VALUE"""),"Severe acute respiratory syndrome coronavirus 2  [NCBITaxon:2697049]                ")</f>
        <v>Severe acute respiratory syndrome coronavirus 2  [NCBITaxon:2697049]                </v>
      </c>
      <c r="C287" s="141" t="str">
        <f>IFERROR(__xludf.DUMMYFUNCTION("""COMPUTED_VALUE"""),"NCBITaxon:2697049")</f>
        <v>NCBITaxon:2697049</v>
      </c>
      <c r="D287" s="141" t="str">
        <f>IFERROR(__xludf.DUMMYFUNCTION("""COMPUTED_VALUE"""),"A strain of the species Betacoronavirus pandemicum, a coronavirus that causes COVID-19, the respiratory illness responsible for the COVID-19 pandemic.")</f>
        <v>A strain of the species Betacoronavirus pandemicum, a coronavirus that causes COVID-19, the respiratory illness responsible for the COVID-19 pandemic.</v>
      </c>
      <c r="E287" s="141"/>
      <c r="F287" s="141"/>
      <c r="G287" s="141"/>
      <c r="H287" s="141"/>
      <c r="I287" s="141"/>
      <c r="J287" s="141"/>
      <c r="K287" s="141"/>
      <c r="L287" s="141"/>
      <c r="M287" s="141"/>
      <c r="N287" s="141"/>
      <c r="O287" s="141"/>
      <c r="P287" s="141"/>
      <c r="Q287" s="141"/>
      <c r="R287" s="141"/>
      <c r="S287" s="141"/>
      <c r="T287" s="141"/>
      <c r="U287" s="141"/>
      <c r="V287" s="141"/>
      <c r="W287" s="141"/>
      <c r="X287" s="141"/>
      <c r="Y287" s="141"/>
      <c r="Z287" s="141"/>
    </row>
    <row r="288">
      <c r="A288" s="141" t="str">
        <f>IFERROR(__xludf.DUMMYFUNCTION("""COMPUTED_VALUE"""),"purpose of sampling menu")</f>
        <v>purpose of sampling menu</v>
      </c>
      <c r="B288" s="141" t="str">
        <f>IFERROR(__xludf.DUMMYFUNCTION("""COMPUTED_VALUE"""),"                ")</f>
        <v>                </v>
      </c>
      <c r="C288" s="141" t="str">
        <f>IFERROR(__xludf.DUMMYFUNCTION("""COMPUTED_VALUE"""),"")</f>
        <v/>
      </c>
      <c r="D288" s="141"/>
      <c r="E288" s="141"/>
      <c r="F288" s="141"/>
      <c r="G288" s="141"/>
      <c r="H288" s="141"/>
      <c r="I288" s="141"/>
      <c r="J288" s="141"/>
      <c r="K288" s="141"/>
      <c r="L288" s="141"/>
      <c r="M288" s="141"/>
      <c r="N288" s="141"/>
      <c r="O288" s="141"/>
      <c r="P288" s="141"/>
      <c r="Q288" s="141"/>
      <c r="R288" s="141"/>
      <c r="S288" s="141"/>
      <c r="T288" s="141"/>
      <c r="U288" s="141"/>
      <c r="V288" s="141"/>
      <c r="W288" s="141"/>
      <c r="X288" s="141"/>
      <c r="Y288" s="141"/>
      <c r="Z288" s="141"/>
    </row>
    <row r="289">
      <c r="A289" s="141"/>
      <c r="B289" s="141" t="str">
        <f>IFERROR(__xludf.DUMMYFUNCTION("""COMPUTED_VALUE"""),"Wastewater treatment efficiency assessment [GENEPIO:0100869]                ")</f>
        <v>Wastewater treatment efficiency assessment [GENEPIO:0100869]                </v>
      </c>
      <c r="C289" s="141" t="str">
        <f>IFERROR(__xludf.DUMMYFUNCTION("""COMPUTED_VALUE"""),"GENEPIO:0100869")</f>
        <v>GENEPIO:0100869</v>
      </c>
      <c r="D289" s="141" t="str">
        <f>IFERROR(__xludf.DUMMYFUNCTION("""COMPUTED_VALUE"""),"An environmental sampling strategy in which wastewater effluent is collected to assess the efficiency of wastewater treatment.")</f>
        <v>An environmental sampling strategy in which wastewater effluent is collected to assess the efficiency of wastewater treatment.</v>
      </c>
      <c r="E289" s="141"/>
      <c r="F289" s="141"/>
      <c r="G289" s="141"/>
      <c r="H289" s="141"/>
      <c r="I289" s="141"/>
      <c r="J289" s="141"/>
      <c r="K289" s="141"/>
      <c r="L289" s="141"/>
      <c r="M289" s="141"/>
      <c r="N289" s="141"/>
      <c r="O289" s="141"/>
      <c r="P289" s="141"/>
      <c r="Q289" s="141"/>
      <c r="R289" s="141"/>
      <c r="S289" s="141"/>
      <c r="T289" s="141"/>
      <c r="U289" s="141"/>
      <c r="V289" s="141"/>
      <c r="W289" s="141"/>
      <c r="X289" s="141"/>
      <c r="Y289" s="141"/>
      <c r="Z289" s="141"/>
    </row>
    <row r="290">
      <c r="A290" s="141"/>
      <c r="B290" s="141" t="str">
        <f>IFERROR(__xludf.DUMMYFUNCTION("""COMPUTED_VALUE"""),"Wastewater chemical surveillance [GENEPIO:0100870]                ")</f>
        <v>Wastewater chemical surveillance [GENEPIO:0100870]                </v>
      </c>
      <c r="C290" s="141" t="str">
        <f>IFERROR(__xludf.DUMMYFUNCTION("""COMPUTED_VALUE"""),"GENEPIO:0100870")</f>
        <v>GENEPIO:0100870</v>
      </c>
      <c r="D290" s="141" t="str">
        <f>IFERROR(__xludf.DUMMYFUNCTION("""COMPUTED_VALUE"""),"An environmental sampling strategy in which wastewater samples are collected to monitor for chemical contamination.")</f>
        <v>An environmental sampling strategy in which wastewater samples are collected to monitor for chemical contamination.</v>
      </c>
      <c r="E290" s="141"/>
      <c r="F290" s="141"/>
      <c r="G290" s="141"/>
      <c r="H290" s="141"/>
      <c r="I290" s="141"/>
      <c r="J290" s="141"/>
      <c r="K290" s="141"/>
      <c r="L290" s="141"/>
      <c r="M290" s="141"/>
      <c r="N290" s="141"/>
      <c r="O290" s="141"/>
      <c r="P290" s="141"/>
      <c r="Q290" s="141"/>
      <c r="R290" s="141"/>
      <c r="S290" s="141"/>
      <c r="T290" s="141"/>
      <c r="U290" s="141"/>
      <c r="V290" s="141"/>
      <c r="W290" s="141"/>
      <c r="X290" s="141"/>
      <c r="Y290" s="141"/>
      <c r="Z290" s="141"/>
    </row>
    <row r="291">
      <c r="A291" s="141"/>
      <c r="B291" s="141" t="str">
        <f>IFERROR(__xludf.DUMMYFUNCTION("""COMPUTED_VALUE"""),"Wastewater drug surveillance [GENEPIO:0100871]                ")</f>
        <v>Wastewater drug surveillance [GENEPIO:0100871]                </v>
      </c>
      <c r="C291" s="141" t="str">
        <f>IFERROR(__xludf.DUMMYFUNCTION("""COMPUTED_VALUE"""),"GENEPIO:0100871")</f>
        <v>GENEPIO:0100871</v>
      </c>
      <c r="D291" s="141" t="str">
        <f>IFERROR(__xludf.DUMMYFUNCTION("""COMPUTED_VALUE"""),"An environmental sampling strategy in which wastewater samples are collected to monitor for community drug use.")</f>
        <v>An environmental sampling strategy in which wastewater samples are collected to monitor for community drug use.</v>
      </c>
      <c r="E291" s="141"/>
      <c r="F291" s="141"/>
      <c r="G291" s="141"/>
      <c r="H291" s="141"/>
      <c r="I291" s="141"/>
      <c r="J291" s="141"/>
      <c r="K291" s="141"/>
      <c r="L291" s="141"/>
      <c r="M291" s="141"/>
      <c r="N291" s="141"/>
      <c r="O291" s="141"/>
      <c r="P291" s="141"/>
      <c r="Q291" s="141"/>
      <c r="R291" s="141"/>
      <c r="S291" s="141"/>
      <c r="T291" s="141"/>
      <c r="U291" s="141"/>
      <c r="V291" s="141"/>
      <c r="W291" s="141"/>
      <c r="X291" s="141"/>
      <c r="Y291" s="141"/>
      <c r="Z291" s="141"/>
    </row>
    <row r="292">
      <c r="A292" s="141"/>
      <c r="B292" s="141" t="str">
        <f>IFERROR(__xludf.DUMMYFUNCTION("""COMPUTED_VALUE"""),"Wastewater pathogen surveillance [GENEPIO:0100872]                ")</f>
        <v>Wastewater pathogen surveillance [GENEPIO:0100872]                </v>
      </c>
      <c r="C292" s="141" t="str">
        <f>IFERROR(__xludf.DUMMYFUNCTION("""COMPUTED_VALUE"""),"GENEPIO:0100872")</f>
        <v>GENEPIO:0100872</v>
      </c>
      <c r="D292" s="141" t="str">
        <f>IFERROR(__xludf.DUMMYFUNCTION("""COMPUTED_VALUE"""),"An environmental sampling strategy in which samples are collected to identify and/or monitor the presence of pathogens.")</f>
        <v>An environmental sampling strategy in which samples are collected to identify and/or monitor the presence of pathogens.</v>
      </c>
      <c r="E292" s="141"/>
      <c r="F292" s="141"/>
      <c r="G292" s="141"/>
      <c r="H292" s="141"/>
      <c r="I292" s="141"/>
      <c r="J292" s="141"/>
      <c r="K292" s="141"/>
      <c r="L292" s="141"/>
      <c r="M292" s="141"/>
      <c r="N292" s="141"/>
      <c r="O292" s="141"/>
      <c r="P292" s="141"/>
      <c r="Q292" s="141"/>
      <c r="R292" s="141"/>
      <c r="S292" s="141"/>
      <c r="T292" s="141"/>
      <c r="U292" s="141"/>
      <c r="V292" s="141"/>
      <c r="W292" s="141"/>
      <c r="X292" s="141"/>
      <c r="Y292" s="141"/>
      <c r="Z292" s="141"/>
    </row>
    <row r="293">
      <c r="A293" s="141"/>
      <c r="B293" s="141" t="str">
        <f>IFERROR(__xludf.DUMMYFUNCTION("""COMPUTED_VALUE"""),"Research [GENEPIO:0100003]                ")</f>
        <v>Research [GENEPIO:0100003]                </v>
      </c>
      <c r="C293" s="141" t="str">
        <f>IFERROR(__xludf.DUMMYFUNCTION("""COMPUTED_VALUE"""),"GENEPIO:0100003")</f>
        <v>GENEPIO:0100003</v>
      </c>
      <c r="D293" s="141" t="str">
        <f>IFERROR(__xludf.DUMMYFUNCTION("""COMPUTED_VALUE"""),"A sampling strategy in which samples are collected in order to perform research.")</f>
        <v>A sampling strategy in which samples are collected in order to perform research.</v>
      </c>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1"/>
    </row>
    <row r="294">
      <c r="A294" s="141"/>
      <c r="B294" s="141" t="str">
        <f>IFERROR(__xludf.DUMMYFUNCTION("""COMPUTED_VALUE"""),"    Environmental survey (profiling) [GENEPIO:0100873]            ")</f>
        <v>    Environmental survey (profiling) [GENEPIO:0100873]            </v>
      </c>
      <c r="C294" s="141" t="str">
        <f>IFERROR(__xludf.DUMMYFUNCTION("""COMPUTED_VALUE"""),"GENEPIO:0100873")</f>
        <v>GENEPIO:0100873</v>
      </c>
      <c r="D294" s="141" t="str">
        <f>IFERROR(__xludf.DUMMYFUNCTION("""COMPUTED_VALUE"""),"A research sampling strategy in which samples are collected in order to survey/profile entities in, or characteristics of, an environment.")</f>
        <v>A research sampling strategy in which samples are collected in order to survey/profile entities in, or characteristics of, an environment.</v>
      </c>
      <c r="E294" s="141"/>
      <c r="F294" s="141"/>
      <c r="G294" s="141"/>
      <c r="H294" s="141"/>
      <c r="I294" s="141"/>
      <c r="J294" s="141"/>
      <c r="K294" s="141"/>
      <c r="L294" s="141"/>
      <c r="M294" s="141"/>
      <c r="N294" s="141"/>
      <c r="O294" s="141"/>
      <c r="P294" s="141"/>
      <c r="Q294" s="141"/>
      <c r="R294" s="141"/>
      <c r="S294" s="141"/>
      <c r="T294" s="141"/>
      <c r="U294" s="141"/>
      <c r="V294" s="141"/>
      <c r="W294" s="141"/>
      <c r="X294" s="141"/>
      <c r="Y294" s="141"/>
      <c r="Z294" s="141"/>
    </row>
    <row r="295">
      <c r="A295" s="141"/>
      <c r="B295" s="141" t="str">
        <f>IFERROR(__xludf.DUMMYFUNCTION("""COMPUTED_VALUE"""),"    Protocol testing [GENEPIO:0100024]            ")</f>
        <v>    Protocol testing [GENEPIO:0100024]            </v>
      </c>
      <c r="C295" s="141" t="str">
        <f>IFERROR(__xludf.DUMMYFUNCTION("""COMPUTED_VALUE"""),"GENEPIO:0100024")</f>
        <v>GENEPIO:0100024</v>
      </c>
      <c r="D295" s="141" t="str">
        <f>IFERROR(__xludf.DUMMYFUNCTION("""COMPUTED_VALUE"""),"A research sampling strategy in which samples are collected in order to test a method or protocol.")</f>
        <v>A research sampling strategy in which samples are collected in order to test a method or protocol.</v>
      </c>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row>
    <row r="296">
      <c r="A296" s="141" t="str">
        <f>IFERROR(__xludf.DUMMYFUNCTION("""COMPUTED_VALUE"""),"scale of sampling menu")</f>
        <v>scale of sampling menu</v>
      </c>
      <c r="B296" s="141" t="str">
        <f>IFERROR(__xludf.DUMMYFUNCTION("""COMPUTED_VALUE"""),"                ")</f>
        <v>                </v>
      </c>
      <c r="C296" s="141" t="str">
        <f>IFERROR(__xludf.DUMMYFUNCTION("""COMPUTED_VALUE"""),"")</f>
        <v/>
      </c>
      <c r="D296" s="141"/>
      <c r="E296" s="141"/>
      <c r="F296" s="141"/>
      <c r="G296" s="141"/>
      <c r="H296" s="141"/>
      <c r="I296" s="141"/>
      <c r="J296" s="141"/>
      <c r="K296" s="141"/>
      <c r="L296" s="141"/>
      <c r="M296" s="141"/>
      <c r="N296" s="141"/>
      <c r="O296" s="141"/>
      <c r="P296" s="141"/>
      <c r="Q296" s="141"/>
      <c r="R296" s="141"/>
      <c r="S296" s="141"/>
      <c r="T296" s="141"/>
      <c r="U296" s="141"/>
      <c r="V296" s="141"/>
      <c r="W296" s="141"/>
      <c r="X296" s="141"/>
      <c r="Y296" s="141"/>
      <c r="Z296" s="141"/>
    </row>
    <row r="297">
      <c r="A297" s="141"/>
      <c r="B297" s="141" t="str">
        <f>IFERROR(__xludf.DUMMYFUNCTION("""COMPUTED_VALUE"""),"Community-level surveillance [GENEPIO:0100874]                ")</f>
        <v>Community-level surveillance [GENEPIO:0100874]                </v>
      </c>
      <c r="C297" s="141" t="str">
        <f>IFERROR(__xludf.DUMMYFUNCTION("""COMPUTED_VALUE"""),"GENEPIO:0100874")</f>
        <v>GENEPIO:0100874</v>
      </c>
      <c r="D297" s="141" t="str">
        <f>IFERROR(__xludf.DUMMYFUNCTION("""COMPUTED_VALUE"""),"A surveillance strategy in which sites are sampled at the community level.")</f>
        <v>A surveillance strategy in which sites are sampled at the community level.</v>
      </c>
      <c r="E297" s="141"/>
      <c r="F297" s="141"/>
      <c r="G297" s="141"/>
      <c r="H297" s="141"/>
      <c r="I297" s="141"/>
      <c r="J297" s="141"/>
      <c r="K297" s="141"/>
      <c r="L297" s="141"/>
      <c r="M297" s="141"/>
      <c r="N297" s="141"/>
      <c r="O297" s="141"/>
      <c r="P297" s="141"/>
      <c r="Q297" s="141"/>
      <c r="R297" s="141"/>
      <c r="S297" s="141"/>
      <c r="T297" s="141"/>
      <c r="U297" s="141"/>
      <c r="V297" s="141"/>
      <c r="W297" s="141"/>
      <c r="X297" s="141"/>
      <c r="Y297" s="141"/>
      <c r="Z297" s="141"/>
    </row>
    <row r="298">
      <c r="A298" s="141"/>
      <c r="B298" s="141" t="str">
        <f>IFERROR(__xludf.DUMMYFUNCTION("""COMPUTED_VALUE"""),"Institution-level surveillance [GENEPIO:0100875]                ")</f>
        <v>Institution-level surveillance [GENEPIO:0100875]                </v>
      </c>
      <c r="C298" s="141" t="str">
        <f>IFERROR(__xludf.DUMMYFUNCTION("""COMPUTED_VALUE"""),"GENEPIO:0100875")</f>
        <v>GENEPIO:0100875</v>
      </c>
      <c r="D298" s="141" t="str">
        <f>IFERROR(__xludf.DUMMYFUNCTION("""COMPUTED_VALUE"""),"A surveillance strategy in which sites are sampled at the institution level.")</f>
        <v>A surveillance strategy in which sites are sampled at the institution level.</v>
      </c>
      <c r="E298" s="141"/>
      <c r="F298" s="141"/>
      <c r="G298" s="141"/>
      <c r="H298" s="141"/>
      <c r="I298" s="141"/>
      <c r="J298" s="141"/>
      <c r="K298" s="141"/>
      <c r="L298" s="141"/>
      <c r="M298" s="141"/>
      <c r="N298" s="141"/>
      <c r="O298" s="141"/>
      <c r="P298" s="141"/>
      <c r="Q298" s="141"/>
      <c r="R298" s="141"/>
      <c r="S298" s="141"/>
      <c r="T298" s="141"/>
      <c r="U298" s="141"/>
      <c r="V298" s="141"/>
      <c r="W298" s="141"/>
      <c r="X298" s="141"/>
      <c r="Y298" s="141"/>
      <c r="Z298" s="141"/>
    </row>
    <row r="299">
      <c r="A299" s="141"/>
      <c r="B299" s="141" t="str">
        <f>IFERROR(__xludf.DUMMYFUNCTION("""COMPUTED_VALUE"""),"Building-level surveillance [GENEPIO:0100876]                ")</f>
        <v>Building-level surveillance [GENEPIO:0100876]                </v>
      </c>
      <c r="C299" s="141" t="str">
        <f>IFERROR(__xludf.DUMMYFUNCTION("""COMPUTED_VALUE"""),"GENEPIO:0100876")</f>
        <v>GENEPIO:0100876</v>
      </c>
      <c r="D299" s="141" t="str">
        <f>IFERROR(__xludf.DUMMYFUNCTION("""COMPUTED_VALUE"""),"A surveillance strategy in which sites are sampled at the building level.")</f>
        <v>A surveillance strategy in which sites are sampled at the building level.</v>
      </c>
      <c r="E299" s="141"/>
      <c r="F299" s="141"/>
      <c r="G299" s="141"/>
      <c r="H299" s="141"/>
      <c r="I299" s="141"/>
      <c r="J299" s="141"/>
      <c r="K299" s="141"/>
      <c r="L299" s="141"/>
      <c r="M299" s="141"/>
      <c r="N299" s="141"/>
      <c r="O299" s="141"/>
      <c r="P299" s="141"/>
      <c r="Q299" s="141"/>
      <c r="R299" s="141"/>
      <c r="S299" s="141"/>
      <c r="T299" s="141"/>
      <c r="U299" s="141"/>
      <c r="V299" s="141"/>
      <c r="W299" s="141"/>
      <c r="X299" s="141"/>
      <c r="Y299" s="141"/>
      <c r="Z299" s="141"/>
    </row>
    <row r="300">
      <c r="A300" s="141" t="str">
        <f>IFERROR(__xludf.DUMMYFUNCTION("""COMPUTED_VALUE"""),"sample collection time of day menu")</f>
        <v>sample collection time of day menu</v>
      </c>
      <c r="B300" s="141" t="str">
        <f>IFERROR(__xludf.DUMMYFUNCTION("""COMPUTED_VALUE"""),"                ")</f>
        <v>                </v>
      </c>
      <c r="C300" s="141" t="str">
        <f>IFERROR(__xludf.DUMMYFUNCTION("""COMPUTED_VALUE"""),"")</f>
        <v/>
      </c>
      <c r="D300" s="141"/>
      <c r="E300" s="141"/>
      <c r="F300" s="141"/>
      <c r="G300" s="141"/>
      <c r="H300" s="141"/>
      <c r="I300" s="141"/>
      <c r="J300" s="141"/>
      <c r="K300" s="141"/>
      <c r="L300" s="141"/>
      <c r="M300" s="141"/>
      <c r="N300" s="141"/>
      <c r="O300" s="141"/>
      <c r="P300" s="141"/>
      <c r="Q300" s="141"/>
      <c r="R300" s="141"/>
      <c r="S300" s="141"/>
      <c r="T300" s="141"/>
      <c r="U300" s="141"/>
      <c r="V300" s="141"/>
      <c r="W300" s="141"/>
      <c r="X300" s="141"/>
      <c r="Y300" s="141"/>
      <c r="Z300" s="141"/>
    </row>
    <row r="301">
      <c r="A301" s="141"/>
      <c r="B301" s="141" t="str">
        <f>IFERROR(__xludf.DUMMYFUNCTION("""COMPUTED_VALUE"""),"Morning [NCIT:C64934]                ")</f>
        <v>Morning [NCIT:C64934]                </v>
      </c>
      <c r="C301" s="141" t="str">
        <f>IFERROR(__xludf.DUMMYFUNCTION("""COMPUTED_VALUE"""),"NCIT:C64934")</f>
        <v>NCIT:C64934</v>
      </c>
      <c r="D301" s="141" t="str">
        <f>IFERROR(__xludf.DUMMYFUNCTION("""COMPUTED_VALUE"""),"The time period between dawn and noon.")</f>
        <v>The time period between dawn and noon.</v>
      </c>
      <c r="E301" s="141"/>
      <c r="F301" s="141"/>
      <c r="G301" s="141"/>
      <c r="H301" s="141"/>
      <c r="I301" s="141"/>
      <c r="J301" s="141"/>
      <c r="K301" s="141"/>
      <c r="L301" s="141"/>
      <c r="M301" s="141"/>
      <c r="N301" s="141"/>
      <c r="O301" s="141"/>
      <c r="P301" s="141"/>
      <c r="Q301" s="141"/>
      <c r="R301" s="141"/>
      <c r="S301" s="141"/>
      <c r="T301" s="141"/>
      <c r="U301" s="141"/>
      <c r="V301" s="141"/>
      <c r="W301" s="141"/>
      <c r="X301" s="141"/>
      <c r="Y301" s="141"/>
      <c r="Z301" s="141"/>
    </row>
    <row r="302">
      <c r="A302" s="141"/>
      <c r="B302" s="141" t="str">
        <f>IFERROR(__xludf.DUMMYFUNCTION("""COMPUTED_VALUE"""),"Afternoon [NCIT:C64935]                ")</f>
        <v>Afternoon [NCIT:C64935]                </v>
      </c>
      <c r="C302" s="141" t="str">
        <f>IFERROR(__xludf.DUMMYFUNCTION("""COMPUTED_VALUE"""),"NCIT:C64935")</f>
        <v>NCIT:C64935</v>
      </c>
      <c r="D302" s="141" t="str">
        <f>IFERROR(__xludf.DUMMYFUNCTION("""COMPUTED_VALUE"""),"The time period between noon and sunset.")</f>
        <v>The time period between noon and sunset.</v>
      </c>
      <c r="E302" s="141"/>
      <c r="F302" s="141"/>
      <c r="G302" s="141"/>
      <c r="H302" s="141"/>
      <c r="I302" s="141"/>
      <c r="J302" s="141"/>
      <c r="K302" s="141"/>
      <c r="L302" s="141"/>
      <c r="M302" s="141"/>
      <c r="N302" s="141"/>
      <c r="O302" s="141"/>
      <c r="P302" s="141"/>
      <c r="Q302" s="141"/>
      <c r="R302" s="141"/>
      <c r="S302" s="141"/>
      <c r="T302" s="141"/>
      <c r="U302" s="141"/>
      <c r="V302" s="141"/>
      <c r="W302" s="141"/>
      <c r="X302" s="141"/>
      <c r="Y302" s="141"/>
      <c r="Z302" s="141"/>
    </row>
    <row r="303">
      <c r="A303" s="141"/>
      <c r="B303" s="141" t="str">
        <f>IFERROR(__xludf.DUMMYFUNCTION("""COMPUTED_VALUE"""),"Evening [NCIT:C64936]                ")</f>
        <v>Evening [NCIT:C64936]                </v>
      </c>
      <c r="C303" s="141" t="str">
        <f>IFERROR(__xludf.DUMMYFUNCTION("""COMPUTED_VALUE"""),"NCIT:C64936")</f>
        <v>NCIT:C64936</v>
      </c>
      <c r="D303" s="141" t="str">
        <f>IFERROR(__xludf.DUMMYFUNCTION("""COMPUTED_VALUE"""),"The time period between late afternoon and bedtime.")</f>
        <v>The time period between late afternoon and bedtime.</v>
      </c>
      <c r="E303" s="141"/>
      <c r="F303" s="141"/>
      <c r="G303" s="141"/>
      <c r="H303" s="141"/>
      <c r="I303" s="141"/>
      <c r="J303" s="141"/>
      <c r="K303" s="141"/>
      <c r="L303" s="141"/>
      <c r="M303" s="141"/>
      <c r="N303" s="141"/>
      <c r="O303" s="141"/>
      <c r="P303" s="141"/>
      <c r="Q303" s="141"/>
      <c r="R303" s="141"/>
      <c r="S303" s="141"/>
      <c r="T303" s="141"/>
      <c r="U303" s="141"/>
      <c r="V303" s="141"/>
      <c r="W303" s="141"/>
      <c r="X303" s="141"/>
      <c r="Y303" s="141"/>
      <c r="Z303" s="141"/>
    </row>
    <row r="304">
      <c r="A304" s="141"/>
      <c r="B304" s="141" t="str">
        <f>IFERROR(__xludf.DUMMYFUNCTION("""COMPUTED_VALUE"""),"Night [NCIT:C65001]                ")</f>
        <v>Night [NCIT:C65001]                </v>
      </c>
      <c r="C304" s="141" t="str">
        <f>IFERROR(__xludf.DUMMYFUNCTION("""COMPUTED_VALUE"""),"NCIT:C65001")</f>
        <v>NCIT:C65001</v>
      </c>
      <c r="D304" s="141" t="str">
        <f>IFERROR(__xludf.DUMMYFUNCTION("""COMPUTED_VALUE"""),"The time in every 24 hour period when it is dark.")</f>
        <v>The time in every 24 hour period when it is dark.</v>
      </c>
      <c r="E304" s="141"/>
      <c r="F304" s="141"/>
      <c r="G304" s="141"/>
      <c r="H304" s="141"/>
      <c r="I304" s="141"/>
      <c r="J304" s="141"/>
      <c r="K304" s="141"/>
      <c r="L304" s="141"/>
      <c r="M304" s="141"/>
      <c r="N304" s="141"/>
      <c r="O304" s="141"/>
      <c r="P304" s="141"/>
      <c r="Q304" s="141"/>
      <c r="R304" s="141"/>
      <c r="S304" s="141"/>
      <c r="T304" s="141"/>
      <c r="U304" s="141"/>
      <c r="V304" s="141"/>
      <c r="W304" s="141"/>
      <c r="X304" s="141"/>
      <c r="Y304" s="141"/>
      <c r="Z304" s="141"/>
    </row>
    <row r="305">
      <c r="A305" s="141" t="str">
        <f>IFERROR(__xludf.DUMMYFUNCTION("""COMPUTED_VALUE"""),"sample collection duration unit menu")</f>
        <v>sample collection duration unit menu</v>
      </c>
      <c r="B305" s="141" t="str">
        <f>IFERROR(__xludf.DUMMYFUNCTION("""COMPUTED_VALUE"""),"                ")</f>
        <v>                </v>
      </c>
      <c r="C305" s="141" t="str">
        <f>IFERROR(__xludf.DUMMYFUNCTION("""COMPUTED_VALUE"""),"")</f>
        <v/>
      </c>
      <c r="D305" s="141"/>
      <c r="E305" s="141"/>
      <c r="F305" s="141"/>
      <c r="G305" s="141"/>
      <c r="H305" s="141"/>
      <c r="I305" s="141"/>
      <c r="J305" s="141"/>
      <c r="K305" s="141"/>
      <c r="L305" s="141"/>
      <c r="M305" s="141"/>
      <c r="N305" s="141"/>
      <c r="O305" s="141"/>
      <c r="P305" s="141"/>
      <c r="Q305" s="141"/>
      <c r="R305" s="141"/>
      <c r="S305" s="141"/>
      <c r="T305" s="141"/>
      <c r="U305" s="141"/>
      <c r="V305" s="141"/>
      <c r="W305" s="141"/>
      <c r="X305" s="141"/>
      <c r="Y305" s="141"/>
      <c r="Z305" s="141"/>
    </row>
    <row r="306">
      <c r="A306" s="141"/>
      <c r="B306" s="141" t="str">
        <f>IFERROR(__xludf.DUMMYFUNCTION("""COMPUTED_VALUE"""),"Second [UO:0000010]                ")</f>
        <v>Second [UO:0000010]                </v>
      </c>
      <c r="C306" s="141" t="str">
        <f>IFERROR(__xludf.DUMMYFUNCTION("""COMPUTED_VALUE"""),"UO:0000010")</f>
        <v>UO:0000010</v>
      </c>
      <c r="D306" s="141" t="str">
        <f>IFERROR(__xludf.DUMMYFUNCTION("""COMPUTED_VALUE"""),"A time unit which is equal to the duration of 9 192 631 770 periods of the radiation corresponding to the transition between the two hyperfine levels of the ground state of the caesium 133 atom.")</f>
        <v>A time unit which is equal to the duration of 9 192 631 770 periods of the radiation corresponding to the transition between the two hyperfine levels of the ground state of the caesium 133 atom.</v>
      </c>
      <c r="E306" s="141"/>
      <c r="F306" s="141"/>
      <c r="G306" s="141"/>
      <c r="H306" s="141"/>
      <c r="I306" s="141"/>
      <c r="J306" s="141"/>
      <c r="K306" s="141"/>
      <c r="L306" s="141"/>
      <c r="M306" s="141"/>
      <c r="N306" s="141"/>
      <c r="O306" s="141"/>
      <c r="P306" s="141"/>
      <c r="Q306" s="141"/>
      <c r="R306" s="141"/>
      <c r="S306" s="141"/>
      <c r="T306" s="141"/>
      <c r="U306" s="141"/>
      <c r="V306" s="141"/>
      <c r="W306" s="141"/>
      <c r="X306" s="141"/>
      <c r="Y306" s="141"/>
      <c r="Z306" s="141"/>
    </row>
    <row r="307">
      <c r="A307" s="141"/>
      <c r="B307" s="141" t="str">
        <f>IFERROR(__xludf.DUMMYFUNCTION("""COMPUTED_VALUE"""),"Minute [UO:0000031]                ")</f>
        <v>Minute [UO:0000031]                </v>
      </c>
      <c r="C307" s="141" t="str">
        <f>IFERROR(__xludf.DUMMYFUNCTION("""COMPUTED_VALUE"""),"UO:0000031")</f>
        <v>UO:0000031</v>
      </c>
      <c r="D307" s="141" t="str">
        <f>IFERROR(__xludf.DUMMYFUNCTION("""COMPUTED_VALUE"""),"A time unit which is equal to 60 seconds.")</f>
        <v>A time unit which is equal to 60 seconds.</v>
      </c>
      <c r="E307" s="141"/>
      <c r="F307" s="141"/>
      <c r="G307" s="141"/>
      <c r="H307" s="141"/>
      <c r="I307" s="141"/>
      <c r="J307" s="141"/>
      <c r="K307" s="141"/>
      <c r="L307" s="141"/>
      <c r="M307" s="141"/>
      <c r="N307" s="141"/>
      <c r="O307" s="141"/>
      <c r="P307" s="141"/>
      <c r="Q307" s="141"/>
      <c r="R307" s="141"/>
      <c r="S307" s="141"/>
      <c r="T307" s="141"/>
      <c r="U307" s="141"/>
      <c r="V307" s="141"/>
      <c r="W307" s="141"/>
      <c r="X307" s="141"/>
      <c r="Y307" s="141"/>
      <c r="Z307" s="141"/>
    </row>
    <row r="308">
      <c r="A308" s="141"/>
      <c r="B308" s="141" t="str">
        <f>IFERROR(__xludf.DUMMYFUNCTION("""COMPUTED_VALUE"""),"Hour [UO:0000032]                ")</f>
        <v>Hour [UO:0000032]                </v>
      </c>
      <c r="C308" s="141" t="str">
        <f>IFERROR(__xludf.DUMMYFUNCTION("""COMPUTED_VALUE"""),"UO:0000032")</f>
        <v>UO:0000032</v>
      </c>
      <c r="D308" s="141" t="str">
        <f>IFERROR(__xludf.DUMMYFUNCTION("""COMPUTED_VALUE"""),"A time unit which is equal to 60 minutes.")</f>
        <v>A time unit which is equal to 60 minutes.</v>
      </c>
      <c r="E308" s="141"/>
      <c r="F308" s="141"/>
      <c r="G308" s="141"/>
      <c r="H308" s="141"/>
      <c r="I308" s="141"/>
      <c r="J308" s="141"/>
      <c r="K308" s="141"/>
      <c r="L308" s="141"/>
      <c r="M308" s="141"/>
      <c r="N308" s="141"/>
      <c r="O308" s="141"/>
      <c r="P308" s="141"/>
      <c r="Q308" s="141"/>
      <c r="R308" s="141"/>
      <c r="S308" s="141"/>
      <c r="T308" s="141"/>
      <c r="U308" s="141"/>
      <c r="V308" s="141"/>
      <c r="W308" s="141"/>
      <c r="X308" s="141"/>
      <c r="Y308" s="141"/>
      <c r="Z308" s="141"/>
    </row>
    <row r="309">
      <c r="A309" s="141"/>
      <c r="B309" s="141" t="str">
        <f>IFERROR(__xludf.DUMMYFUNCTION("""COMPUTED_VALUE"""),"Day [UO:0000033]                ")</f>
        <v>Day [UO:0000033]                </v>
      </c>
      <c r="C309" s="141" t="str">
        <f>IFERROR(__xludf.DUMMYFUNCTION("""COMPUTED_VALUE"""),"UO:0000033")</f>
        <v>UO:0000033</v>
      </c>
      <c r="D309" s="141" t="str">
        <f>IFERROR(__xludf.DUMMYFUNCTION("""COMPUTED_VALUE"""),"A time unit which is equal to 24 hours.")</f>
        <v>A time unit which is equal to 24 hours.</v>
      </c>
      <c r="E309" s="141"/>
      <c r="F309" s="141"/>
      <c r="G309" s="141"/>
      <c r="H309" s="141"/>
      <c r="I309" s="141"/>
      <c r="J309" s="141"/>
      <c r="K309" s="141"/>
      <c r="L309" s="141"/>
      <c r="M309" s="141"/>
      <c r="N309" s="141"/>
      <c r="O309" s="141"/>
      <c r="P309" s="141"/>
      <c r="Q309" s="141"/>
      <c r="R309" s="141"/>
      <c r="S309" s="141"/>
      <c r="T309" s="141"/>
      <c r="U309" s="141"/>
      <c r="V309" s="141"/>
      <c r="W309" s="141"/>
      <c r="X309" s="141"/>
      <c r="Y309" s="141"/>
      <c r="Z309" s="141"/>
    </row>
    <row r="310">
      <c r="A310" s="141"/>
      <c r="B310" s="141" t="str">
        <f>IFERROR(__xludf.DUMMYFUNCTION("""COMPUTED_VALUE"""),"Week [UO:0000034]                ")</f>
        <v>Week [UO:0000034]                </v>
      </c>
      <c r="C310" s="141" t="str">
        <f>IFERROR(__xludf.DUMMYFUNCTION("""COMPUTED_VALUE"""),"UO:0000034")</f>
        <v>UO:0000034</v>
      </c>
      <c r="D310" s="141" t="str">
        <f>IFERROR(__xludf.DUMMYFUNCTION("""COMPUTED_VALUE"""),"A time unit which is equal to 7 days.")</f>
        <v>A time unit which is equal to 7 days.</v>
      </c>
      <c r="E310" s="141"/>
      <c r="F310" s="141"/>
      <c r="G310" s="141"/>
      <c r="H310" s="141"/>
      <c r="I310" s="141"/>
      <c r="J310" s="141"/>
      <c r="K310" s="141"/>
      <c r="L310" s="141"/>
      <c r="M310" s="141"/>
      <c r="N310" s="141"/>
      <c r="O310" s="141"/>
      <c r="P310" s="141"/>
      <c r="Q310" s="141"/>
      <c r="R310" s="141"/>
      <c r="S310" s="141"/>
      <c r="T310" s="141"/>
      <c r="U310" s="141"/>
      <c r="V310" s="141"/>
      <c r="W310" s="141"/>
      <c r="X310" s="141"/>
      <c r="Y310" s="141"/>
      <c r="Z310" s="141"/>
    </row>
    <row r="311">
      <c r="A311" s="141"/>
      <c r="B311" s="141" t="str">
        <f>IFERROR(__xludf.DUMMYFUNCTION("""COMPUTED_VALUE"""),"Month [UO:0000035]                ")</f>
        <v>Month [UO:0000035]                </v>
      </c>
      <c r="C311" s="141" t="str">
        <f>IFERROR(__xludf.DUMMYFUNCTION("""COMPUTED_VALUE"""),"UO:0000035")</f>
        <v>UO:0000035</v>
      </c>
      <c r="D311" s="141" t="str">
        <f>IFERROR(__xludf.DUMMYFUNCTION("""COMPUTED_VALUE"""),"A time unit which is equal to approximately 4-4.5 weeks or 28-31 days.")</f>
        <v>A time unit which is equal to approximately 4-4.5 weeks or 28-31 days.</v>
      </c>
      <c r="E311" s="141"/>
      <c r="F311" s="141"/>
      <c r="G311" s="141"/>
      <c r="H311" s="141"/>
      <c r="I311" s="141"/>
      <c r="J311" s="141"/>
      <c r="K311" s="141"/>
      <c r="L311" s="141"/>
      <c r="M311" s="141"/>
      <c r="N311" s="141"/>
      <c r="O311" s="141"/>
      <c r="P311" s="141"/>
      <c r="Q311" s="141"/>
      <c r="R311" s="141"/>
      <c r="S311" s="141"/>
      <c r="T311" s="141"/>
      <c r="U311" s="141"/>
      <c r="V311" s="141"/>
      <c r="W311" s="141"/>
      <c r="X311" s="141"/>
      <c r="Y311" s="141"/>
      <c r="Z311" s="141"/>
    </row>
    <row r="312">
      <c r="A312" s="141"/>
      <c r="B312" s="141" t="str">
        <f>IFERROR(__xludf.DUMMYFUNCTION("""COMPUTED_VALUE"""),"Year [UO:0000036]                ")</f>
        <v>Year [UO:0000036]                </v>
      </c>
      <c r="C312" s="141" t="str">
        <f>IFERROR(__xludf.DUMMYFUNCTION("""COMPUTED_VALUE"""),"UO:0000036")</f>
        <v>UO:0000036</v>
      </c>
      <c r="D312" s="141" t="str">
        <f>IFERROR(__xludf.DUMMYFUNCTION("""COMPUTED_VALUE"""),"A time unit which is equal to 365 days, or 366 days during a leap year.")</f>
        <v>A time unit which is equal to 365 days, or 366 days during a leap year.</v>
      </c>
      <c r="E312" s="141"/>
      <c r="F312" s="141"/>
      <c r="G312" s="141"/>
      <c r="H312" s="141"/>
      <c r="I312" s="141"/>
      <c r="J312" s="141"/>
      <c r="K312" s="141"/>
      <c r="L312" s="141"/>
      <c r="M312" s="141"/>
      <c r="N312" s="141"/>
      <c r="O312" s="141"/>
      <c r="P312" s="141"/>
      <c r="Q312" s="141"/>
      <c r="R312" s="141"/>
      <c r="S312" s="141"/>
      <c r="T312" s="141"/>
      <c r="U312" s="141"/>
      <c r="V312" s="141"/>
      <c r="W312" s="141"/>
      <c r="X312" s="141"/>
      <c r="Y312" s="141"/>
      <c r="Z312" s="141"/>
    </row>
    <row r="313">
      <c r="A313" s="141" t="str">
        <f>IFERROR(__xludf.DUMMYFUNCTION("""COMPUTED_VALUE"""),"presampling activity menu")</f>
        <v>presampling activity menu</v>
      </c>
      <c r="B313" s="141" t="str">
        <f>IFERROR(__xludf.DUMMYFUNCTION("""COMPUTED_VALUE"""),"                ")</f>
        <v>                </v>
      </c>
      <c r="C313" s="141" t="str">
        <f>IFERROR(__xludf.DUMMYFUNCTION("""COMPUTED_VALUE"""),"")</f>
        <v/>
      </c>
      <c r="D313" s="141"/>
      <c r="E313" s="141"/>
      <c r="F313" s="141"/>
      <c r="G313" s="141"/>
      <c r="H313" s="141"/>
      <c r="I313" s="141"/>
      <c r="J313" s="141"/>
      <c r="K313" s="141"/>
      <c r="L313" s="141"/>
      <c r="M313" s="141"/>
      <c r="N313" s="141"/>
      <c r="O313" s="141"/>
      <c r="P313" s="141"/>
      <c r="Q313" s="141"/>
      <c r="R313" s="141"/>
      <c r="S313" s="141"/>
      <c r="T313" s="141"/>
      <c r="U313" s="141"/>
      <c r="V313" s="141"/>
      <c r="W313" s="141"/>
      <c r="X313" s="141"/>
      <c r="Y313" s="141"/>
      <c r="Z313" s="141"/>
    </row>
    <row r="314">
      <c r="A314" s="141"/>
      <c r="B314" s="141" t="str">
        <f>IFERROR(__xludf.DUMMYFUNCTION("""COMPUTED_VALUE"""),"Agricultural activity [ENVO:01001442]                ")</f>
        <v>Agricultural activity [ENVO:01001442]                </v>
      </c>
      <c r="C314" s="141" t="str">
        <f>IFERROR(__xludf.DUMMYFUNCTION("""COMPUTED_VALUE"""),"ENVO:01001442")</f>
        <v>ENVO:01001442</v>
      </c>
      <c r="D314" s="141" t="str">
        <f>IFERROR(__xludf.DUMMYFUNCTION("""COMPUTED_VALUE"""),"A land use process during which terrestrial environments are modified such that they can grow crop plants or allow the rearing of animals to provide food, fiber, medicines, or other products used by humans.")</f>
        <v>A land use process during which terrestrial environments are modified such that they can grow crop plants or allow the rearing of animals to provide food, fiber, medicines, or other products used by humans.</v>
      </c>
      <c r="E314" s="141"/>
      <c r="F314" s="141"/>
      <c r="G314" s="141"/>
      <c r="H314" s="141"/>
      <c r="I314" s="141"/>
      <c r="J314" s="141"/>
      <c r="K314" s="141"/>
      <c r="L314" s="141"/>
      <c r="M314" s="141"/>
      <c r="N314" s="141"/>
      <c r="O314" s="141"/>
      <c r="P314" s="141"/>
      <c r="Q314" s="141"/>
      <c r="R314" s="141"/>
      <c r="S314" s="141"/>
      <c r="T314" s="141"/>
      <c r="U314" s="141"/>
      <c r="V314" s="141"/>
      <c r="W314" s="141"/>
      <c r="X314" s="141"/>
      <c r="Y314" s="141"/>
      <c r="Z314" s="141"/>
    </row>
    <row r="315">
      <c r="A315" s="141"/>
      <c r="B315" s="141" t="str">
        <f>IFERROR(__xludf.DUMMYFUNCTION("""COMPUTED_VALUE"""),"Animal husbandry [ENVO:01001248]                ")</f>
        <v>Animal husbandry [ENVO:01001248]                </v>
      </c>
      <c r="C315" s="141" t="str">
        <f>IFERROR(__xludf.DUMMYFUNCTION("""COMPUTED_VALUE"""),"ENVO:01001248")</f>
        <v>ENVO:01001248</v>
      </c>
      <c r="D315" s="141" t="str">
        <f>IFERROR(__xludf.DUMMYFUNCTION("""COMPUTED_VALUE"""),"An agricultural process during which humans rear animals on land for harvest and consumption.")</f>
        <v>An agricultural process during which humans rear animals on land for harvest and consumption.</v>
      </c>
      <c r="E315" s="141"/>
      <c r="F315" s="141"/>
      <c r="G315" s="141"/>
      <c r="H315" s="141"/>
      <c r="I315" s="141"/>
      <c r="J315" s="141"/>
      <c r="K315" s="141"/>
      <c r="L315" s="141"/>
      <c r="M315" s="141"/>
      <c r="N315" s="141"/>
      <c r="O315" s="141"/>
      <c r="P315" s="141"/>
      <c r="Q315" s="141"/>
      <c r="R315" s="141"/>
      <c r="S315" s="141"/>
      <c r="T315" s="141"/>
      <c r="U315" s="141"/>
      <c r="V315" s="141"/>
      <c r="W315" s="141"/>
      <c r="X315" s="141"/>
      <c r="Y315" s="141"/>
      <c r="Z315" s="141"/>
    </row>
    <row r="316">
      <c r="A316" s="141"/>
      <c r="B316" s="141" t="str">
        <f>IFERROR(__xludf.DUMMYFUNCTION("""COMPUTED_VALUE"""),"Industrial activity [ENVO:01001450]                ")</f>
        <v>Industrial activity [ENVO:01001450]                </v>
      </c>
      <c r="C316" s="141" t="str">
        <f>IFERROR(__xludf.DUMMYFUNCTION("""COMPUTED_VALUE"""),"ENVO:01001450")</f>
        <v>ENVO:01001450</v>
      </c>
      <c r="D316" s="141" t="str">
        <f>IFERROR(__xludf.DUMMYFUNCTION("""COMPUTED_VALUE"""),"A process that leads to the production of goods.")</f>
        <v>A process that leads to the production of goods.</v>
      </c>
      <c r="E316" s="141"/>
      <c r="F316" s="141"/>
      <c r="G316" s="141"/>
      <c r="H316" s="141"/>
      <c r="I316" s="141"/>
      <c r="J316" s="141"/>
      <c r="K316" s="141"/>
      <c r="L316" s="141"/>
      <c r="M316" s="141"/>
      <c r="N316" s="141"/>
      <c r="O316" s="141"/>
      <c r="P316" s="141"/>
      <c r="Q316" s="141"/>
      <c r="R316" s="141"/>
      <c r="S316" s="141"/>
      <c r="T316" s="141"/>
      <c r="U316" s="141"/>
      <c r="V316" s="141"/>
      <c r="W316" s="141"/>
      <c r="X316" s="141"/>
      <c r="Y316" s="141"/>
      <c r="Z316" s="141"/>
    </row>
    <row r="317">
      <c r="A317" s="141"/>
      <c r="B317" s="141" t="str">
        <f>IFERROR(__xludf.DUMMYFUNCTION("""COMPUTED_VALUE"""),"Healthcare activity [NCIT:C16205]                ")</f>
        <v>Healthcare activity [NCIT:C16205]                </v>
      </c>
      <c r="C317" s="141" t="str">
        <f>IFERROR(__xludf.DUMMYFUNCTION("""COMPUTED_VALUE"""),"NCIT:C16205")</f>
        <v>NCIT:C16205</v>
      </c>
      <c r="D317" s="141" t="str">
        <f>IFERROR(__xludf.DUMMYFUNCTION("""COMPUTED_VALUE"""),"A process that includes the prevention, treatment, and management of physical and mental illness.")</f>
        <v>A process that includes the prevention, treatment, and management of physical and mental illness.</v>
      </c>
      <c r="E317" s="141"/>
      <c r="F317" s="141"/>
      <c r="G317" s="141"/>
      <c r="H317" s="141"/>
      <c r="I317" s="141"/>
      <c r="J317" s="141"/>
      <c r="K317" s="141"/>
      <c r="L317" s="141"/>
      <c r="M317" s="141"/>
      <c r="N317" s="141"/>
      <c r="O317" s="141"/>
      <c r="P317" s="141"/>
      <c r="Q317" s="141"/>
      <c r="R317" s="141"/>
      <c r="S317" s="141"/>
      <c r="T317" s="141"/>
      <c r="U317" s="141"/>
      <c r="V317" s="141"/>
      <c r="W317" s="141"/>
      <c r="X317" s="141"/>
      <c r="Y317" s="141"/>
      <c r="Z317" s="141"/>
    </row>
    <row r="318">
      <c r="A318" s="141"/>
      <c r="B318" s="141" t="str">
        <f>IFERROR(__xludf.DUMMYFUNCTION("""COMPUTED_VALUE"""),"Wastewater treatment [ENVO:06105300]                ")</f>
        <v>Wastewater treatment [ENVO:06105300]                </v>
      </c>
      <c r="C318" s="141" t="str">
        <f>IFERROR(__xludf.DUMMYFUNCTION("""COMPUTED_VALUE"""),"ENVO:06105300")</f>
        <v>ENVO:06105300</v>
      </c>
      <c r="D318" s="141" t="str">
        <f>IFERROR(__xludf.DUMMYFUNCTION("""COMPUTED_VALUE"""),"A recycling process during which wastewater is treated.")</f>
        <v>A recycling process during which wastewater is treated.</v>
      </c>
      <c r="E318" s="141"/>
      <c r="F318" s="141"/>
      <c r="G318" s="141"/>
      <c r="H318" s="141"/>
      <c r="I318" s="141"/>
      <c r="J318" s="141"/>
      <c r="K318" s="141"/>
      <c r="L318" s="141"/>
      <c r="M318" s="141"/>
      <c r="N318" s="141"/>
      <c r="O318" s="141"/>
      <c r="P318" s="141"/>
      <c r="Q318" s="141"/>
      <c r="R318" s="141"/>
      <c r="S318" s="141"/>
      <c r="T318" s="141"/>
      <c r="U318" s="141"/>
      <c r="V318" s="141"/>
      <c r="W318" s="141"/>
      <c r="X318" s="141"/>
      <c r="Y318" s="141"/>
      <c r="Z318" s="141"/>
    </row>
    <row r="319">
      <c r="A319" s="141"/>
      <c r="B319" s="141" t="str">
        <f>IFERROR(__xludf.DUMMYFUNCTION("""COMPUTED_VALUE"""),"    Wastewater screening process [GENEPIO:0101198]            ")</f>
        <v>    Wastewater screening process [GENEPIO:0101198]            </v>
      </c>
      <c r="C319" s="141" t="str">
        <f>IFERROR(__xludf.DUMMYFUNCTION("""COMPUTED_VALUE"""),"GENEPIO:0101198")</f>
        <v>GENEPIO:0101198</v>
      </c>
      <c r="D319" s="141" t="str">
        <f>IFERROR(__xludf.DUMMYFUNCTION("""COMPUTED_VALUE"""),"A wastewater treatment process which removes large objects such as rags, paper, plastics, and metals to prevent damage and clogging of downstream equipment, piping, and appurtenances.")</f>
        <v>A wastewater treatment process which removes large objects such as rags, paper, plastics, and metals to prevent damage and clogging of downstream equipment, piping, and appurtenances.</v>
      </c>
      <c r="E319" s="141"/>
      <c r="F319" s="141"/>
      <c r="G319" s="141"/>
      <c r="H319" s="141"/>
      <c r="I319" s="141"/>
      <c r="J319" s="141"/>
      <c r="K319" s="141"/>
      <c r="L319" s="141"/>
      <c r="M319" s="141"/>
      <c r="N319" s="141"/>
      <c r="O319" s="141"/>
      <c r="P319" s="141"/>
      <c r="Q319" s="141"/>
      <c r="R319" s="141"/>
      <c r="S319" s="141"/>
      <c r="T319" s="141"/>
      <c r="U319" s="141"/>
      <c r="V319" s="141"/>
      <c r="W319" s="141"/>
      <c r="X319" s="141"/>
      <c r="Y319" s="141"/>
      <c r="Z319" s="141"/>
    </row>
    <row r="320">
      <c r="A320" s="141"/>
      <c r="B320" s="141" t="str">
        <f>IFERROR(__xludf.DUMMYFUNCTION("""COMPUTED_VALUE"""),"    wastewater comminution process [GENEPIO:0101719]            ")</f>
        <v>    wastewater comminution process [GENEPIO:0101719]            </v>
      </c>
      <c r="C320" s="141" t="str">
        <f>IFERROR(__xludf.DUMMYFUNCTION("""COMPUTED_VALUE"""),"GENEPIO:0101719")</f>
        <v>GENEPIO:0101719</v>
      </c>
      <c r="D320" s="141" t="str">
        <f>IFERROR(__xludf.DUMMYFUNCTION("""COMPUTED_VALUE"""),"A wastewater treatment process which involves the mechanical reduction of solid materials in wastewater into smaller, more manageable particles through devices like comminutors or grinders to shred debris.")</f>
        <v>A wastewater treatment process which involves the mechanical reduction of solid materials in wastewater into smaller, more manageable particles through devices like comminutors or grinders to shred debris.</v>
      </c>
      <c r="E320" s="141"/>
      <c r="F320" s="141"/>
      <c r="G320" s="141"/>
      <c r="H320" s="141"/>
      <c r="I320" s="141"/>
      <c r="J320" s="141"/>
      <c r="K320" s="141"/>
      <c r="L320" s="141"/>
      <c r="M320" s="141"/>
      <c r="N320" s="141"/>
      <c r="O320" s="141"/>
      <c r="P320" s="141"/>
      <c r="Q320" s="141"/>
      <c r="R320" s="141"/>
      <c r="S320" s="141"/>
      <c r="T320" s="141"/>
      <c r="U320" s="141"/>
      <c r="V320" s="141"/>
      <c r="W320" s="141"/>
      <c r="X320" s="141"/>
      <c r="Y320" s="141"/>
      <c r="Z320" s="141"/>
    </row>
    <row r="321">
      <c r="A321" s="141"/>
      <c r="B321" s="141" t="str">
        <f>IFERROR(__xludf.DUMMYFUNCTION("""COMPUTED_VALUE"""),"    Wastewater filtration [ENVO:03501445]            ")</f>
        <v>    Wastewater filtration [ENVO:03501445]            </v>
      </c>
      <c r="C321" s="141" t="str">
        <f>IFERROR(__xludf.DUMMYFUNCTION("""COMPUTED_VALUE"""),"ENVO:03501445")</f>
        <v>ENVO:03501445</v>
      </c>
      <c r="D321" s="141" t="str">
        <f>IFERROR(__xludf.DUMMYFUNCTION("""COMPUTED_VALUE"""),"A wastewater treatment process which removes solid particles from wastewater by means of filtration.")</f>
        <v>A wastewater treatment process which removes solid particles from wastewater by means of filtration.</v>
      </c>
      <c r="E321" s="141"/>
      <c r="F321" s="141"/>
      <c r="G321" s="161" t="s">
        <v>1062</v>
      </c>
      <c r="H321" s="141"/>
      <c r="I321" s="141"/>
      <c r="J321" s="141"/>
      <c r="K321" s="141"/>
      <c r="L321" s="141"/>
      <c r="M321" s="141"/>
      <c r="N321" s="141"/>
      <c r="O321" s="141"/>
      <c r="P321" s="141"/>
      <c r="Q321" s="141"/>
      <c r="R321" s="141"/>
      <c r="S321" s="141"/>
      <c r="T321" s="141"/>
      <c r="U321" s="141"/>
      <c r="V321" s="141"/>
      <c r="W321" s="141"/>
      <c r="X321" s="141"/>
      <c r="Y321" s="141"/>
      <c r="Z321" s="141"/>
    </row>
    <row r="322">
      <c r="A322" s="141"/>
      <c r="B322" s="141" t="str">
        <f>IFERROR(__xludf.DUMMYFUNCTION("""COMPUTED_VALUE"""),"    Wastewater grit removal [ENVO:03501446]            ")</f>
        <v>    Wastewater grit removal [ENVO:03501446]            </v>
      </c>
      <c r="C322" s="141" t="str">
        <f>IFERROR(__xludf.DUMMYFUNCTION("""COMPUTED_VALUE"""),"ENVO:03501446")</f>
        <v>ENVO:03501446</v>
      </c>
      <c r="D322" s="141" t="str">
        <f>IFERROR(__xludf.DUMMYFUNCTION("""COMPUTED_VALUE"""),"A wastewater treatment process which removes sand, silt, and grit from wastewater.")</f>
        <v>A wastewater treatment process which removes sand, silt, and grit from wastewater.</v>
      </c>
      <c r="E322" s="141"/>
      <c r="F322" s="141"/>
      <c r="G322" s="161" t="s">
        <v>1063</v>
      </c>
      <c r="H322" s="141"/>
      <c r="I322" s="141"/>
      <c r="J322" s="141"/>
      <c r="K322" s="141"/>
      <c r="L322" s="141"/>
      <c r="M322" s="141"/>
      <c r="N322" s="141"/>
      <c r="O322" s="141"/>
      <c r="P322" s="141"/>
      <c r="Q322" s="141"/>
      <c r="R322" s="141"/>
      <c r="S322" s="141"/>
      <c r="T322" s="141"/>
      <c r="U322" s="141"/>
      <c r="V322" s="141"/>
      <c r="W322" s="141"/>
      <c r="X322" s="141"/>
      <c r="Y322" s="141"/>
      <c r="Z322" s="141"/>
    </row>
    <row r="323">
      <c r="A323" s="141"/>
      <c r="B323" s="141" t="str">
        <f>IFERROR(__xludf.DUMMYFUNCTION("""COMPUTED_VALUE"""),"    Wastewater primary sedimentation [ENVO:03501448]            ")</f>
        <v>    Wastewater primary sedimentation [ENVO:03501448]            </v>
      </c>
      <c r="C323" s="141" t="str">
        <f>IFERROR(__xludf.DUMMYFUNCTION("""COMPUTED_VALUE"""),"ENVO:03501448")</f>
        <v>ENVO:03501448</v>
      </c>
      <c r="D323" s="141" t="str">
        <f>IFERROR(__xludf.DUMMYFUNCTION("""COMPUTED_VALUE"""),"A wastewater treatment process which removes solids and large particles from influent through gravitational force.")</f>
        <v>A wastewater treatment process which removes solids and large particles from influent through gravitational force.</v>
      </c>
      <c r="E323" s="141"/>
      <c r="F323" s="141"/>
      <c r="G323" s="161" t="s">
        <v>1064</v>
      </c>
      <c r="H323" s="141"/>
      <c r="I323" s="141"/>
      <c r="J323" s="141"/>
      <c r="K323" s="141"/>
      <c r="L323" s="141"/>
      <c r="M323" s="141"/>
      <c r="N323" s="141"/>
      <c r="O323" s="141"/>
      <c r="P323" s="141"/>
      <c r="Q323" s="141"/>
      <c r="R323" s="141"/>
      <c r="S323" s="141"/>
      <c r="T323" s="141"/>
      <c r="U323" s="141"/>
      <c r="V323" s="141"/>
      <c r="W323" s="141"/>
      <c r="X323" s="141"/>
      <c r="Y323" s="141"/>
      <c r="Z323" s="141"/>
    </row>
    <row r="324">
      <c r="A324" s="141"/>
      <c r="B324" s="141" t="str">
        <f>IFERROR(__xludf.DUMMYFUNCTION("""COMPUTED_VALUE"""),"    Wastewater microbial treatment [ENVO:03501447]            ")</f>
        <v>    Wastewater microbial treatment [ENVO:03501447]            </v>
      </c>
      <c r="C324" s="141" t="str">
        <f>IFERROR(__xludf.DUMMYFUNCTION("""COMPUTED_VALUE"""),"ENVO:03501447")</f>
        <v>ENVO:03501447</v>
      </c>
      <c r="D324" s="141" t="str">
        <f>IFERROR(__xludf.DUMMYFUNCTION("""COMPUTED_VALUE"""),"A wastewater treatment process in which microbes are used to degrade the biological material in wastewater.")</f>
        <v>A wastewater treatment process in which microbes are used to degrade the biological material in wastewater.</v>
      </c>
      <c r="E324" s="141"/>
      <c r="F324" s="141"/>
      <c r="G324" s="161" t="s">
        <v>1065</v>
      </c>
      <c r="H324" s="141"/>
      <c r="I324" s="141"/>
      <c r="J324" s="141"/>
      <c r="K324" s="141"/>
      <c r="L324" s="141"/>
      <c r="M324" s="141"/>
      <c r="N324" s="141"/>
      <c r="O324" s="141"/>
      <c r="P324" s="141"/>
      <c r="Q324" s="141"/>
      <c r="R324" s="141"/>
      <c r="S324" s="141"/>
      <c r="T324" s="141"/>
      <c r="U324" s="141"/>
      <c r="V324" s="141"/>
      <c r="W324" s="141"/>
      <c r="X324" s="141"/>
      <c r="Y324" s="141"/>
      <c r="Z324" s="141"/>
    </row>
    <row r="325">
      <c r="A325" s="141"/>
      <c r="B325" s="141" t="str">
        <f>IFERROR(__xludf.DUMMYFUNCTION("""COMPUTED_VALUE"""),"        Wastewater aerobic digestion [GENEPIO:0101199]        ")</f>
        <v>        Wastewater aerobic digestion [GENEPIO:0101199]        </v>
      </c>
      <c r="C325" s="141" t="str">
        <f>IFERROR(__xludf.DUMMYFUNCTION("""COMPUTED_VALUE"""),"GENEPIO:0101199")</f>
        <v>GENEPIO:0101199</v>
      </c>
      <c r="D325" s="141" t="str">
        <f>IFERROR(__xludf.DUMMYFUNCTION("""COMPUTED_VALUE"""),"A wastewater microbial treatment process in which organic material is broken down in the presence of oxygen.")</f>
        <v>A wastewater microbial treatment process in which organic material is broken down in the presence of oxygen.</v>
      </c>
      <c r="E325" s="141"/>
      <c r="F325" s="141"/>
      <c r="G325" s="141"/>
      <c r="H325" s="141"/>
      <c r="I325" s="141"/>
      <c r="J325" s="141"/>
      <c r="K325" s="141"/>
      <c r="L325" s="141"/>
      <c r="M325" s="141"/>
      <c r="N325" s="141"/>
      <c r="O325" s="141"/>
      <c r="P325" s="141"/>
      <c r="Q325" s="141"/>
      <c r="R325" s="141"/>
      <c r="S325" s="141"/>
      <c r="T325" s="141"/>
      <c r="U325" s="141"/>
      <c r="V325" s="141"/>
      <c r="W325" s="141"/>
      <c r="X325" s="141"/>
      <c r="Y325" s="141"/>
      <c r="Z325" s="141"/>
    </row>
    <row r="326">
      <c r="A326" s="141"/>
      <c r="B326" s="141" t="str">
        <f>IFERROR(__xludf.DUMMYFUNCTION("""COMPUTED_VALUE"""),"        Wastewater anaerobic digestion [GENEPIO:0101200]        ")</f>
        <v>        Wastewater anaerobic digestion [GENEPIO:0101200]        </v>
      </c>
      <c r="C326" s="141" t="str">
        <f>IFERROR(__xludf.DUMMYFUNCTION("""COMPUTED_VALUE"""),"GENEPIO:0101200")</f>
        <v>GENEPIO:0101200</v>
      </c>
      <c r="D326" s="141" t="str">
        <f>IFERROR(__xludf.DUMMYFUNCTION("""COMPUTED_VALUE"""),"A wastewater microbial treatment process in which organic material is broken down in the absence of oxygen by anaerobic bacteria.")</f>
        <v>A wastewater microbial treatment process in which organic material is broken down in the absence of oxygen by anaerobic bacteria.</v>
      </c>
      <c r="E326" s="141"/>
      <c r="F326" s="141"/>
      <c r="G326" s="141"/>
      <c r="H326" s="141"/>
      <c r="I326" s="141"/>
      <c r="J326" s="141"/>
      <c r="K326" s="141"/>
      <c r="L326" s="141"/>
      <c r="M326" s="141"/>
      <c r="N326" s="141"/>
      <c r="O326" s="141"/>
      <c r="P326" s="141"/>
      <c r="Q326" s="141"/>
      <c r="R326" s="141"/>
      <c r="S326" s="141"/>
      <c r="T326" s="141"/>
      <c r="U326" s="141"/>
      <c r="V326" s="141"/>
      <c r="W326" s="141"/>
      <c r="X326" s="141"/>
      <c r="Y326" s="141"/>
      <c r="Z326" s="141"/>
    </row>
    <row r="327">
      <c r="A327" s="141"/>
      <c r="B327" s="141" t="str">
        <f>IFERROR(__xludf.DUMMYFUNCTION("""COMPUTED_VALUE"""),"    Wastewater secondary sedimentation [ENVO:03501449]            ")</f>
        <v>    Wastewater secondary sedimentation [ENVO:03501449]            </v>
      </c>
      <c r="C327" s="141" t="str">
        <f>IFERROR(__xludf.DUMMYFUNCTION("""COMPUTED_VALUE"""),"ENVO:03501449")</f>
        <v>ENVO:03501449</v>
      </c>
      <c r="D327" s="141" t="str">
        <f>IFERROR(__xludf.DUMMYFUNCTION("""COMPUTED_VALUE"""),"A wastewater treatment process which removes biomass produced in aeration from influent through gravitational force.")</f>
        <v>A wastewater treatment process which removes biomass produced in aeration from influent through gravitational force.</v>
      </c>
      <c r="E327" s="141"/>
      <c r="F327" s="141"/>
      <c r="G327" s="141"/>
      <c r="H327" s="141"/>
      <c r="I327" s="141"/>
      <c r="J327" s="141"/>
      <c r="K327" s="141"/>
      <c r="L327" s="141"/>
      <c r="M327" s="141"/>
      <c r="N327" s="141"/>
      <c r="O327" s="141"/>
      <c r="P327" s="141"/>
      <c r="Q327" s="141"/>
      <c r="R327" s="141"/>
      <c r="S327" s="141"/>
      <c r="T327" s="141"/>
      <c r="U327" s="141"/>
      <c r="V327" s="141"/>
      <c r="W327" s="141"/>
      <c r="X327" s="141"/>
      <c r="Y327" s="141"/>
      <c r="Z327" s="141"/>
    </row>
    <row r="328">
      <c r="A328" s="141"/>
      <c r="B328" s="141" t="str">
        <f>IFERROR(__xludf.DUMMYFUNCTION("""COMPUTED_VALUE"""),"    Wastewater sludge removal [GENEPIO:0101201]            ")</f>
        <v>    Wastewater sludge removal [GENEPIO:0101201]            </v>
      </c>
      <c r="C328" s="141" t="str">
        <f>IFERROR(__xludf.DUMMYFUNCTION("""COMPUTED_VALUE"""),"GENEPIO:0101201")</f>
        <v>GENEPIO:0101201</v>
      </c>
      <c r="D328" s="141" t="str">
        <f>IFERROR(__xludf.DUMMYFUNCTION("""COMPUTED_VALUE"""),"A wastewater treatment process which removes large objects such as rags, paper, plastics, and metals to prevent damage and clogging of downstream equipment, piping, and appurtenances.")</f>
        <v>A wastewater treatment process which removes large objects such as rags, paper, plastics, and metals to prevent damage and clogging of downstream equipment, piping, and appurtenances.</v>
      </c>
      <c r="E328" s="141"/>
      <c r="F328" s="141"/>
      <c r="G328" s="141"/>
      <c r="H328" s="141"/>
      <c r="I328" s="141"/>
      <c r="J328" s="141"/>
      <c r="K328" s="141"/>
      <c r="L328" s="141"/>
      <c r="M328" s="141"/>
      <c r="N328" s="141"/>
      <c r="O328" s="141"/>
      <c r="P328" s="141"/>
      <c r="Q328" s="141"/>
      <c r="R328" s="141"/>
      <c r="S328" s="141"/>
      <c r="T328" s="141"/>
      <c r="U328" s="141"/>
      <c r="V328" s="141"/>
      <c r="W328" s="141"/>
      <c r="X328" s="141"/>
      <c r="Y328" s="141"/>
      <c r="Z328" s="141"/>
    </row>
    <row r="329">
      <c r="A329" s="141"/>
      <c r="B329" s="141" t="str">
        <f>IFERROR(__xludf.DUMMYFUNCTION("""COMPUTED_VALUE"""),"    Wastewater sludge dewatering [GENEPIO:0101202]            ")</f>
        <v>    Wastewater sludge dewatering [GENEPIO:0101202]            </v>
      </c>
      <c r="C329" s="141" t="str">
        <f>IFERROR(__xludf.DUMMYFUNCTION("""COMPUTED_VALUE"""),"GENEPIO:0101202")</f>
        <v>GENEPIO:0101202</v>
      </c>
      <c r="D329" s="141" t="str">
        <f>IFERROR(__xludf.DUMMYFUNCTION("""COMPUTED_VALUE"""),"A wastewater treatment process which mechanically reduces the water content of wastewater sludge using equipment like centrifuges or belt presses, resulting in a semi-solid material that is easier to handle and transport")</f>
        <v>A wastewater treatment process which mechanically reduces the water content of wastewater sludge using equipment like centrifuges or belt presses, resulting in a semi-solid material that is easier to handle and transport</v>
      </c>
      <c r="E329" s="141"/>
      <c r="F329" s="141"/>
      <c r="G329" s="161" t="s">
        <v>1066</v>
      </c>
      <c r="H329" s="141"/>
      <c r="I329" s="141"/>
      <c r="J329" s="141"/>
      <c r="K329" s="141"/>
      <c r="L329" s="141"/>
      <c r="M329" s="141"/>
      <c r="N329" s="141"/>
      <c r="O329" s="141"/>
      <c r="P329" s="141"/>
      <c r="Q329" s="141"/>
      <c r="R329" s="141"/>
      <c r="S329" s="141"/>
      <c r="T329" s="141"/>
      <c r="U329" s="141"/>
      <c r="V329" s="141"/>
      <c r="W329" s="141"/>
      <c r="X329" s="141"/>
      <c r="Y329" s="141"/>
      <c r="Z329" s="141"/>
    </row>
    <row r="330">
      <c r="A330" s="141"/>
      <c r="B330" s="141" t="str">
        <f>IFERROR(__xludf.DUMMYFUNCTION("""COMPUTED_VALUE"""),"    Wastewater sludge drying [GENEPIO:0101718]            ")</f>
        <v>    Wastewater sludge drying [GENEPIO:0101718]            </v>
      </c>
      <c r="C330" s="141" t="str">
        <f>IFERROR(__xludf.DUMMYFUNCTION("""COMPUTED_VALUE"""),"GENEPIO:0101718")</f>
        <v>GENEPIO:0101718</v>
      </c>
      <c r="D330" s="141" t="str">
        <f>IFERROR(__xludf.DUMMYFUNCTION("""COMPUTED_VALUE"""),"A wastewater treatment process which further reduces the moisture content of dewatered sludge, typically through thermal or air drying methods, producing a dry, stable material for easier disposal or use.")</f>
        <v>A wastewater treatment process which further reduces the moisture content of dewatered sludge, typically through thermal or air drying methods, producing a dry, stable material for easier disposal or use.</v>
      </c>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1"/>
    </row>
    <row r="331">
      <c r="A331" s="141"/>
      <c r="B331" s="141" t="str">
        <f>IFERROR(__xludf.DUMMYFUNCTION("""COMPUTED_VALUE"""),"                ")</f>
        <v>                </v>
      </c>
      <c r="C331" s="141" t="str">
        <f>IFERROR(__xludf.DUMMYFUNCTION("""COMPUTED_VALUE"""),"")</f>
        <v/>
      </c>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1"/>
    </row>
    <row r="332">
      <c r="A332" s="141" t="str">
        <f>IFERROR(__xludf.DUMMYFUNCTION("""COMPUTED_VALUE"""),"sample volume measurement unit menu")</f>
        <v>sample volume measurement unit menu</v>
      </c>
      <c r="B332" s="141" t="str">
        <f>IFERROR(__xludf.DUMMYFUNCTION("""COMPUTED_VALUE"""),"                ")</f>
        <v>                </v>
      </c>
      <c r="C332" s="141" t="str">
        <f>IFERROR(__xludf.DUMMYFUNCTION("""COMPUTED_VALUE"""),"")</f>
        <v/>
      </c>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c r="Z332" s="141"/>
    </row>
    <row r="333">
      <c r="A333" s="141"/>
      <c r="B333" s="141" t="str">
        <f>IFERROR(__xludf.DUMMYFUNCTION("""COMPUTED_VALUE"""),"microliter (uL) [UO:0000101]                ")</f>
        <v>microliter (uL) [UO:0000101]                </v>
      </c>
      <c r="C333" s="141" t="str">
        <f>IFERROR(__xludf.DUMMYFUNCTION("""COMPUTED_VALUE"""),"UO:0000101")</f>
        <v>UO:0000101</v>
      </c>
      <c r="D333" s="141" t="str">
        <f>IFERROR(__xludf.DUMMYFUNCTION("""COMPUTED_VALUE"""),"A metric unit of volume equivalent to one thousandth of a cubic centimeter or one millionth of a liter.")</f>
        <v>A metric unit of volume equivalent to one thousandth of a cubic centimeter or one millionth of a liter.</v>
      </c>
      <c r="E333" s="141"/>
      <c r="F333" s="141"/>
      <c r="G333" s="141"/>
      <c r="H333" s="141"/>
      <c r="I333" s="141"/>
      <c r="J333" s="141"/>
      <c r="K333" s="141"/>
      <c r="L333" s="141"/>
      <c r="M333" s="141"/>
      <c r="N333" s="141"/>
      <c r="O333" s="141"/>
      <c r="P333" s="141"/>
      <c r="Q333" s="141"/>
      <c r="R333" s="141"/>
      <c r="S333" s="141"/>
      <c r="T333" s="141"/>
      <c r="U333" s="141"/>
      <c r="V333" s="141"/>
      <c r="W333" s="141"/>
      <c r="X333" s="141"/>
      <c r="Y333" s="141"/>
      <c r="Z333" s="141"/>
    </row>
    <row r="334">
      <c r="A334" s="141"/>
      <c r="B334" s="141" t="str">
        <f>IFERROR(__xludf.DUMMYFUNCTION("""COMPUTED_VALUE"""),"milliliter (mL) [UO:0000098]                ")</f>
        <v>milliliter (mL) [UO:0000098]                </v>
      </c>
      <c r="C334" s="141" t="str">
        <f>IFERROR(__xludf.DUMMYFUNCTION("""COMPUTED_VALUE"""),"UO:0000098")</f>
        <v>UO:0000098</v>
      </c>
      <c r="D334" s="141" t="str">
        <f>IFERROR(__xludf.DUMMYFUNCTION("""COMPUTED_VALUE"""),"A metric unit of volume equivalent to one cubic centimeter or one thousandth of a liter.")</f>
        <v>A metric unit of volume equivalent to one cubic centimeter or one thousandth of a liter.</v>
      </c>
      <c r="E334" s="141"/>
      <c r="F334" s="141"/>
      <c r="G334" s="141"/>
      <c r="H334" s="141"/>
      <c r="I334" s="141"/>
      <c r="J334" s="141"/>
      <c r="K334" s="141"/>
      <c r="L334" s="141"/>
      <c r="M334" s="141"/>
      <c r="N334" s="141"/>
      <c r="O334" s="141"/>
      <c r="P334" s="141"/>
      <c r="Q334" s="141"/>
      <c r="R334" s="141"/>
      <c r="S334" s="141"/>
      <c r="T334" s="141"/>
      <c r="U334" s="141"/>
      <c r="V334" s="141"/>
      <c r="W334" s="141"/>
      <c r="X334" s="141"/>
      <c r="Y334" s="141"/>
      <c r="Z334" s="141"/>
    </row>
    <row r="335">
      <c r="A335" s="141"/>
      <c r="B335" s="141" t="str">
        <f>IFERROR(__xludf.DUMMYFUNCTION("""COMPUTED_VALUE"""),"liter (L) [UO:0000099]                ")</f>
        <v>liter (L) [UO:0000099]                </v>
      </c>
      <c r="C335" s="141" t="str">
        <f>IFERROR(__xludf.DUMMYFUNCTION("""COMPUTED_VALUE"""),"UO:0000099")</f>
        <v>UO:0000099</v>
      </c>
      <c r="D335" s="141" t="str">
        <f>IFERROR(__xludf.DUMMYFUNCTION("""COMPUTED_VALUE"""),"A metric unit of volume equivalent to 1000 cubic centimeters")</f>
        <v>A metric unit of volume equivalent to 1000 cubic centimeters</v>
      </c>
      <c r="E335" s="141"/>
      <c r="F335" s="141"/>
      <c r="G335" s="141"/>
      <c r="H335" s="141"/>
      <c r="I335" s="141"/>
      <c r="J335" s="141"/>
      <c r="K335" s="141"/>
      <c r="L335" s="141"/>
      <c r="M335" s="141"/>
      <c r="N335" s="141"/>
      <c r="O335" s="141"/>
      <c r="P335" s="141"/>
      <c r="Q335" s="141"/>
      <c r="R335" s="141"/>
      <c r="S335" s="141"/>
      <c r="T335" s="141"/>
      <c r="U335" s="141"/>
      <c r="V335" s="141"/>
      <c r="W335" s="141"/>
      <c r="X335" s="141"/>
      <c r="Y335" s="141"/>
      <c r="Z335" s="141"/>
    </row>
    <row r="336">
      <c r="A336" s="141" t="str">
        <f>IFERROR(__xludf.DUMMYFUNCTION("""COMPUTED_VALUE"""),"sample storage duration unit menu")</f>
        <v>sample storage duration unit menu</v>
      </c>
      <c r="B336" s="141" t="str">
        <f>IFERROR(__xludf.DUMMYFUNCTION("""COMPUTED_VALUE"""),"                ")</f>
        <v>                </v>
      </c>
      <c r="C336" s="141" t="str">
        <f>IFERROR(__xludf.DUMMYFUNCTION("""COMPUTED_VALUE"""),"")</f>
        <v/>
      </c>
      <c r="D336" s="141"/>
      <c r="E336" s="141"/>
      <c r="F336" s="141"/>
      <c r="G336" s="141"/>
      <c r="H336" s="141"/>
      <c r="I336" s="141"/>
      <c r="J336" s="141"/>
      <c r="K336" s="141"/>
      <c r="L336" s="141"/>
      <c r="M336" s="141"/>
      <c r="N336" s="141"/>
      <c r="O336" s="141"/>
      <c r="P336" s="141"/>
      <c r="Q336" s="141"/>
      <c r="R336" s="141"/>
      <c r="S336" s="141"/>
      <c r="T336" s="141"/>
      <c r="U336" s="141"/>
      <c r="V336" s="141"/>
      <c r="W336" s="141"/>
      <c r="X336" s="141"/>
      <c r="Y336" s="141"/>
      <c r="Z336" s="141"/>
    </row>
    <row r="337">
      <c r="A337" s="141"/>
      <c r="B337" s="141" t="str">
        <f>IFERROR(__xludf.DUMMYFUNCTION("""COMPUTED_VALUE"""),"Second [UO:0000010]                ")</f>
        <v>Second [UO:0000010]                </v>
      </c>
      <c r="C337" s="141" t="str">
        <f>IFERROR(__xludf.DUMMYFUNCTION("""COMPUTED_VALUE"""),"UO:0000010")</f>
        <v>UO:0000010</v>
      </c>
      <c r="D337" s="141" t="str">
        <f>IFERROR(__xludf.DUMMYFUNCTION("""COMPUTED_VALUE"""),"A time unit which is equal to the duration of 9 192 631 770 periods of the radiation corresponding to the transition between the two hyperfine levels of the ground state of the caesium 133 atom.")</f>
        <v>A time unit which is equal to the duration of 9 192 631 770 periods of the radiation corresponding to the transition between the two hyperfine levels of the ground state of the caesium 133 atom.</v>
      </c>
      <c r="E337" s="141"/>
      <c r="F337" s="141"/>
      <c r="G337" s="141"/>
      <c r="H337" s="141"/>
      <c r="I337" s="141"/>
      <c r="J337" s="141"/>
      <c r="K337" s="141"/>
      <c r="L337" s="141"/>
      <c r="M337" s="141"/>
      <c r="N337" s="141"/>
      <c r="O337" s="141"/>
      <c r="P337" s="141"/>
      <c r="Q337" s="141"/>
      <c r="R337" s="141"/>
      <c r="S337" s="141"/>
      <c r="T337" s="141"/>
      <c r="U337" s="141"/>
      <c r="V337" s="141"/>
      <c r="W337" s="141"/>
      <c r="X337" s="141"/>
      <c r="Y337" s="141"/>
      <c r="Z337" s="141"/>
    </row>
    <row r="338">
      <c r="A338" s="141"/>
      <c r="B338" s="141" t="str">
        <f>IFERROR(__xludf.DUMMYFUNCTION("""COMPUTED_VALUE"""),"Minute [UO:0000031]                ")</f>
        <v>Minute [UO:0000031]                </v>
      </c>
      <c r="C338" s="141" t="str">
        <f>IFERROR(__xludf.DUMMYFUNCTION("""COMPUTED_VALUE"""),"UO:0000031")</f>
        <v>UO:0000031</v>
      </c>
      <c r="D338" s="141" t="str">
        <f>IFERROR(__xludf.DUMMYFUNCTION("""COMPUTED_VALUE"""),"A time unit which is equal to 60 seconds.")</f>
        <v>A time unit which is equal to 60 seconds.</v>
      </c>
      <c r="E338" s="141"/>
      <c r="F338" s="141"/>
      <c r="G338" s="141"/>
      <c r="H338" s="141"/>
      <c r="I338" s="141"/>
      <c r="J338" s="141"/>
      <c r="K338" s="141"/>
      <c r="L338" s="141"/>
      <c r="M338" s="141"/>
      <c r="N338" s="141"/>
      <c r="O338" s="141"/>
      <c r="P338" s="141"/>
      <c r="Q338" s="141"/>
      <c r="R338" s="141"/>
      <c r="S338" s="141"/>
      <c r="T338" s="141"/>
      <c r="U338" s="141"/>
      <c r="V338" s="141"/>
      <c r="W338" s="141"/>
      <c r="X338" s="141"/>
      <c r="Y338" s="141"/>
      <c r="Z338" s="141"/>
    </row>
    <row r="339">
      <c r="A339" s="141"/>
      <c r="B339" s="141" t="str">
        <f>IFERROR(__xludf.DUMMYFUNCTION("""COMPUTED_VALUE"""),"Hour [UO:0000032]                ")</f>
        <v>Hour [UO:0000032]                </v>
      </c>
      <c r="C339" s="141" t="str">
        <f>IFERROR(__xludf.DUMMYFUNCTION("""COMPUTED_VALUE"""),"UO:0000032")</f>
        <v>UO:0000032</v>
      </c>
      <c r="D339" s="141" t="str">
        <f>IFERROR(__xludf.DUMMYFUNCTION("""COMPUTED_VALUE"""),"A time unit which is equal to 60 minutes.")</f>
        <v>A time unit which is equal to 60 minutes.</v>
      </c>
      <c r="E339" s="141"/>
      <c r="F339" s="141"/>
      <c r="G339" s="141"/>
      <c r="H339" s="141"/>
      <c r="I339" s="141"/>
      <c r="J339" s="141"/>
      <c r="K339" s="141"/>
      <c r="L339" s="141"/>
      <c r="M339" s="141"/>
      <c r="N339" s="141"/>
      <c r="O339" s="141"/>
      <c r="P339" s="141"/>
      <c r="Q339" s="141"/>
      <c r="R339" s="141"/>
      <c r="S339" s="141"/>
      <c r="T339" s="141"/>
      <c r="U339" s="141"/>
      <c r="V339" s="141"/>
      <c r="W339" s="141"/>
      <c r="X339" s="141"/>
      <c r="Y339" s="141"/>
      <c r="Z339" s="141"/>
    </row>
    <row r="340">
      <c r="A340" s="141"/>
      <c r="B340" s="141" t="str">
        <f>IFERROR(__xludf.DUMMYFUNCTION("""COMPUTED_VALUE"""),"Day [UO:0000033]                ")</f>
        <v>Day [UO:0000033]                </v>
      </c>
      <c r="C340" s="141" t="str">
        <f>IFERROR(__xludf.DUMMYFUNCTION("""COMPUTED_VALUE"""),"UO:0000033")</f>
        <v>UO:0000033</v>
      </c>
      <c r="D340" s="141" t="str">
        <f>IFERROR(__xludf.DUMMYFUNCTION("""COMPUTED_VALUE"""),"A time unit which is equal to 24 hours.")</f>
        <v>A time unit which is equal to 24 hours.</v>
      </c>
      <c r="E340" s="141"/>
      <c r="F340" s="141"/>
      <c r="G340" s="141"/>
      <c r="H340" s="141"/>
      <c r="I340" s="141"/>
      <c r="J340" s="141"/>
      <c r="K340" s="141"/>
      <c r="L340" s="141"/>
      <c r="M340" s="141"/>
      <c r="N340" s="141"/>
      <c r="O340" s="141"/>
      <c r="P340" s="141"/>
      <c r="Q340" s="141"/>
      <c r="R340" s="141"/>
      <c r="S340" s="141"/>
      <c r="T340" s="141"/>
      <c r="U340" s="141"/>
      <c r="V340" s="141"/>
      <c r="W340" s="141"/>
      <c r="X340" s="141"/>
      <c r="Y340" s="141"/>
      <c r="Z340" s="141"/>
    </row>
    <row r="341">
      <c r="A341" s="141"/>
      <c r="B341" s="141" t="str">
        <f>IFERROR(__xludf.DUMMYFUNCTION("""COMPUTED_VALUE"""),"Week [UO:0000034]                ")</f>
        <v>Week [UO:0000034]                </v>
      </c>
      <c r="C341" s="141" t="str">
        <f>IFERROR(__xludf.DUMMYFUNCTION("""COMPUTED_VALUE"""),"UO:0000034")</f>
        <v>UO:0000034</v>
      </c>
      <c r="D341" s="141" t="str">
        <f>IFERROR(__xludf.DUMMYFUNCTION("""COMPUTED_VALUE"""),"A time unit which is equal to 7 days.")</f>
        <v>A time unit which is equal to 7 days.</v>
      </c>
      <c r="E341" s="141"/>
      <c r="F341" s="141"/>
      <c r="G341" s="141"/>
      <c r="H341" s="141"/>
      <c r="I341" s="141"/>
      <c r="J341" s="141"/>
      <c r="K341" s="141"/>
      <c r="L341" s="141"/>
      <c r="M341" s="141"/>
      <c r="N341" s="141"/>
      <c r="O341" s="141"/>
      <c r="P341" s="141"/>
      <c r="Q341" s="141"/>
      <c r="R341" s="141"/>
      <c r="S341" s="141"/>
      <c r="T341" s="141"/>
      <c r="U341" s="141"/>
      <c r="V341" s="141"/>
      <c r="W341" s="141"/>
      <c r="X341" s="141"/>
      <c r="Y341" s="141"/>
      <c r="Z341" s="141"/>
    </row>
    <row r="342">
      <c r="A342" s="141"/>
      <c r="B342" s="141" t="str">
        <f>IFERROR(__xludf.DUMMYFUNCTION("""COMPUTED_VALUE"""),"Month [UO:0000035]                ")</f>
        <v>Month [UO:0000035]                </v>
      </c>
      <c r="C342" s="141" t="str">
        <f>IFERROR(__xludf.DUMMYFUNCTION("""COMPUTED_VALUE"""),"UO:0000035")</f>
        <v>UO:0000035</v>
      </c>
      <c r="D342" s="141" t="str">
        <f>IFERROR(__xludf.DUMMYFUNCTION("""COMPUTED_VALUE"""),"A time unit which is equal to approximately 4-4.5 weeks or 28-31 days.")</f>
        <v>A time unit which is equal to approximately 4-4.5 weeks or 28-31 days.</v>
      </c>
      <c r="E342" s="141"/>
      <c r="F342" s="141"/>
      <c r="G342" s="141"/>
      <c r="H342" s="141"/>
      <c r="I342" s="141"/>
      <c r="J342" s="141"/>
      <c r="K342" s="141"/>
      <c r="L342" s="141"/>
      <c r="M342" s="141"/>
      <c r="N342" s="141"/>
      <c r="O342" s="141"/>
      <c r="P342" s="141"/>
      <c r="Q342" s="141"/>
      <c r="R342" s="141"/>
      <c r="S342" s="141"/>
      <c r="T342" s="141"/>
      <c r="U342" s="141"/>
      <c r="V342" s="141"/>
      <c r="W342" s="141"/>
      <c r="X342" s="141"/>
      <c r="Y342" s="141"/>
      <c r="Z342" s="141"/>
    </row>
    <row r="343">
      <c r="A343" s="141"/>
      <c r="B343" s="141" t="str">
        <f>IFERROR(__xludf.DUMMYFUNCTION("""COMPUTED_VALUE"""),"Year [UO:0000036]                ")</f>
        <v>Year [UO:0000036]                </v>
      </c>
      <c r="C343" s="141" t="str">
        <f>IFERROR(__xludf.DUMMYFUNCTION("""COMPUTED_VALUE"""),"UO:0000036")</f>
        <v>UO:0000036</v>
      </c>
      <c r="D343" s="141" t="str">
        <f>IFERROR(__xludf.DUMMYFUNCTION("""COMPUTED_VALUE"""),"A time unit which is equal to 365 days, or 366 days during a leap year.")</f>
        <v>A time unit which is equal to 365 days, or 366 days during a leap year.</v>
      </c>
      <c r="E343" s="141"/>
      <c r="F343" s="141"/>
      <c r="G343" s="141"/>
      <c r="H343" s="141"/>
      <c r="I343" s="141"/>
      <c r="J343" s="141"/>
      <c r="K343" s="141"/>
      <c r="L343" s="141"/>
      <c r="M343" s="141"/>
      <c r="N343" s="141"/>
      <c r="O343" s="141"/>
      <c r="P343" s="141"/>
      <c r="Q343" s="141"/>
      <c r="R343" s="141"/>
      <c r="S343" s="141"/>
      <c r="T343" s="141"/>
      <c r="U343" s="141"/>
      <c r="V343" s="141"/>
      <c r="W343" s="141"/>
      <c r="X343" s="141"/>
      <c r="Y343" s="141"/>
      <c r="Z343" s="141"/>
    </row>
    <row r="344">
      <c r="A344" s="141" t="str">
        <f>IFERROR(__xludf.DUMMYFUNCTION("""COMPUTED_VALUE"""),"specimen processing menu")</f>
        <v>specimen processing menu</v>
      </c>
      <c r="B344" s="141" t="str">
        <f>IFERROR(__xludf.DUMMYFUNCTION("""COMPUTED_VALUE"""),"                ")</f>
        <v>                </v>
      </c>
      <c r="C344" s="141" t="str">
        <f>IFERROR(__xludf.DUMMYFUNCTION("""COMPUTED_VALUE"""),"")</f>
        <v/>
      </c>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c r="Z344" s="141"/>
    </row>
    <row r="345">
      <c r="A345" s="141"/>
      <c r="B345" s="141" t="str">
        <f>IFERROR(__xludf.DUMMYFUNCTION("""COMPUTED_VALUE"""),"Concentration [OBI:0600041]                ")</f>
        <v>Concentration [OBI:0600041]                </v>
      </c>
      <c r="C345" s="141" t="str">
        <f>IFERROR(__xludf.DUMMYFUNCTION("""COMPUTED_VALUE"""),"OBI:0600041")</f>
        <v>OBI:0600041</v>
      </c>
      <c r="D345" s="141" t="str">
        <f>IFERROR(__xludf.DUMMYFUNCTION("""COMPUTED_VALUE"""),"A process used to increase the density of a material of interest by removing other materials in the entity containing the material of interest.")</f>
        <v>A process used to increase the density of a material of interest by removing other materials in the entity containing the material of interest.</v>
      </c>
      <c r="E345" s="141"/>
      <c r="F345" s="141"/>
      <c r="G345" s="141"/>
      <c r="H345" s="141"/>
      <c r="I345" s="141"/>
      <c r="J345" s="141"/>
      <c r="K345" s="141"/>
      <c r="L345" s="141"/>
      <c r="M345" s="141"/>
      <c r="N345" s="141"/>
      <c r="O345" s="141"/>
      <c r="P345" s="141"/>
      <c r="Q345" s="141"/>
      <c r="R345" s="141"/>
      <c r="S345" s="141"/>
      <c r="T345" s="141"/>
      <c r="U345" s="141"/>
      <c r="V345" s="141"/>
      <c r="W345" s="141"/>
      <c r="X345" s="141"/>
      <c r="Y345" s="141"/>
      <c r="Z345" s="141"/>
    </row>
    <row r="346">
      <c r="A346" s="141"/>
      <c r="B346" s="141" t="str">
        <f>IFERROR(__xludf.DUMMYFUNCTION("""COMPUTED_VALUE"""),"Centrifugation [OBI:0302886]                ")</f>
        <v>Centrifugation [OBI:0302886]                </v>
      </c>
      <c r="C346" s="141" t="str">
        <f>IFERROR(__xludf.DUMMYFUNCTION("""COMPUTED_VALUE"""),"OBI:0302886")</f>
        <v>OBI:0302886</v>
      </c>
      <c r="D346" s="141" t="str">
        <f>IFERROR(__xludf.DUMMYFUNCTION("""COMPUTED_VALUE"""),"A process separating molecules by size or density using centrifugal forces generated by a spinning rotor.")</f>
        <v>A process separating molecules by size or density using centrifugal forces generated by a spinning rotor.</v>
      </c>
      <c r="E346" s="141"/>
      <c r="F346" s="141"/>
      <c r="G346" s="141"/>
      <c r="H346" s="141"/>
      <c r="I346" s="141"/>
      <c r="J346" s="141"/>
      <c r="K346" s="141"/>
      <c r="L346" s="141"/>
      <c r="M346" s="141"/>
      <c r="N346" s="141"/>
      <c r="O346" s="141"/>
      <c r="P346" s="141"/>
      <c r="Q346" s="141"/>
      <c r="R346" s="141"/>
      <c r="S346" s="141"/>
      <c r="T346" s="141"/>
      <c r="U346" s="141"/>
      <c r="V346" s="141"/>
      <c r="W346" s="141"/>
      <c r="X346" s="141"/>
      <c r="Y346" s="141"/>
      <c r="Z346" s="141"/>
    </row>
    <row r="347">
      <c r="A347" s="141"/>
      <c r="B347" s="141" t="str">
        <f>IFERROR(__xludf.DUMMYFUNCTION("""COMPUTED_VALUE"""),"Filtration [OBI:0302885]                ")</f>
        <v>Filtration [OBI:0302885]                </v>
      </c>
      <c r="C347" s="141" t="str">
        <f>IFERROR(__xludf.DUMMYFUNCTION("""COMPUTED_VALUE"""),"OBI:0302885")</f>
        <v>OBI:0302885</v>
      </c>
      <c r="D347" s="141" t="str">
        <f>IFERROR(__xludf.DUMMYFUNCTION("""COMPUTED_VALUE"""),"A process which separates components suspended in a fluid based on granularity properties relying on a filter device.")</f>
        <v>A process which separates components suspended in a fluid based on granularity properties relying on a filter device.</v>
      </c>
      <c r="E347" s="141"/>
      <c r="F347" s="141"/>
      <c r="G347" s="141"/>
      <c r="H347" s="141"/>
      <c r="I347" s="141"/>
      <c r="J347" s="141"/>
      <c r="K347" s="141"/>
      <c r="L347" s="141"/>
      <c r="M347" s="141"/>
      <c r="N347" s="141"/>
      <c r="O347" s="141"/>
      <c r="P347" s="141"/>
      <c r="Q347" s="141"/>
      <c r="R347" s="141"/>
      <c r="S347" s="141"/>
      <c r="T347" s="141"/>
      <c r="U347" s="141"/>
      <c r="V347" s="141"/>
      <c r="W347" s="141"/>
      <c r="X347" s="141"/>
      <c r="Y347" s="141"/>
      <c r="Z347" s="141"/>
    </row>
    <row r="348">
      <c r="A348" s="141"/>
      <c r="B348" s="141" t="str">
        <f>IFERROR(__xludf.DUMMYFUNCTION("""COMPUTED_VALUE"""),"Flocculation [NCIT:C154798]                ")</f>
        <v>Flocculation [NCIT:C154798]                </v>
      </c>
      <c r="C348" s="141" t="str">
        <f>IFERROR(__xludf.DUMMYFUNCTION("""COMPUTED_VALUE"""),"NCIT:C154798")</f>
        <v>NCIT:C154798</v>
      </c>
      <c r="D348" s="141" t="str">
        <f>IFERROR(__xludf.DUMMYFUNCTION("""COMPUTED_VALUE"""),"A process in which microscopic particles in suspension aggregate to form loosely clumped masses that are often macroscopically observable.")</f>
        <v>A process in which microscopic particles in suspension aggregate to form loosely clumped masses that are often macroscopically observable.</v>
      </c>
      <c r="E348" s="141"/>
      <c r="F348" s="141"/>
      <c r="G348" s="141"/>
      <c r="H348" s="141"/>
      <c r="I348" s="141"/>
      <c r="J348" s="141"/>
      <c r="K348" s="141"/>
      <c r="L348" s="141"/>
      <c r="M348" s="141"/>
      <c r="N348" s="141"/>
      <c r="O348" s="141"/>
      <c r="P348" s="141"/>
      <c r="Q348" s="141"/>
      <c r="R348" s="141"/>
      <c r="S348" s="141"/>
      <c r="T348" s="141"/>
      <c r="U348" s="141"/>
      <c r="V348" s="141"/>
      <c r="W348" s="141"/>
      <c r="X348" s="141"/>
      <c r="Y348" s="141"/>
      <c r="Z348" s="141"/>
    </row>
    <row r="349">
      <c r="A349" s="141"/>
      <c r="B349" s="141" t="str">
        <f>IFERROR(__xludf.DUMMYFUNCTION("""COMPUTED_VALUE"""),"Magnetic nanobead binding [GENEPIO:0100886]                ")</f>
        <v>Magnetic nanobead binding [GENEPIO:0100886]                </v>
      </c>
      <c r="C349" s="141" t="str">
        <f>IFERROR(__xludf.DUMMYFUNCTION("""COMPUTED_VALUE"""),"GENEPIO:0100886")</f>
        <v>GENEPIO:0100886</v>
      </c>
      <c r="D349" s="141" t="str">
        <f>IFERROR(__xludf.DUMMYFUNCTION("""COMPUTED_VALUE"""),"A process that uses nanobeads to bind to particles or microbes of interest.")</f>
        <v>A process that uses nanobeads to bind to particles or microbes of interest.</v>
      </c>
      <c r="E349" s="141"/>
      <c r="F349" s="141"/>
      <c r="G349" s="141"/>
      <c r="H349" s="141"/>
      <c r="I349" s="141"/>
      <c r="J349" s="141"/>
      <c r="K349" s="141"/>
      <c r="L349" s="141"/>
      <c r="M349" s="141"/>
      <c r="N349" s="141"/>
      <c r="O349" s="141"/>
      <c r="P349" s="141"/>
      <c r="Q349" s="141"/>
      <c r="R349" s="141"/>
      <c r="S349" s="141"/>
      <c r="T349" s="141"/>
      <c r="U349" s="141"/>
      <c r="V349" s="141"/>
      <c r="W349" s="141"/>
      <c r="X349" s="141"/>
      <c r="Y349" s="141"/>
      <c r="Z349" s="141"/>
    </row>
    <row r="350">
      <c r="A350" s="141"/>
      <c r="B350" s="141" t="str">
        <f>IFERROR(__xludf.DUMMYFUNCTION("""COMPUTED_VALUE"""),"Precipitation [OBI:0600034]                ")</f>
        <v>Precipitation [OBI:0600034]                </v>
      </c>
      <c r="C350" s="141" t="str">
        <f>IFERROR(__xludf.DUMMYFUNCTION("""COMPUTED_VALUE"""),"OBI:0600034")</f>
        <v>OBI:0600034</v>
      </c>
      <c r="D350" s="141" t="str">
        <f>IFERROR(__xludf.DUMMYFUNCTION("""COMPUTED_VALUE"""),"A protocol application to cause a material to precipitate (becoming a solid) out of solution.")</f>
        <v>A protocol application to cause a material to precipitate (becoming a solid) out of solution.</v>
      </c>
      <c r="E350" s="141"/>
      <c r="F350" s="141"/>
      <c r="G350" s="141"/>
      <c r="H350" s="141"/>
      <c r="I350" s="141"/>
      <c r="J350" s="141"/>
      <c r="K350" s="141"/>
      <c r="L350" s="141"/>
      <c r="M350" s="141"/>
      <c r="N350" s="141"/>
      <c r="O350" s="141"/>
      <c r="P350" s="141"/>
      <c r="Q350" s="141"/>
      <c r="R350" s="141"/>
      <c r="S350" s="141"/>
      <c r="T350" s="141"/>
      <c r="U350" s="141"/>
      <c r="V350" s="141"/>
      <c r="W350" s="141"/>
      <c r="X350" s="141"/>
      <c r="Y350" s="141"/>
      <c r="Z350" s="141"/>
    </row>
    <row r="351">
      <c r="A351" s="141"/>
      <c r="B351" s="141" t="str">
        <f>IFERROR(__xludf.DUMMYFUNCTION("""COMPUTED_VALUE"""),"Gravity separation [GENEPIO:0101011]                ")</f>
        <v>Gravity separation [GENEPIO:0101011]                </v>
      </c>
      <c r="C351" s="141" t="str">
        <f>IFERROR(__xludf.DUMMYFUNCTION("""COMPUTED_VALUE"""),"GENEPIO:0101011")</f>
        <v>GENEPIO:0101011</v>
      </c>
      <c r="D351" s="141" t="str">
        <f>IFERROR(__xludf.DUMMYFUNCTION("""COMPUTED_VALUE"""),"A process through which solids are separated from a liquid by allowing the solids to settle by gravity.")</f>
        <v>A process through which solids are separated from a liquid by allowing the solids to settle by gravity.</v>
      </c>
      <c r="E351" s="141"/>
      <c r="F351" s="141"/>
      <c r="G351" s="141"/>
      <c r="H351" s="141"/>
      <c r="I351" s="141"/>
      <c r="J351" s="141"/>
      <c r="K351" s="141"/>
      <c r="L351" s="141"/>
      <c r="M351" s="141"/>
      <c r="N351" s="141"/>
      <c r="O351" s="141"/>
      <c r="P351" s="141"/>
      <c r="Q351" s="141"/>
      <c r="R351" s="141"/>
      <c r="S351" s="141"/>
      <c r="T351" s="141"/>
      <c r="U351" s="141"/>
      <c r="V351" s="141"/>
      <c r="W351" s="141"/>
      <c r="X351" s="141"/>
      <c r="Y351" s="141"/>
      <c r="Z351" s="141"/>
    </row>
    <row r="352">
      <c r="A352" s="141"/>
      <c r="B352" s="141" t="str">
        <f>IFERROR(__xludf.DUMMYFUNCTION("""COMPUTED_VALUE"""),"Pasteurization [IDO:0100170]                ")</f>
        <v>Pasteurization [IDO:0100170]                </v>
      </c>
      <c r="C352" s="141" t="str">
        <f>IFERROR(__xludf.DUMMYFUNCTION("""COMPUTED_VALUE"""),"IDO:0100170")</f>
        <v>IDO:0100170</v>
      </c>
      <c r="D352" s="141" t="str">
        <f>IFERROR(__xludf.DUMMYFUNCTION("""COMPUTED_VALUE"""),"A planned process of heating a liquid entity, to a specific temperature of a defined length of time span, and then cooling it immediately. It has an objective of prevent the microbial's growth in the liquid entity, which is a specific input of this planne"&amp;"d process.")</f>
        <v>A planned process of heating a liquid entity, to a specific temperature of a defined length of time span, and then cooling it immediately. It has an objective of prevent the microbial's growth in the liquid entity, which is a specific input of this planned process.</v>
      </c>
      <c r="E352" s="141"/>
      <c r="F352" s="141"/>
      <c r="G352" s="141"/>
      <c r="H352" s="141"/>
      <c r="I352" s="141"/>
      <c r="J352" s="141"/>
      <c r="K352" s="141"/>
      <c r="L352" s="141"/>
      <c r="M352" s="141"/>
      <c r="N352" s="141"/>
      <c r="O352" s="141"/>
      <c r="P352" s="141"/>
      <c r="Q352" s="141"/>
      <c r="R352" s="141"/>
      <c r="S352" s="141"/>
      <c r="T352" s="141"/>
      <c r="U352" s="141"/>
      <c r="V352" s="141"/>
      <c r="W352" s="141"/>
      <c r="X352" s="141"/>
      <c r="Y352" s="141"/>
      <c r="Z352" s="141"/>
    </row>
    <row r="353">
      <c r="A353" s="141"/>
      <c r="B353" s="141" t="str">
        <f>IFERROR(__xludf.DUMMYFUNCTION("""COMPUTED_VALUE"""),"Growth in enrichment broth [GENEPIO:0101012]                ")</f>
        <v>Growth in enrichment broth [GENEPIO:0101012]                </v>
      </c>
      <c r="C353" s="141" t="str">
        <f>IFERROR(__xludf.DUMMYFUNCTION("""COMPUTED_VALUE"""),"GENEPIO:0101012")</f>
        <v>GENEPIO:0101012</v>
      </c>
      <c r="D353" s="141" t="str">
        <f>IFERROR(__xludf.DUMMYFUNCTION("""COMPUTED_VALUE"""),"A process in which microorganisms, present in a collected sample, undergo cultivation within a nutrient-rich liquid medium, that facilitates growth.")</f>
        <v>A process in which microorganisms, present in a collected sample, undergo cultivation within a nutrient-rich liquid medium, that facilitates growth.</v>
      </c>
      <c r="E353" s="141"/>
      <c r="F353" s="141"/>
      <c r="G353" s="141"/>
      <c r="H353" s="141"/>
      <c r="I353" s="141"/>
      <c r="J353" s="141"/>
      <c r="K353" s="141"/>
      <c r="L353" s="141"/>
      <c r="M353" s="141"/>
      <c r="N353" s="141"/>
      <c r="O353" s="141"/>
      <c r="P353" s="141"/>
      <c r="Q353" s="141"/>
      <c r="R353" s="141"/>
      <c r="S353" s="141"/>
      <c r="T353" s="141"/>
      <c r="U353" s="141"/>
      <c r="V353" s="141"/>
      <c r="W353" s="141"/>
      <c r="X353" s="141"/>
      <c r="Y353" s="141"/>
      <c r="Z353" s="141"/>
    </row>
    <row r="354">
      <c r="A354" s="141"/>
      <c r="B354" s="141" t="str">
        <f>IFERROR(__xludf.DUMMYFUNCTION("""COMPUTED_VALUE"""),"Pooling specimens [OBI:0600016]                ")</f>
        <v>Pooling specimens [OBI:0600016]                </v>
      </c>
      <c r="C354" s="141" t="str">
        <f>IFERROR(__xludf.DUMMYFUNCTION("""COMPUTED_VALUE"""),"OBI:0600016")</f>
        <v>OBI:0600016</v>
      </c>
      <c r="D354" s="141" t="str">
        <f>IFERROR(__xludf.DUMMYFUNCTION("""COMPUTED_VALUE"""),"Physical combination of several instances of like material.")</f>
        <v>Physical combination of several instances of like material.</v>
      </c>
      <c r="E354" s="141"/>
      <c r="F354" s="141"/>
      <c r="G354" s="141"/>
      <c r="H354" s="141"/>
      <c r="I354" s="141"/>
      <c r="J354" s="141"/>
      <c r="K354" s="141"/>
      <c r="L354" s="141"/>
      <c r="M354" s="141"/>
      <c r="N354" s="141"/>
      <c r="O354" s="141"/>
      <c r="P354" s="141"/>
      <c r="Q354" s="141"/>
      <c r="R354" s="141"/>
      <c r="S354" s="141"/>
      <c r="T354" s="141"/>
      <c r="U354" s="141"/>
      <c r="V354" s="141"/>
      <c r="W354" s="141"/>
      <c r="X354" s="141"/>
      <c r="Y354" s="141"/>
      <c r="Z354" s="141"/>
    </row>
    <row r="355">
      <c r="A355" s="141"/>
      <c r="B355" s="141" t="str">
        <f>IFERROR(__xludf.DUMMYFUNCTION("""COMPUTED_VALUE"""),"Technical replicate process [GENEPIO:0101021]                ")</f>
        <v>Technical replicate process [GENEPIO:0101021]                </v>
      </c>
      <c r="C355" s="141" t="str">
        <f>IFERROR(__xludf.DUMMYFUNCTION("""COMPUTED_VALUE"""),"GENEPIO:0101021")</f>
        <v>GENEPIO:0101021</v>
      </c>
      <c r="D355" s="141" t="str">
        <f>IFERROR(__xludf.DUMMYFUNCTION("""COMPUTED_VALUE"""),"A specimen collection process in which a replicate(s) is collected to assess technical variation within an experiment. For technical replicates the same BioSample is used e.g. the same pool of RNA is used to assess technical (as opposed to biological) var"&amp;"iation. ")</f>
        <v>A specimen collection process in which a replicate(s) is collected to assess technical variation within an experiment. For technical replicates the same BioSample is used e.g. the same pool of RNA is used to assess technical (as opposed to biological) variation. </v>
      </c>
      <c r="E355" s="141"/>
      <c r="F355" s="141"/>
      <c r="G355" s="141"/>
      <c r="H355" s="141"/>
      <c r="I355" s="141"/>
      <c r="J355" s="141"/>
      <c r="K355" s="141"/>
      <c r="L355" s="141"/>
      <c r="M355" s="141"/>
      <c r="N355" s="141"/>
      <c r="O355" s="141"/>
      <c r="P355" s="141"/>
      <c r="Q355" s="141"/>
      <c r="R355" s="141"/>
      <c r="S355" s="141"/>
      <c r="T355" s="141"/>
      <c r="U355" s="141"/>
      <c r="V355" s="141"/>
      <c r="W355" s="141"/>
      <c r="X355" s="141"/>
      <c r="Y355" s="141"/>
      <c r="Z355" s="141"/>
    </row>
    <row r="356">
      <c r="A356" s="141"/>
      <c r="B356" s="141" t="str">
        <f>IFERROR(__xludf.DUMMYFUNCTION("""COMPUTED_VALUE"""),"Biological replicate process [GENEPIO:0101022]                ")</f>
        <v>Biological replicate process [GENEPIO:0101022]                </v>
      </c>
      <c r="C356" s="141" t="str">
        <f>IFERROR(__xludf.DUMMYFUNCTION("""COMPUTED_VALUE"""),"GENEPIO:0101022")</f>
        <v>GENEPIO:0101022</v>
      </c>
      <c r="D356" s="141" t="str">
        <f>IFERROR(__xludf.DUMMYFUNCTION("""COMPUTED_VALUE"""),"A specimen collection process in which a replicate(s) is collected in parallel to assess for biological variation within an experiment. Biological replicates would have distinct BioSamples records.")</f>
        <v>A specimen collection process in which a replicate(s) is collected in parallel to assess for biological variation within an experiment. Biological replicates would have distinct BioSamples records.</v>
      </c>
      <c r="E356" s="141"/>
      <c r="F356" s="141"/>
      <c r="G356" s="141"/>
      <c r="H356" s="141"/>
      <c r="I356" s="141"/>
      <c r="J356" s="141"/>
      <c r="K356" s="141"/>
      <c r="L356" s="141"/>
      <c r="M356" s="141"/>
      <c r="N356" s="141"/>
      <c r="O356" s="141"/>
      <c r="P356" s="141"/>
      <c r="Q356" s="141"/>
      <c r="R356" s="141"/>
      <c r="S356" s="141"/>
      <c r="T356" s="141"/>
      <c r="U356" s="141"/>
      <c r="V356" s="141"/>
      <c r="W356" s="141"/>
      <c r="X356" s="141"/>
      <c r="Y356" s="141"/>
      <c r="Z356" s="141"/>
    </row>
    <row r="357">
      <c r="A357" s="141" t="str">
        <f>IFERROR(__xludf.DUMMYFUNCTION("""COMPUTED_VALUE"""),"environmental site menu")</f>
        <v>environmental site menu</v>
      </c>
      <c r="B357" s="141" t="str">
        <f>IFERROR(__xludf.DUMMYFUNCTION("""COMPUTED_VALUE"""),"                ")</f>
        <v>                </v>
      </c>
      <c r="C357" s="141" t="str">
        <f>IFERROR(__xludf.DUMMYFUNCTION("""COMPUTED_VALUE"""),"")</f>
        <v/>
      </c>
      <c r="D357" s="141"/>
      <c r="E357" s="141"/>
      <c r="F357" s="141"/>
      <c r="G357" s="141"/>
      <c r="H357" s="141"/>
      <c r="I357" s="141"/>
      <c r="J357" s="141"/>
      <c r="K357" s="141"/>
      <c r="L357" s="141"/>
      <c r="M357" s="141"/>
      <c r="N357" s="141"/>
      <c r="O357" s="141"/>
      <c r="P357" s="141"/>
      <c r="Q357" s="141"/>
      <c r="R357" s="141"/>
      <c r="S357" s="141"/>
      <c r="T357" s="141"/>
      <c r="U357" s="141"/>
      <c r="V357" s="141"/>
      <c r="W357" s="141"/>
      <c r="X357" s="141"/>
      <c r="Y357" s="141"/>
      <c r="Z357" s="141"/>
    </row>
    <row r="358">
      <c r="A358" s="141"/>
      <c r="B358" s="141" t="str">
        <f>IFERROR(__xludf.DUMMYFUNCTION("""COMPUTED_VALUE"""),"Correctional facility [ENVO:01001481]                ")</f>
        <v>Correctional facility [ENVO:01001481]                </v>
      </c>
      <c r="C358" s="141" t="str">
        <f>IFERROR(__xludf.DUMMYFUNCTION("""COMPUTED_VALUE"""),"ENVO:01001481")</f>
        <v>ENVO:01001481</v>
      </c>
      <c r="D358" s="141" t="str">
        <f>IFERROR(__xludf.DUMMYFUNCTION("""COMPUTED_VALUE"""),"A prison facility which is owned and operated by a state.")</f>
        <v>A prison facility which is owned and operated by a state.</v>
      </c>
      <c r="E358" s="141"/>
      <c r="F358" s="141"/>
      <c r="G358" s="141"/>
      <c r="H358" s="141"/>
      <c r="I358" s="141"/>
      <c r="J358" s="141"/>
      <c r="K358" s="141"/>
      <c r="L358" s="141"/>
      <c r="M358" s="141"/>
      <c r="N358" s="141"/>
      <c r="O358" s="141"/>
      <c r="P358" s="141"/>
      <c r="Q358" s="141"/>
      <c r="R358" s="141"/>
      <c r="S358" s="141"/>
      <c r="T358" s="141"/>
      <c r="U358" s="141"/>
      <c r="V358" s="141"/>
      <c r="W358" s="141"/>
      <c r="X358" s="141"/>
      <c r="Y358" s="141"/>
      <c r="Z358" s="141"/>
    </row>
    <row r="359">
      <c r="A359" s="141"/>
      <c r="B359" s="141" t="str">
        <f>IFERROR(__xludf.DUMMYFUNCTION("""COMPUTED_VALUE"""),"Healthcare facility [ENVO:03501134]                ")</f>
        <v>Healthcare facility [ENVO:03501134]                </v>
      </c>
      <c r="C359" s="141" t="str">
        <f>IFERROR(__xludf.DUMMYFUNCTION("""COMPUTED_VALUE"""),"ENVO:03501134")</f>
        <v>ENVO:03501134</v>
      </c>
      <c r="D359" s="141" t="str">
        <f>IFERROR(__xludf.DUMMYFUNCTION("""COMPUTED_VALUE"""),"A human construction in which healthcare is provided.")</f>
        <v>A human construction in which healthcare is provided.</v>
      </c>
      <c r="E359" s="141"/>
      <c r="F359" s="141"/>
      <c r="G359" s="141"/>
      <c r="H359" s="141"/>
      <c r="I359" s="141"/>
      <c r="J359" s="141"/>
      <c r="K359" s="141"/>
      <c r="L359" s="141"/>
      <c r="M359" s="141"/>
      <c r="N359" s="141"/>
      <c r="O359" s="141"/>
      <c r="P359" s="141"/>
      <c r="Q359" s="141"/>
      <c r="R359" s="141"/>
      <c r="S359" s="141"/>
      <c r="T359" s="141"/>
      <c r="U359" s="141"/>
      <c r="V359" s="141"/>
      <c r="W359" s="141"/>
      <c r="X359" s="141"/>
      <c r="Y359" s="141"/>
      <c r="Z359" s="141"/>
    </row>
    <row r="360">
      <c r="A360" s="141"/>
      <c r="B360" s="141" t="str">
        <f>IFERROR(__xludf.DUMMYFUNCTION("""COMPUTED_VALUE"""),"    Hospital [ENVO:00002173]            ")</f>
        <v>    Hospital [ENVO:00002173]            </v>
      </c>
      <c r="C360" s="141" t="str">
        <f>IFERROR(__xludf.DUMMYFUNCTION("""COMPUTED_VALUE"""),"ENVO:00002173")</f>
        <v>ENVO:00002173</v>
      </c>
      <c r="D360" s="141" t="str">
        <f>IFERROR(__xludf.DUMMYFUNCTION("""COMPUTED_VALUE"""),"A building in which health care services are provided by specialized staff and equipment.")</f>
        <v>A building in which health care services are provided by specialized staff and equipment.</v>
      </c>
      <c r="E360" s="141"/>
      <c r="F360" s="141"/>
      <c r="G360" s="141"/>
      <c r="H360" s="141"/>
      <c r="I360" s="141"/>
      <c r="J360" s="141"/>
      <c r="K360" s="141"/>
      <c r="L360" s="141"/>
      <c r="M360" s="141"/>
      <c r="N360" s="141"/>
      <c r="O360" s="141"/>
      <c r="P360" s="141"/>
      <c r="Q360" s="141"/>
      <c r="R360" s="141"/>
      <c r="S360" s="141"/>
      <c r="T360" s="141"/>
      <c r="U360" s="141"/>
      <c r="V360" s="141"/>
      <c r="W360" s="141"/>
      <c r="X360" s="141"/>
      <c r="Y360" s="141"/>
      <c r="Z360" s="141"/>
    </row>
    <row r="361">
      <c r="A361" s="141"/>
      <c r="B361" s="141" t="str">
        <f>IFERROR(__xludf.DUMMYFUNCTION("""COMPUTED_VALUE"""),"    Clinic [ENVO:03501182]            ")</f>
        <v>    Clinic [ENVO:03501182]            </v>
      </c>
      <c r="C361" s="141" t="str">
        <f>IFERROR(__xludf.DUMMYFUNCTION("""COMPUTED_VALUE"""),"ENVO:03501182")</f>
        <v>ENVO:03501182</v>
      </c>
      <c r="D361" s="141" t="str">
        <f>IFERROR(__xludf.DUMMYFUNCTION("""COMPUTED_VALUE"""),"A facility which is used to provide treatment, remedial work, and/or instruction.")</f>
        <v>A facility which is used to provide treatment, remedial work, and/or instruction.</v>
      </c>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1"/>
    </row>
    <row r="362">
      <c r="A362" s="141"/>
      <c r="B362" s="141" t="str">
        <f>IFERROR(__xludf.DUMMYFUNCTION("""COMPUTED_VALUE"""),"Educational facility [ENVO:03501129]                ")</f>
        <v>Educational facility [ENVO:03501129]                </v>
      </c>
      <c r="C362" s="141" t="str">
        <f>IFERROR(__xludf.DUMMYFUNCTION("""COMPUTED_VALUE"""),"ENVO:03501129")</f>
        <v>ENVO:03501129</v>
      </c>
      <c r="D362" s="141" t="str">
        <f>IFERROR(__xludf.DUMMYFUNCTION("""COMPUTED_VALUE"""),"A human construction in which people are educated.")</f>
        <v>A human construction in which people are educated.</v>
      </c>
      <c r="E362" s="141"/>
      <c r="F362" s="141"/>
      <c r="G362" s="141"/>
      <c r="H362" s="141"/>
      <c r="I362" s="141"/>
      <c r="J362" s="141"/>
      <c r="K362" s="141"/>
      <c r="L362" s="141"/>
      <c r="M362" s="141"/>
      <c r="N362" s="141"/>
      <c r="O362" s="141"/>
      <c r="P362" s="141"/>
      <c r="Q362" s="141"/>
      <c r="R362" s="141"/>
      <c r="S362" s="141"/>
      <c r="T362" s="141"/>
      <c r="U362" s="141"/>
      <c r="V362" s="141"/>
      <c r="W362" s="141"/>
      <c r="X362" s="141"/>
      <c r="Y362" s="141"/>
      <c r="Z362" s="141"/>
    </row>
    <row r="363">
      <c r="A363" s="141"/>
      <c r="B363" s="141" t="str">
        <f>IFERROR(__xludf.DUMMYFUNCTION("""COMPUTED_VALUE"""),"    Daycare facility [ENVO:03501335]            ")</f>
        <v>    Daycare facility [ENVO:03501335]            </v>
      </c>
      <c r="C363" s="141" t="str">
        <f>IFERROR(__xludf.DUMMYFUNCTION("""COMPUTED_VALUE"""),"ENVO:03501335")</f>
        <v>ENVO:03501335</v>
      </c>
      <c r="D363" s="141" t="str">
        <f>IFERROR(__xludf.DUMMYFUNCTION("""COMPUTED_VALUE"""),"A child care facility in which day care services are provided, by specialized staff and equipment, to a human child during the working day.")</f>
        <v>A child care facility in which day care services are provided, by specialized staff and equipment, to a human child during the working day.</v>
      </c>
      <c r="E363" s="141"/>
      <c r="F363" s="141"/>
      <c r="G363" s="141"/>
      <c r="H363" s="141"/>
      <c r="I363" s="141"/>
      <c r="J363" s="141"/>
      <c r="K363" s="141"/>
      <c r="L363" s="141"/>
      <c r="M363" s="141"/>
      <c r="N363" s="141"/>
      <c r="O363" s="141"/>
      <c r="P363" s="141"/>
      <c r="Q363" s="141"/>
      <c r="R363" s="141"/>
      <c r="S363" s="141"/>
      <c r="T363" s="141"/>
      <c r="U363" s="141"/>
      <c r="V363" s="141"/>
      <c r="W363" s="141"/>
      <c r="X363" s="141"/>
      <c r="Y363" s="141"/>
      <c r="Z363" s="141"/>
    </row>
    <row r="364">
      <c r="A364" s="141"/>
      <c r="B364" s="141" t="str">
        <f>IFERROR(__xludf.DUMMYFUNCTION("""COMPUTED_VALUE"""),"    School [ENVO:03501130]            ")</f>
        <v>    School [ENVO:03501130]            </v>
      </c>
      <c r="C364" s="141" t="str">
        <f>IFERROR(__xludf.DUMMYFUNCTION("""COMPUTED_VALUE"""),"ENVO:03501130")</f>
        <v>ENVO:03501130</v>
      </c>
      <c r="D364" s="141" t="str">
        <f>IFERROR(__xludf.DUMMYFUNCTION("""COMPUTED_VALUE"""),"An institutional building in which students are educated.")</f>
        <v>An institutional building in which students are educated.</v>
      </c>
      <c r="E364" s="141"/>
      <c r="F364" s="141"/>
      <c r="G364" s="141"/>
      <c r="H364" s="141"/>
      <c r="I364" s="141"/>
      <c r="J364" s="141"/>
      <c r="K364" s="141"/>
      <c r="L364" s="141"/>
      <c r="M364" s="141"/>
      <c r="N364" s="141"/>
      <c r="O364" s="141"/>
      <c r="P364" s="141"/>
      <c r="Q364" s="141"/>
      <c r="R364" s="141"/>
      <c r="S364" s="141"/>
      <c r="T364" s="141"/>
      <c r="U364" s="141"/>
      <c r="V364" s="141"/>
      <c r="W364" s="141"/>
      <c r="X364" s="141"/>
      <c r="Y364" s="141"/>
      <c r="Z364" s="141"/>
    </row>
    <row r="365">
      <c r="A365" s="141"/>
      <c r="B365" s="141" t="str">
        <f>IFERROR(__xludf.DUMMYFUNCTION("""COMPUTED_VALUE"""),"    College or university [ENVO:03501131]            ")</f>
        <v>    College or university [ENVO:03501131]            </v>
      </c>
      <c r="C365" s="141" t="str">
        <f>IFERROR(__xludf.DUMMYFUNCTION("""COMPUTED_VALUE"""),"ENVO:03501131")</f>
        <v>ENVO:03501131</v>
      </c>
      <c r="D365" s="141" t="str">
        <f>IFERROR(__xludf.DUMMYFUNCTION("""COMPUTED_VALUE"""),"An institutional building in which university services are performed.")</f>
        <v>An institutional building in which university services are performed.</v>
      </c>
      <c r="E365" s="141"/>
      <c r="F365" s="141"/>
      <c r="G365" s="141"/>
      <c r="H365" s="141"/>
      <c r="I365" s="141"/>
      <c r="J365" s="141"/>
      <c r="K365" s="141"/>
      <c r="L365" s="141"/>
      <c r="M365" s="141"/>
      <c r="N365" s="141"/>
      <c r="O365" s="141"/>
      <c r="P365" s="141"/>
      <c r="Q365" s="141"/>
      <c r="R365" s="141"/>
      <c r="S365" s="141"/>
      <c r="T365" s="141"/>
      <c r="U365" s="141"/>
      <c r="V365" s="141"/>
      <c r="W365" s="141"/>
      <c r="X365" s="141"/>
      <c r="Y365" s="141"/>
      <c r="Z365" s="141"/>
    </row>
    <row r="366">
      <c r="A366" s="141"/>
      <c r="B366" s="141" t="str">
        <f>IFERROR(__xludf.DUMMYFUNCTION("""COMPUTED_VALUE"""),"Commercial building [ENVO:01001222]                ")</f>
        <v>Commercial building [ENVO:01001222]                </v>
      </c>
      <c r="C366" s="141" t="str">
        <f>IFERROR(__xludf.DUMMYFUNCTION("""COMPUTED_VALUE"""),"ENVO:01001222")</f>
        <v>ENVO:01001222</v>
      </c>
      <c r="D366" s="141" t="str">
        <f>IFERROR(__xludf.DUMMYFUNCTION("""COMPUTED_VALUE"""),"A building which is primarily used to facilitate the buying or selling of goods or services. ""Commerce includes legal, economic, political, social, cultural and technological systems that are in operation in any country or internationally.""")</f>
        <v>A building which is primarily used to facilitate the buying or selling of goods or services. "Commerce includes legal, economic, political, social, cultural and technological systems that are in operation in any country or internationally."</v>
      </c>
      <c r="E366" s="141"/>
      <c r="F366" s="141"/>
      <c r="G366" s="141"/>
      <c r="H366" s="141"/>
      <c r="I366" s="141"/>
      <c r="J366" s="141"/>
      <c r="K366" s="141"/>
      <c r="L366" s="141"/>
      <c r="M366" s="141"/>
      <c r="N366" s="141"/>
      <c r="O366" s="141"/>
      <c r="P366" s="141"/>
      <c r="Q366" s="141"/>
      <c r="R366" s="141"/>
      <c r="S366" s="141"/>
      <c r="T366" s="141"/>
      <c r="U366" s="141"/>
      <c r="V366" s="141"/>
      <c r="W366" s="141"/>
      <c r="X366" s="141"/>
      <c r="Y366" s="141"/>
      <c r="Z366" s="141"/>
    </row>
    <row r="367">
      <c r="A367" s="141"/>
      <c r="B367" s="141" t="str">
        <f>IFERROR(__xludf.DUMMYFUNCTION("""COMPUTED_VALUE"""),"    Office [ENVO:01001221]            ")</f>
        <v>    Office [ENVO:01001221]            </v>
      </c>
      <c r="C367" s="141" t="str">
        <f>IFERROR(__xludf.DUMMYFUNCTION("""COMPUTED_VALUE"""),"ENVO:01001221")</f>
        <v>ENVO:01001221</v>
      </c>
      <c r="D367" s="141" t="str">
        <f>IFERROR(__xludf.DUMMYFUNCTION("""COMPUTED_VALUE"""),"A commercial building which contains parts used as workplaces primarily for administrative and managerial workers. ""An office building will be divided into sections for different companies or may be dedicated to one company. In either case, each company "&amp;"will typically have a reception area, one or several meeting rooms, singular or open-plan offices, as well as toilets.""")</f>
        <v>A commercial building which contains parts used as workplaces primarily for administrative and managerial workers. "An office building will be divided into sections for different companies or may be dedicated to one company. In either case, each company will typically have a reception area, one or several meeting rooms, singular or open-plan offices, as well as toilets."</v>
      </c>
      <c r="E367" s="141"/>
      <c r="F367" s="141"/>
      <c r="G367" s="141"/>
      <c r="H367" s="141"/>
      <c r="I367" s="141"/>
      <c r="J367" s="141"/>
      <c r="K367" s="141"/>
      <c r="L367" s="141"/>
      <c r="M367" s="141"/>
      <c r="N367" s="141"/>
      <c r="O367" s="141"/>
      <c r="P367" s="141"/>
      <c r="Q367" s="141"/>
      <c r="R367" s="141"/>
      <c r="S367" s="141"/>
      <c r="T367" s="141"/>
      <c r="U367" s="141"/>
      <c r="V367" s="141"/>
      <c r="W367" s="141"/>
      <c r="X367" s="141"/>
      <c r="Y367" s="141"/>
      <c r="Z367" s="141"/>
    </row>
    <row r="368">
      <c r="A368" s="141"/>
      <c r="B368" s="141" t="str">
        <f>IFERROR(__xludf.DUMMYFUNCTION("""COMPUTED_VALUE"""),"    Restaurant [ENVO:01000934]            ")</f>
        <v>    Restaurant [ENVO:01000934]            </v>
      </c>
      <c r="C368" s="141" t="str">
        <f>IFERROR(__xludf.DUMMYFUNCTION("""COMPUTED_VALUE"""),"ENVO:01000934")</f>
        <v>ENVO:01000934</v>
      </c>
      <c r="D368" s="141" t="str">
        <f>IFERROR(__xludf.DUMMYFUNCTION("""COMPUTED_VALUE"""),"A building within which food and drink are prepared and served to customers in exchange for money or other goods and/or services.")</f>
        <v>A building within which food and drink are prepared and served to customers in exchange for money or other goods and/or services.</v>
      </c>
      <c r="E368" s="141"/>
      <c r="F368" s="141"/>
      <c r="G368" s="141"/>
      <c r="H368" s="141"/>
      <c r="I368" s="141"/>
      <c r="J368" s="141"/>
      <c r="K368" s="141"/>
      <c r="L368" s="141"/>
      <c r="M368" s="141"/>
      <c r="N368" s="141"/>
      <c r="O368" s="141"/>
      <c r="P368" s="141"/>
      <c r="Q368" s="141"/>
      <c r="R368" s="141"/>
      <c r="S368" s="141"/>
      <c r="T368" s="141"/>
      <c r="U368" s="141"/>
      <c r="V368" s="141"/>
      <c r="W368" s="141"/>
      <c r="X368" s="141"/>
      <c r="Y368" s="141"/>
      <c r="Z368" s="141"/>
    </row>
    <row r="369">
      <c r="A369" s="141"/>
      <c r="B369" s="141" t="str">
        <f>IFERROR(__xludf.DUMMYFUNCTION("""COMPUTED_VALUE"""),"    Shopping mall [ENVO:03501207]            ")</f>
        <v>    Shopping mall [ENVO:03501207]            </v>
      </c>
      <c r="C369" s="141" t="str">
        <f>IFERROR(__xludf.DUMMYFUNCTION("""COMPUTED_VALUE"""),"ENVO:03501207")</f>
        <v>ENVO:03501207</v>
      </c>
      <c r="D369" s="141" t="str">
        <f>IFERROR(__xludf.DUMMYFUNCTION("""COMPUTED_VALUE"""),"A shopping center in which a large indoor pedestrian promenade provides access to stores and other facilities.")</f>
        <v>A shopping center in which a large indoor pedestrian promenade provides access to stores and other facilities.</v>
      </c>
      <c r="E369" s="141"/>
      <c r="F369" s="141"/>
      <c r="G369" s="141"/>
      <c r="H369" s="141"/>
      <c r="I369" s="141"/>
      <c r="J369" s="141"/>
      <c r="K369" s="141"/>
      <c r="L369" s="141"/>
      <c r="M369" s="141"/>
      <c r="N369" s="141"/>
      <c r="O369" s="141"/>
      <c r="P369" s="141"/>
      <c r="Q369" s="141"/>
      <c r="R369" s="141"/>
      <c r="S369" s="141"/>
      <c r="T369" s="141"/>
      <c r="U369" s="141"/>
      <c r="V369" s="141"/>
      <c r="W369" s="141"/>
      <c r="X369" s="141"/>
      <c r="Y369" s="141"/>
      <c r="Z369" s="141"/>
    </row>
    <row r="370">
      <c r="A370" s="141"/>
      <c r="B370" s="141" t="str">
        <f>IFERROR(__xludf.DUMMYFUNCTION("""COMPUTED_VALUE"""),"Residential building [ENVO:01000933]                ")</f>
        <v>Residential building [ENVO:01000933]                </v>
      </c>
      <c r="C370" s="141" t="str">
        <f>IFERROR(__xludf.DUMMYFUNCTION("""COMPUTED_VALUE"""),"ENVO:01000933")</f>
        <v>ENVO:01000933</v>
      </c>
      <c r="D370" s="141" t="str">
        <f>IFERROR(__xludf.DUMMYFUNCTION("""COMPUTED_VALUE"""),"A human house which serves as a long-term shelter for its inhabitants and within which they store personal property.")</f>
        <v>A human house which serves as a long-term shelter for its inhabitants and within which they store personal property.</v>
      </c>
      <c r="E370" s="141"/>
      <c r="F370" s="141"/>
      <c r="G370" s="141"/>
      <c r="H370" s="141"/>
      <c r="I370" s="141"/>
      <c r="J370" s="141"/>
      <c r="K370" s="141"/>
      <c r="L370" s="141"/>
      <c r="M370" s="141"/>
      <c r="N370" s="141"/>
      <c r="O370" s="141"/>
      <c r="P370" s="141"/>
      <c r="Q370" s="141"/>
      <c r="R370" s="141"/>
      <c r="S370" s="141"/>
      <c r="T370" s="141"/>
      <c r="U370" s="141"/>
      <c r="V370" s="141"/>
      <c r="W370" s="141"/>
      <c r="X370" s="141"/>
      <c r="Y370" s="141"/>
      <c r="Z370" s="141"/>
    </row>
    <row r="371">
      <c r="A371" s="141"/>
      <c r="B371" s="141" t="str">
        <f>IFERROR(__xludf.DUMMYFUNCTION("""COMPUTED_VALUE"""),"    Homeless shelter [ENVO:03501133]            ")</f>
        <v>    Homeless shelter [ENVO:03501133]            </v>
      </c>
      <c r="C371" s="141" t="str">
        <f>IFERROR(__xludf.DUMMYFUNCTION("""COMPUTED_VALUE"""),"ENVO:03501133")</f>
        <v>ENVO:03501133</v>
      </c>
      <c r="D371" s="141" t="str">
        <f>IFERROR(__xludf.DUMMYFUNCTION("""COMPUTED_VALUE"""),"An institutional building which temporarily houses homeless people.")</f>
        <v>An institutional building which temporarily houses homeless people.</v>
      </c>
      <c r="E371" s="141"/>
      <c r="F371" s="141"/>
      <c r="G371" s="141"/>
      <c r="H371" s="141"/>
      <c r="I371" s="141"/>
      <c r="J371" s="141"/>
      <c r="K371" s="141"/>
      <c r="L371" s="141"/>
      <c r="M371" s="141"/>
      <c r="N371" s="141"/>
      <c r="O371" s="141"/>
      <c r="P371" s="141"/>
      <c r="Q371" s="141"/>
      <c r="R371" s="141"/>
      <c r="S371" s="141"/>
      <c r="T371" s="141"/>
      <c r="U371" s="141"/>
      <c r="V371" s="141"/>
      <c r="W371" s="141"/>
      <c r="X371" s="141"/>
      <c r="Y371" s="141"/>
      <c r="Z371" s="141"/>
    </row>
    <row r="372">
      <c r="A372" s="141"/>
      <c r="B372" s="141" t="str">
        <f>IFERROR(__xludf.DUMMYFUNCTION("""COMPUTED_VALUE"""),"    Long-term care facility [ENVO:01000932]            ")</f>
        <v>    Long-term care facility [ENVO:01000932]            </v>
      </c>
      <c r="C372" s="141" t="str">
        <f>IFERROR(__xludf.DUMMYFUNCTION("""COMPUTED_VALUE"""),"ENVO:01000932")</f>
        <v>ENVO:01000932</v>
      </c>
      <c r="D372" s="141" t="str">
        <f>IFERROR(__xludf.DUMMYFUNCTION("""COMPUTED_VALUE"""),"A building in which nursing aides and skilled nurses provide care and treatment to residents who have significant difficulty coping with the required activities of daily living.")</f>
        <v>A building in which nursing aides and skilled nurses provide care and treatment to residents who have significant difficulty coping with the required activities of daily living.</v>
      </c>
      <c r="E372" s="141"/>
      <c r="F372" s="141"/>
      <c r="G372" s="141"/>
      <c r="H372" s="141"/>
      <c r="I372" s="141"/>
      <c r="J372" s="141"/>
      <c r="K372" s="141"/>
      <c r="L372" s="141"/>
      <c r="M372" s="141"/>
      <c r="N372" s="141"/>
      <c r="O372" s="141"/>
      <c r="P372" s="141"/>
      <c r="Q372" s="141"/>
      <c r="R372" s="141"/>
      <c r="S372" s="141"/>
      <c r="T372" s="141"/>
      <c r="U372" s="141"/>
      <c r="V372" s="141"/>
      <c r="W372" s="141"/>
      <c r="X372" s="141"/>
      <c r="Y372" s="141"/>
      <c r="Z372" s="141"/>
    </row>
    <row r="373">
      <c r="A373" s="141"/>
      <c r="B373" s="141" t="str">
        <f>IFERROR(__xludf.DUMMYFUNCTION("""COMPUTED_VALUE"""),"Transport hub [ENVO:03501117]                ")</f>
        <v>Transport hub [ENVO:03501117]                </v>
      </c>
      <c r="C373" s="141" t="str">
        <f>IFERROR(__xludf.DUMMYFUNCTION("""COMPUTED_VALUE"""),"ENVO:03501117")</f>
        <v>ENVO:03501117</v>
      </c>
      <c r="D373" s="141" t="str">
        <f>IFERROR(__xludf.DUMMYFUNCTION("""COMPUTED_VALUE"""),"A place where passengers and cargo are exchanged between vehicles or/and between transport modes.")</f>
        <v>A place where passengers and cargo are exchanged between vehicles or/and between transport modes.</v>
      </c>
      <c r="E373" s="141"/>
      <c r="F373" s="141"/>
      <c r="G373" s="141"/>
      <c r="H373" s="141"/>
      <c r="I373" s="141"/>
      <c r="J373" s="141"/>
      <c r="K373" s="141"/>
      <c r="L373" s="141"/>
      <c r="M373" s="141"/>
      <c r="N373" s="141"/>
      <c r="O373" s="141"/>
      <c r="P373" s="141"/>
      <c r="Q373" s="141"/>
      <c r="R373" s="141"/>
      <c r="S373" s="141"/>
      <c r="T373" s="141"/>
      <c r="U373" s="141"/>
      <c r="V373" s="141"/>
      <c r="W373" s="141"/>
      <c r="X373" s="141"/>
      <c r="Y373" s="141"/>
      <c r="Z373" s="141"/>
    </row>
    <row r="374">
      <c r="A374" s="141"/>
      <c r="B374" s="141" t="str">
        <f>IFERROR(__xludf.DUMMYFUNCTION("""COMPUTED_VALUE"""),"    Airport [ENVO:03501122]            ")</f>
        <v>    Airport [ENVO:03501122]            </v>
      </c>
      <c r="C374" s="141" t="str">
        <f>IFERROR(__xludf.DUMMYFUNCTION("""COMPUTED_VALUE"""),"ENVO:03501122")</f>
        <v>ENVO:03501122</v>
      </c>
      <c r="D374" s="141" t="str">
        <f>IFERROR(__xludf.DUMMYFUNCTION("""COMPUTED_VALUE"""),"A human construction with extended facilities from which aircraft flight operations take place.")</f>
        <v>A human construction with extended facilities from which aircraft flight operations take place.</v>
      </c>
      <c r="E374" s="141"/>
      <c r="F374" s="141"/>
      <c r="G374" s="141"/>
      <c r="H374" s="141"/>
      <c r="I374" s="141"/>
      <c r="J374" s="141"/>
      <c r="K374" s="141"/>
      <c r="L374" s="141"/>
      <c r="M374" s="141"/>
      <c r="N374" s="141"/>
      <c r="O374" s="141"/>
      <c r="P374" s="141"/>
      <c r="Q374" s="141"/>
      <c r="R374" s="141"/>
      <c r="S374" s="141"/>
      <c r="T374" s="141"/>
      <c r="U374" s="141"/>
      <c r="V374" s="141"/>
      <c r="W374" s="141"/>
      <c r="X374" s="141"/>
      <c r="Y374" s="141"/>
      <c r="Z374" s="141"/>
    </row>
    <row r="375">
      <c r="A375" s="141"/>
      <c r="B375" s="141" t="str">
        <f>IFERROR(__xludf.DUMMYFUNCTION("""COMPUTED_VALUE"""),"Farm [ENVO:00000078]                ")</f>
        <v>Farm [ENVO:00000078]                </v>
      </c>
      <c r="C375" s="141" t="str">
        <f>IFERROR(__xludf.DUMMYFUNCTION("""COMPUTED_VALUE"""),"ENVO:00000078")</f>
        <v>ENVO:00000078</v>
      </c>
      <c r="D375" s="141" t="str">
        <f>IFERROR(__xludf.DUMMYFUNCTION("""COMPUTED_VALUE"""),"An area of land which is used for the cultivation of crops or grazing of livestock, including any agricultural constructions therein.")</f>
        <v>An area of land which is used for the cultivation of crops or grazing of livestock, including any agricultural constructions therein.</v>
      </c>
      <c r="E375" s="141"/>
      <c r="F375" s="141"/>
      <c r="G375" s="141"/>
      <c r="H375" s="141"/>
      <c r="I375" s="141"/>
      <c r="J375" s="141"/>
      <c r="K375" s="141"/>
      <c r="L375" s="141"/>
      <c r="M375" s="141"/>
      <c r="N375" s="141"/>
      <c r="O375" s="141"/>
      <c r="P375" s="141"/>
      <c r="Q375" s="141"/>
      <c r="R375" s="141"/>
      <c r="S375" s="141"/>
      <c r="T375" s="141"/>
      <c r="U375" s="141"/>
      <c r="V375" s="141"/>
      <c r="W375" s="141"/>
      <c r="X375" s="141"/>
      <c r="Y375" s="141"/>
      <c r="Z375" s="141"/>
    </row>
    <row r="376">
      <c r="A376" s="141"/>
      <c r="B376" s="141" t="str">
        <f>IFERROR(__xludf.DUMMYFUNCTION("""COMPUTED_VALUE"""),"Refugee camp [NCIT:C85867]                ")</f>
        <v>Refugee camp [NCIT:C85867]                </v>
      </c>
      <c r="C376" s="141" t="str">
        <f>IFERROR(__xludf.DUMMYFUNCTION("""COMPUTED_VALUE"""),"NCIT:C85867")</f>
        <v>NCIT:C85867</v>
      </c>
      <c r="D376" s="141" t="str">
        <f>IFERROR(__xludf.DUMMYFUNCTION("""COMPUTED_VALUE"""),"A temporary, often makeshift shelter for persons displaced by war, political oppression, or for religious beliefs.")</f>
        <v>A temporary, often makeshift shelter for persons displaced by war, political oppression, or for religious beliefs.</v>
      </c>
      <c r="E376" s="141"/>
      <c r="F376" s="141"/>
      <c r="G376" s="141"/>
      <c r="H376" s="141"/>
      <c r="I376" s="141"/>
      <c r="J376" s="141"/>
      <c r="K376" s="141"/>
      <c r="L376" s="141"/>
      <c r="M376" s="141"/>
      <c r="N376" s="141"/>
      <c r="O376" s="141"/>
      <c r="P376" s="141"/>
      <c r="Q376" s="141"/>
      <c r="R376" s="141"/>
      <c r="S376" s="141"/>
      <c r="T376" s="141"/>
      <c r="U376" s="141"/>
      <c r="V376" s="141"/>
      <c r="W376" s="141"/>
      <c r="X376" s="141"/>
      <c r="Y376" s="141"/>
      <c r="Z376" s="141"/>
    </row>
    <row r="377">
      <c r="A377" s="141"/>
      <c r="B377" s="141" t="str">
        <f>IFERROR(__xludf.DUMMYFUNCTION("""COMPUTED_VALUE"""),"Road [ENVO:00000064]                ")</f>
        <v>Road [ENVO:00000064]                </v>
      </c>
      <c r="C377" s="141" t="str">
        <f>IFERROR(__xludf.DUMMYFUNCTION("""COMPUTED_VALUE"""),"ENVO:00000064")</f>
        <v>ENVO:00000064</v>
      </c>
      <c r="D377" s="141" t="str">
        <f>IFERROR(__xludf.DUMMYFUNCTION("""COMPUTED_VALUE"""),"An open way for the passage of vehicles, persons, or animals on land.")</f>
        <v>An open way for the passage of vehicles, persons, or animals on land.</v>
      </c>
      <c r="E377" s="141"/>
      <c r="F377" s="141"/>
      <c r="G377" s="141"/>
      <c r="H377" s="141"/>
      <c r="I377" s="141"/>
      <c r="J377" s="141"/>
      <c r="K377" s="141"/>
      <c r="L377" s="141"/>
      <c r="M377" s="141"/>
      <c r="N377" s="141"/>
      <c r="O377" s="141"/>
      <c r="P377" s="141"/>
      <c r="Q377" s="141"/>
      <c r="R377" s="141"/>
      <c r="S377" s="141"/>
      <c r="T377" s="141"/>
      <c r="U377" s="141"/>
      <c r="V377" s="141"/>
      <c r="W377" s="141"/>
      <c r="X377" s="141"/>
      <c r="Y377" s="141"/>
      <c r="Z377" s="141"/>
    </row>
    <row r="378">
      <c r="A378" s="141"/>
      <c r="B378" s="141" t="str">
        <f>IFERROR(__xludf.DUMMYFUNCTION("""COMPUTED_VALUE"""),"Roadside [ENVO:01000447]                ")</f>
        <v>Roadside [ENVO:01000447]                </v>
      </c>
      <c r="C378" s="141" t="str">
        <f>IFERROR(__xludf.DUMMYFUNCTION("""COMPUTED_VALUE"""),"ENVO:01000447")</f>
        <v>ENVO:01000447</v>
      </c>
      <c r="D378" s="141" t="str">
        <f>IFERROR(__xludf.DUMMYFUNCTION("""COMPUTED_VALUE"""),"An environmental zone of varying area which is adjacent to a road.")</f>
        <v>An environmental zone of varying area which is adjacent to a road.</v>
      </c>
      <c r="E378" s="141"/>
      <c r="F378" s="141"/>
      <c r="G378" s="141"/>
      <c r="H378" s="141"/>
      <c r="I378" s="141"/>
      <c r="J378" s="141"/>
      <c r="K378" s="141"/>
      <c r="L378" s="141"/>
      <c r="M378" s="141"/>
      <c r="N378" s="141"/>
      <c r="O378" s="141"/>
      <c r="P378" s="141"/>
      <c r="Q378" s="141"/>
      <c r="R378" s="141"/>
      <c r="S378" s="141"/>
      <c r="T378" s="141"/>
      <c r="U378" s="141"/>
      <c r="V378" s="141"/>
      <c r="W378" s="141"/>
      <c r="X378" s="141"/>
      <c r="Y378" s="141"/>
      <c r="Z378" s="141"/>
    </row>
    <row r="379">
      <c r="A379" s="141"/>
      <c r="B379" s="141" t="str">
        <f>IFERROR(__xludf.DUMMYFUNCTION("""COMPUTED_VALUE"""),"Industrial plant [ENVO:00003861]                ")</f>
        <v>Industrial plant [ENVO:00003861]                </v>
      </c>
      <c r="C379" s="141" t="str">
        <f>IFERROR(__xludf.DUMMYFUNCTION("""COMPUTED_VALUE"""),"ENVO:00003861")</f>
        <v>ENVO:00003861</v>
      </c>
      <c r="D379" s="141" t="str">
        <f>IFERROR(__xludf.DUMMYFUNCTION("""COMPUTED_VALUE"""),"A building within which goods are produced and, optionally, stored or within which services are rendered.")</f>
        <v>A building within which goods are produced and, optionally, stored or within which services are rendered.</v>
      </c>
      <c r="E379" s="141"/>
      <c r="F379" s="141"/>
      <c r="G379" s="141"/>
      <c r="H379" s="141"/>
      <c r="I379" s="141"/>
      <c r="J379" s="141"/>
      <c r="K379" s="141"/>
      <c r="L379" s="141"/>
      <c r="M379" s="141"/>
      <c r="N379" s="141"/>
      <c r="O379" s="141"/>
      <c r="P379" s="141"/>
      <c r="Q379" s="141"/>
      <c r="R379" s="141"/>
      <c r="S379" s="141"/>
      <c r="T379" s="141"/>
      <c r="U379" s="141"/>
      <c r="V379" s="141"/>
      <c r="W379" s="141"/>
      <c r="X379" s="141"/>
      <c r="Y379" s="141"/>
      <c r="Z379" s="141"/>
    </row>
    <row r="380">
      <c r="A380" s="141"/>
      <c r="B380" s="141" t="str">
        <f>IFERROR(__xludf.DUMMYFUNCTION("""COMPUTED_VALUE"""),"    Meat processing plant [ENVO:03501297]            ")</f>
        <v>    Meat processing plant [ENVO:03501297]            </v>
      </c>
      <c r="C380" s="141" t="str">
        <f>IFERROR(__xludf.DUMMYFUNCTION("""COMPUTED_VALUE"""),"ENVO:03501297")</f>
        <v>ENVO:03501297</v>
      </c>
      <c r="D380" s="141" t="str">
        <f>IFERROR(__xludf.DUMMYFUNCTION("""COMPUTED_VALUE"""),"A processing plant for slaughtering, processing, packaging, labelling, handling, and storing of food animal carcasses, parts of carcasses, and meat products.")</f>
        <v>A processing plant for slaughtering, processing, packaging, labelling, handling, and storing of food animal carcasses, parts of carcasses, and meat products.</v>
      </c>
      <c r="E380" s="141"/>
      <c r="F380" s="141"/>
      <c r="G380" s="141"/>
      <c r="H380" s="141"/>
      <c r="I380" s="141"/>
      <c r="J380" s="141"/>
      <c r="K380" s="141"/>
      <c r="L380" s="141"/>
      <c r="M380" s="141"/>
      <c r="N380" s="141"/>
      <c r="O380" s="141"/>
      <c r="P380" s="141"/>
      <c r="Q380" s="141"/>
      <c r="R380" s="141"/>
      <c r="S380" s="141"/>
      <c r="T380" s="141"/>
      <c r="U380" s="141"/>
      <c r="V380" s="141"/>
      <c r="W380" s="141"/>
      <c r="X380" s="141"/>
      <c r="Y380" s="141"/>
      <c r="Z380" s="141"/>
    </row>
    <row r="381">
      <c r="A381" s="141"/>
      <c r="B381" s="141" t="str">
        <f>IFERROR(__xludf.DUMMYFUNCTION("""COMPUTED_VALUE"""),"    Pharmaceutical manufacturing plant [ENVO:03501450]            ")</f>
        <v>    Pharmaceutical manufacturing plant [ENVO:03501450]            </v>
      </c>
      <c r="C381" s="141" t="str">
        <f>IFERROR(__xludf.DUMMYFUNCTION("""COMPUTED_VALUE"""),"ENVO:03501450")</f>
        <v>ENVO:03501450</v>
      </c>
      <c r="D381" s="141" t="str">
        <f>IFERROR(__xludf.DUMMYFUNCTION("""COMPUTED_VALUE"""),"An industrial building in which pharamceutical drugs are synthesised and processed on an industrial scale.")</f>
        <v>An industrial building in which pharamceutical drugs are synthesised and processed on an industrial scale.</v>
      </c>
      <c r="E381" s="141"/>
      <c r="F381" s="141"/>
      <c r="G381" s="141"/>
      <c r="H381" s="141"/>
      <c r="I381" s="141"/>
      <c r="J381" s="141"/>
      <c r="K381" s="141"/>
      <c r="L381" s="141"/>
      <c r="M381" s="141"/>
      <c r="N381" s="141"/>
      <c r="O381" s="141"/>
      <c r="P381" s="141"/>
      <c r="Q381" s="141"/>
      <c r="R381" s="141"/>
      <c r="S381" s="141"/>
      <c r="T381" s="141"/>
      <c r="U381" s="141"/>
      <c r="V381" s="141"/>
      <c r="W381" s="141"/>
      <c r="X381" s="141"/>
      <c r="Y381" s="141"/>
      <c r="Z381" s="141"/>
    </row>
    <row r="382">
      <c r="A382" s="141"/>
      <c r="B382" s="141" t="str">
        <f>IFERROR(__xludf.DUMMYFUNCTION("""COMPUTED_VALUE"""),"Body of water [ENVO:00000063]                ")</f>
        <v>Body of water [ENVO:00000063]                </v>
      </c>
      <c r="C382" s="141" t="str">
        <f>IFERROR(__xludf.DUMMYFUNCTION("""COMPUTED_VALUE"""),"ENVO:00000063")</f>
        <v>ENVO:00000063</v>
      </c>
      <c r="D382" s="141" t="str">
        <f>IFERROR(__xludf.DUMMYFUNCTION("""COMPUTED_VALUE"""),"An accumulation of water of varying size.")</f>
        <v>An accumulation of water of varying size.</v>
      </c>
      <c r="E382" s="141"/>
      <c r="F382" s="141"/>
      <c r="G382" s="141"/>
      <c r="H382" s="141"/>
      <c r="I382" s="141"/>
      <c r="J382" s="141"/>
      <c r="K382" s="141"/>
      <c r="L382" s="141"/>
      <c r="M382" s="141"/>
      <c r="N382" s="141"/>
      <c r="O382" s="141"/>
      <c r="P382" s="141"/>
      <c r="Q382" s="141"/>
      <c r="R382" s="141"/>
      <c r="S382" s="141"/>
      <c r="T382" s="141"/>
      <c r="U382" s="141"/>
      <c r="V382" s="141"/>
      <c r="W382" s="141"/>
      <c r="X382" s="141"/>
      <c r="Y382" s="141"/>
      <c r="Z382" s="141"/>
    </row>
    <row r="383">
      <c r="A383" s="141"/>
      <c r="B383" s="141" t="str">
        <f>IFERROR(__xludf.DUMMYFUNCTION("""COMPUTED_VALUE"""),"    Surface water  [ENVO:00002042]            ")</f>
        <v>    Surface water  [ENVO:00002042]            </v>
      </c>
      <c r="C383" s="141" t="str">
        <f>IFERROR(__xludf.DUMMYFUNCTION("""COMPUTED_VALUE"""),"ENVO:00002042")</f>
        <v>ENVO:00002042</v>
      </c>
      <c r="D383" s="141" t="str">
        <f>IFERROR(__xludf.DUMMYFUNCTION("""COMPUTED_VALUE"""),"Water that is found on the surface of an astronomical object.")</f>
        <v>Water that is found on the surface of an astronomical object.</v>
      </c>
      <c r="E383" s="141"/>
      <c r="F383" s="141"/>
      <c r="G383" s="141"/>
      <c r="H383" s="141"/>
      <c r="I383" s="141"/>
      <c r="J383" s="141"/>
      <c r="K383" s="141"/>
      <c r="L383" s="141"/>
      <c r="M383" s="141"/>
      <c r="N383" s="141"/>
      <c r="O383" s="141"/>
      <c r="P383" s="141"/>
      <c r="Q383" s="141"/>
      <c r="R383" s="141"/>
      <c r="S383" s="141"/>
      <c r="T383" s="141"/>
      <c r="U383" s="141"/>
      <c r="V383" s="141"/>
      <c r="W383" s="141"/>
      <c r="X383" s="141"/>
      <c r="Y383" s="141"/>
      <c r="Z383" s="141"/>
    </row>
    <row r="384">
      <c r="A384" s="141"/>
      <c r="B384" s="141" t="str">
        <f>IFERROR(__xludf.DUMMYFUNCTION("""COMPUTED_VALUE"""),"        Lake [ENVO:00000020]        ")</f>
        <v>        Lake [ENVO:00000020]        </v>
      </c>
      <c r="C384" s="141" t="str">
        <f>IFERROR(__xludf.DUMMYFUNCTION("""COMPUTED_VALUE"""),"ENVO:00000020")</f>
        <v>ENVO:00000020</v>
      </c>
      <c r="D384" s="141" t="str">
        <f>IFERROR(__xludf.DUMMYFUNCTION("""COMPUTED_VALUE"""),"A body of water or other liquid of considerable size contained in a depression on a landmass.")</f>
        <v>A body of water or other liquid of considerable size contained in a depression on a landmass.</v>
      </c>
      <c r="E384" s="141"/>
      <c r="F384" s="141"/>
      <c r="G384" s="141"/>
      <c r="H384" s="141"/>
      <c r="I384" s="141"/>
      <c r="J384" s="141"/>
      <c r="K384" s="141"/>
      <c r="L384" s="141"/>
      <c r="M384" s="141"/>
      <c r="N384" s="141"/>
      <c r="O384" s="141"/>
      <c r="P384" s="141"/>
      <c r="Q384" s="141"/>
      <c r="R384" s="141"/>
      <c r="S384" s="141"/>
      <c r="T384" s="141"/>
      <c r="U384" s="141"/>
      <c r="V384" s="141"/>
      <c r="W384" s="141"/>
      <c r="X384" s="141"/>
      <c r="Y384" s="141"/>
      <c r="Z384" s="141"/>
    </row>
    <row r="385">
      <c r="A385" s="141"/>
      <c r="B385" s="141" t="str">
        <f>IFERROR(__xludf.DUMMYFUNCTION("""COMPUTED_VALUE"""),"        Stream [ENVO:00000023]        ")</f>
        <v>        Stream [ENVO:00000023]        </v>
      </c>
      <c r="C385" s="141" t="str">
        <f>IFERROR(__xludf.DUMMYFUNCTION("""COMPUTED_VALUE"""),"ENVO:00000023")</f>
        <v>ENVO:00000023</v>
      </c>
      <c r="D385" s="141" t="str">
        <f>IFERROR(__xludf.DUMMYFUNCTION("""COMPUTED_VALUE"""),"A watercourse which is linear and flows across the solid portion of a planetary surface.")</f>
        <v>A watercourse which is linear and flows across the solid portion of a planetary surface.</v>
      </c>
      <c r="E385" s="141"/>
      <c r="F385" s="141"/>
      <c r="G385" s="141"/>
      <c r="H385" s="141"/>
      <c r="I385" s="141"/>
      <c r="J385" s="141"/>
      <c r="K385" s="141"/>
      <c r="L385" s="141"/>
      <c r="M385" s="141"/>
      <c r="N385" s="141"/>
      <c r="O385" s="141"/>
      <c r="P385" s="141"/>
      <c r="Q385" s="141"/>
      <c r="R385" s="141"/>
      <c r="S385" s="141"/>
      <c r="T385" s="141"/>
      <c r="U385" s="141"/>
      <c r="V385" s="141"/>
      <c r="W385" s="141"/>
      <c r="X385" s="141"/>
      <c r="Y385" s="141"/>
      <c r="Z385" s="141"/>
    </row>
    <row r="386">
      <c r="A386" s="141"/>
      <c r="B386" s="141" t="str">
        <f>IFERROR(__xludf.DUMMYFUNCTION("""COMPUTED_VALUE"""),"            River [ENVO:00000022]    ")</f>
        <v>            River [ENVO:00000022]    </v>
      </c>
      <c r="C386" s="141" t="str">
        <f>IFERROR(__xludf.DUMMYFUNCTION("""COMPUTED_VALUE"""),"ENVO:00000022")</f>
        <v>ENVO:00000022</v>
      </c>
      <c r="D386" s="141" t="str">
        <f>IFERROR(__xludf.DUMMYFUNCTION("""COMPUTED_VALUE"""),"A stream which, through permanent or seasonal flow processes, moves from elevated land towards lower elevations through a definite channel and empties either into a sea, lake, or another river or ends on land as bed seepage and evapotranspiration exceed w"&amp;"ater supply.")</f>
        <v>A stream which, through permanent or seasonal flow processes, moves from elevated land towards lower elevations through a definite channel and empties either into a sea, lake, or another river or ends on land as bed seepage and evapotranspiration exceed water supply.</v>
      </c>
      <c r="E386" s="141"/>
      <c r="F386" s="141"/>
      <c r="G386" s="141"/>
      <c r="H386" s="141"/>
      <c r="I386" s="141"/>
      <c r="J386" s="141"/>
      <c r="K386" s="141"/>
      <c r="L386" s="141"/>
      <c r="M386" s="141"/>
      <c r="N386" s="141"/>
      <c r="O386" s="141"/>
      <c r="P386" s="141"/>
      <c r="Q386" s="141"/>
      <c r="R386" s="141"/>
      <c r="S386" s="141"/>
      <c r="T386" s="141"/>
      <c r="U386" s="141"/>
      <c r="V386" s="141"/>
      <c r="W386" s="141"/>
      <c r="X386" s="141"/>
      <c r="Y386" s="141"/>
      <c r="Z386" s="141"/>
    </row>
    <row r="387">
      <c r="A387" s="141"/>
      <c r="B387" s="141" t="str">
        <f>IFERROR(__xludf.DUMMYFUNCTION("""COMPUTED_VALUE"""),"        Ocean [ENVO:00000015]        ")</f>
        <v>        Ocean [ENVO:00000015]        </v>
      </c>
      <c r="C387" s="141" t="str">
        <f>IFERROR(__xludf.DUMMYFUNCTION("""COMPUTED_VALUE"""),"ENVO:00000015")</f>
        <v>ENVO:00000015</v>
      </c>
      <c r="D387" s="141" t="str">
        <f>IFERROR(__xludf.DUMMYFUNCTION("""COMPUTED_VALUE"""),"A marine water body which is constitutes the majority of an astronomical body's hydrosphere.")</f>
        <v>A marine water body which is constitutes the majority of an astronomical body's hydrosphere.</v>
      </c>
      <c r="E387" s="141"/>
      <c r="F387" s="141"/>
      <c r="G387" s="141"/>
      <c r="H387" s="141"/>
      <c r="I387" s="141"/>
      <c r="J387" s="141"/>
      <c r="K387" s="141"/>
      <c r="L387" s="141"/>
      <c r="M387" s="141"/>
      <c r="N387" s="141"/>
      <c r="O387" s="141"/>
      <c r="P387" s="141"/>
      <c r="Q387" s="141"/>
      <c r="R387" s="141"/>
      <c r="S387" s="141"/>
      <c r="T387" s="141"/>
      <c r="U387" s="141"/>
      <c r="V387" s="141"/>
      <c r="W387" s="141"/>
      <c r="X387" s="141"/>
      <c r="Y387" s="141"/>
      <c r="Z387" s="141"/>
    </row>
    <row r="388">
      <c r="A388" s="141"/>
      <c r="B388" s="141" t="str">
        <f>IFERROR(__xludf.DUMMYFUNCTION("""COMPUTED_VALUE"""),"        Sea [ENVO:00000016]        ")</f>
        <v>        Sea [ENVO:00000016]        </v>
      </c>
      <c r="C388" s="141" t="str">
        <f>IFERROR(__xludf.DUMMYFUNCTION("""COMPUTED_VALUE"""),"ENVO:00000016")</f>
        <v>ENVO:00000016</v>
      </c>
      <c r="D388" s="141" t="str">
        <f>IFERROR(__xludf.DUMMYFUNCTION("""COMPUTED_VALUE"""),"A large expanse of saline water usually connected with an ocean.")</f>
        <v>A large expanse of saline water usually connected with an ocean.</v>
      </c>
      <c r="E388" s="141"/>
      <c r="F388" s="141"/>
      <c r="G388" s="141"/>
      <c r="H388" s="141"/>
      <c r="I388" s="141"/>
      <c r="J388" s="141"/>
      <c r="K388" s="141"/>
      <c r="L388" s="141"/>
      <c r="M388" s="141"/>
      <c r="N388" s="141"/>
      <c r="O388" s="141"/>
      <c r="P388" s="141"/>
      <c r="Q388" s="141"/>
      <c r="R388" s="141"/>
      <c r="S388" s="141"/>
      <c r="T388" s="141"/>
      <c r="U388" s="141"/>
      <c r="V388" s="141"/>
      <c r="W388" s="141"/>
      <c r="X388" s="141"/>
      <c r="Y388" s="141"/>
      <c r="Z388" s="141"/>
    </row>
    <row r="389">
      <c r="A389" s="141"/>
      <c r="B389" s="141" t="str">
        <f>IFERROR(__xludf.DUMMYFUNCTION("""COMPUTED_VALUE"""),"        Canal [ENVO:00000014]        ")</f>
        <v>        Canal [ENVO:00000014]        </v>
      </c>
      <c r="C389" s="141" t="str">
        <f>IFERROR(__xludf.DUMMYFUNCTION("""COMPUTED_VALUE"""),"ENVO:00000014")</f>
        <v>ENVO:00000014</v>
      </c>
      <c r="D389" s="141" t="str">
        <f>IFERROR(__xludf.DUMMYFUNCTION("""COMPUTED_VALUE"""),"Artificial watercourse with no flow or a controlled flow used for navigation, drainage or irrigation.")</f>
        <v>Artificial watercourse with no flow or a controlled flow used for navigation, drainage or irrigation.</v>
      </c>
      <c r="E389" s="141"/>
      <c r="F389" s="141"/>
      <c r="G389" s="141"/>
      <c r="H389" s="141"/>
      <c r="I389" s="141"/>
      <c r="J389" s="141"/>
      <c r="K389" s="141"/>
      <c r="L389" s="141"/>
      <c r="M389" s="141"/>
      <c r="N389" s="141"/>
      <c r="O389" s="141"/>
      <c r="P389" s="141"/>
      <c r="Q389" s="141"/>
      <c r="R389" s="141"/>
      <c r="S389" s="141"/>
      <c r="T389" s="141"/>
      <c r="U389" s="141"/>
      <c r="V389" s="141"/>
      <c r="W389" s="141"/>
      <c r="X389" s="141"/>
      <c r="Y389" s="141"/>
      <c r="Z389" s="141"/>
    </row>
    <row r="390">
      <c r="A390" s="141"/>
      <c r="B390" s="141" t="str">
        <f>IFERROR(__xludf.DUMMYFUNCTION("""COMPUTED_VALUE"""),"        Reservoir [ENVO:00000025]        ")</f>
        <v>        Reservoir [ENVO:00000025]        </v>
      </c>
      <c r="C390" s="141" t="str">
        <f>IFERROR(__xludf.DUMMYFUNCTION("""COMPUTED_VALUE"""),"ENVO:00000025")</f>
        <v>ENVO:00000025</v>
      </c>
      <c r="D390" s="141" t="str">
        <f>IFERROR(__xludf.DUMMYFUNCTION("""COMPUTED_VALUE"""),"An artificial body of water, often contained by a dam, constructed for the purpose of water storage.")</f>
        <v>An artificial body of water, often contained by a dam, constructed for the purpose of water storage.</v>
      </c>
      <c r="E390" s="141"/>
      <c r="F390" s="141"/>
      <c r="G390" s="141"/>
      <c r="H390" s="141"/>
      <c r="I390" s="141"/>
      <c r="J390" s="141"/>
      <c r="K390" s="141"/>
      <c r="L390" s="141"/>
      <c r="M390" s="141"/>
      <c r="N390" s="141"/>
      <c r="O390" s="141"/>
      <c r="P390" s="141"/>
      <c r="Q390" s="141"/>
      <c r="R390" s="141"/>
      <c r="S390" s="141"/>
      <c r="T390" s="141"/>
      <c r="U390" s="141"/>
      <c r="V390" s="141"/>
      <c r="W390" s="141"/>
      <c r="X390" s="141"/>
      <c r="Y390" s="141"/>
      <c r="Z390" s="141"/>
    </row>
    <row r="391">
      <c r="A391" s="141"/>
      <c r="B391" s="141" t="str">
        <f>IFERROR(__xludf.DUMMYFUNCTION("""COMPUTED_VALUE"""),"    Ground water  [ENVO:01001004]            ")</f>
        <v>    Ground water  [ENVO:01001004]            </v>
      </c>
      <c r="C391" s="141" t="str">
        <f>IFERROR(__xludf.DUMMYFUNCTION("""COMPUTED_VALUE"""),"ENVO:01001004")</f>
        <v>ENVO:01001004</v>
      </c>
      <c r="D391" s="141" t="str">
        <f>IFERROR(__xludf.DUMMYFUNCTION("""COMPUTED_VALUE"""),"Underground water which is located in pore spaces found in rock or unconsolidated deposits such as soil, clay, or gravel.")</f>
        <v>Underground water which is located in pore spaces found in rock or unconsolidated deposits such as soil, clay, or gravel.</v>
      </c>
      <c r="E391" s="141"/>
      <c r="F391" s="141"/>
      <c r="G391" s="141"/>
      <c r="H391" s="141"/>
      <c r="I391" s="141"/>
      <c r="J391" s="141"/>
      <c r="K391" s="141"/>
      <c r="L391" s="141"/>
      <c r="M391" s="141"/>
      <c r="N391" s="141"/>
      <c r="O391" s="141"/>
      <c r="P391" s="141"/>
      <c r="Q391" s="141"/>
      <c r="R391" s="141"/>
      <c r="S391" s="141"/>
      <c r="T391" s="141"/>
      <c r="U391" s="141"/>
      <c r="V391" s="141"/>
      <c r="W391" s="141"/>
      <c r="X391" s="141"/>
      <c r="Y391" s="141"/>
      <c r="Z391" s="141"/>
    </row>
    <row r="392">
      <c r="A392" s="141"/>
      <c r="B392" s="141" t="str">
        <f>IFERROR(__xludf.DUMMYFUNCTION("""COMPUTED_VALUE"""),"        Well [ENVO:00000026]        ")</f>
        <v>        Well [ENVO:00000026]        </v>
      </c>
      <c r="C392" s="141" t="str">
        <f>IFERROR(__xludf.DUMMYFUNCTION("""COMPUTED_VALUE"""),"ENVO:00000026")</f>
        <v>ENVO:00000026</v>
      </c>
      <c r="D392" s="141" t="str">
        <f>IFERROR(__xludf.DUMMYFUNCTION("""COMPUTED_VALUE"""),"A cylindrical hole, pit, or tunnel drilled or dug down to a depth from which water, oil, or gas can be pumped or brought to the surface.")</f>
        <v>A cylindrical hole, pit, or tunnel drilled or dug down to a depth from which water, oil, or gas can be pumped or brought to the surface.</v>
      </c>
      <c r="E392" s="141"/>
      <c r="F392" s="141"/>
      <c r="G392" s="141"/>
      <c r="H392" s="141"/>
      <c r="I392" s="141"/>
      <c r="J392" s="141"/>
      <c r="K392" s="141"/>
      <c r="L392" s="141"/>
      <c r="M392" s="141"/>
      <c r="N392" s="141"/>
      <c r="O392" s="141"/>
      <c r="P392" s="141"/>
      <c r="Q392" s="141"/>
      <c r="R392" s="141"/>
      <c r="S392" s="141"/>
      <c r="T392" s="141"/>
      <c r="U392" s="141"/>
      <c r="V392" s="141"/>
      <c r="W392" s="141"/>
      <c r="X392" s="141"/>
      <c r="Y392" s="141"/>
      <c r="Z392" s="141"/>
    </row>
    <row r="393">
      <c r="A393" s="141"/>
      <c r="B393" s="141" t="str">
        <f>IFERROR(__xludf.DUMMYFUNCTION("""COMPUTED_VALUE"""),"        Spring [ENVO:00000027]        ")</f>
        <v>        Spring [ENVO:00000027]        </v>
      </c>
      <c r="C393" s="141" t="str">
        <f>IFERROR(__xludf.DUMMYFUNCTION("""COMPUTED_VALUE"""),"ENVO:00000027")</f>
        <v>ENVO:00000027</v>
      </c>
      <c r="D393" s="141" t="str">
        <f>IFERROR(__xludf.DUMMYFUNCTION("""COMPUTED_VALUE"""),"A surface landform which provides an egress for groundwater or steam to flow out of the ground.")</f>
        <v>A surface landform which provides an egress for groundwater or steam to flow out of the ground.</v>
      </c>
      <c r="E393" s="141"/>
      <c r="F393" s="141"/>
      <c r="G393" s="141"/>
      <c r="H393" s="141"/>
      <c r="I393" s="141"/>
      <c r="J393" s="141"/>
      <c r="K393" s="141"/>
      <c r="L393" s="141"/>
      <c r="M393" s="141"/>
      <c r="N393" s="141"/>
      <c r="O393" s="141"/>
      <c r="P393" s="141"/>
      <c r="Q393" s="141"/>
      <c r="R393" s="141"/>
      <c r="S393" s="141"/>
      <c r="T393" s="141"/>
      <c r="U393" s="141"/>
      <c r="V393" s="141"/>
      <c r="W393" s="141"/>
      <c r="X393" s="141"/>
      <c r="Y393" s="141"/>
      <c r="Z393" s="141"/>
    </row>
    <row r="394">
      <c r="A394" s="141"/>
      <c r="B394" s="141" t="str">
        <f>IFERROR(__xludf.DUMMYFUNCTION("""COMPUTED_VALUE"""),"Wastewater treatment plant [ENVO:00002272]                ")</f>
        <v>Wastewater treatment plant [ENVO:00002272]                </v>
      </c>
      <c r="C394" s="141" t="str">
        <f>IFERROR(__xludf.DUMMYFUNCTION("""COMPUTED_VALUE"""),"ENVO:00002272")</f>
        <v>ENVO:00002272</v>
      </c>
      <c r="D394" s="141" t="str">
        <f>IFERROR(__xludf.DUMMYFUNCTION("""COMPUTED_VALUE"""),"A plant in which wastewater is treated.")</f>
        <v>A plant in which wastewater is treated.</v>
      </c>
      <c r="E394" s="141"/>
      <c r="F394" s="141"/>
      <c r="G394" s="141"/>
      <c r="H394" s="141"/>
      <c r="I394" s="141"/>
      <c r="J394" s="141"/>
      <c r="K394" s="141"/>
      <c r="L394" s="141"/>
      <c r="M394" s="141"/>
      <c r="N394" s="141"/>
      <c r="O394" s="141"/>
      <c r="P394" s="141"/>
      <c r="Q394" s="141"/>
      <c r="R394" s="141"/>
      <c r="S394" s="141"/>
      <c r="T394" s="141"/>
      <c r="U394" s="141"/>
      <c r="V394" s="141"/>
      <c r="W394" s="141"/>
      <c r="X394" s="141"/>
      <c r="Y394" s="141"/>
      <c r="Z394" s="141"/>
    </row>
    <row r="395">
      <c r="A395" s="141"/>
      <c r="B395" s="141" t="str">
        <f>IFERROR(__xludf.DUMMYFUNCTION("""COMPUTED_VALUE"""),"    Influent pump station [ENVO:03501465]            ")</f>
        <v>    Influent pump station [ENVO:03501465]            </v>
      </c>
      <c r="C395" s="141" t="str">
        <f>IFERROR(__xludf.DUMMYFUNCTION("""COMPUTED_VALUE"""),"ENVO:03501465")</f>
        <v>ENVO:03501465</v>
      </c>
      <c r="D395" s="141" t="str">
        <f>IFERROR(__xludf.DUMMYFUNCTION("""COMPUTED_VALUE"""),"A facility within a wastewater treatment plant designed to receive and lift incoming wastewater (influent) to a higher elevation for subsequent treatment processes. The influent pump station typically houses pumps, controls, and associated equipment neces"&amp;"sary to move wastewater through the treatment process.")</f>
        <v>A facility within a wastewater treatment plant designed to receive and lift incoming wastewater (influent) to a higher elevation for subsequent treatment processes. The influent pump station typically houses pumps, controls, and associated equipment necessary to move wastewater through the treatment process.</v>
      </c>
      <c r="E395" s="141"/>
      <c r="F395" s="141"/>
      <c r="G395" s="141"/>
      <c r="H395" s="141"/>
      <c r="I395" s="141"/>
      <c r="J395" s="141"/>
      <c r="K395" s="141"/>
      <c r="L395" s="141"/>
      <c r="M395" s="141"/>
      <c r="N395" s="141"/>
      <c r="O395" s="141"/>
      <c r="P395" s="141"/>
      <c r="Q395" s="141"/>
      <c r="R395" s="141"/>
      <c r="S395" s="141"/>
      <c r="T395" s="141"/>
      <c r="U395" s="141"/>
      <c r="V395" s="141"/>
      <c r="W395" s="141"/>
      <c r="X395" s="141"/>
      <c r="Y395" s="141"/>
      <c r="Z395" s="141"/>
    </row>
    <row r="396">
      <c r="A396" s="141"/>
      <c r="B396" s="141" t="str">
        <f>IFERROR(__xludf.DUMMYFUNCTION("""COMPUTED_VALUE"""),"    Grit chamber [ENVO:03501467]            ")</f>
        <v>    Grit chamber [ENVO:03501467]            </v>
      </c>
      <c r="C396" s="141" t="str">
        <f>IFERROR(__xludf.DUMMYFUNCTION("""COMPUTED_VALUE"""),"ENVO:03501467")</f>
        <v>ENVO:03501467</v>
      </c>
      <c r="D396" s="141" t="str">
        <f>IFERROR(__xludf.DUMMYFUNCTION("""COMPUTED_VALUE"""),"A physical structure or equipment within a wastewater treatment plant where grit and other heavy inorganic particles are removed from the influent through sedimentation. The grit chamber helps protect downstream equipment from abrasion and reduces the acc"&amp;"umulation of grit in subsequent treatment processes.")</f>
        <v>A physical structure or equipment within a wastewater treatment plant where grit and other heavy inorganic particles are removed from the influent through sedimentation. The grit chamber helps protect downstream equipment from abrasion and reduces the accumulation of grit in subsequent treatment processes.</v>
      </c>
      <c r="E396" s="141"/>
      <c r="F396" s="141"/>
      <c r="G396" s="141"/>
      <c r="H396" s="141"/>
      <c r="I396" s="141"/>
      <c r="J396" s="141"/>
      <c r="K396" s="141"/>
      <c r="L396" s="141"/>
      <c r="M396" s="141"/>
      <c r="N396" s="141"/>
      <c r="O396" s="141"/>
      <c r="P396" s="141"/>
      <c r="Q396" s="141"/>
      <c r="R396" s="141"/>
      <c r="S396" s="141"/>
      <c r="T396" s="141"/>
      <c r="U396" s="141"/>
      <c r="V396" s="141"/>
      <c r="W396" s="141"/>
      <c r="X396" s="141"/>
      <c r="Y396" s="141"/>
      <c r="Z396" s="141"/>
    </row>
    <row r="397">
      <c r="A397" s="141"/>
      <c r="B397" s="141" t="str">
        <f>IFERROR(__xludf.DUMMYFUNCTION("""COMPUTED_VALUE"""),"    Communitor [ENVO:03501472]            ")</f>
        <v>    Communitor [ENVO:03501472]            </v>
      </c>
      <c r="C397" s="141" t="str">
        <f>IFERROR(__xludf.DUMMYFUNCTION("""COMPUTED_VALUE"""),"ENVO:03501472")</f>
        <v>ENVO:03501472</v>
      </c>
      <c r="D397" s="141" t="str">
        <f>IFERROR(__xludf.DUMMYFUNCTION("""COMPUTED_VALUE"""),"A mechanical device designed to reduce the size of solid materials in wastewater. It uses rotating drums or cutting blades to shred large debris into smaller pieces, protecting downstream equipment and enhancing the efficiency of subsequent treatment proc"&amp;"esses.")</f>
        <v>A mechanical device designed to reduce the size of solid materials in wastewater. It uses rotating drums or cutting blades to shred large debris into smaller pieces, protecting downstream equipment and enhancing the efficiency of subsequent treatment processes.</v>
      </c>
      <c r="E397" s="141"/>
      <c r="F397" s="141"/>
      <c r="G397" s="141"/>
      <c r="H397" s="141"/>
      <c r="I397" s="141"/>
      <c r="J397" s="141"/>
      <c r="K397" s="141"/>
      <c r="L397" s="141"/>
      <c r="M397" s="141"/>
      <c r="N397" s="141"/>
      <c r="O397" s="141"/>
      <c r="P397" s="141"/>
      <c r="Q397" s="141"/>
      <c r="R397" s="141"/>
      <c r="S397" s="141"/>
      <c r="T397" s="141"/>
      <c r="U397" s="141"/>
      <c r="V397" s="141"/>
      <c r="W397" s="141"/>
      <c r="X397" s="141"/>
      <c r="Y397" s="141"/>
      <c r="Z397" s="141"/>
    </row>
    <row r="398">
      <c r="A398" s="141"/>
      <c r="B398" s="141" t="str">
        <f>IFERROR(__xludf.DUMMYFUNCTION("""COMPUTED_VALUE"""),"    Primary clarifer [ENVO:03501468]            ")</f>
        <v>    Primary clarifer [ENVO:03501468]            </v>
      </c>
      <c r="C398" s="141" t="str">
        <f>IFERROR(__xludf.DUMMYFUNCTION("""COMPUTED_VALUE"""),"ENVO:03501468")</f>
        <v>ENVO:03501468</v>
      </c>
      <c r="D398" s="141" t="str">
        <f>IFERROR(__xludf.DUMMYFUNCTION("""COMPUTED_VALUE"""),"A large, sedimentation tank in a wastewater treatment plant where the primary stage of solids separation occurs. In the primary clarifier, suspended solids settle to the bottom as sludge, while lighter materials, such as oils and greases, rise to the surf"&amp;"ace for removal.")</f>
        <v>A large, sedimentation tank in a wastewater treatment plant where the primary stage of solids separation occurs. In the primary clarifier, suspended solids settle to the bottom as sludge, while lighter materials, such as oils and greases, rise to the surface for removal.</v>
      </c>
      <c r="E398" s="141"/>
      <c r="F398" s="141"/>
      <c r="G398" s="141"/>
      <c r="H398" s="141"/>
      <c r="I398" s="141"/>
      <c r="J398" s="141"/>
      <c r="K398" s="141"/>
      <c r="L398" s="141"/>
      <c r="M398" s="141"/>
      <c r="N398" s="141"/>
      <c r="O398" s="141"/>
      <c r="P398" s="141"/>
      <c r="Q398" s="141"/>
      <c r="R398" s="141"/>
      <c r="S398" s="141"/>
      <c r="T398" s="141"/>
      <c r="U398" s="141"/>
      <c r="V398" s="141"/>
      <c r="W398" s="141"/>
      <c r="X398" s="141"/>
      <c r="Y398" s="141"/>
      <c r="Z398" s="141"/>
    </row>
    <row r="399">
      <c r="A399" s="141"/>
      <c r="B399" s="141" t="str">
        <f>IFERROR(__xludf.DUMMYFUNCTION("""COMPUTED_VALUE"""),"    Aeration tank [ENVO:03501469]            ")</f>
        <v>    Aeration tank [ENVO:03501469]            </v>
      </c>
      <c r="C399" s="141" t="str">
        <f>IFERROR(__xludf.DUMMYFUNCTION("""COMPUTED_VALUE"""),"ENVO:03501469")</f>
        <v>ENVO:03501469</v>
      </c>
      <c r="D399" s="141" t="str">
        <f>IFERROR(__xludf.DUMMYFUNCTION("""COMPUTED_VALUE"""),"A tank or basin in a wastewater treatment plant where oxygen is introduced into the wastewater to promote the growth of aerobic microorganisms. These microorganisms break down organic pollutants in the water, facilitating the biological treatment process."&amp;" The aeration tank is essential for reducing the organic load before the water moves to subsequent treatment stages.")</f>
        <v>A tank or basin in a wastewater treatment plant where oxygen is introduced into the wastewater to promote the growth of aerobic microorganisms. These microorganisms break down organic pollutants in the water, facilitating the biological treatment process. The aeration tank is essential for reducing the organic load before the water moves to subsequent treatment stages.</v>
      </c>
      <c r="E399" s="141"/>
      <c r="F399" s="141"/>
      <c r="G399" s="141"/>
      <c r="H399" s="141"/>
      <c r="I399" s="141"/>
      <c r="J399" s="141"/>
      <c r="K399" s="141"/>
      <c r="L399" s="141"/>
      <c r="M399" s="141"/>
      <c r="N399" s="141"/>
      <c r="O399" s="141"/>
      <c r="P399" s="141"/>
      <c r="Q399" s="141"/>
      <c r="R399" s="141"/>
      <c r="S399" s="141"/>
      <c r="T399" s="141"/>
      <c r="U399" s="141"/>
      <c r="V399" s="141"/>
      <c r="W399" s="141"/>
      <c r="X399" s="141"/>
      <c r="Y399" s="141"/>
      <c r="Z399" s="141"/>
    </row>
    <row r="400">
      <c r="A400" s="141"/>
      <c r="B400" s="141" t="str">
        <f>IFERROR(__xludf.DUMMYFUNCTION("""COMPUTED_VALUE"""),"    Secondary clarifer [ENVO:03501471]            ")</f>
        <v>    Secondary clarifer [ENVO:03501471]            </v>
      </c>
      <c r="C400" s="141" t="str">
        <f>IFERROR(__xludf.DUMMYFUNCTION("""COMPUTED_VALUE"""),"ENVO:03501471")</f>
        <v>ENVO:03501471</v>
      </c>
      <c r="D400" s="141" t="str">
        <f>IFERROR(__xludf.DUMMYFUNCTION("""COMPUTED_VALUE"""),"A sedimentation tank in a wastewater treatment plant used in the secondary treatment process. The secondary clarifier allows for the settling and removal of biological floc or sludge produced in the aeration tank, further clarifying the treated wastewater"&amp;" before discharge or further treatment.")</f>
        <v>A sedimentation tank in a wastewater treatment plant used in the secondary treatment process. The secondary clarifier allows for the settling and removal of biological floc or sludge produced in the aeration tank, further clarifying the treated wastewater before discharge or further treatment.</v>
      </c>
      <c r="E400" s="141"/>
      <c r="F400" s="141"/>
      <c r="G400" s="141"/>
      <c r="H400" s="141"/>
      <c r="I400" s="141"/>
      <c r="J400" s="141"/>
      <c r="K400" s="141"/>
      <c r="L400" s="141"/>
      <c r="M400" s="141"/>
      <c r="N400" s="141"/>
      <c r="O400" s="141"/>
      <c r="P400" s="141"/>
      <c r="Q400" s="141"/>
      <c r="R400" s="141"/>
      <c r="S400" s="141"/>
      <c r="T400" s="141"/>
      <c r="U400" s="141"/>
      <c r="V400" s="141"/>
      <c r="W400" s="141"/>
      <c r="X400" s="141"/>
      <c r="Y400" s="141"/>
      <c r="Z400" s="141"/>
    </row>
    <row r="401">
      <c r="A401" s="141"/>
      <c r="B401" s="141" t="str">
        <f>IFERROR(__xludf.DUMMYFUNCTION("""COMPUTED_VALUE"""),"    Sludge dryer [ENVO:03501473]            ")</f>
        <v>    Sludge dryer [ENVO:03501473]            </v>
      </c>
      <c r="C401" s="141" t="str">
        <f>IFERROR(__xludf.DUMMYFUNCTION("""COMPUTED_VALUE"""),"ENVO:03501473")</f>
        <v>ENVO:03501473</v>
      </c>
      <c r="D401" s="141" t="str">
        <f>IFERROR(__xludf.DUMMYFUNCTION("""COMPUTED_VALUE"""),"A device designed to remove moisture from sludge through thermal drying methods, resulting in a dry, granular material that is easier to handle, store, or utilize in other applications.")</f>
        <v>A device designed to remove moisture from sludge through thermal drying methods, resulting in a dry, granular material that is easier to handle, store, or utilize in other applications.</v>
      </c>
      <c r="E401" s="141"/>
      <c r="F401" s="141"/>
      <c r="G401" s="141"/>
      <c r="H401" s="141"/>
      <c r="I401" s="141"/>
      <c r="J401" s="141"/>
      <c r="K401" s="141"/>
      <c r="L401" s="141"/>
      <c r="M401" s="141"/>
      <c r="N401" s="141"/>
      <c r="O401" s="141"/>
      <c r="P401" s="141"/>
      <c r="Q401" s="141"/>
      <c r="R401" s="141"/>
      <c r="S401" s="141"/>
      <c r="T401" s="141"/>
      <c r="U401" s="141"/>
      <c r="V401" s="141"/>
      <c r="W401" s="141"/>
      <c r="X401" s="141"/>
      <c r="Y401" s="141"/>
      <c r="Z401" s="141"/>
    </row>
    <row r="402">
      <c r="A402" s="141"/>
      <c r="B402" s="141" t="str">
        <f>IFERROR(__xludf.DUMMYFUNCTION("""COMPUTED_VALUE"""),"Waste stabilization pond (lagoon) [ENVO:03600076]                ")</f>
        <v>Waste stabilization pond (lagoon) [ENVO:03600076]                </v>
      </c>
      <c r="C402" s="141" t="str">
        <f>IFERROR(__xludf.DUMMYFUNCTION("""COMPUTED_VALUE"""),"ENVO:03600076")</f>
        <v>ENVO:03600076</v>
      </c>
      <c r="D402" s="141" t="str">
        <f>IFERROR(__xludf.DUMMYFUNCTION("""COMPUTED_VALUE"""),"A human construction which confines wastewater in a depression enclosed by earthen structures.")</f>
        <v>A human construction which confines wastewater in a depression enclosed by earthen structures.</v>
      </c>
      <c r="E402" s="141"/>
      <c r="F402" s="141"/>
      <c r="G402" s="141"/>
      <c r="H402" s="141"/>
      <c r="I402" s="141"/>
      <c r="J402" s="141"/>
      <c r="K402" s="141"/>
      <c r="L402" s="141"/>
      <c r="M402" s="141"/>
      <c r="N402" s="141"/>
      <c r="O402" s="141"/>
      <c r="P402" s="141"/>
      <c r="Q402" s="141"/>
      <c r="R402" s="141"/>
      <c r="S402" s="141"/>
      <c r="T402" s="141"/>
      <c r="U402" s="141"/>
      <c r="V402" s="141"/>
      <c r="W402" s="141"/>
      <c r="X402" s="141"/>
      <c r="Y402" s="141"/>
      <c r="Z402" s="141"/>
    </row>
    <row r="403">
      <c r="A403" s="141"/>
      <c r="B403" s="141" t="str">
        <f>IFERROR(__xludf.DUMMYFUNCTION("""COMPUTED_VALUE"""),"Sewer [ENVO:01000924]                ")</f>
        <v>Sewer [ENVO:01000924]                </v>
      </c>
      <c r="C403" s="141" t="str">
        <f>IFERROR(__xludf.DUMMYFUNCTION("""COMPUTED_VALUE"""),"ENVO:01000924")</f>
        <v>ENVO:01000924</v>
      </c>
      <c r="D403" s="141" t="str">
        <f>IFERROR(__xludf.DUMMYFUNCTION("""COMPUTED_VALUE"""),"An artificial channel which transports unwanted water or waste liquids away from their source, either to a more useful area, a receptacle, or into sewers or stormwater mains as waste discharge to be released or processed.")</f>
        <v>An artificial channel which transports unwanted water or waste liquids away from their source, either to a more useful area, a receptacle, or into sewers or stormwater mains as waste discharge to be released or processed.</v>
      </c>
      <c r="E403" s="141"/>
      <c r="F403" s="141"/>
      <c r="G403" s="141"/>
      <c r="H403" s="141"/>
      <c r="I403" s="141"/>
      <c r="J403" s="141"/>
      <c r="K403" s="141"/>
      <c r="L403" s="141"/>
      <c r="M403" s="141"/>
      <c r="N403" s="141"/>
      <c r="O403" s="141"/>
      <c r="P403" s="141"/>
      <c r="Q403" s="141"/>
      <c r="R403" s="141"/>
      <c r="S403" s="141"/>
      <c r="T403" s="141"/>
      <c r="U403" s="141"/>
      <c r="V403" s="141"/>
      <c r="W403" s="141"/>
      <c r="X403" s="141"/>
      <c r="Y403" s="141"/>
      <c r="Z403" s="141"/>
    </row>
    <row r="404">
      <c r="A404" s="141"/>
      <c r="B404" s="141" t="str">
        <f>IFERROR(__xludf.DUMMYFUNCTION("""COMPUTED_VALUE"""),"Transportation vehicle [ENVO:01000604]                ")</f>
        <v>Transportation vehicle [ENVO:01000604]                </v>
      </c>
      <c r="C404" s="141" t="str">
        <f>IFERROR(__xludf.DUMMYFUNCTION("""COMPUTED_VALUE"""),"ENVO:01000604")</f>
        <v>ENVO:01000604</v>
      </c>
      <c r="D404" s="141" t="str">
        <f>IFERROR(__xludf.DUMMYFUNCTION("""COMPUTED_VALUE"""),"A vehicle is a mobile machine which transports people or cargo.")</f>
        <v>A vehicle is a mobile machine which transports people or cargo.</v>
      </c>
      <c r="E404" s="141"/>
      <c r="F404" s="141"/>
      <c r="G404" s="141"/>
      <c r="H404" s="141"/>
      <c r="I404" s="141"/>
      <c r="J404" s="141"/>
      <c r="K404" s="141"/>
      <c r="L404" s="141"/>
      <c r="M404" s="141"/>
      <c r="N404" s="141"/>
      <c r="O404" s="141"/>
      <c r="P404" s="141"/>
      <c r="Q404" s="141"/>
      <c r="R404" s="141"/>
      <c r="S404" s="141"/>
      <c r="T404" s="141"/>
      <c r="U404" s="141"/>
      <c r="V404" s="141"/>
      <c r="W404" s="141"/>
      <c r="X404" s="141"/>
      <c r="Y404" s="141"/>
      <c r="Z404" s="141"/>
    </row>
    <row r="405">
      <c r="A405" s="141"/>
      <c r="B405" s="141" t="str">
        <f>IFERROR(__xludf.DUMMYFUNCTION("""COMPUTED_VALUE"""),"    Boat [ENVO:01000608]            ")</f>
        <v>    Boat [ENVO:01000608]            </v>
      </c>
      <c r="C405" s="141" t="str">
        <f>IFERROR(__xludf.DUMMYFUNCTION("""COMPUTED_VALUE"""),"ENVO:01000608")</f>
        <v>ENVO:01000608</v>
      </c>
      <c r="D405" s="141" t="str">
        <f>IFERROR(__xludf.DUMMYFUNCTION("""COMPUTED_VALUE"""),"A boat is a watercraft of any size which is able to float or plane on water.")</f>
        <v>A boat is a watercraft of any size which is able to float or plane on water.</v>
      </c>
      <c r="E405" s="141"/>
      <c r="F405" s="141"/>
      <c r="G405" s="141"/>
      <c r="H405" s="141"/>
      <c r="I405" s="141"/>
      <c r="J405" s="141"/>
      <c r="K405" s="141"/>
      <c r="L405" s="141"/>
      <c r="M405" s="141"/>
      <c r="N405" s="141"/>
      <c r="O405" s="141"/>
      <c r="P405" s="141"/>
      <c r="Q405" s="141"/>
      <c r="R405" s="141"/>
      <c r="S405" s="141"/>
      <c r="T405" s="141"/>
      <c r="U405" s="141"/>
      <c r="V405" s="141"/>
      <c r="W405" s="141"/>
      <c r="X405" s="141"/>
      <c r="Y405" s="141"/>
      <c r="Z405" s="141"/>
    </row>
    <row r="406">
      <c r="A406" s="141"/>
      <c r="B406" s="141" t="str">
        <f>IFERROR(__xludf.DUMMYFUNCTION("""COMPUTED_VALUE"""),"    Airplane [ENVO:03501349]            ")</f>
        <v>    Airplane [ENVO:03501349]            </v>
      </c>
      <c r="C406" s="141" t="str">
        <f>IFERROR(__xludf.DUMMYFUNCTION("""COMPUTED_VALUE"""),"ENVO:03501349")</f>
        <v>ENVO:03501349</v>
      </c>
      <c r="D406" s="141" t="str">
        <f>IFERROR(__xludf.DUMMYFUNCTION("""COMPUTED_VALUE"""),"An aircraft which 1) has fixed wings and 2) is propelled by a thrust from a jet engine, propeller, or rocket engine.")</f>
        <v>An aircraft which 1) has fixed wings and 2) is propelled by a thrust from a jet engine, propeller, or rocket engine.</v>
      </c>
      <c r="E406" s="141"/>
      <c r="F406" s="141"/>
      <c r="G406" s="141"/>
      <c r="H406" s="141"/>
      <c r="I406" s="141"/>
      <c r="J406" s="141"/>
      <c r="K406" s="141"/>
      <c r="L406" s="141"/>
      <c r="M406" s="141"/>
      <c r="N406" s="141"/>
      <c r="O406" s="141"/>
      <c r="P406" s="141"/>
      <c r="Q406" s="141"/>
      <c r="R406" s="141"/>
      <c r="S406" s="141"/>
      <c r="T406" s="141"/>
      <c r="U406" s="141"/>
      <c r="V406" s="141"/>
      <c r="W406" s="141"/>
      <c r="X406" s="141"/>
      <c r="Y406" s="141"/>
      <c r="Z406" s="141"/>
    </row>
    <row r="407">
      <c r="A407" s="141" t="str">
        <f>IFERROR(__xludf.DUMMYFUNCTION("""COMPUTED_VALUE"""),"environmental material menu")</f>
        <v>environmental material menu</v>
      </c>
      <c r="B407" s="141" t="str">
        <f>IFERROR(__xludf.DUMMYFUNCTION("""COMPUTED_VALUE"""),"                ")</f>
        <v>                </v>
      </c>
      <c r="C407" s="141" t="str">
        <f>IFERROR(__xludf.DUMMYFUNCTION("""COMPUTED_VALUE"""),"")</f>
        <v/>
      </c>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c r="Z407" s="141"/>
    </row>
    <row r="408">
      <c r="A408" s="141"/>
      <c r="B408" s="141" t="str">
        <f>IFERROR(__xludf.DUMMYFUNCTION("""COMPUTED_VALUE"""),"Bar screen [ENVO:03501474]                ")</f>
        <v>Bar screen [ENVO:03501474]                </v>
      </c>
      <c r="C408" s="141" t="str">
        <f>IFERROR(__xludf.DUMMYFUNCTION("""COMPUTED_VALUE"""),"ENVO:03501474")</f>
        <v>ENVO:03501474</v>
      </c>
      <c r="D408" s="141" t="str">
        <f>IFERROR(__xludf.DUMMYFUNCTION("""COMPUTED_VALUE"""),"A mechanical filter used to remove large objects, such as rags and plastics, from wastewater")</f>
        <v>A mechanical filter used to remove large objects, such as rags and plastics, from wastewater</v>
      </c>
      <c r="E408" s="141"/>
      <c r="F408" s="141"/>
      <c r="G408" s="141"/>
      <c r="H408" s="141"/>
      <c r="I408" s="141"/>
      <c r="J408" s="141"/>
      <c r="K408" s="141"/>
      <c r="L408" s="141"/>
      <c r="M408" s="141"/>
      <c r="N408" s="141"/>
      <c r="O408" s="141"/>
      <c r="P408" s="141"/>
      <c r="Q408" s="141"/>
      <c r="R408" s="141"/>
      <c r="S408" s="141"/>
      <c r="T408" s="141"/>
      <c r="U408" s="141"/>
      <c r="V408" s="141"/>
      <c r="W408" s="141"/>
      <c r="X408" s="141"/>
      <c r="Y408" s="141"/>
      <c r="Z408" s="141"/>
    </row>
    <row r="409">
      <c r="A409" s="141"/>
      <c r="B409" s="141" t="str">
        <f>IFERROR(__xludf.DUMMYFUNCTION("""COMPUTED_VALUE"""),"Surface water [ENVO:00002042]                ")</f>
        <v>Surface water [ENVO:00002042]                </v>
      </c>
      <c r="C409" s="141" t="str">
        <f>IFERROR(__xludf.DUMMYFUNCTION("""COMPUTED_VALUE"""),"ENVO:00002042")</f>
        <v>ENVO:00002042</v>
      </c>
      <c r="D409" s="141" t="str">
        <f>IFERROR(__xludf.DUMMYFUNCTION("""COMPUTED_VALUE"""),"Water that is found on the surface of an astronomical object.")</f>
        <v>Water that is found on the surface of an astronomical object.</v>
      </c>
      <c r="E409" s="141"/>
      <c r="F409" s="141"/>
      <c r="G409" s="141"/>
      <c r="H409" s="141"/>
      <c r="I409" s="141"/>
      <c r="J409" s="141"/>
      <c r="K409" s="141"/>
      <c r="L409" s="141"/>
      <c r="M409" s="141"/>
      <c r="N409" s="141"/>
      <c r="O409" s="141"/>
      <c r="P409" s="141"/>
      <c r="Q409" s="141"/>
      <c r="R409" s="141"/>
      <c r="S409" s="141"/>
      <c r="T409" s="141"/>
      <c r="U409" s="141"/>
      <c r="V409" s="141"/>
      <c r="W409" s="141"/>
      <c r="X409" s="141"/>
      <c r="Y409" s="141"/>
      <c r="Z409" s="141"/>
    </row>
    <row r="410">
      <c r="A410" s="141"/>
      <c r="B410" s="141" t="str">
        <f>IFERROR(__xludf.DUMMYFUNCTION("""COMPUTED_VALUE"""),"Wastewater [ENVO:00002001]                ")</f>
        <v>Wastewater [ENVO:00002001]                </v>
      </c>
      <c r="C410" s="141" t="str">
        <f>IFERROR(__xludf.DUMMYFUNCTION("""COMPUTED_VALUE"""),"ENVO:00002001")</f>
        <v>ENVO:00002001</v>
      </c>
      <c r="D410" s="141" t="str">
        <f>IFERROR(__xludf.DUMMYFUNCTION("""COMPUTED_VALUE"""),"Water that has been adversely affected in quality by anthropogenic influence")</f>
        <v>Water that has been adversely affected in quality by anthropogenic influence</v>
      </c>
      <c r="E410" s="141"/>
      <c r="F410" s="141"/>
      <c r="G410" s="141"/>
      <c r="H410" s="141"/>
      <c r="I410" s="141"/>
      <c r="J410" s="141"/>
      <c r="K410" s="141"/>
      <c r="L410" s="141"/>
      <c r="M410" s="141"/>
      <c r="N410" s="141"/>
      <c r="O410" s="141"/>
      <c r="P410" s="141"/>
      <c r="Q410" s="141"/>
      <c r="R410" s="141"/>
      <c r="S410" s="141"/>
      <c r="T410" s="141"/>
      <c r="U410" s="141"/>
      <c r="V410" s="141"/>
      <c r="W410" s="141"/>
      <c r="X410" s="141"/>
      <c r="Y410" s="141"/>
      <c r="Z410" s="141"/>
    </row>
    <row r="411">
      <c r="A411" s="141"/>
      <c r="B411" s="141" t="str">
        <f>IFERROR(__xludf.DUMMYFUNCTION("""COMPUTED_VALUE"""),"Wastewater sediment [ENVO:03501456]                ")</f>
        <v>Wastewater sediment [ENVO:03501456]                </v>
      </c>
      <c r="C411" s="141" t="str">
        <f>IFERROR(__xludf.DUMMYFUNCTION("""COMPUTED_VALUE"""),"ENVO:03501456")</f>
        <v>ENVO:03501456</v>
      </c>
      <c r="D411" s="141" t="str">
        <f>IFERROR(__xludf.DUMMYFUNCTION("""COMPUTED_VALUE"""),"A sediment which is removed from waste water during a waste water treatment process.")</f>
        <v>A sediment which is removed from waste water during a waste water treatment process.</v>
      </c>
      <c r="E411" s="141"/>
      <c r="F411" s="141"/>
      <c r="G411" s="141"/>
      <c r="H411" s="141"/>
      <c r="I411" s="141"/>
      <c r="J411" s="141"/>
      <c r="K411" s="141"/>
      <c r="L411" s="141"/>
      <c r="M411" s="141"/>
      <c r="N411" s="141"/>
      <c r="O411" s="141"/>
      <c r="P411" s="141"/>
      <c r="Q411" s="141"/>
      <c r="R411" s="141"/>
      <c r="S411" s="141"/>
      <c r="T411" s="141"/>
      <c r="U411" s="141"/>
      <c r="V411" s="141"/>
      <c r="W411" s="141"/>
      <c r="X411" s="141"/>
      <c r="Y411" s="141"/>
      <c r="Z411" s="141"/>
    </row>
    <row r="412">
      <c r="A412" s="141"/>
      <c r="B412" s="141" t="str">
        <f>IFERROR(__xludf.DUMMYFUNCTION("""COMPUTED_VALUE"""),"Sludge [ENVO:00002044]                ")</f>
        <v>Sludge [ENVO:00002044]                </v>
      </c>
      <c r="C412" s="141" t="str">
        <f>IFERROR(__xludf.DUMMYFUNCTION("""COMPUTED_VALUE"""),"ENVO:00002044")</f>
        <v>ENVO:00002044</v>
      </c>
      <c r="D412" s="141" t="str">
        <f>IFERROR(__xludf.DUMMYFUNCTION("""COMPUTED_VALUE"""),"The residual semi-solid material left from domestic or industrial processes, or wastewater treatment processes.")</f>
        <v>The residual semi-solid material left from domestic or industrial processes, or wastewater treatment processes.</v>
      </c>
      <c r="E412" s="141"/>
      <c r="F412" s="141"/>
      <c r="G412" s="141"/>
      <c r="H412" s="141"/>
      <c r="I412" s="141"/>
      <c r="J412" s="141"/>
      <c r="K412" s="141"/>
      <c r="L412" s="141"/>
      <c r="M412" s="141"/>
      <c r="N412" s="141"/>
      <c r="O412" s="141"/>
      <c r="P412" s="141"/>
      <c r="Q412" s="141"/>
      <c r="R412" s="141"/>
      <c r="S412" s="141"/>
      <c r="T412" s="141"/>
      <c r="U412" s="141"/>
      <c r="V412" s="141"/>
      <c r="W412" s="141"/>
      <c r="X412" s="141"/>
      <c r="Y412" s="141"/>
      <c r="Z412" s="141"/>
    </row>
    <row r="413">
      <c r="A413" s="141"/>
      <c r="B413" s="141" t="str">
        <f>IFERROR(__xludf.DUMMYFUNCTION("""COMPUTED_VALUE"""),"    Primary sludge [ENVO:00002057]            ")</f>
        <v>    Primary sludge [ENVO:00002057]            </v>
      </c>
      <c r="C413" s="141" t="str">
        <f>IFERROR(__xludf.DUMMYFUNCTION("""COMPUTED_VALUE"""),"ENVO:00002057")</f>
        <v>ENVO:00002057</v>
      </c>
      <c r="D413" s="141" t="str">
        <f>IFERROR(__xludf.DUMMYFUNCTION("""COMPUTED_VALUE"""),"Sludge generated from the initial processes (i.e., precipitation, sedimentation) of wastewater treatment.")</f>
        <v>Sludge generated from the initial processes (i.e., precipitation, sedimentation) of wastewater treatment.</v>
      </c>
      <c r="E413" s="141"/>
      <c r="F413" s="141"/>
      <c r="G413" s="141"/>
      <c r="H413" s="141"/>
      <c r="I413" s="141"/>
      <c r="J413" s="141"/>
      <c r="K413" s="141"/>
      <c r="L413" s="141"/>
      <c r="M413" s="141"/>
      <c r="N413" s="141"/>
      <c r="O413" s="141"/>
      <c r="P413" s="141"/>
      <c r="Q413" s="141"/>
      <c r="R413" s="141"/>
      <c r="S413" s="141"/>
      <c r="T413" s="141"/>
      <c r="U413" s="141"/>
      <c r="V413" s="141"/>
      <c r="W413" s="141"/>
      <c r="X413" s="141"/>
      <c r="Y413" s="141"/>
      <c r="Z413" s="141"/>
    </row>
    <row r="414">
      <c r="A414" s="141"/>
      <c r="B414" s="141" t="str">
        <f>IFERROR(__xludf.DUMMYFUNCTION("""COMPUTED_VALUE"""),"    Secondary sludge [ENVO:00002058]            ")</f>
        <v>    Secondary sludge [ENVO:00002058]            </v>
      </c>
      <c r="C414" s="141" t="str">
        <f>IFERROR(__xludf.DUMMYFUNCTION("""COMPUTED_VALUE"""),"ENVO:00002058")</f>
        <v>ENVO:00002058</v>
      </c>
      <c r="D414" s="141" t="str">
        <f>IFERROR(__xludf.DUMMYFUNCTION("""COMPUTED_VALUE"""),"Activated waste biomass generated during wastewater treatment.")</f>
        <v>Activated waste biomass generated during wastewater treatment.</v>
      </c>
      <c r="E414" s="141"/>
      <c r="F414" s="141"/>
      <c r="G414" s="141"/>
      <c r="H414" s="141"/>
      <c r="I414" s="141"/>
      <c r="J414" s="141"/>
      <c r="K414" s="141"/>
      <c r="L414" s="141"/>
      <c r="M414" s="141"/>
      <c r="N414" s="141"/>
      <c r="O414" s="141"/>
      <c r="P414" s="141"/>
      <c r="Q414" s="141"/>
      <c r="R414" s="141"/>
      <c r="S414" s="141"/>
      <c r="T414" s="141"/>
      <c r="U414" s="141"/>
      <c r="V414" s="141"/>
      <c r="W414" s="141"/>
      <c r="X414" s="141"/>
      <c r="Y414" s="141"/>
      <c r="Z414" s="141"/>
    </row>
    <row r="415">
      <c r="A415" s="141"/>
      <c r="B415" s="141" t="str">
        <f>IFERROR(__xludf.DUMMYFUNCTION("""COMPUTED_VALUE"""),"Wastewater effluent [ENVO:03501457]                ")</f>
        <v>Wastewater effluent [ENVO:03501457]                </v>
      </c>
      <c r="C415" s="141" t="str">
        <f>IFERROR(__xludf.DUMMYFUNCTION("""COMPUTED_VALUE"""),"ENVO:03501457")</f>
        <v>ENVO:03501457</v>
      </c>
      <c r="D415" s="141" t="str">
        <f>IFERROR(__xludf.DUMMYFUNCTION("""COMPUTED_VALUE"""),"A wastewater which has been discharged from any item of equipment at a stage of a wastewater treatment process.")</f>
        <v>A wastewater which has been discharged from any item of equipment at a stage of a wastewater treatment process.</v>
      </c>
      <c r="E415" s="141"/>
      <c r="F415" s="141"/>
      <c r="G415" s="141"/>
      <c r="H415" s="141"/>
      <c r="I415" s="141"/>
      <c r="J415" s="141"/>
      <c r="K415" s="141"/>
      <c r="L415" s="141"/>
      <c r="M415" s="141"/>
      <c r="N415" s="141"/>
      <c r="O415" s="141"/>
      <c r="P415" s="141"/>
      <c r="Q415" s="141"/>
      <c r="R415" s="141"/>
      <c r="S415" s="141"/>
      <c r="T415" s="141"/>
      <c r="U415" s="141"/>
      <c r="V415" s="141"/>
      <c r="W415" s="141"/>
      <c r="X415" s="141"/>
      <c r="Y415" s="141"/>
      <c r="Z415" s="141"/>
    </row>
    <row r="416">
      <c r="A416" s="141"/>
      <c r="B416" s="141" t="str">
        <f>IFERROR(__xludf.DUMMYFUNCTION("""COMPUTED_VALUE"""),"    Primary wastewater effluent [GENEPIO:0100892]            ")</f>
        <v>    Primary wastewater effluent [GENEPIO:0100892]            </v>
      </c>
      <c r="C416" s="141" t="str">
        <f>IFERROR(__xludf.DUMMYFUNCTION("""COMPUTED_VALUE"""),"GENEPIO:0100892")</f>
        <v>GENEPIO:0100892</v>
      </c>
      <c r="D416" s="141" t="str">
        <f>IFERROR(__xludf.DUMMYFUNCTION("""COMPUTED_VALUE"""),"A wastewater effluent which has been discharged from a primary clarifier after the first stage of sedimentation. ")</f>
        <v>A wastewater effluent which has been discharged from a primary clarifier after the first stage of sedimentation. </v>
      </c>
      <c r="E416" s="141"/>
      <c r="F416" s="141"/>
      <c r="G416" s="141"/>
      <c r="H416" s="141"/>
      <c r="I416" s="141"/>
      <c r="J416" s="141"/>
      <c r="K416" s="141"/>
      <c r="L416" s="141"/>
      <c r="M416" s="141"/>
      <c r="N416" s="141"/>
      <c r="O416" s="141"/>
      <c r="P416" s="141"/>
      <c r="Q416" s="141"/>
      <c r="R416" s="141"/>
      <c r="S416" s="141"/>
      <c r="T416" s="141"/>
      <c r="U416" s="141"/>
      <c r="V416" s="141"/>
      <c r="W416" s="141"/>
      <c r="X416" s="141"/>
      <c r="Y416" s="141"/>
      <c r="Z416" s="141"/>
    </row>
    <row r="417">
      <c r="A417" s="141"/>
      <c r="B417" s="141" t="str">
        <f>IFERROR(__xludf.DUMMYFUNCTION("""COMPUTED_VALUE"""),"    Secondary wastewater effluent [GENEPIO:0100893]            ")</f>
        <v>    Secondary wastewater effluent [GENEPIO:0100893]            </v>
      </c>
      <c r="C417" s="141" t="str">
        <f>IFERROR(__xludf.DUMMYFUNCTION("""COMPUTED_VALUE"""),"GENEPIO:0100893")</f>
        <v>GENEPIO:0100893</v>
      </c>
      <c r="D417" s="141" t="str">
        <f>IFERROR(__xludf.DUMMYFUNCTION("""COMPUTED_VALUE"""),"A wastewater effluent which has been discharged from a secondary clarifier after the second stage of sedimentation. ")</f>
        <v>A wastewater effluent which has been discharged from a secondary clarifier after the second stage of sedimentation. </v>
      </c>
      <c r="E417" s="141"/>
      <c r="F417" s="141"/>
      <c r="G417" s="141"/>
      <c r="H417" s="141"/>
      <c r="I417" s="141"/>
      <c r="J417" s="141"/>
      <c r="K417" s="141"/>
      <c r="L417" s="141"/>
      <c r="M417" s="141"/>
      <c r="N417" s="141"/>
      <c r="O417" s="141"/>
      <c r="P417" s="141"/>
      <c r="Q417" s="141"/>
      <c r="R417" s="141"/>
      <c r="S417" s="141"/>
      <c r="T417" s="141"/>
      <c r="U417" s="141"/>
      <c r="V417" s="141"/>
      <c r="W417" s="141"/>
      <c r="X417" s="141"/>
      <c r="Y417" s="141"/>
      <c r="Z417" s="141"/>
    </row>
    <row r="418">
      <c r="A418" s="141" t="str">
        <f>IFERROR(__xludf.DUMMYFUNCTION("""COMPUTED_VALUE"""),"environmental material properties menu")</f>
        <v>environmental material properties menu</v>
      </c>
      <c r="B418" s="141" t="str">
        <f>IFERROR(__xludf.DUMMYFUNCTION("""COMPUTED_VALUE"""),"                ")</f>
        <v>                </v>
      </c>
      <c r="C418" s="141" t="str">
        <f>IFERROR(__xludf.DUMMYFUNCTION("""COMPUTED_VALUE"""),"")</f>
        <v/>
      </c>
      <c r="D418" s="141"/>
      <c r="E418" s="141"/>
      <c r="F418" s="141"/>
      <c r="G418" s="141"/>
      <c r="H418" s="141"/>
      <c r="I418" s="141"/>
      <c r="J418" s="141"/>
      <c r="K418" s="141"/>
      <c r="L418" s="141"/>
      <c r="M418" s="141"/>
      <c r="N418" s="141"/>
      <c r="O418" s="141"/>
      <c r="P418" s="141"/>
      <c r="Q418" s="141"/>
      <c r="R418" s="141"/>
      <c r="S418" s="141"/>
      <c r="T418" s="141"/>
      <c r="U418" s="141"/>
      <c r="V418" s="141"/>
      <c r="W418" s="141"/>
      <c r="X418" s="141"/>
      <c r="Y418" s="141"/>
      <c r="Z418" s="141"/>
    </row>
    <row r="419">
      <c r="A419" s="141"/>
      <c r="B419" s="141" t="str">
        <f>IFERROR(__xludf.DUMMYFUNCTION("""COMPUTED_VALUE"""),"Fluid (stagnant)  [GENEPIO:0101004]                ")</f>
        <v>Fluid (stagnant)  [GENEPIO:0101004]                </v>
      </c>
      <c r="C419" s="141" t="str">
        <f>IFERROR(__xludf.DUMMYFUNCTION("""COMPUTED_VALUE"""),"GENEPIO:0101004")</f>
        <v>GENEPIO:0101004</v>
      </c>
      <c r="D419" s="141" t="str">
        <f>IFERROR(__xludf.DUMMYFUNCTION("""COMPUTED_VALUE"""),"A quality of a body of water wherein it has no current or flow.")</f>
        <v>A quality of a body of water wherein it has no current or flow.</v>
      </c>
      <c r="E419" s="141"/>
      <c r="F419" s="141"/>
      <c r="G419" s="141"/>
      <c r="H419" s="141"/>
      <c r="I419" s="141"/>
      <c r="J419" s="141"/>
      <c r="K419" s="141"/>
      <c r="L419" s="141"/>
      <c r="M419" s="141"/>
      <c r="N419" s="141"/>
      <c r="O419" s="141"/>
      <c r="P419" s="141"/>
      <c r="Q419" s="141"/>
      <c r="R419" s="141"/>
      <c r="S419" s="141"/>
      <c r="T419" s="141"/>
      <c r="U419" s="141"/>
      <c r="V419" s="141"/>
      <c r="W419" s="141"/>
      <c r="X419" s="141"/>
      <c r="Y419" s="141"/>
      <c r="Z419" s="141"/>
    </row>
    <row r="420">
      <c r="A420" s="141"/>
      <c r="B420" s="141" t="str">
        <f>IFERROR(__xludf.DUMMYFUNCTION("""COMPUTED_VALUE"""),"Fluid (slow)  [GENEPIO:0101005]                ")</f>
        <v>Fluid (slow)  [GENEPIO:0101005]                </v>
      </c>
      <c r="C420" s="141" t="str">
        <f>IFERROR(__xludf.DUMMYFUNCTION("""COMPUTED_VALUE"""),"GENEPIO:0101005")</f>
        <v>GENEPIO:0101005</v>
      </c>
      <c r="D420" s="141" t="str">
        <f>IFERROR(__xludf.DUMMYFUNCTION("""COMPUTED_VALUE"""),"A quality of a body of water wherein there is a slow flow.")</f>
        <v>A quality of a body of water wherein there is a slow flow.</v>
      </c>
      <c r="E420" s="141"/>
      <c r="F420" s="141"/>
      <c r="G420" s="141"/>
      <c r="H420" s="141"/>
      <c r="I420" s="141"/>
      <c r="J420" s="141"/>
      <c r="K420" s="141"/>
      <c r="L420" s="141"/>
      <c r="M420" s="141"/>
      <c r="N420" s="141"/>
      <c r="O420" s="141"/>
      <c r="P420" s="141"/>
      <c r="Q420" s="141"/>
      <c r="R420" s="141"/>
      <c r="S420" s="141"/>
      <c r="T420" s="141"/>
      <c r="U420" s="141"/>
      <c r="V420" s="141"/>
      <c r="W420" s="141"/>
      <c r="X420" s="141"/>
      <c r="Y420" s="141"/>
      <c r="Z420" s="141"/>
    </row>
    <row r="421">
      <c r="A421" s="141"/>
      <c r="B421" s="141" t="str">
        <f>IFERROR(__xludf.DUMMYFUNCTION("""COMPUTED_VALUE"""),"Fluid (fast)  [GENEPIO:0101006]                ")</f>
        <v>Fluid (fast)  [GENEPIO:0101006]                </v>
      </c>
      <c r="C421" s="141" t="str">
        <f>IFERROR(__xludf.DUMMYFUNCTION("""COMPUTED_VALUE"""),"GENEPIO:0101006")</f>
        <v>GENEPIO:0101006</v>
      </c>
      <c r="D421" s="141" t="str">
        <f>IFERROR(__xludf.DUMMYFUNCTION("""COMPUTED_VALUE"""),"A quality of a body of water wherein there is a fast flow.")</f>
        <v>A quality of a body of water wherein there is a fast flow.</v>
      </c>
      <c r="E421" s="141"/>
      <c r="F421" s="141"/>
      <c r="G421" s="141"/>
      <c r="H421" s="141"/>
      <c r="I421" s="141"/>
      <c r="J421" s="141"/>
      <c r="K421" s="141"/>
      <c r="L421" s="141"/>
      <c r="M421" s="141"/>
      <c r="N421" s="141"/>
      <c r="O421" s="141"/>
      <c r="P421" s="141"/>
      <c r="Q421" s="141"/>
      <c r="R421" s="141"/>
      <c r="S421" s="141"/>
      <c r="T421" s="141"/>
      <c r="U421" s="141"/>
      <c r="V421" s="141"/>
      <c r="W421" s="141"/>
      <c r="X421" s="141"/>
      <c r="Y421" s="141"/>
      <c r="Z421" s="141"/>
    </row>
    <row r="422">
      <c r="A422" s="141"/>
      <c r="B422" s="141" t="str">
        <f>IFERROR(__xludf.DUMMYFUNCTION("""COMPUTED_VALUE"""),"Contamination [PATO:0015031]                ")</f>
        <v>Contamination [PATO:0015031]                </v>
      </c>
      <c r="C422" s="141" t="str">
        <f>IFERROR(__xludf.DUMMYFUNCTION("""COMPUTED_VALUE"""),"PATO:0015031")</f>
        <v>PATO:0015031</v>
      </c>
      <c r="D422" s="141" t="str">
        <f>IFERROR(__xludf.DUMMYFUNCTION("""COMPUTED_VALUE"""),"The presence of a constituent, impurity, or some other undesirable element that spoils, corrupts, infects, makes unfit, or makes inferior a material, physical body, natural environment, place of human occupancy, or other material entity.")</f>
        <v>The presence of a constituent, impurity, or some other undesirable element that spoils, corrupts, infects, makes unfit, or makes inferior a material, physical body, natural environment, place of human occupancy, or other material entity.</v>
      </c>
      <c r="E422" s="141"/>
      <c r="F422" s="141"/>
      <c r="G422" s="141"/>
      <c r="H422" s="141"/>
      <c r="I422" s="141"/>
      <c r="J422" s="141"/>
      <c r="K422" s="141"/>
      <c r="L422" s="141"/>
      <c r="M422" s="141"/>
      <c r="N422" s="141"/>
      <c r="O422" s="141"/>
      <c r="P422" s="141"/>
      <c r="Q422" s="141"/>
      <c r="R422" s="141"/>
      <c r="S422" s="141"/>
      <c r="T422" s="141"/>
      <c r="U422" s="141"/>
      <c r="V422" s="141"/>
      <c r="W422" s="141"/>
      <c r="X422" s="141"/>
      <c r="Y422" s="141"/>
      <c r="Z422" s="141"/>
    </row>
    <row r="423">
      <c r="A423" s="141"/>
      <c r="B423" s="141" t="str">
        <f>IFERROR(__xludf.DUMMYFUNCTION("""COMPUTED_VALUE"""),"    Fecal-contaminated [GENEPIO:0101010]            ")</f>
        <v>    Fecal-contaminated [GENEPIO:0101010]            </v>
      </c>
      <c r="C423" s="141" t="str">
        <f>IFERROR(__xludf.DUMMYFUNCTION("""COMPUTED_VALUE"""),"GENEPIO:0101010")</f>
        <v>GENEPIO:0101010</v>
      </c>
      <c r="D423" s="141" t="str">
        <f>IFERROR(__xludf.DUMMYFUNCTION("""COMPUTED_VALUE"""),"A contamination quality in which fecal matter is a key component of the contamination.")</f>
        <v>A contamination quality in which fecal matter is a key component of the contamination.</v>
      </c>
      <c r="E423" s="141"/>
      <c r="F423" s="141"/>
      <c r="G423" s="141"/>
      <c r="H423" s="141"/>
      <c r="I423" s="141"/>
      <c r="J423" s="141"/>
      <c r="K423" s="141"/>
      <c r="L423" s="141"/>
      <c r="M423" s="141"/>
      <c r="N423" s="141"/>
      <c r="O423" s="141"/>
      <c r="P423" s="141"/>
      <c r="Q423" s="141"/>
      <c r="R423" s="141"/>
      <c r="S423" s="141"/>
      <c r="T423" s="141"/>
      <c r="U423" s="141"/>
      <c r="V423" s="141"/>
      <c r="W423" s="141"/>
      <c r="X423" s="141"/>
      <c r="Y423" s="141"/>
      <c r="Z423" s="141"/>
    </row>
    <row r="424">
      <c r="A424" s="141"/>
      <c r="B424" s="141" t="str">
        <f>IFERROR(__xludf.DUMMYFUNCTION("""COMPUTED_VALUE"""),"Liquid  [PATO:0001735]                ")</f>
        <v>Liquid  [PATO:0001735]                </v>
      </c>
      <c r="C424" s="141" t="str">
        <f>IFERROR(__xludf.DUMMYFUNCTION("""COMPUTED_VALUE"""),"PATO:0001735")</f>
        <v>PATO:0001735</v>
      </c>
      <c r="D424" s="141" t="str">
        <f>IFERROR(__xludf.DUMMYFUNCTION("""COMPUTED_VALUE"""),"A physical quality inhering in a bearer by virtue of the bearer's parts having the arrangement which exhibits characteristics of liquids.")</f>
        <v>A physical quality inhering in a bearer by virtue of the bearer's parts having the arrangement which exhibits characteristics of liquids.</v>
      </c>
      <c r="E424" s="141"/>
      <c r="F424" s="141"/>
      <c r="G424" s="141"/>
      <c r="H424" s="141"/>
      <c r="I424" s="141"/>
      <c r="J424" s="141"/>
      <c r="K424" s="141"/>
      <c r="L424" s="141"/>
      <c r="M424" s="141"/>
      <c r="N424" s="141"/>
      <c r="O424" s="141"/>
      <c r="P424" s="141"/>
      <c r="Q424" s="141"/>
      <c r="R424" s="141"/>
      <c r="S424" s="141"/>
      <c r="T424" s="141"/>
      <c r="U424" s="141"/>
      <c r="V424" s="141"/>
      <c r="W424" s="141"/>
      <c r="X424" s="141"/>
      <c r="Y424" s="141"/>
      <c r="Z424" s="141"/>
    </row>
    <row r="425">
      <c r="A425" s="141"/>
      <c r="B425" s="141" t="str">
        <f>IFERROR(__xludf.DUMMYFUNCTION("""COMPUTED_VALUE"""),"Slurry-like [GENEPIO:0101007]                ")</f>
        <v>Slurry-like [GENEPIO:0101007]                </v>
      </c>
      <c r="C425" s="141" t="str">
        <f>IFERROR(__xludf.DUMMYFUNCTION("""COMPUTED_VALUE"""),"GENEPIO:0101007")</f>
        <v>GENEPIO:0101007</v>
      </c>
      <c r="D425" s="141" t="str">
        <f>IFERROR(__xludf.DUMMYFUNCTION("""COMPUTED_VALUE"""),"An quality in which the fluid like material is more viscous due to the suspension of insoluble solid particles.")</f>
        <v>An quality in which the fluid like material is more viscous due to the suspension of insoluble solid particles.</v>
      </c>
      <c r="E425" s="141"/>
      <c r="F425" s="141"/>
      <c r="G425" s="141"/>
      <c r="H425" s="141"/>
      <c r="I425" s="141"/>
      <c r="J425" s="141"/>
      <c r="K425" s="141"/>
      <c r="L425" s="141"/>
      <c r="M425" s="141"/>
      <c r="N425" s="141"/>
      <c r="O425" s="141"/>
      <c r="P425" s="141"/>
      <c r="Q425" s="141"/>
      <c r="R425" s="141"/>
      <c r="S425" s="141"/>
      <c r="T425" s="141"/>
      <c r="U425" s="141"/>
      <c r="V425" s="141"/>
      <c r="W425" s="141"/>
      <c r="X425" s="141"/>
      <c r="Y425" s="141"/>
      <c r="Z425" s="141"/>
    </row>
    <row r="426">
      <c r="A426" s="141"/>
      <c r="B426" s="141" t="str">
        <f>IFERROR(__xludf.DUMMYFUNCTION("""COMPUTED_VALUE"""),"Semi-solid [NCIT:C149895]                ")</f>
        <v>Semi-solid [NCIT:C149895]                </v>
      </c>
      <c r="C426" s="141" t="str">
        <f>IFERROR(__xludf.DUMMYFUNCTION("""COMPUTED_VALUE"""),"NCIT:C149895")</f>
        <v>NCIT:C149895</v>
      </c>
      <c r="D426" s="141" t="str">
        <f>IFERROR(__xludf.DUMMYFUNCTION("""COMPUTED_VALUE"""),"A state of matter consisting of molecules in a non-rigid structure that can retain its shape and volume but that is not resistant to such change.")</f>
        <v>A state of matter consisting of molecules in a non-rigid structure that can retain its shape and volume but that is not resistant to such change.</v>
      </c>
      <c r="E426" s="141"/>
      <c r="F426" s="141"/>
      <c r="G426" s="141"/>
      <c r="H426" s="141"/>
      <c r="I426" s="141"/>
      <c r="J426" s="141"/>
      <c r="K426" s="141"/>
      <c r="L426" s="141"/>
      <c r="M426" s="141"/>
      <c r="N426" s="141"/>
      <c r="O426" s="141"/>
      <c r="P426" s="141"/>
      <c r="Q426" s="141"/>
      <c r="R426" s="141"/>
      <c r="S426" s="141"/>
      <c r="T426" s="141"/>
      <c r="U426" s="141"/>
      <c r="V426" s="141"/>
      <c r="W426" s="141"/>
      <c r="X426" s="141"/>
      <c r="Y426" s="141"/>
      <c r="Z426" s="141"/>
    </row>
    <row r="427">
      <c r="A427" s="141"/>
      <c r="B427" s="141" t="str">
        <f>IFERROR(__xludf.DUMMYFUNCTION("""COMPUTED_VALUE"""),"Solid [PATO:0001736]                ")</f>
        <v>Solid [PATO:0001736]                </v>
      </c>
      <c r="C427" s="141" t="str">
        <f>IFERROR(__xludf.DUMMYFUNCTION("""COMPUTED_VALUE"""),"PATO:0001736")</f>
        <v>PATO:0001736</v>
      </c>
      <c r="D427" s="141" t="str">
        <f>IFERROR(__xludf.DUMMYFUNCTION("""COMPUTED_VALUE"""),"A quality in which an object or material exhibits characteristics of solids, lacking movement or flow.")</f>
        <v>A quality in which an object or material exhibits characteristics of solids, lacking movement or flow.</v>
      </c>
      <c r="E427" s="141"/>
      <c r="F427" s="141"/>
      <c r="G427" s="141"/>
      <c r="H427" s="141"/>
      <c r="I427" s="141"/>
      <c r="J427" s="141"/>
      <c r="K427" s="141"/>
      <c r="L427" s="141"/>
      <c r="M427" s="141"/>
      <c r="N427" s="141"/>
      <c r="O427" s="141"/>
      <c r="P427" s="141"/>
      <c r="Q427" s="141"/>
      <c r="R427" s="141"/>
      <c r="S427" s="141"/>
      <c r="T427" s="141"/>
      <c r="U427" s="141"/>
      <c r="V427" s="141"/>
      <c r="W427" s="141"/>
      <c r="X427" s="141"/>
      <c r="Y427" s="141"/>
      <c r="Z427" s="141"/>
    </row>
    <row r="428">
      <c r="A428" s="141"/>
      <c r="B428" s="141" t="str">
        <f>IFERROR(__xludf.DUMMYFUNCTION("""COMPUTED_VALUE"""),"Treated [GENEPIO:0101008]                ")</f>
        <v>Treated [GENEPIO:0101008]                </v>
      </c>
      <c r="C428" s="141" t="str">
        <f>IFERROR(__xludf.DUMMYFUNCTION("""COMPUTED_VALUE"""),"GENEPIO:0101008")</f>
        <v>GENEPIO:0101008</v>
      </c>
      <c r="D428" s="141" t="str">
        <f>IFERROR(__xludf.DUMMYFUNCTION("""COMPUTED_VALUE"""),"A quality which denotes an altered state of an item resulting from purposeful interventions or processes.")</f>
        <v>A quality which denotes an altered state of an item resulting from purposeful interventions or processes.</v>
      </c>
      <c r="E428" s="141"/>
      <c r="F428" s="141"/>
      <c r="G428" s="141"/>
      <c r="H428" s="141"/>
      <c r="I428" s="141"/>
      <c r="J428" s="141"/>
      <c r="K428" s="141"/>
      <c r="L428" s="141"/>
      <c r="M428" s="141"/>
      <c r="N428" s="141"/>
      <c r="O428" s="141"/>
      <c r="P428" s="141"/>
      <c r="Q428" s="141"/>
      <c r="R428" s="141"/>
      <c r="S428" s="141"/>
      <c r="T428" s="141"/>
      <c r="U428" s="141"/>
      <c r="V428" s="141"/>
      <c r="W428" s="141"/>
      <c r="X428" s="141"/>
      <c r="Y428" s="141"/>
      <c r="Z428" s="141"/>
    </row>
    <row r="429">
      <c r="A429" s="141"/>
      <c r="B429" s="141" t="str">
        <f>IFERROR(__xludf.DUMMYFUNCTION("""COMPUTED_VALUE"""),"Untreated [GENEPIO:0101009]                ")</f>
        <v>Untreated [GENEPIO:0101009]                </v>
      </c>
      <c r="C429" s="141" t="str">
        <f>IFERROR(__xludf.DUMMYFUNCTION("""COMPUTED_VALUE"""),"GENEPIO:0101009")</f>
        <v>GENEPIO:0101009</v>
      </c>
      <c r="D429" s="141" t="str">
        <f>IFERROR(__xludf.DUMMYFUNCTION("""COMPUTED_VALUE"""),"A quality which denotes an absence of purposeful intervention or processes on an item.")</f>
        <v>A quality which denotes an absence of purposeful intervention or processes on an item.</v>
      </c>
      <c r="E429" s="141"/>
      <c r="F429" s="141"/>
      <c r="G429" s="141"/>
      <c r="H429" s="141"/>
      <c r="I429" s="141"/>
      <c r="J429" s="141"/>
      <c r="K429" s="141"/>
      <c r="L429" s="141"/>
      <c r="M429" s="141"/>
      <c r="N429" s="141"/>
      <c r="O429" s="141"/>
      <c r="P429" s="141"/>
      <c r="Q429" s="141"/>
      <c r="R429" s="141"/>
      <c r="S429" s="141"/>
      <c r="T429" s="141"/>
      <c r="U429" s="141"/>
      <c r="V429" s="141"/>
      <c r="W429" s="141"/>
      <c r="X429" s="141"/>
      <c r="Y429" s="141"/>
      <c r="Z429" s="141"/>
    </row>
    <row r="430">
      <c r="A430" s="141" t="str">
        <f>IFERROR(__xludf.DUMMYFUNCTION("""COMPUTED_VALUE"""),"wastewater system type menu")</f>
        <v>wastewater system type menu</v>
      </c>
      <c r="B430" s="141" t="str">
        <f>IFERROR(__xludf.DUMMYFUNCTION("""COMPUTED_VALUE"""),"                ")</f>
        <v>                </v>
      </c>
      <c r="C430" s="141" t="str">
        <f>IFERROR(__xludf.DUMMYFUNCTION("""COMPUTED_VALUE"""),"")</f>
        <v/>
      </c>
      <c r="D430" s="141"/>
      <c r="E430" s="141"/>
      <c r="F430" s="141"/>
      <c r="G430" s="141"/>
      <c r="H430" s="141"/>
      <c r="I430" s="141"/>
      <c r="J430" s="141"/>
      <c r="K430" s="141"/>
      <c r="L430" s="141"/>
      <c r="M430" s="141"/>
      <c r="N430" s="141"/>
      <c r="O430" s="141"/>
      <c r="P430" s="141"/>
      <c r="Q430" s="141"/>
      <c r="R430" s="141"/>
      <c r="S430" s="141"/>
      <c r="T430" s="141"/>
      <c r="U430" s="141"/>
      <c r="V430" s="141"/>
      <c r="W430" s="141"/>
      <c r="X430" s="141"/>
      <c r="Y430" s="141"/>
      <c r="Z430" s="141"/>
    </row>
    <row r="431">
      <c r="A431" s="141"/>
      <c r="B431" s="141" t="str">
        <f>IFERROR(__xludf.DUMMYFUNCTION("""COMPUTED_VALUE"""),"Combined sewer system [ENVO:03501453]                ")</f>
        <v>Combined sewer system [ENVO:03501453]                </v>
      </c>
      <c r="C431" s="141" t="str">
        <f>IFERROR(__xludf.DUMMYFUNCTION("""COMPUTED_VALUE"""),"ENVO:03501453")</f>
        <v>ENVO:03501453</v>
      </c>
      <c r="D431" s="141" t="str">
        <f>IFERROR(__xludf.DUMMYFUNCTION("""COMPUTED_VALUE"""),"A sewered sanitation system that collects rainwater runoff, domestic sewage, and industrial wastewater.")</f>
        <v>A sewered sanitation system that collects rainwater runoff, domestic sewage, and industrial wastewater.</v>
      </c>
      <c r="E431" s="141"/>
      <c r="F431" s="141"/>
      <c r="G431" s="141"/>
      <c r="H431" s="141"/>
      <c r="I431" s="141"/>
      <c r="J431" s="141"/>
      <c r="K431" s="141"/>
      <c r="L431" s="141"/>
      <c r="M431" s="141"/>
      <c r="N431" s="141"/>
      <c r="O431" s="141"/>
      <c r="P431" s="141"/>
      <c r="Q431" s="141"/>
      <c r="R431" s="141"/>
      <c r="S431" s="141"/>
      <c r="T431" s="141"/>
      <c r="U431" s="141"/>
      <c r="V431" s="141"/>
      <c r="W431" s="141"/>
      <c r="X431" s="141"/>
      <c r="Y431" s="141"/>
      <c r="Z431" s="141"/>
    </row>
    <row r="432">
      <c r="A432" s="141"/>
      <c r="B432" s="141" t="str">
        <f>IFERROR(__xludf.DUMMYFUNCTION("""COMPUTED_VALUE"""),"Sanitary sewer system [ENVO:03501454]                ")</f>
        <v>Sanitary sewer system [ENVO:03501454]                </v>
      </c>
      <c r="C432" s="141" t="str">
        <f>IFERROR(__xludf.DUMMYFUNCTION("""COMPUTED_VALUE"""),"ENVO:03501454")</f>
        <v>ENVO:03501454</v>
      </c>
      <c r="D432" s="141" t="str">
        <f>IFERROR(__xludf.DUMMYFUNCTION("""COMPUTED_VALUE"""),"A sewered sanitation system that collects only domestic sewage.")</f>
        <v>A sewered sanitation system that collects only domestic sewage.</v>
      </c>
      <c r="E432" s="141"/>
      <c r="F432" s="141"/>
      <c r="G432" s="141"/>
      <c r="H432" s="141"/>
      <c r="I432" s="141"/>
      <c r="J432" s="141"/>
      <c r="K432" s="141"/>
      <c r="L432" s="141"/>
      <c r="M432" s="141"/>
      <c r="N432" s="141"/>
      <c r="O432" s="141"/>
      <c r="P432" s="141"/>
      <c r="Q432" s="141"/>
      <c r="R432" s="141"/>
      <c r="S432" s="141"/>
      <c r="T432" s="141"/>
      <c r="U432" s="141"/>
      <c r="V432" s="141"/>
      <c r="W432" s="141"/>
      <c r="X432" s="141"/>
      <c r="Y432" s="141"/>
      <c r="Z432" s="141"/>
    </row>
    <row r="433">
      <c r="A433" s="141"/>
      <c r="B433" s="141" t="str">
        <f>IFERROR(__xludf.DUMMYFUNCTION("""COMPUTED_VALUE"""),"Waste stabilization pond [ENVO:03600076]                ")</f>
        <v>Waste stabilization pond [ENVO:03600076]                </v>
      </c>
      <c r="C433" s="141" t="str">
        <f>IFERROR(__xludf.DUMMYFUNCTION("""COMPUTED_VALUE"""),"ENVO:03600076")</f>
        <v>ENVO:03600076</v>
      </c>
      <c r="D433" s="141" t="str">
        <f>IFERROR(__xludf.DUMMYFUNCTION("""COMPUTED_VALUE"""),"A human construction which confines wastewater in a depression enclosed by earthen structures.")</f>
        <v>A human construction which confines wastewater in a depression enclosed by earthen structures.</v>
      </c>
      <c r="E433" s="141"/>
      <c r="F433" s="141"/>
      <c r="G433" s="141"/>
      <c r="H433" s="141"/>
      <c r="I433" s="141"/>
      <c r="J433" s="141"/>
      <c r="K433" s="141"/>
      <c r="L433" s="141"/>
      <c r="M433" s="141"/>
      <c r="N433" s="141"/>
      <c r="O433" s="141"/>
      <c r="P433" s="141"/>
      <c r="Q433" s="141"/>
      <c r="R433" s="141"/>
      <c r="S433" s="141"/>
      <c r="T433" s="141"/>
      <c r="U433" s="141"/>
      <c r="V433" s="141"/>
      <c r="W433" s="141"/>
      <c r="X433" s="141"/>
      <c r="Y433" s="141"/>
      <c r="Z433" s="141"/>
    </row>
    <row r="434">
      <c r="A434" s="141"/>
      <c r="B434" s="141" t="str">
        <f>IFERROR(__xludf.DUMMYFUNCTION("""COMPUTED_VALUE"""),"Latrine [ENVO:01000519]                ")</f>
        <v>Latrine [ENVO:01000519]                </v>
      </c>
      <c r="C434" s="141" t="str">
        <f>IFERROR(__xludf.DUMMYFUNCTION("""COMPUTED_VALUE"""),"ENVO:01000519")</f>
        <v>ENVO:01000519</v>
      </c>
      <c r="D434" s="141" t="str">
        <f>IFERROR(__xludf.DUMMYFUNCTION("""COMPUTED_VALUE"""),"A latrine is a toilet which is of simple construction (relative to a flush or chemical toilet) and typically intended for communal use.")</f>
        <v>A latrine is a toilet which is of simple construction (relative to a flush or chemical toilet) and typically intended for communal use.</v>
      </c>
      <c r="E434" s="141"/>
      <c r="F434" s="141"/>
      <c r="G434" s="141"/>
      <c r="H434" s="141"/>
      <c r="I434" s="141"/>
      <c r="J434" s="141"/>
      <c r="K434" s="141"/>
      <c r="L434" s="141"/>
      <c r="M434" s="141"/>
      <c r="N434" s="141"/>
      <c r="O434" s="141"/>
      <c r="P434" s="141"/>
      <c r="Q434" s="141"/>
      <c r="R434" s="141"/>
      <c r="S434" s="141"/>
      <c r="T434" s="141"/>
      <c r="U434" s="141"/>
      <c r="V434" s="141"/>
      <c r="W434" s="141"/>
      <c r="X434" s="141"/>
      <c r="Y434" s="141"/>
      <c r="Z434" s="141"/>
    </row>
    <row r="435">
      <c r="A435" s="141"/>
      <c r="B435" s="141" t="str">
        <f>IFERROR(__xludf.DUMMYFUNCTION("""COMPUTED_VALUE"""),"Septic tank [ENVO:03501451]                ")</f>
        <v>Septic tank [ENVO:03501451]                </v>
      </c>
      <c r="C435" s="141" t="str">
        <f>IFERROR(__xludf.DUMMYFUNCTION("""COMPUTED_VALUE"""),"ENVO:03501451")</f>
        <v>ENVO:03501451</v>
      </c>
      <c r="D435" s="141" t="str">
        <f>IFERROR(__xludf.DUMMYFUNCTION("""COMPUTED_VALUE"""),"An underground holding and treatment site for domestic wastewater.")</f>
        <v>An underground holding and treatment site for domestic wastewater.</v>
      </c>
      <c r="E435" s="141"/>
      <c r="F435" s="141"/>
      <c r="G435" s="141"/>
      <c r="H435" s="141"/>
      <c r="I435" s="141"/>
      <c r="J435" s="141"/>
      <c r="K435" s="141"/>
      <c r="L435" s="141"/>
      <c r="M435" s="141"/>
      <c r="N435" s="141"/>
      <c r="O435" s="141"/>
      <c r="P435" s="141"/>
      <c r="Q435" s="141"/>
      <c r="R435" s="141"/>
      <c r="S435" s="141"/>
      <c r="T435" s="141"/>
      <c r="U435" s="141"/>
      <c r="V435" s="141"/>
      <c r="W435" s="141"/>
      <c r="X435" s="141"/>
      <c r="Y435" s="141"/>
      <c r="Z435" s="141"/>
    </row>
    <row r="436">
      <c r="A436" s="141"/>
      <c r="B436" s="141" t="str">
        <f>IFERROR(__xludf.DUMMYFUNCTION("""COMPUTED_VALUE"""),"Cesspit [ENVO:03501452]                ")</f>
        <v>Cesspit [ENVO:03501452]                </v>
      </c>
      <c r="C436" s="141" t="str">
        <f>IFERROR(__xludf.DUMMYFUNCTION("""COMPUTED_VALUE"""),"ENVO:03501452")</f>
        <v>ENVO:03501452</v>
      </c>
      <c r="D436" s="141" t="str">
        <f>IFERROR(__xludf.DUMMYFUNCTION("""COMPUTED_VALUE"""),"A pit for the disposal and storage of sewage.")</f>
        <v>A pit for the disposal and storage of sewage.</v>
      </c>
      <c r="E436" s="141"/>
      <c r="F436" s="141"/>
      <c r="G436" s="141"/>
      <c r="H436" s="141"/>
      <c r="I436" s="141"/>
      <c r="J436" s="141"/>
      <c r="K436" s="141"/>
      <c r="L436" s="141"/>
      <c r="M436" s="141"/>
      <c r="N436" s="141"/>
      <c r="O436" s="141"/>
      <c r="P436" s="141"/>
      <c r="Q436" s="141"/>
      <c r="R436" s="141"/>
      <c r="S436" s="141"/>
      <c r="T436" s="141"/>
      <c r="U436" s="141"/>
      <c r="V436" s="141"/>
      <c r="W436" s="141"/>
      <c r="X436" s="141"/>
      <c r="Y436" s="141"/>
      <c r="Z436" s="141"/>
    </row>
    <row r="437">
      <c r="A437" s="141"/>
      <c r="B437" s="141" t="str">
        <f>IFERROR(__xludf.DUMMYFUNCTION("""COMPUTED_VALUE"""),"Composting toilet [ENVO:01000550]                ")</f>
        <v>Composting toilet [ENVO:01000550]                </v>
      </c>
      <c r="C437" s="141" t="str">
        <f>IFERROR(__xludf.DUMMYFUNCTION("""COMPUTED_VALUE"""),"ENVO:01000550")</f>
        <v>ENVO:01000550</v>
      </c>
      <c r="D437" s="141" t="str">
        <f>IFERROR(__xludf.DUMMYFUNCTION("""COMPUTED_VALUE"""),"A composting toilet fixture is a dry toilet fixture in which managed, aerobic decomposition converts human excreta into organic matter suitable for the fertilisation or amendment of soils.")</f>
        <v>A composting toilet fixture is a dry toilet fixture in which managed, aerobic decomposition converts human excreta into organic matter suitable for the fertilisation or amendment of soils.</v>
      </c>
      <c r="E437" s="141"/>
      <c r="F437" s="141"/>
      <c r="G437" s="141"/>
      <c r="H437" s="141"/>
      <c r="I437" s="141"/>
      <c r="J437" s="141"/>
      <c r="K437" s="141"/>
      <c r="L437" s="141"/>
      <c r="M437" s="141"/>
      <c r="N437" s="141"/>
      <c r="O437" s="141"/>
      <c r="P437" s="141"/>
      <c r="Q437" s="141"/>
      <c r="R437" s="141"/>
      <c r="S437" s="141"/>
      <c r="T437" s="141"/>
      <c r="U437" s="141"/>
      <c r="V437" s="141"/>
      <c r="W437" s="141"/>
      <c r="X437" s="141"/>
      <c r="Y437" s="141"/>
      <c r="Z437" s="141"/>
    </row>
    <row r="438">
      <c r="A438" s="141"/>
      <c r="B438" s="141" t="str">
        <f>IFERROR(__xludf.DUMMYFUNCTION("""COMPUTED_VALUE"""),"Sewer drain [ENVO:01000924]                ")</f>
        <v>Sewer drain [ENVO:01000924]                </v>
      </c>
      <c r="C438" s="141" t="str">
        <f>IFERROR(__xludf.DUMMYFUNCTION("""COMPUTED_VALUE"""),"ENVO:01000924")</f>
        <v>ENVO:01000924</v>
      </c>
      <c r="D438" s="141" t="str">
        <f>IFERROR(__xludf.DUMMYFUNCTION("""COMPUTED_VALUE"""),"An artificial channel which transports unwanted water or waste liquids away from their source, either to a more useful area, a receptacle, or into sewers or stormwater mains as waste discharge to be released or processed.")</f>
        <v>An artificial channel which transports unwanted water or waste liquids away from their source, either to a more useful area, a receptacle, or into sewers or stormwater mains as waste discharge to be released or processed.</v>
      </c>
      <c r="E438" s="141"/>
      <c r="F438" s="141"/>
      <c r="G438" s="141"/>
      <c r="H438" s="141"/>
      <c r="I438" s="141"/>
      <c r="J438" s="141"/>
      <c r="K438" s="141"/>
      <c r="L438" s="141"/>
      <c r="M438" s="141"/>
      <c r="N438" s="141"/>
      <c r="O438" s="141"/>
      <c r="P438" s="141"/>
      <c r="Q438" s="141"/>
      <c r="R438" s="141"/>
      <c r="S438" s="141"/>
      <c r="T438" s="141"/>
      <c r="U438" s="141"/>
      <c r="V438" s="141"/>
      <c r="W438" s="141"/>
      <c r="X438" s="141"/>
      <c r="Y438" s="141"/>
      <c r="Z438" s="141"/>
    </row>
    <row r="439">
      <c r="A439" s="141"/>
      <c r="B439" s="141" t="str">
        <f>IFERROR(__xludf.DUMMYFUNCTION("""COMPUTED_VALUE"""),"                ")</f>
        <v>                </v>
      </c>
      <c r="C439" s="141" t="str">
        <f>IFERROR(__xludf.DUMMYFUNCTION("""COMPUTED_VALUE"""),"")</f>
        <v/>
      </c>
      <c r="D439" s="141"/>
      <c r="E439" s="141"/>
      <c r="F439" s="141"/>
      <c r="G439" s="141"/>
      <c r="H439" s="141"/>
      <c r="I439" s="141"/>
      <c r="J439" s="141"/>
      <c r="K439" s="141"/>
      <c r="L439" s="141"/>
      <c r="M439" s="141"/>
      <c r="N439" s="141"/>
      <c r="O439" s="141"/>
      <c r="P439" s="141"/>
      <c r="Q439" s="141"/>
      <c r="R439" s="141"/>
      <c r="S439" s="141"/>
      <c r="T439" s="141"/>
      <c r="U439" s="141"/>
      <c r="V439" s="141"/>
      <c r="W439" s="141"/>
      <c r="X439" s="141"/>
      <c r="Y439" s="141"/>
      <c r="Z439" s="141"/>
    </row>
    <row r="440">
      <c r="A440" s="141"/>
      <c r="B440" s="141" t="str">
        <f>IFERROR(__xludf.DUMMYFUNCTION("""COMPUTED_VALUE"""),"                ")</f>
        <v>                </v>
      </c>
      <c r="C440" s="141" t="str">
        <f>IFERROR(__xludf.DUMMYFUNCTION("""COMPUTED_VALUE"""),"")</f>
        <v/>
      </c>
      <c r="D440" s="141"/>
      <c r="E440" s="141"/>
      <c r="F440" s="141"/>
      <c r="G440" s="141"/>
      <c r="H440" s="141"/>
      <c r="I440" s="141"/>
      <c r="J440" s="141"/>
      <c r="K440" s="141"/>
      <c r="L440" s="141"/>
      <c r="M440" s="141"/>
      <c r="N440" s="141"/>
      <c r="O440" s="141"/>
      <c r="P440" s="141"/>
      <c r="Q440" s="141"/>
      <c r="R440" s="141"/>
      <c r="S440" s="141"/>
      <c r="T440" s="141"/>
      <c r="U440" s="141"/>
      <c r="V440" s="141"/>
      <c r="W440" s="141"/>
      <c r="X440" s="141"/>
      <c r="Y440" s="141"/>
      <c r="Z440" s="141"/>
    </row>
    <row r="441">
      <c r="A441" s="141" t="str">
        <f>IFERROR(__xludf.DUMMYFUNCTION("""COMPUTED_VALUE"""),"experimental specimen role type menu")</f>
        <v>experimental specimen role type menu</v>
      </c>
      <c r="B441" s="141" t="str">
        <f>IFERROR(__xludf.DUMMYFUNCTION("""COMPUTED_VALUE"""),"                ")</f>
        <v>                </v>
      </c>
      <c r="C441" s="141" t="str">
        <f>IFERROR(__xludf.DUMMYFUNCTION("""COMPUTED_VALUE"""),"")</f>
        <v/>
      </c>
      <c r="D441" s="141"/>
      <c r="E441" s="141"/>
      <c r="F441" s="141"/>
      <c r="G441" s="141"/>
      <c r="H441" s="141"/>
      <c r="I441" s="141"/>
      <c r="J441" s="141"/>
      <c r="K441" s="141"/>
      <c r="L441" s="141"/>
      <c r="M441" s="141"/>
      <c r="N441" s="141"/>
      <c r="O441" s="141"/>
      <c r="P441" s="141"/>
      <c r="Q441" s="141"/>
      <c r="R441" s="141"/>
      <c r="S441" s="141"/>
      <c r="T441" s="141"/>
      <c r="U441" s="141"/>
      <c r="V441" s="141"/>
      <c r="W441" s="141"/>
      <c r="X441" s="141"/>
      <c r="Y441" s="141"/>
      <c r="Z441" s="141"/>
    </row>
    <row r="442">
      <c r="A442" s="141"/>
      <c r="B442" s="141" t="str">
        <f>IFERROR(__xludf.DUMMYFUNCTION("""COMPUTED_VALUE"""),"Positive experimental control [GENEPIO:0101018]                ")</f>
        <v>Positive experimental control [GENEPIO:0101018]                </v>
      </c>
      <c r="C442" s="141" t="str">
        <f>IFERROR(__xludf.DUMMYFUNCTION("""COMPUTED_VALUE"""),"GENEPIO:0101018")</f>
        <v>GENEPIO:0101018</v>
      </c>
      <c r="D442" s="141"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E442" s="141"/>
      <c r="F442" s="141"/>
      <c r="G442" s="141"/>
      <c r="H442" s="141"/>
      <c r="I442" s="141"/>
      <c r="J442" s="141"/>
      <c r="K442" s="141"/>
      <c r="L442" s="141"/>
      <c r="M442" s="141"/>
      <c r="N442" s="141"/>
      <c r="O442" s="141"/>
      <c r="P442" s="141"/>
      <c r="Q442" s="141"/>
      <c r="R442" s="141"/>
      <c r="S442" s="141"/>
      <c r="T442" s="141"/>
      <c r="U442" s="141"/>
      <c r="V442" s="141"/>
      <c r="W442" s="141"/>
      <c r="X442" s="141"/>
      <c r="Y442" s="141"/>
      <c r="Z442" s="141"/>
    </row>
    <row r="443">
      <c r="A443" s="141"/>
      <c r="B443" s="141" t="str">
        <f>IFERROR(__xludf.DUMMYFUNCTION("""COMPUTED_VALUE"""),"Negative experimental control [GENEPIO:0101019]                ")</f>
        <v>Negative experimental control [GENEPIO:0101019]                </v>
      </c>
      <c r="C443" s="141" t="str">
        <f>IFERROR(__xludf.DUMMYFUNCTION("""COMPUTED_VALUE"""),"GENEPIO:0101019")</f>
        <v>GENEPIO:0101019</v>
      </c>
      <c r="D443" s="141"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443" s="141"/>
      <c r="F443" s="141"/>
      <c r="G443" s="141"/>
      <c r="H443" s="141"/>
      <c r="I443" s="141"/>
      <c r="J443" s="141"/>
      <c r="K443" s="141"/>
      <c r="L443" s="141"/>
      <c r="M443" s="141"/>
      <c r="N443" s="141"/>
      <c r="O443" s="141"/>
      <c r="P443" s="141"/>
      <c r="Q443" s="141"/>
      <c r="R443" s="141"/>
      <c r="S443" s="141"/>
      <c r="T443" s="141"/>
      <c r="U443" s="141"/>
      <c r="V443" s="141"/>
      <c r="W443" s="141"/>
      <c r="X443" s="141"/>
      <c r="Y443" s="141"/>
      <c r="Z443" s="141"/>
    </row>
    <row r="444">
      <c r="A444" s="141"/>
      <c r="B444" s="141" t="str">
        <f>IFERROR(__xludf.DUMMYFUNCTION("""COMPUTED_VALUE"""),"Technical replicate [EFO:0002090]                ")</f>
        <v>Technical replicate [EFO:0002090]                </v>
      </c>
      <c r="C444" s="141" t="str">
        <f>IFERROR(__xludf.DUMMYFUNCTION("""COMPUTED_VALUE"""),"EFO:0002090")</f>
        <v>EFO:0002090</v>
      </c>
      <c r="D444" s="141"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444" s="141"/>
      <c r="F444" s="141"/>
      <c r="G444" s="141"/>
      <c r="H444" s="141"/>
      <c r="I444" s="141"/>
      <c r="J444" s="141"/>
      <c r="K444" s="141"/>
      <c r="L444" s="141"/>
      <c r="M444" s="141"/>
      <c r="N444" s="141"/>
      <c r="O444" s="141"/>
      <c r="P444" s="141"/>
      <c r="Q444" s="141"/>
      <c r="R444" s="141"/>
      <c r="S444" s="141"/>
      <c r="T444" s="141"/>
      <c r="U444" s="141"/>
      <c r="V444" s="141"/>
      <c r="W444" s="141"/>
      <c r="X444" s="141"/>
      <c r="Y444" s="141"/>
      <c r="Z444" s="141"/>
    </row>
    <row r="445">
      <c r="A445" s="141"/>
      <c r="B445" s="141" t="str">
        <f>IFERROR(__xludf.DUMMYFUNCTION("""COMPUTED_VALUE"""),"Biological replicate [EFO:0002091]                ")</f>
        <v>Biological replicate [EFO:0002091]                </v>
      </c>
      <c r="C445" s="141" t="str">
        <f>IFERROR(__xludf.DUMMYFUNCTION("""COMPUTED_VALUE"""),"EFO:0002091")</f>
        <v>EFO:0002091</v>
      </c>
      <c r="D445" s="141"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445" s="141"/>
      <c r="F445" s="141"/>
      <c r="G445" s="141"/>
      <c r="H445" s="141"/>
      <c r="I445" s="141"/>
      <c r="J445" s="141"/>
      <c r="K445" s="141"/>
      <c r="L445" s="141"/>
      <c r="M445" s="141"/>
      <c r="N445" s="141"/>
      <c r="O445" s="141"/>
      <c r="P445" s="141"/>
      <c r="Q445" s="141"/>
      <c r="R445" s="141"/>
      <c r="S445" s="141"/>
      <c r="T445" s="141"/>
      <c r="U445" s="141"/>
      <c r="V445" s="141"/>
      <c r="W445" s="141"/>
      <c r="X445" s="141"/>
      <c r="Y445" s="141"/>
      <c r="Z445" s="141"/>
    </row>
    <row r="446">
      <c r="A446" s="141" t="str">
        <f>IFERROR(__xludf.DUMMYFUNCTION("""COMPUTED_VALUE"""),"collection device menu")</f>
        <v>collection device menu</v>
      </c>
      <c r="B446" s="141" t="str">
        <f>IFERROR(__xludf.DUMMYFUNCTION("""COMPUTED_VALUE"""),"                ")</f>
        <v>                </v>
      </c>
      <c r="C446" s="141" t="str">
        <f>IFERROR(__xludf.DUMMYFUNCTION("""COMPUTED_VALUE"""),"")</f>
        <v/>
      </c>
      <c r="D446" s="141"/>
      <c r="E446" s="141"/>
      <c r="F446" s="141"/>
      <c r="G446" s="141"/>
      <c r="H446" s="141"/>
      <c r="I446" s="141"/>
      <c r="J446" s="141"/>
      <c r="K446" s="141"/>
      <c r="L446" s="141"/>
      <c r="M446" s="141"/>
      <c r="N446" s="141"/>
      <c r="O446" s="141"/>
      <c r="P446" s="141"/>
      <c r="Q446" s="141"/>
      <c r="R446" s="141"/>
      <c r="S446" s="141"/>
      <c r="T446" s="141"/>
      <c r="U446" s="141"/>
      <c r="V446" s="141"/>
      <c r="W446" s="141"/>
      <c r="X446" s="141"/>
      <c r="Y446" s="141"/>
      <c r="Z446" s="141"/>
    </row>
    <row r="447">
      <c r="A447" s="141"/>
      <c r="B447" s="141" t="str">
        <f>IFERROR(__xludf.DUMMYFUNCTION("""COMPUTED_VALUE"""),"Grab sampler [GENEPIO:0100941]                ")</f>
        <v>Grab sampler [GENEPIO:0100941]                </v>
      </c>
      <c r="C447" s="141" t="str">
        <f>IFERROR(__xludf.DUMMYFUNCTION("""COMPUTED_VALUE"""),"GENEPIO:0100941")</f>
        <v>GENEPIO:0100941</v>
      </c>
      <c r="D447" s="141" t="str">
        <f>IFERROR(__xludf.DUMMYFUNCTION("""COMPUTED_VALUE"""),"A specimen collection device which is used to collect discrete, instantaneous samples of water, soil, or other substances from a specific point in a body of water or at a specific location. ")</f>
        <v>A specimen collection device which is used to collect discrete, instantaneous samples of water, soil, or other substances from a specific point in a body of water or at a specific location. </v>
      </c>
      <c r="E447" s="141"/>
      <c r="F447" s="141"/>
      <c r="G447" s="141"/>
      <c r="H447" s="141"/>
      <c r="I447" s="141"/>
      <c r="J447" s="141"/>
      <c r="K447" s="141"/>
      <c r="L447" s="141"/>
      <c r="M447" s="141"/>
      <c r="N447" s="141"/>
      <c r="O447" s="141"/>
      <c r="P447" s="141"/>
      <c r="Q447" s="141"/>
      <c r="R447" s="141"/>
      <c r="S447" s="141"/>
      <c r="T447" s="141"/>
      <c r="U447" s="141"/>
      <c r="V447" s="141"/>
      <c r="W447" s="141"/>
      <c r="X447" s="141"/>
      <c r="Y447" s="141"/>
      <c r="Z447" s="141"/>
    </row>
    <row r="448">
      <c r="A448" s="141"/>
      <c r="B448" s="141" t="str">
        <f>IFERROR(__xludf.DUMMYFUNCTION("""COMPUTED_VALUE"""),"    Bag filtration device [GENEPIO:0102027]            ")</f>
        <v>    Bag filtration device [GENEPIO:0102027]            </v>
      </c>
      <c r="C448" s="141" t="str">
        <f>IFERROR(__xludf.DUMMYFUNCTION("""COMPUTED_VALUE"""),"GENEPIO:0102027")</f>
        <v>GENEPIO:0102027</v>
      </c>
      <c r="D448" s="141"/>
      <c r="E448" s="141"/>
      <c r="F448" s="141"/>
      <c r="G448" s="141"/>
      <c r="H448" s="141"/>
      <c r="I448" s="141"/>
      <c r="J448" s="141"/>
      <c r="K448" s="141"/>
      <c r="L448" s="141"/>
      <c r="M448" s="141"/>
      <c r="N448" s="141"/>
      <c r="O448" s="141"/>
      <c r="P448" s="141"/>
      <c r="Q448" s="141"/>
      <c r="R448" s="141"/>
      <c r="S448" s="141"/>
      <c r="T448" s="141"/>
      <c r="U448" s="141"/>
      <c r="V448" s="141"/>
      <c r="W448" s="141"/>
      <c r="X448" s="141"/>
      <c r="Y448" s="141"/>
      <c r="Z448" s="141"/>
    </row>
    <row r="449">
      <c r="A449" s="141"/>
      <c r="B449" s="141" t="str">
        <f>IFERROR(__xludf.DUMMYFUNCTION("""COMPUTED_VALUE"""),"    Core sampling device [GENEPIO:0100943]            ")</f>
        <v>    Core sampling device [GENEPIO:0100943]            </v>
      </c>
      <c r="C449" s="141" t="str">
        <f>IFERROR(__xludf.DUMMYFUNCTION("""COMPUTED_VALUE"""),"GENEPIO:0100943")</f>
        <v>GENEPIO:0100943</v>
      </c>
      <c r="D449" s="141" t="str">
        <f>IFERROR(__xludf.DUMMYFUNCTION("""COMPUTED_VALUE"""),"A grab sampler that captures a vertical section of the substrate matrix of fecal sludge.")</f>
        <v>A grab sampler that captures a vertical section of the substrate matrix of fecal sludge.</v>
      </c>
      <c r="E449" s="141"/>
      <c r="F449" s="141"/>
      <c r="G449" s="141"/>
      <c r="H449" s="141"/>
      <c r="I449" s="141"/>
      <c r="J449" s="141"/>
      <c r="K449" s="141"/>
      <c r="L449" s="141"/>
      <c r="M449" s="141"/>
      <c r="N449" s="141"/>
      <c r="O449" s="141"/>
      <c r="P449" s="141"/>
      <c r="Q449" s="141"/>
      <c r="R449" s="141"/>
      <c r="S449" s="141"/>
      <c r="T449" s="141"/>
      <c r="U449" s="141"/>
      <c r="V449" s="141"/>
      <c r="W449" s="141"/>
      <c r="X449" s="141"/>
      <c r="Y449" s="141"/>
      <c r="Z449" s="141"/>
    </row>
    <row r="450">
      <c r="A450" s="141"/>
      <c r="B450" s="141" t="str">
        <f>IFERROR(__xludf.DUMMYFUNCTION("""COMPUTED_VALUE"""),"    Vacuum sludge sampling device [GENEPIO:0100944]            ")</f>
        <v>    Vacuum sludge sampling device [GENEPIO:0100944]            </v>
      </c>
      <c r="C450" s="141" t="str">
        <f>IFERROR(__xludf.DUMMYFUNCTION("""COMPUTED_VALUE"""),"GENEPIO:0100944")</f>
        <v>GENEPIO:0100944</v>
      </c>
      <c r="D450" s="141" t="str">
        <f>IFERROR(__xludf.DUMMYFUNCTION("""COMPUTED_VALUE"""),"A grab sampler that takes a sample at a designated depth with minimal disturbance to surrounding layers.")</f>
        <v>A grab sampler that takes a sample at a designated depth with minimal disturbance to surrounding layers.</v>
      </c>
      <c r="E450" s="141"/>
      <c r="F450" s="141"/>
      <c r="G450" s="141"/>
      <c r="H450" s="141"/>
      <c r="I450" s="141"/>
      <c r="J450" s="141"/>
      <c r="K450" s="141"/>
      <c r="L450" s="141"/>
      <c r="M450" s="141"/>
      <c r="N450" s="141"/>
      <c r="O450" s="141"/>
      <c r="P450" s="141"/>
      <c r="Q450" s="141"/>
      <c r="R450" s="141"/>
      <c r="S450" s="141"/>
      <c r="T450" s="141"/>
      <c r="U450" s="141"/>
      <c r="V450" s="141"/>
      <c r="W450" s="141"/>
      <c r="X450" s="141"/>
      <c r="Y450" s="141"/>
      <c r="Z450" s="141"/>
    </row>
    <row r="451">
      <c r="A451" s="141"/>
      <c r="B451" s="141" t="str">
        <f>IFERROR(__xludf.DUMMYFUNCTION("""COMPUTED_VALUE"""),"    Cone-shaped sampling device [GENEPIO:0100945]            ")</f>
        <v>    Cone-shaped sampling device [GENEPIO:0100945]            </v>
      </c>
      <c r="C451" s="141" t="str">
        <f>IFERROR(__xludf.DUMMYFUNCTION("""COMPUTED_VALUE"""),"GENEPIO:0100945")</f>
        <v>GENEPIO:0100945</v>
      </c>
      <c r="D451" s="141" t="str">
        <f>IFERROR(__xludf.DUMMYFUNCTION("""COMPUTED_VALUE"""),"A grab sample that has a controlled valve that opens to take a sample from a specific depth, then closes to bring the sample out.")</f>
        <v>A grab sample that has a controlled valve that opens to take a sample from a specific depth, then closes to bring the sample out.</v>
      </c>
      <c r="E451" s="141"/>
      <c r="F451" s="141"/>
      <c r="G451" s="141"/>
      <c r="H451" s="141"/>
      <c r="I451" s="141"/>
      <c r="J451" s="141"/>
      <c r="K451" s="141"/>
      <c r="L451" s="141"/>
      <c r="M451" s="141"/>
      <c r="N451" s="141"/>
      <c r="O451" s="141"/>
      <c r="P451" s="141"/>
      <c r="Q451" s="141"/>
      <c r="R451" s="141"/>
      <c r="S451" s="141"/>
      <c r="T451" s="141"/>
      <c r="U451" s="141"/>
      <c r="V451" s="141"/>
      <c r="W451" s="141"/>
      <c r="X451" s="141"/>
      <c r="Y451" s="141"/>
      <c r="Z451" s="141"/>
    </row>
    <row r="452">
      <c r="A452" s="141"/>
      <c r="B452" s="141" t="str">
        <f>IFERROR(__xludf.DUMMYFUNCTION("""COMPUTED_VALUE"""),"    Horizontal grab sampling device [GENEPIO:0100946]            ")</f>
        <v>    Horizontal grab sampling device [GENEPIO:0100946]            </v>
      </c>
      <c r="C452" s="141" t="str">
        <f>IFERROR(__xludf.DUMMYFUNCTION("""COMPUTED_VALUE"""),"GENEPIO:0100946")</f>
        <v>GENEPIO:0100946</v>
      </c>
      <c r="D452" s="141" t="str">
        <f>IFERROR(__xludf.DUMMYFUNCTION("""COMPUTED_VALUE"""),"A grab sampler in which the container for the sample is mounted on the end of a rod, which is suitable for collecting discharge from a pipe or truck.")</f>
        <v>A grab sampler in which the container for the sample is mounted on the end of a rod, which is suitable for collecting discharge from a pipe or truck.</v>
      </c>
      <c r="E452" s="141"/>
      <c r="F452" s="141"/>
      <c r="G452" s="141"/>
      <c r="H452" s="141"/>
      <c r="I452" s="141"/>
      <c r="J452" s="141"/>
      <c r="K452" s="141"/>
      <c r="L452" s="141"/>
      <c r="M452" s="141"/>
      <c r="N452" s="141"/>
      <c r="O452" s="141"/>
      <c r="P452" s="141"/>
      <c r="Q452" s="141"/>
      <c r="R452" s="141"/>
      <c r="S452" s="141"/>
      <c r="T452" s="141"/>
      <c r="U452" s="141"/>
      <c r="V452" s="141"/>
      <c r="W452" s="141"/>
      <c r="X452" s="141"/>
      <c r="Y452" s="141"/>
      <c r="Z452" s="141"/>
    </row>
    <row r="453">
      <c r="A453" s="141"/>
      <c r="B453" s="141" t="str">
        <f>IFERROR(__xludf.DUMMYFUNCTION("""COMPUTED_VALUE"""),"    Vertical grab sampling device [GENEPIO:0100947]            ")</f>
        <v>    Vertical grab sampling device [GENEPIO:0100947]            </v>
      </c>
      <c r="C453" s="141" t="str">
        <f>IFERROR(__xludf.DUMMYFUNCTION("""COMPUTED_VALUE"""),"GENEPIO:0100947")</f>
        <v>GENEPIO:0100947</v>
      </c>
      <c r="D453" s="141" t="str">
        <f>IFERROR(__xludf.DUMMYFUNCTION("""COMPUTED_VALUE"""),"A grab sampler in which the container for the sample is mounted on the end of a rod, which is suitable for collecting waste from a tank.")</f>
        <v>A grab sampler in which the container for the sample is mounted on the end of a rod, which is suitable for collecting waste from a tank.</v>
      </c>
      <c r="E453" s="141"/>
      <c r="F453" s="141"/>
      <c r="G453" s="141"/>
      <c r="H453" s="141"/>
      <c r="I453" s="141"/>
      <c r="J453" s="141"/>
      <c r="K453" s="141"/>
      <c r="L453" s="141"/>
      <c r="M453" s="141"/>
      <c r="N453" s="141"/>
      <c r="O453" s="141"/>
      <c r="P453" s="141"/>
      <c r="Q453" s="141"/>
      <c r="R453" s="141"/>
      <c r="S453" s="141"/>
      <c r="T453" s="141"/>
      <c r="U453" s="141"/>
      <c r="V453" s="141"/>
      <c r="W453" s="141"/>
      <c r="X453" s="141"/>
      <c r="Y453" s="141"/>
      <c r="Z453" s="141"/>
    </row>
    <row r="454">
      <c r="A454" s="141"/>
      <c r="B454" s="141" t="str">
        <f>IFERROR(__xludf.DUMMYFUNCTION("""COMPUTED_VALUE"""),"Composite sampler [GENEPIO:0100942]                ")</f>
        <v>Composite sampler [GENEPIO:0100942]                </v>
      </c>
      <c r="C454" s="141" t="str">
        <f>IFERROR(__xludf.DUMMYFUNCTION("""COMPUTED_VALUE"""),"GENEPIO:0100942")</f>
        <v>GENEPIO:0100942</v>
      </c>
      <c r="D454" s="141" t="str">
        <f>IFERROR(__xludf.DUMMYFUNCTION("""COMPUTED_VALUE"""),"A specimen collection device that collects material over different times or locations.")</f>
        <v>A specimen collection device that collects material over different times or locations.</v>
      </c>
      <c r="E454" s="141"/>
      <c r="F454" s="141"/>
      <c r="G454" s="141"/>
      <c r="H454" s="141"/>
      <c r="I454" s="141"/>
      <c r="J454" s="141"/>
      <c r="K454" s="141"/>
      <c r="L454" s="141"/>
      <c r="M454" s="141"/>
      <c r="N454" s="141"/>
      <c r="O454" s="141"/>
      <c r="P454" s="141"/>
      <c r="Q454" s="141"/>
      <c r="R454" s="141"/>
      <c r="S454" s="141"/>
      <c r="T454" s="141"/>
      <c r="U454" s="141"/>
      <c r="V454" s="141"/>
      <c r="W454" s="141"/>
      <c r="X454" s="141"/>
      <c r="Y454" s="141"/>
      <c r="Z454" s="141"/>
    </row>
    <row r="455">
      <c r="A455" s="141"/>
      <c r="B455" s="141" t="str">
        <f>IFERROR(__xludf.DUMMYFUNCTION("""COMPUTED_VALUE"""),"    Passive (trap) sampler [GENEPIO:0100948]            ")</f>
        <v>    Passive (trap) sampler [GENEPIO:0100948]            </v>
      </c>
      <c r="C455" s="141" t="str">
        <f>IFERROR(__xludf.DUMMYFUNCTION("""COMPUTED_VALUE"""),"GENEPIO:0100948")</f>
        <v>GENEPIO:0100948</v>
      </c>
      <c r="D455" s="141" t="str">
        <f>IFERROR(__xludf.DUMMYFUNCTION("""COMPUTED_VALUE"""),"A composite sampler that passively collects a sample without use of electricity or a battery.")</f>
        <v>A composite sampler that passively collects a sample without use of electricity or a battery.</v>
      </c>
      <c r="E455" s="141"/>
      <c r="F455" s="141"/>
      <c r="G455" s="141"/>
      <c r="H455" s="141"/>
      <c r="I455" s="141"/>
      <c r="J455" s="141"/>
      <c r="K455" s="141"/>
      <c r="L455" s="141"/>
      <c r="M455" s="141"/>
      <c r="N455" s="141"/>
      <c r="O455" s="141"/>
      <c r="P455" s="141"/>
      <c r="Q455" s="141"/>
      <c r="R455" s="141"/>
      <c r="S455" s="141"/>
      <c r="T455" s="141"/>
      <c r="U455" s="141"/>
      <c r="V455" s="141"/>
      <c r="W455" s="141"/>
      <c r="X455" s="141"/>
      <c r="Y455" s="141"/>
      <c r="Z455" s="141"/>
    </row>
    <row r="456">
      <c r="A456" s="141"/>
      <c r="B456" s="141" t="str">
        <f>IFERROR(__xludf.DUMMYFUNCTION("""COMPUTED_VALUE"""),"        Moore swab [GENEPIO:0100949]        ")</f>
        <v>        Moore swab [GENEPIO:0100949]        </v>
      </c>
      <c r="C456" s="141" t="str">
        <f>IFERROR(__xludf.DUMMYFUNCTION("""COMPUTED_VALUE"""),"GENEPIO:0100949")</f>
        <v>GENEPIO:0100949</v>
      </c>
      <c r="D456" s="141" t="str">
        <f>IFERROR(__xludf.DUMMYFUNCTION("""COMPUTED_VALUE"""),"A composite sampler which consists of gauze pad tied with string, suspended in flowing water or wastewater, in order to collect a wastewater sample.")</f>
        <v>A composite sampler which consists of gauze pad tied with string, suspended in flowing water or wastewater, in order to collect a wastewater sample.</v>
      </c>
      <c r="E456" s="141"/>
      <c r="F456" s="141"/>
      <c r="G456" s="141"/>
      <c r="H456" s="141"/>
      <c r="I456" s="141"/>
      <c r="J456" s="141"/>
      <c r="K456" s="141"/>
      <c r="L456" s="141"/>
      <c r="M456" s="141"/>
      <c r="N456" s="141"/>
      <c r="O456" s="141"/>
      <c r="P456" s="141"/>
      <c r="Q456" s="141"/>
      <c r="R456" s="141"/>
      <c r="S456" s="141"/>
      <c r="T456" s="141"/>
      <c r="U456" s="141"/>
      <c r="V456" s="141"/>
      <c r="W456" s="141"/>
      <c r="X456" s="141"/>
      <c r="Y456" s="141"/>
      <c r="Z456" s="141"/>
    </row>
    <row r="457">
      <c r="A457" s="141"/>
      <c r="B457" s="141" t="str">
        <f>IFERROR(__xludf.DUMMYFUNCTION("""COMPUTED_VALUE"""),"    Automatic composite sampler [GENEPIO:0100950]            ")</f>
        <v>    Automatic composite sampler [GENEPIO:0100950]            </v>
      </c>
      <c r="C457" s="141" t="str">
        <f>IFERROR(__xludf.DUMMYFUNCTION("""COMPUTED_VALUE"""),"GENEPIO:0100950")</f>
        <v>GENEPIO:0100950</v>
      </c>
      <c r="D457" s="141" t="str">
        <f>IFERROR(__xludf.DUMMYFUNCTION("""COMPUTED_VALUE"""),"A composite sampler which is automated to collect and store multiple wastewater samples across multiple time points.")</f>
        <v>A composite sampler which is automated to collect and store multiple wastewater samples across multiple time points.</v>
      </c>
      <c r="E457" s="141"/>
      <c r="F457" s="141"/>
      <c r="G457" s="141"/>
      <c r="H457" s="141"/>
      <c r="I457" s="141"/>
      <c r="J457" s="141"/>
      <c r="K457" s="141"/>
      <c r="L457" s="141"/>
      <c r="M457" s="141"/>
      <c r="N457" s="141"/>
      <c r="O457" s="141"/>
      <c r="P457" s="141"/>
      <c r="Q457" s="141"/>
      <c r="R457" s="141"/>
      <c r="S457" s="141"/>
      <c r="T457" s="141"/>
      <c r="U457" s="141"/>
      <c r="V457" s="141"/>
      <c r="W457" s="141"/>
      <c r="X457" s="141"/>
      <c r="Y457" s="141"/>
      <c r="Z457" s="141"/>
    </row>
    <row r="458">
      <c r="A458" s="141"/>
      <c r="B458" s="141" t="str">
        <f>IFERROR(__xludf.DUMMYFUNCTION("""COMPUTED_VALUE"""),"        Automatic flow-proportional sampler [GENEPIO:0100951]        ")</f>
        <v>        Automatic flow-proportional sampler [GENEPIO:0100951]        </v>
      </c>
      <c r="C458" s="141" t="str">
        <f>IFERROR(__xludf.DUMMYFUNCTION("""COMPUTED_VALUE"""),"GENEPIO:0100951")</f>
        <v>GENEPIO:0100951</v>
      </c>
      <c r="D458" s="141" t="str">
        <f>IFERROR(__xludf.DUMMYFUNCTION("""COMPUTED_VALUE"""),"A composite sampler which is automated to collect and store multiple wastewater samples in a manner proportional to flow.")</f>
        <v>A composite sampler which is automated to collect and store multiple wastewater samples in a manner proportional to flow.</v>
      </c>
      <c r="E458" s="141"/>
      <c r="F458" s="141"/>
      <c r="G458" s="141"/>
      <c r="H458" s="141"/>
      <c r="I458" s="141"/>
      <c r="J458" s="141"/>
      <c r="K458" s="141"/>
      <c r="L458" s="141"/>
      <c r="M458" s="141"/>
      <c r="N458" s="141"/>
      <c r="O458" s="141"/>
      <c r="P458" s="141"/>
      <c r="Q458" s="141"/>
      <c r="R458" s="141"/>
      <c r="S458" s="141"/>
      <c r="T458" s="141"/>
      <c r="U458" s="141"/>
      <c r="V458" s="141"/>
      <c r="W458" s="141"/>
      <c r="X458" s="141"/>
      <c r="Y458" s="141"/>
      <c r="Z458" s="141"/>
    </row>
    <row r="459">
      <c r="A459" s="141"/>
      <c r="B459" s="141" t="str">
        <f>IFERROR(__xludf.DUMMYFUNCTION("""COMPUTED_VALUE"""),"        Automatic sequential (time-proportional) sampler [GENEPIO:0100952]        ")</f>
        <v>        Automatic sequential (time-proportional) sampler [GENEPIO:0100952]        </v>
      </c>
      <c r="C459" s="141" t="str">
        <f>IFERROR(__xludf.DUMMYFUNCTION("""COMPUTED_VALUE"""),"GENEPIO:0100952")</f>
        <v>GENEPIO:0100952</v>
      </c>
      <c r="D459" s="141" t="str">
        <f>IFERROR(__xludf.DUMMYFUNCTION("""COMPUTED_VALUE"""),"A composite sampler which is automated to collect and combine multiple samples of equal volume taken at a set time interval.")</f>
        <v>A composite sampler which is automated to collect and combine multiple samples of equal volume taken at a set time interval.</v>
      </c>
      <c r="E459" s="141"/>
      <c r="F459" s="141"/>
      <c r="G459" s="141"/>
      <c r="H459" s="141"/>
      <c r="I459" s="141"/>
      <c r="J459" s="141"/>
      <c r="K459" s="141"/>
      <c r="L459" s="141"/>
      <c r="M459" s="141"/>
      <c r="N459" s="141"/>
      <c r="O459" s="141"/>
      <c r="P459" s="141"/>
      <c r="Q459" s="141"/>
      <c r="R459" s="141"/>
      <c r="S459" s="141"/>
      <c r="T459" s="141"/>
      <c r="U459" s="141"/>
      <c r="V459" s="141"/>
      <c r="W459" s="141"/>
      <c r="X459" s="141"/>
      <c r="Y459" s="141"/>
      <c r="Z459" s="141"/>
    </row>
    <row r="460">
      <c r="A460" s="141" t="str">
        <f>IFERROR(__xludf.DUMMYFUNCTION("""COMPUTED_VALUE"""),"collection method menu")</f>
        <v>collection method menu</v>
      </c>
      <c r="B460" s="141" t="str">
        <f>IFERROR(__xludf.DUMMYFUNCTION("""COMPUTED_VALUE"""),"                ")</f>
        <v>                </v>
      </c>
      <c r="C460" s="141" t="str">
        <f>IFERROR(__xludf.DUMMYFUNCTION("""COMPUTED_VALUE"""),"")</f>
        <v/>
      </c>
      <c r="D460" s="141"/>
      <c r="E460" s="141"/>
      <c r="F460" s="141"/>
      <c r="G460" s="141"/>
      <c r="H460" s="141"/>
      <c r="I460" s="141"/>
      <c r="J460" s="141"/>
      <c r="K460" s="141"/>
      <c r="L460" s="141"/>
      <c r="M460" s="141"/>
      <c r="N460" s="141"/>
      <c r="O460" s="141"/>
      <c r="P460" s="141"/>
      <c r="Q460" s="141"/>
      <c r="R460" s="141"/>
      <c r="S460" s="141"/>
      <c r="T460" s="141"/>
      <c r="U460" s="141"/>
      <c r="V460" s="141"/>
      <c r="W460" s="141"/>
      <c r="X460" s="141"/>
      <c r="Y460" s="141"/>
      <c r="Z460" s="141"/>
    </row>
    <row r="461">
      <c r="A461" s="141"/>
      <c r="B461" s="141" t="str">
        <f>IFERROR(__xludf.DUMMYFUNCTION("""COMPUTED_VALUE"""),"Grab sampling [GENEPIO:0100953]                ")</f>
        <v>Grab sampling [GENEPIO:0100953]                </v>
      </c>
      <c r="C461" s="141" t="str">
        <f>IFERROR(__xludf.DUMMYFUNCTION("""COMPUTED_VALUE"""),"GENEPIO:0100953")</f>
        <v>GENEPIO:0100953</v>
      </c>
      <c r="D461" s="141" t="str">
        <f>IFERROR(__xludf.DUMMYFUNCTION("""COMPUTED_VALUE"""),"An environmental material collection process in which a water or soil sample is taken at a single point of time using a container type known as a grab sampler.")</f>
        <v>An environmental material collection process in which a water or soil sample is taken at a single point of time using a container type known as a grab sampler.</v>
      </c>
      <c r="E461" s="141"/>
      <c r="F461" s="141"/>
      <c r="G461" s="141"/>
      <c r="H461" s="141"/>
      <c r="I461" s="141"/>
      <c r="J461" s="141"/>
      <c r="K461" s="141"/>
      <c r="L461" s="141"/>
      <c r="M461" s="141"/>
      <c r="N461" s="141"/>
      <c r="O461" s="141"/>
      <c r="P461" s="141"/>
      <c r="Q461" s="141"/>
      <c r="R461" s="141"/>
      <c r="S461" s="141"/>
      <c r="T461" s="141"/>
      <c r="U461" s="141"/>
      <c r="V461" s="141"/>
      <c r="W461" s="141"/>
      <c r="X461" s="141"/>
      <c r="Y461" s="141"/>
      <c r="Z461" s="141"/>
    </row>
    <row r="462">
      <c r="A462" s="141"/>
      <c r="B462" s="141" t="str">
        <f>IFERROR(__xludf.DUMMYFUNCTION("""COMPUTED_VALUE"""),"Bag Mediated Filtration [GENEPIO:0102028]                ")</f>
        <v>Bag Mediated Filtration [GENEPIO:0102028]                </v>
      </c>
      <c r="C462" s="141" t="str">
        <f>IFERROR(__xludf.DUMMYFUNCTION("""COMPUTED_VALUE"""),"GENEPIO:0102028")</f>
        <v>GENEPIO:0102028</v>
      </c>
      <c r="D462" s="141"/>
      <c r="E462" s="141"/>
      <c r="F462" s="141"/>
      <c r="G462" s="141"/>
      <c r="H462" s="141"/>
      <c r="I462" s="141"/>
      <c r="J462" s="141"/>
      <c r="K462" s="141"/>
      <c r="L462" s="141"/>
      <c r="M462" s="141"/>
      <c r="N462" s="141"/>
      <c r="O462" s="141"/>
      <c r="P462" s="141"/>
      <c r="Q462" s="141"/>
      <c r="R462" s="141"/>
      <c r="S462" s="141"/>
      <c r="T462" s="141"/>
      <c r="U462" s="141"/>
      <c r="V462" s="141"/>
      <c r="W462" s="141"/>
      <c r="X462" s="141"/>
      <c r="Y462" s="141"/>
      <c r="Z462" s="141"/>
    </row>
    <row r="463">
      <c r="A463" s="141"/>
      <c r="B463" s="141" t="str">
        <f>IFERROR(__xludf.DUMMYFUNCTION("""COMPUTED_VALUE"""),"Composite sampling [GENEPIO:0100954]                ")</f>
        <v>Composite sampling [GENEPIO:0100954]                </v>
      </c>
      <c r="C463" s="141" t="str">
        <f>IFERROR(__xludf.DUMMYFUNCTION("""COMPUTED_VALUE"""),"GENEPIO:0100954")</f>
        <v>GENEPIO:0100954</v>
      </c>
      <c r="D463" s="141" t="str">
        <f>IFERROR(__xludf.DUMMYFUNCTION("""COMPUTED_VALUE"""),"An environmental material collection process in which mutliple water or soil samples are taken at different time points and combined to produce a composite. Samples can be collected continuously or at discrete time points.")</f>
        <v>An environmental material collection process in which mutliple water or soil samples are taken at different time points and combined to produce a composite. Samples can be collected continuously or at discrete time points.</v>
      </c>
      <c r="E463" s="141"/>
      <c r="F463" s="141"/>
      <c r="G463" s="141"/>
      <c r="H463" s="141"/>
      <c r="I463" s="141"/>
      <c r="J463" s="141"/>
      <c r="K463" s="141"/>
      <c r="L463" s="141"/>
      <c r="M463" s="141"/>
      <c r="N463" s="141"/>
      <c r="O463" s="141"/>
      <c r="P463" s="141"/>
      <c r="Q463" s="141"/>
      <c r="R463" s="141"/>
      <c r="S463" s="141"/>
      <c r="T463" s="141"/>
      <c r="U463" s="141"/>
      <c r="V463" s="141"/>
      <c r="W463" s="141"/>
      <c r="X463" s="141"/>
      <c r="Y463" s="141"/>
      <c r="Z463" s="141"/>
    </row>
    <row r="464">
      <c r="A464" s="141"/>
      <c r="B464" s="141" t="str">
        <f>IFERROR(__xludf.DUMMYFUNCTION("""COMPUTED_VALUE"""),"    Passive composite sampling [GENEPIO:0100955]            ")</f>
        <v>    Passive composite sampling [GENEPIO:0100955]            </v>
      </c>
      <c r="C464" s="141" t="str">
        <f>IFERROR(__xludf.DUMMYFUNCTION("""COMPUTED_VALUE"""),"GENEPIO:0100955")</f>
        <v>GENEPIO:0100955</v>
      </c>
      <c r="D464" s="141" t="str">
        <f>IFERROR(__xludf.DUMMYFUNCTION("""COMPUTED_VALUE"""),"A method of composite sampling in which a continuous sample is collected passively without electrical input  minimizing cost.")</f>
        <v>A method of composite sampling in which a continuous sample is collected passively without electrical input  minimizing cost.</v>
      </c>
      <c r="E464" s="141"/>
      <c r="F464" s="141"/>
      <c r="G464" s="141"/>
      <c r="H464" s="141"/>
      <c r="I464" s="141"/>
      <c r="J464" s="141"/>
      <c r="K464" s="141"/>
      <c r="L464" s="141"/>
      <c r="M464" s="141"/>
      <c r="N464" s="141"/>
      <c r="O464" s="141"/>
      <c r="P464" s="141"/>
      <c r="Q464" s="141"/>
      <c r="R464" s="141"/>
      <c r="S464" s="141"/>
      <c r="T464" s="141"/>
      <c r="U464" s="141"/>
      <c r="V464" s="141"/>
      <c r="W464" s="141"/>
      <c r="X464" s="141"/>
      <c r="Y464" s="141"/>
      <c r="Z464" s="141"/>
    </row>
    <row r="465">
      <c r="A465" s="141"/>
      <c r="B465" s="141" t="str">
        <f>IFERROR(__xludf.DUMMYFUNCTION("""COMPUTED_VALUE"""),"    Automatic composite sampling [GENEPIO:0100956]            ")</f>
        <v>    Automatic composite sampling [GENEPIO:0100956]            </v>
      </c>
      <c r="C465" s="141" t="str">
        <f>IFERROR(__xludf.DUMMYFUNCTION("""COMPUTED_VALUE"""),"GENEPIO:0100956")</f>
        <v>GENEPIO:0100956</v>
      </c>
      <c r="D465" s="141" t="str">
        <f>IFERROR(__xludf.DUMMYFUNCTION("""COMPUTED_VALUE"""),"A method of composite sampling which utilizes an automated system to collect multiple samples, continuously or at discrete timepoints.")</f>
        <v>A method of composite sampling which utilizes an automated system to collect multiple samples, continuously or at discrete timepoints.</v>
      </c>
      <c r="E465" s="141"/>
      <c r="F465" s="141"/>
      <c r="G465" s="141"/>
      <c r="H465" s="141"/>
      <c r="I465" s="141"/>
      <c r="J465" s="141"/>
      <c r="K465" s="141"/>
      <c r="L465" s="141"/>
      <c r="M465" s="141"/>
      <c r="N465" s="141"/>
      <c r="O465" s="141"/>
      <c r="P465" s="141"/>
      <c r="Q465" s="141"/>
      <c r="R465" s="141"/>
      <c r="S465" s="141"/>
      <c r="T465" s="141"/>
      <c r="U465" s="141"/>
      <c r="V465" s="141"/>
      <c r="W465" s="141"/>
      <c r="X465" s="141"/>
      <c r="Y465" s="141"/>
      <c r="Z465" s="141"/>
    </row>
    <row r="466">
      <c r="A466" s="141"/>
      <c r="B466" s="141" t="str">
        <f>IFERROR(__xludf.DUMMYFUNCTION("""COMPUTED_VALUE"""),"    Manual composite sampling [GENEPIO:0100957]            ")</f>
        <v>    Manual composite sampling [GENEPIO:0100957]            </v>
      </c>
      <c r="C466" s="141" t="str">
        <f>IFERROR(__xludf.DUMMYFUNCTION("""COMPUTED_VALUE"""),"GENEPIO:0100957")</f>
        <v>GENEPIO:0100957</v>
      </c>
      <c r="D466" s="141" t="str">
        <f>IFERROR(__xludf.DUMMYFUNCTION("""COMPUTED_VALUE"""),"A method of composite sampling in which multiple grab samples from discrete time points are taken and then combined to produce a single composite sample.")</f>
        <v>A method of composite sampling in which multiple grab samples from discrete time points are taken and then combined to produce a single composite sample.</v>
      </c>
      <c r="E466" s="141"/>
      <c r="F466" s="141"/>
      <c r="G466" s="141"/>
      <c r="H466" s="141"/>
      <c r="I466" s="141"/>
      <c r="J466" s="141"/>
      <c r="K466" s="141"/>
      <c r="L466" s="141"/>
      <c r="M466" s="141"/>
      <c r="N466" s="141"/>
      <c r="O466" s="141"/>
      <c r="P466" s="141"/>
      <c r="Q466" s="141"/>
      <c r="R466" s="141"/>
      <c r="S466" s="141"/>
      <c r="T466" s="141"/>
      <c r="U466" s="141"/>
      <c r="V466" s="141"/>
      <c r="W466" s="141"/>
      <c r="X466" s="141"/>
      <c r="Y466" s="141"/>
      <c r="Z466" s="141"/>
    </row>
    <row r="467">
      <c r="A467" s="141" t="str">
        <f>IFERROR(__xludf.DUMMYFUNCTION("""COMPUTED_VALUE"""),"water catchment area human population range menu")</f>
        <v>water catchment area human population range menu</v>
      </c>
      <c r="B467" s="141" t="str">
        <f>IFERROR(__xludf.DUMMYFUNCTION("""COMPUTED_VALUE"""),"                ")</f>
        <v>                </v>
      </c>
      <c r="C467" s="141" t="str">
        <f>IFERROR(__xludf.DUMMYFUNCTION("""COMPUTED_VALUE"""),"")</f>
        <v/>
      </c>
      <c r="D467" s="141"/>
      <c r="E467" s="141"/>
      <c r="F467" s="141"/>
      <c r="G467" s="141"/>
      <c r="H467" s="141"/>
      <c r="I467" s="141"/>
      <c r="J467" s="141"/>
      <c r="K467" s="141"/>
      <c r="L467" s="141"/>
      <c r="M467" s="141"/>
      <c r="N467" s="141"/>
      <c r="O467" s="141"/>
      <c r="P467" s="141"/>
      <c r="Q467" s="141"/>
      <c r="R467" s="141"/>
      <c r="S467" s="141"/>
      <c r="T467" s="141"/>
      <c r="U467" s="141"/>
      <c r="V467" s="141"/>
      <c r="W467" s="141"/>
      <c r="X467" s="141"/>
      <c r="Y467" s="141"/>
      <c r="Z467" s="141"/>
    </row>
    <row r="468">
      <c r="A468" s="141"/>
      <c r="B468" s="141" t="str">
        <f>IFERROR(__xludf.DUMMYFUNCTION("""COMPUTED_VALUE"""),"&lt;10 people                ")</f>
        <v>&lt;10 people                </v>
      </c>
      <c r="C468" s="141" t="str">
        <f>IFERROR(__xludf.DUMMYFUNCTION("""COMPUTED_VALUE"""),"")</f>
        <v/>
      </c>
      <c r="D468" s="141" t="str">
        <f>IFERROR(__xludf.DUMMYFUNCTION("""COMPUTED_VALUE"""),"An estimation of population size for a group smaller than 10 people.")</f>
        <v>An estimation of population size for a group smaller than 10 people.</v>
      </c>
      <c r="E468" s="141"/>
      <c r="F468" s="141"/>
      <c r="G468" s="141"/>
      <c r="H468" s="141"/>
      <c r="I468" s="141"/>
      <c r="J468" s="141"/>
      <c r="K468" s="141"/>
      <c r="L468" s="141"/>
      <c r="M468" s="141"/>
      <c r="N468" s="141"/>
      <c r="O468" s="141"/>
      <c r="P468" s="141"/>
      <c r="Q468" s="141"/>
      <c r="R468" s="141"/>
      <c r="S468" s="141"/>
      <c r="T468" s="141"/>
      <c r="U468" s="141"/>
      <c r="V468" s="141"/>
      <c r="W468" s="141"/>
      <c r="X468" s="141"/>
      <c r="Y468" s="141"/>
      <c r="Z468" s="141"/>
    </row>
    <row r="469">
      <c r="A469" s="141"/>
      <c r="B469" s="141" t="str">
        <f>IFERROR(__xludf.DUMMYFUNCTION("""COMPUTED_VALUE"""),"10 - 100 people                ")</f>
        <v>10 - 100 people                </v>
      </c>
      <c r="C469" s="141" t="str">
        <f>IFERROR(__xludf.DUMMYFUNCTION("""COMPUTED_VALUE"""),"")</f>
        <v/>
      </c>
      <c r="D469" s="141" t="str">
        <f>IFERROR(__xludf.DUMMYFUNCTION("""COMPUTED_VALUE"""),"An estimation of population size for a group smaller than 100 people and larger than 10 people.")</f>
        <v>An estimation of population size for a group smaller than 100 people and larger than 10 people.</v>
      </c>
      <c r="E469" s="141"/>
      <c r="F469" s="141"/>
      <c r="G469" s="141"/>
      <c r="H469" s="141"/>
      <c r="I469" s="141"/>
      <c r="J469" s="141"/>
      <c r="K469" s="141"/>
      <c r="L469" s="141"/>
      <c r="M469" s="141"/>
      <c r="N469" s="141"/>
      <c r="O469" s="141"/>
      <c r="P469" s="141"/>
      <c r="Q469" s="141"/>
      <c r="R469" s="141"/>
      <c r="S469" s="141"/>
      <c r="T469" s="141"/>
      <c r="U469" s="141"/>
      <c r="V469" s="141"/>
      <c r="W469" s="141"/>
      <c r="X469" s="141"/>
      <c r="Y469" s="141"/>
      <c r="Z469" s="141"/>
    </row>
    <row r="470">
      <c r="A470" s="141"/>
      <c r="B470" s="141" t="str">
        <f>IFERROR(__xludf.DUMMYFUNCTION("""COMPUTED_VALUE"""),"100 - 1,000 people                ")</f>
        <v>100 - 1,000 people                </v>
      </c>
      <c r="C470" s="141" t="str">
        <f>IFERROR(__xludf.DUMMYFUNCTION("""COMPUTED_VALUE"""),"")</f>
        <v/>
      </c>
      <c r="D470" s="141" t="str">
        <f>IFERROR(__xludf.DUMMYFUNCTION("""COMPUTED_VALUE"""),"An estimation of population size for a group smaller than 1,000 people and larger than 100 people.")</f>
        <v>An estimation of population size for a group smaller than 1,000 people and larger than 100 people.</v>
      </c>
      <c r="E470" s="141"/>
      <c r="F470" s="141"/>
      <c r="G470" s="141"/>
      <c r="H470" s="141"/>
      <c r="I470" s="141"/>
      <c r="J470" s="141"/>
      <c r="K470" s="141"/>
      <c r="L470" s="141"/>
      <c r="M470" s="141"/>
      <c r="N470" s="141"/>
      <c r="O470" s="141"/>
      <c r="P470" s="141"/>
      <c r="Q470" s="141"/>
      <c r="R470" s="141"/>
      <c r="S470" s="141"/>
      <c r="T470" s="141"/>
      <c r="U470" s="141"/>
      <c r="V470" s="141"/>
      <c r="W470" s="141"/>
      <c r="X470" s="141"/>
      <c r="Y470" s="141"/>
      <c r="Z470" s="141"/>
    </row>
    <row r="471">
      <c r="A471" s="141"/>
      <c r="B471" s="141" t="str">
        <f>IFERROR(__xludf.DUMMYFUNCTION("""COMPUTED_VALUE"""),"1,000 - 10,000 people                ")</f>
        <v>1,000 - 10,000 people                </v>
      </c>
      <c r="C471" s="141" t="str">
        <f>IFERROR(__xludf.DUMMYFUNCTION("""COMPUTED_VALUE"""),"")</f>
        <v/>
      </c>
      <c r="D471" s="141" t="str">
        <f>IFERROR(__xludf.DUMMYFUNCTION("""COMPUTED_VALUE"""),"An estimation of population size for a group smaller than 10,000 people and larger than 1,000 people.")</f>
        <v>An estimation of population size for a group smaller than 10,000 people and larger than 1,000 people.</v>
      </c>
      <c r="E471" s="141"/>
      <c r="F471" s="141"/>
      <c r="G471" s="141"/>
      <c r="H471" s="141"/>
      <c r="I471" s="141"/>
      <c r="J471" s="141"/>
      <c r="K471" s="141"/>
      <c r="L471" s="141"/>
      <c r="M471" s="141"/>
      <c r="N471" s="141"/>
      <c r="O471" s="141"/>
      <c r="P471" s="141"/>
      <c r="Q471" s="141"/>
      <c r="R471" s="141"/>
      <c r="S471" s="141"/>
      <c r="T471" s="141"/>
      <c r="U471" s="141"/>
      <c r="V471" s="141"/>
      <c r="W471" s="141"/>
      <c r="X471" s="141"/>
      <c r="Y471" s="141"/>
      <c r="Z471" s="141"/>
    </row>
    <row r="472">
      <c r="A472" s="141"/>
      <c r="B472" s="141" t="str">
        <f>IFERROR(__xludf.DUMMYFUNCTION("""COMPUTED_VALUE"""),"10,000 - 100,000 people                ")</f>
        <v>10,000 - 100,000 people                </v>
      </c>
      <c r="C472" s="141" t="str">
        <f>IFERROR(__xludf.DUMMYFUNCTION("""COMPUTED_VALUE"""),"")</f>
        <v/>
      </c>
      <c r="D472" s="141" t="str">
        <f>IFERROR(__xludf.DUMMYFUNCTION("""COMPUTED_VALUE"""),"An estimation of population size for a group smaller than 100,000 people and larger than 10,000 people.")</f>
        <v>An estimation of population size for a group smaller than 100,000 people and larger than 10,000 people.</v>
      </c>
      <c r="E472" s="141"/>
      <c r="F472" s="141"/>
      <c r="G472" s="141"/>
      <c r="H472" s="141"/>
      <c r="I472" s="141"/>
      <c r="J472" s="141"/>
      <c r="K472" s="141"/>
      <c r="L472" s="141"/>
      <c r="M472" s="141"/>
      <c r="N472" s="141"/>
      <c r="O472" s="141"/>
      <c r="P472" s="141"/>
      <c r="Q472" s="141"/>
      <c r="R472" s="141"/>
      <c r="S472" s="141"/>
      <c r="T472" s="141"/>
      <c r="U472" s="141"/>
      <c r="V472" s="141"/>
      <c r="W472" s="141"/>
      <c r="X472" s="141"/>
      <c r="Y472" s="141"/>
      <c r="Z472" s="141"/>
    </row>
    <row r="473">
      <c r="A473" s="141"/>
      <c r="B473" s="141" t="str">
        <f>IFERROR(__xludf.DUMMYFUNCTION("""COMPUTED_VALUE"""),"100,000 -  1,000,000 people                ")</f>
        <v>100,000 -  1,000,000 people                </v>
      </c>
      <c r="C473" s="141" t="str">
        <f>IFERROR(__xludf.DUMMYFUNCTION("""COMPUTED_VALUE"""),"")</f>
        <v/>
      </c>
      <c r="D473" s="141" t="str">
        <f>IFERROR(__xludf.DUMMYFUNCTION("""COMPUTED_VALUE"""),"An estimation of population size for a group smaller than 1,000,000 people and larger than 100,000 people.")</f>
        <v>An estimation of population size for a group smaller than 1,000,000 people and larger than 100,000 people.</v>
      </c>
      <c r="E473" s="141"/>
      <c r="F473" s="141"/>
      <c r="G473" s="141"/>
      <c r="H473" s="141"/>
      <c r="I473" s="141"/>
      <c r="J473" s="141"/>
      <c r="K473" s="141"/>
      <c r="L473" s="141"/>
      <c r="M473" s="141"/>
      <c r="N473" s="141"/>
      <c r="O473" s="141"/>
      <c r="P473" s="141"/>
      <c r="Q473" s="141"/>
      <c r="R473" s="141"/>
      <c r="S473" s="141"/>
      <c r="T473" s="141"/>
      <c r="U473" s="141"/>
      <c r="V473" s="141"/>
      <c r="W473" s="141"/>
      <c r="X473" s="141"/>
      <c r="Y473" s="141"/>
      <c r="Z473" s="141"/>
    </row>
    <row r="474">
      <c r="A474" s="141"/>
      <c r="B474" s="141" t="str">
        <f>IFERROR(__xludf.DUMMYFUNCTION("""COMPUTED_VALUE"""),"1,000,000+ people                ")</f>
        <v>1,000,000+ people                </v>
      </c>
      <c r="C474" s="141" t="str">
        <f>IFERROR(__xludf.DUMMYFUNCTION("""COMPUTED_VALUE"""),"")</f>
        <v/>
      </c>
      <c r="D474" s="141" t="str">
        <f>IFERROR(__xludf.DUMMYFUNCTION("""COMPUTED_VALUE"""),"An estimation of population size for a group larger than 1,000,000 people.")</f>
        <v>An estimation of population size for a group larger than 1,000,000 people.</v>
      </c>
      <c r="E474" s="141"/>
      <c r="F474" s="141"/>
      <c r="G474" s="141"/>
      <c r="H474" s="141"/>
      <c r="I474" s="141"/>
      <c r="J474" s="141"/>
      <c r="K474" s="141"/>
      <c r="L474" s="141"/>
      <c r="M474" s="141"/>
      <c r="N474" s="141"/>
      <c r="O474" s="141"/>
      <c r="P474" s="141"/>
      <c r="Q474" s="141"/>
      <c r="R474" s="141"/>
      <c r="S474" s="141"/>
      <c r="T474" s="141"/>
      <c r="U474" s="141"/>
      <c r="V474" s="141"/>
      <c r="W474" s="141"/>
      <c r="X474" s="141"/>
      <c r="Y474" s="141"/>
      <c r="Z474" s="141"/>
    </row>
    <row r="475">
      <c r="A475" s="141" t="str">
        <f>IFERROR(__xludf.DUMMYFUNCTION("""COMPUTED_VALUE"""),"water catchment area human population density unit menu")</f>
        <v>water catchment area human population density unit menu</v>
      </c>
      <c r="B475" s="141" t="str">
        <f>IFERROR(__xludf.DUMMYFUNCTION("""COMPUTED_VALUE"""),"                ")</f>
        <v>                </v>
      </c>
      <c r="C475" s="141" t="str">
        <f>IFERROR(__xludf.DUMMYFUNCTION("""COMPUTED_VALUE"""),"")</f>
        <v/>
      </c>
      <c r="D475" s="141"/>
      <c r="E475" s="141"/>
      <c r="F475" s="141"/>
      <c r="G475" s="141"/>
      <c r="H475" s="141"/>
      <c r="I475" s="141"/>
      <c r="J475" s="141"/>
      <c r="K475" s="141"/>
      <c r="L475" s="141"/>
      <c r="M475" s="141"/>
      <c r="N475" s="141"/>
      <c r="O475" s="141"/>
      <c r="P475" s="141"/>
      <c r="Q475" s="141"/>
      <c r="R475" s="141"/>
      <c r="S475" s="141"/>
      <c r="T475" s="141"/>
      <c r="U475" s="141"/>
      <c r="V475" s="141"/>
      <c r="W475" s="141"/>
      <c r="X475" s="141"/>
      <c r="Y475" s="141"/>
      <c r="Z475" s="141"/>
    </row>
    <row r="476">
      <c r="A476" s="141"/>
      <c r="B476" s="141" t="str">
        <f>IFERROR(__xludf.DUMMYFUNCTION("""COMPUTED_VALUE"""),"persons per square mile [GENEPIO:0100989]                ")</f>
        <v>persons per square mile [GENEPIO:0100989]                </v>
      </c>
      <c r="C476" s="141" t="str">
        <f>IFERROR(__xludf.DUMMYFUNCTION("""COMPUTED_VALUE"""),"GENEPIO:0100989")</f>
        <v>GENEPIO:0100989</v>
      </c>
      <c r="D476" s="141" t="str">
        <f>IFERROR(__xludf.DUMMYFUNCTION("""COMPUTED_VALUE"""),"A unit of population density that describes the average number of people in a square mile of a given area.")</f>
        <v>A unit of population density that describes the average number of people in a square mile of a given area.</v>
      </c>
      <c r="E476" s="141"/>
      <c r="F476" s="141"/>
      <c r="G476" s="141"/>
      <c r="H476" s="141"/>
      <c r="I476" s="141"/>
      <c r="J476" s="141"/>
      <c r="K476" s="141"/>
      <c r="L476" s="141"/>
      <c r="M476" s="141"/>
      <c r="N476" s="141"/>
      <c r="O476" s="141"/>
      <c r="P476" s="141"/>
      <c r="Q476" s="141"/>
      <c r="R476" s="141"/>
      <c r="S476" s="141"/>
      <c r="T476" s="141"/>
      <c r="U476" s="141"/>
      <c r="V476" s="141"/>
      <c r="W476" s="141"/>
      <c r="X476" s="141"/>
      <c r="Y476" s="141"/>
      <c r="Z476" s="141"/>
    </row>
    <row r="477">
      <c r="A477" s="141"/>
      <c r="B477" s="141" t="str">
        <f>IFERROR(__xludf.DUMMYFUNCTION("""COMPUTED_VALUE"""),"persons per square kilometer [GENEPIO:0100990]                ")</f>
        <v>persons per square kilometer [GENEPIO:0100990]                </v>
      </c>
      <c r="C477" s="141" t="str">
        <f>IFERROR(__xludf.DUMMYFUNCTION("""COMPUTED_VALUE"""),"GENEPIO:0100990")</f>
        <v>GENEPIO:0100990</v>
      </c>
      <c r="D477" s="141" t="str">
        <f>IFERROR(__xludf.DUMMYFUNCTION("""COMPUTED_VALUE"""),"A unit of population density that describes the average number of people in a square kilometer of a given area.")</f>
        <v>A unit of population density that describes the average number of people in a square kilometer of a given area.</v>
      </c>
      <c r="E477" s="141"/>
      <c r="F477" s="141"/>
      <c r="G477" s="141"/>
      <c r="H477" s="141"/>
      <c r="I477" s="141"/>
      <c r="J477" s="141"/>
      <c r="K477" s="141"/>
      <c r="L477" s="141"/>
      <c r="M477" s="141"/>
      <c r="N477" s="141"/>
      <c r="O477" s="141"/>
      <c r="P477" s="141"/>
      <c r="Q477" s="141"/>
      <c r="R477" s="141"/>
      <c r="S477" s="141"/>
      <c r="T477" s="141"/>
      <c r="U477" s="141"/>
      <c r="V477" s="141"/>
      <c r="W477" s="141"/>
      <c r="X477" s="141"/>
      <c r="Y477" s="141"/>
      <c r="Z477" s="141"/>
    </row>
    <row r="478">
      <c r="A478" s="141"/>
      <c r="B478" s="141" t="str">
        <f>IFERROR(__xludf.DUMMYFUNCTION("""COMPUTED_VALUE"""),"residents per square mile [GENEPIO:0100991]                ")</f>
        <v>residents per square mile [GENEPIO:0100991]                </v>
      </c>
      <c r="C478" s="141" t="str">
        <f>IFERROR(__xludf.DUMMYFUNCTION("""COMPUTED_VALUE"""),"GENEPIO:0100991")</f>
        <v>GENEPIO:0100991</v>
      </c>
      <c r="D478" s="141" t="str">
        <f>IFERROR(__xludf.DUMMYFUNCTION("""COMPUTED_VALUE"""),"A unit of population density that describes the average number of registered residents in a square mile of a given area.")</f>
        <v>A unit of population density that describes the average number of registered residents in a square mile of a given area.</v>
      </c>
      <c r="E478" s="141"/>
      <c r="F478" s="141"/>
      <c r="G478" s="141"/>
      <c r="H478" s="141"/>
      <c r="I478" s="141"/>
      <c r="J478" s="141"/>
      <c r="K478" s="141"/>
      <c r="L478" s="141"/>
      <c r="M478" s="141"/>
      <c r="N478" s="141"/>
      <c r="O478" s="141"/>
      <c r="P478" s="141"/>
      <c r="Q478" s="141"/>
      <c r="R478" s="141"/>
      <c r="S478" s="141"/>
      <c r="T478" s="141"/>
      <c r="U478" s="141"/>
      <c r="V478" s="141"/>
      <c r="W478" s="141"/>
      <c r="X478" s="141"/>
      <c r="Y478" s="141"/>
      <c r="Z478" s="141"/>
    </row>
    <row r="479">
      <c r="A479" s="141"/>
      <c r="B479" s="141" t="str">
        <f>IFERROR(__xludf.DUMMYFUNCTION("""COMPUTED_VALUE"""),"residents per square kilometer [GENEPIO:0100992]                ")</f>
        <v>residents per square kilometer [GENEPIO:0100992]                </v>
      </c>
      <c r="C479" s="141" t="str">
        <f>IFERROR(__xludf.DUMMYFUNCTION("""COMPUTED_VALUE"""),"GENEPIO:0100992")</f>
        <v>GENEPIO:0100992</v>
      </c>
      <c r="D479" s="141" t="str">
        <f>IFERROR(__xludf.DUMMYFUNCTION("""COMPUTED_VALUE"""),"A unit of population density that describes the average number of registered residents in a square kilometer of a given area.")</f>
        <v>A unit of population density that describes the average number of registered residents in a square kilometer of a given area.</v>
      </c>
      <c r="E479" s="141"/>
      <c r="F479" s="141"/>
      <c r="G479" s="141"/>
      <c r="H479" s="141"/>
      <c r="I479" s="141"/>
      <c r="J479" s="141"/>
      <c r="K479" s="141"/>
      <c r="L479" s="141"/>
      <c r="M479" s="141"/>
      <c r="N479" s="141"/>
      <c r="O479" s="141"/>
      <c r="P479" s="141"/>
      <c r="Q479" s="141"/>
      <c r="R479" s="141"/>
      <c r="S479" s="141"/>
      <c r="T479" s="141"/>
      <c r="U479" s="141"/>
      <c r="V479" s="141"/>
      <c r="W479" s="141"/>
      <c r="X479" s="141"/>
      <c r="Y479" s="141"/>
      <c r="Z479" s="141"/>
    </row>
    <row r="480">
      <c r="A480" s="141" t="str">
        <f>IFERROR(__xludf.DUMMYFUNCTION("""COMPUTED_VALUE"""),"populated area type menu")</f>
        <v>populated area type menu</v>
      </c>
      <c r="B480" s="141" t="str">
        <f>IFERROR(__xludf.DUMMYFUNCTION("""COMPUTED_VALUE"""),"                ")</f>
        <v>                </v>
      </c>
      <c r="C480" s="141" t="str">
        <f>IFERROR(__xludf.DUMMYFUNCTION("""COMPUTED_VALUE"""),"")</f>
        <v/>
      </c>
      <c r="D480" s="141"/>
      <c r="E480" s="141"/>
      <c r="F480" s="141"/>
      <c r="G480" s="141"/>
      <c r="H480" s="141"/>
      <c r="I480" s="141"/>
      <c r="J480" s="141"/>
      <c r="K480" s="141"/>
      <c r="L480" s="141"/>
      <c r="M480" s="141"/>
      <c r="N480" s="141"/>
      <c r="O480" s="141"/>
      <c r="P480" s="141"/>
      <c r="Q480" s="141"/>
      <c r="R480" s="141"/>
      <c r="S480" s="141"/>
      <c r="T480" s="141"/>
      <c r="U480" s="141"/>
      <c r="V480" s="141"/>
      <c r="W480" s="141"/>
      <c r="X480" s="141"/>
      <c r="Y480" s="141"/>
      <c r="Z480" s="141"/>
    </row>
    <row r="481">
      <c r="A481" s="141"/>
      <c r="B481" s="141" t="str">
        <f>IFERROR(__xludf.DUMMYFUNCTION("""COMPUTED_VALUE"""),"Suburban [GSSO:011077]                ")</f>
        <v>Suburban [GSSO:011077]                </v>
      </c>
      <c r="C481" s="141" t="str">
        <f>IFERROR(__xludf.DUMMYFUNCTION("""COMPUTED_VALUE"""),"GSSO:011077")</f>
        <v>GSSO:011077</v>
      </c>
      <c r="D481" s="141" t="str">
        <f>IFERROR(__xludf.DUMMYFUNCTION("""COMPUTED_VALUE"""),"A mixed-use or residential area, existing either as part of a city/urban area, or as a separate residential community within commuting distance of one. Suburbs might have their own political or legal jurisdiction, especially in the United States, but this"&amp;" is not always the case, especially in the United Kingdom where most suburbs are located within the administrative boundaries of cities.")</f>
        <v>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v>
      </c>
      <c r="E481" s="141"/>
      <c r="F481" s="141"/>
      <c r="G481" s="141"/>
      <c r="H481" s="141"/>
      <c r="I481" s="141"/>
      <c r="J481" s="141"/>
      <c r="K481" s="141"/>
      <c r="L481" s="141"/>
      <c r="M481" s="141"/>
      <c r="N481" s="141"/>
      <c r="O481" s="141"/>
      <c r="P481" s="141"/>
      <c r="Q481" s="141"/>
      <c r="R481" s="141"/>
      <c r="S481" s="141"/>
      <c r="T481" s="141"/>
      <c r="U481" s="141"/>
      <c r="V481" s="141"/>
      <c r="W481" s="141"/>
      <c r="X481" s="141"/>
      <c r="Y481" s="141"/>
      <c r="Z481" s="141"/>
    </row>
    <row r="482">
      <c r="A482" s="141"/>
      <c r="B482" s="141" t="str">
        <f>IFERROR(__xludf.DUMMYFUNCTION("""COMPUTED_VALUE"""),"Rural [GSSO:011078]                ")</f>
        <v>Rural [GSSO:011078]                </v>
      </c>
      <c r="C482" s="141" t="str">
        <f>IFERROR(__xludf.DUMMYFUNCTION("""COMPUTED_VALUE"""),"GSSO:011078")</f>
        <v>GSSO:011078</v>
      </c>
      <c r="D482" s="141" t="str">
        <f>IFERROR(__xludf.DUMMYFUNCTION("""COMPUTED_VALUE"""),"A geographic area that is located outside towns and cities. Rural areas are primarily used for agriculture or pastoralism and may contain rural settlements.")</f>
        <v>A geographic area that is located outside towns and cities. Rural areas are primarily used for agriculture or pastoralism and may contain rural settlements.</v>
      </c>
      <c r="E482" s="141"/>
      <c r="F482" s="141"/>
      <c r="G482" s="141"/>
      <c r="H482" s="141"/>
      <c r="I482" s="141"/>
      <c r="J482" s="141"/>
      <c r="K482" s="141"/>
      <c r="L482" s="141"/>
      <c r="M482" s="141"/>
      <c r="N482" s="141"/>
      <c r="O482" s="141"/>
      <c r="P482" s="141"/>
      <c r="Q482" s="141"/>
      <c r="R482" s="141"/>
      <c r="S482" s="141"/>
      <c r="T482" s="141"/>
      <c r="U482" s="141"/>
      <c r="V482" s="141"/>
      <c r="W482" s="141"/>
      <c r="X482" s="141"/>
      <c r="Y482" s="141"/>
      <c r="Z482" s="141"/>
    </row>
    <row r="483">
      <c r="A483" s="141"/>
      <c r="B483" s="141" t="str">
        <f>IFERROR(__xludf.DUMMYFUNCTION("""COMPUTED_VALUE"""),"Urban [GSSO:011080]                ")</f>
        <v>Urban [GSSO:011080]                </v>
      </c>
      <c r="C483" s="141" t="str">
        <f>IFERROR(__xludf.DUMMYFUNCTION("""COMPUTED_VALUE"""),"GSSO:011080")</f>
        <v>GSSO:011080</v>
      </c>
      <c r="D483" s="141" t="str">
        <f>IFERROR(__xludf.DUMMYFUNCTION("""COMPUTED_VALUE"""),"A human settlement with a high population density and infrastructure of built environment. Urban areas are created through urbanization and are categorized by urban morphology as cities, towns, conurbations or suburbs. In urbanism, the term contrasts to r"&amp;"ural areas such as villages and hamlets; in urban sociology or urban anthropology it contrasts with natural environment.")</f>
        <v>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v>
      </c>
      <c r="E483" s="141"/>
      <c r="F483" s="141"/>
      <c r="G483" s="141"/>
      <c r="H483" s="141"/>
      <c r="I483" s="141"/>
      <c r="J483" s="141"/>
      <c r="K483" s="141"/>
      <c r="L483" s="141"/>
      <c r="M483" s="141"/>
      <c r="N483" s="141"/>
      <c r="O483" s="141"/>
      <c r="P483" s="141"/>
      <c r="Q483" s="141"/>
      <c r="R483" s="141"/>
      <c r="S483" s="141"/>
      <c r="T483" s="141"/>
      <c r="U483" s="141"/>
      <c r="V483" s="141"/>
      <c r="W483" s="141"/>
      <c r="X483" s="141"/>
      <c r="Y483" s="141"/>
      <c r="Z483" s="141"/>
    </row>
    <row r="484">
      <c r="A484" s="141" t="str">
        <f>IFERROR(__xludf.DUMMYFUNCTION("""COMPUTED_VALUE"""),"sampling weather conditions menu")</f>
        <v>sampling weather conditions menu</v>
      </c>
      <c r="B484" s="141" t="str">
        <f>IFERROR(__xludf.DUMMYFUNCTION("""COMPUTED_VALUE"""),"                ")</f>
        <v>                </v>
      </c>
      <c r="C484" s="141" t="str">
        <f>IFERROR(__xludf.DUMMYFUNCTION("""COMPUTED_VALUE"""),"")</f>
        <v/>
      </c>
      <c r="D484" s="141"/>
      <c r="E484" s="141"/>
      <c r="F484" s="141"/>
      <c r="G484" s="141"/>
      <c r="H484" s="141"/>
      <c r="I484" s="141"/>
      <c r="J484" s="141"/>
      <c r="K484" s="141"/>
      <c r="L484" s="141"/>
      <c r="M484" s="141"/>
      <c r="N484" s="141"/>
      <c r="O484" s="141"/>
      <c r="P484" s="141"/>
      <c r="Q484" s="141"/>
      <c r="R484" s="141"/>
      <c r="S484" s="141"/>
      <c r="T484" s="141"/>
      <c r="U484" s="141"/>
      <c r="V484" s="141"/>
      <c r="W484" s="141"/>
      <c r="X484" s="141"/>
      <c r="Y484" s="141"/>
      <c r="Z484" s="141"/>
    </row>
    <row r="485">
      <c r="A485" s="141"/>
      <c r="B485" s="141" t="str">
        <f>IFERROR(__xludf.DUMMYFUNCTION("""COMPUTED_VALUE"""),"Cloudy/Overcast [ENVO:03501418]                ")</f>
        <v>Cloudy/Overcast [ENVO:03501418]                </v>
      </c>
      <c r="C485" s="141" t="str">
        <f>IFERROR(__xludf.DUMMYFUNCTION("""COMPUTED_VALUE"""),"ENVO:03501418")</f>
        <v>ENVO:03501418</v>
      </c>
      <c r="D485" s="141" t="str">
        <f>IFERROR(__xludf.DUMMYFUNCTION("""COMPUTED_VALUE"""),"Atmospheric weather in which the sky is mostly or completely obscured by clouds.")</f>
        <v>Atmospheric weather in which the sky is mostly or completely obscured by clouds.</v>
      </c>
      <c r="E485" s="141"/>
      <c r="F485" s="141"/>
      <c r="G485" s="141"/>
      <c r="H485" s="141"/>
      <c r="I485" s="141"/>
      <c r="J485" s="141"/>
      <c r="K485" s="141"/>
      <c r="L485" s="141"/>
      <c r="M485" s="141"/>
      <c r="N485" s="141"/>
      <c r="O485" s="141"/>
      <c r="P485" s="141"/>
      <c r="Q485" s="141"/>
      <c r="R485" s="141"/>
      <c r="S485" s="141"/>
      <c r="T485" s="141"/>
      <c r="U485" s="141"/>
      <c r="V485" s="141"/>
      <c r="W485" s="141"/>
      <c r="X485" s="141"/>
      <c r="Y485" s="141"/>
      <c r="Z485" s="141"/>
    </row>
    <row r="486">
      <c r="A486" s="141"/>
      <c r="B486" s="141" t="str">
        <f>IFERROR(__xludf.DUMMYFUNCTION("""COMPUTED_VALUE"""),"    Partially cloudy [ENVO:03501419]            ")</f>
        <v>    Partially cloudy [ENVO:03501419]            </v>
      </c>
      <c r="C486" s="141" t="str">
        <f>IFERROR(__xludf.DUMMYFUNCTION("""COMPUTED_VALUE"""),"ENVO:03501419")</f>
        <v>ENVO:03501419</v>
      </c>
      <c r="D486" s="141" t="str">
        <f>IFERROR(__xludf.DUMMYFUNCTION("""COMPUTED_VALUE"""),"Atmospheric weather in which the sky is partially obscured by clouds.")</f>
        <v>Atmospheric weather in which the sky is partially obscured by clouds.</v>
      </c>
      <c r="E486" s="141"/>
      <c r="F486" s="141"/>
      <c r="G486" s="141"/>
      <c r="H486" s="141"/>
      <c r="I486" s="141"/>
      <c r="J486" s="141"/>
      <c r="K486" s="141"/>
      <c r="L486" s="141"/>
      <c r="M486" s="141"/>
      <c r="N486" s="141"/>
      <c r="O486" s="141"/>
      <c r="P486" s="141"/>
      <c r="Q486" s="141"/>
      <c r="R486" s="141"/>
      <c r="S486" s="141"/>
      <c r="T486" s="141"/>
      <c r="U486" s="141"/>
      <c r="V486" s="141"/>
      <c r="W486" s="141"/>
      <c r="X486" s="141"/>
      <c r="Y486" s="141"/>
      <c r="Z486" s="141"/>
    </row>
    <row r="487">
      <c r="A487" s="141"/>
      <c r="B487" s="141" t="str">
        <f>IFERROR(__xludf.DUMMYFUNCTION("""COMPUTED_VALUE"""),"Drizzle [ENVO:03501420]                ")</f>
        <v>Drizzle [ENVO:03501420]                </v>
      </c>
      <c r="C487" s="141" t="str">
        <f>IFERROR(__xludf.DUMMYFUNCTION("""COMPUTED_VALUE"""),"ENVO:03501420")</f>
        <v>ENVO:03501420</v>
      </c>
      <c r="D487" s="141" t="str">
        <f>IFERROR(__xludf.DUMMYFUNCTION("""COMPUTED_VALUE"""),"An aggregate of water drops smaller than those of rain which falls on a planetary surface during a precipitation process.")</f>
        <v>An aggregate of water drops smaller than those of rain which falls on a planetary surface during a precipitation process.</v>
      </c>
      <c r="E487" s="141"/>
      <c r="F487" s="141"/>
      <c r="G487" s="141"/>
      <c r="H487" s="141"/>
      <c r="I487" s="141"/>
      <c r="J487" s="141"/>
      <c r="K487" s="141"/>
      <c r="L487" s="141"/>
      <c r="M487" s="141"/>
      <c r="N487" s="141"/>
      <c r="O487" s="141"/>
      <c r="P487" s="141"/>
      <c r="Q487" s="141"/>
      <c r="R487" s="141"/>
      <c r="S487" s="141"/>
      <c r="T487" s="141"/>
      <c r="U487" s="141"/>
      <c r="V487" s="141"/>
      <c r="W487" s="141"/>
      <c r="X487" s="141"/>
      <c r="Y487" s="141"/>
      <c r="Z487" s="141"/>
    </row>
    <row r="488">
      <c r="A488" s="141"/>
      <c r="B488" s="141" t="str">
        <f>IFERROR(__xludf.DUMMYFUNCTION("""COMPUTED_VALUE"""),"Fog [ENVO:01000844]                ")</f>
        <v>Fog [ENVO:01000844]                </v>
      </c>
      <c r="C488" s="141" t="str">
        <f>IFERROR(__xludf.DUMMYFUNCTION("""COMPUTED_VALUE"""),"ENVO:01000844")</f>
        <v>ENVO:01000844</v>
      </c>
      <c r="D488" s="141" t="str">
        <f>IFERROR(__xludf.DUMMYFUNCTION("""COMPUTED_VALUE"""),"A visible mass of cloud water droplets or ice crystals suspended in the air at or near the surface of an astronomical body.")</f>
        <v>A visible mass of cloud water droplets or ice crystals suspended in the air at or near the surface of an astronomical body.</v>
      </c>
      <c r="E488" s="141"/>
      <c r="F488" s="141"/>
      <c r="G488" s="141"/>
      <c r="H488" s="141"/>
      <c r="I488" s="141"/>
      <c r="J488" s="141"/>
      <c r="K488" s="141"/>
      <c r="L488" s="141"/>
      <c r="M488" s="141"/>
      <c r="N488" s="141"/>
      <c r="O488" s="141"/>
      <c r="P488" s="141"/>
      <c r="Q488" s="141"/>
      <c r="R488" s="141"/>
      <c r="S488" s="141"/>
      <c r="T488" s="141"/>
      <c r="U488" s="141"/>
      <c r="V488" s="141"/>
      <c r="W488" s="141"/>
      <c r="X488" s="141"/>
      <c r="Y488" s="141"/>
      <c r="Z488" s="141"/>
    </row>
    <row r="489">
      <c r="A489" s="141"/>
      <c r="B489" s="141" t="str">
        <f>IFERROR(__xludf.DUMMYFUNCTION("""COMPUTED_VALUE"""),"Rain [ENVO:01001564]                ")</f>
        <v>Rain [ENVO:01001564]                </v>
      </c>
      <c r="C489" s="141" t="str">
        <f>IFERROR(__xludf.DUMMYFUNCTION("""COMPUTED_VALUE"""),"ENVO:01001564")</f>
        <v>ENVO:01001564</v>
      </c>
      <c r="D489" s="141" t="str">
        <f>IFERROR(__xludf.DUMMYFUNCTION("""COMPUTED_VALUE"""),"An aggregate of raindrops falling to a planetary surface during a precipitation process.")</f>
        <v>An aggregate of raindrops falling to a planetary surface during a precipitation process.</v>
      </c>
      <c r="E489" s="141"/>
      <c r="F489" s="141"/>
      <c r="G489" s="141"/>
      <c r="H489" s="141"/>
      <c r="I489" s="141"/>
      <c r="J489" s="141"/>
      <c r="K489" s="141"/>
      <c r="L489" s="141"/>
      <c r="M489" s="141"/>
      <c r="N489" s="141"/>
      <c r="O489" s="141"/>
      <c r="P489" s="141"/>
      <c r="Q489" s="141"/>
      <c r="R489" s="141"/>
      <c r="S489" s="141"/>
      <c r="T489" s="141"/>
      <c r="U489" s="141"/>
      <c r="V489" s="141"/>
      <c r="W489" s="141"/>
      <c r="X489" s="141"/>
      <c r="Y489" s="141"/>
      <c r="Z489" s="141"/>
    </row>
    <row r="490">
      <c r="A490" s="141"/>
      <c r="B490" s="141" t="str">
        <f>IFERROR(__xludf.DUMMYFUNCTION("""COMPUTED_VALUE"""),"Snow [ENVO:01000406]                ")</f>
        <v>Snow [ENVO:01000406]                </v>
      </c>
      <c r="C490" s="141" t="str">
        <f>IFERROR(__xludf.DUMMYFUNCTION("""COMPUTED_VALUE"""),"ENVO:01000406")</f>
        <v>ENVO:01000406</v>
      </c>
      <c r="D490" s="141" t="str">
        <f>IFERROR(__xludf.DUMMYFUNCTION("""COMPUTED_VALUE"""),"Snow is an environmental material which is primarily composed of flakes of crystalline water ice.")</f>
        <v>Snow is an environmental material which is primarily composed of flakes of crystalline water ice.</v>
      </c>
      <c r="E490" s="141"/>
      <c r="F490" s="141"/>
      <c r="G490" s="141"/>
      <c r="H490" s="141"/>
      <c r="I490" s="141"/>
      <c r="J490" s="141"/>
      <c r="K490" s="141"/>
      <c r="L490" s="141"/>
      <c r="M490" s="141"/>
      <c r="N490" s="141"/>
      <c r="O490" s="141"/>
      <c r="P490" s="141"/>
      <c r="Q490" s="141"/>
      <c r="R490" s="141"/>
      <c r="S490" s="141"/>
      <c r="T490" s="141"/>
      <c r="U490" s="141"/>
      <c r="V490" s="141"/>
      <c r="W490" s="141"/>
      <c r="X490" s="141"/>
      <c r="Y490" s="141"/>
      <c r="Z490" s="141"/>
    </row>
    <row r="491">
      <c r="A491" s="141"/>
      <c r="B491" s="141" t="str">
        <f>IFERROR(__xludf.DUMMYFUNCTION("""COMPUTED_VALUE"""),"Storm [ENVO:01000876]                ")</f>
        <v>Storm [ENVO:01000876]                </v>
      </c>
      <c r="C491" s="141" t="str">
        <f>IFERROR(__xludf.DUMMYFUNCTION("""COMPUTED_VALUE"""),"ENVO:01000876")</f>
        <v>ENVO:01000876</v>
      </c>
      <c r="D491" s="141" t="str">
        <f>IFERROR(__xludf.DUMMYFUNCTION("""COMPUTED_VALUE"""),"A storm is an environmental process in which an environmental system and the processes it participates in are strongly perturbed by external forcings. These forcings typically increase the rates of processes unfolding in the system, relative to their norm"&amp;"al rates.")</f>
        <v>A storm is an environmental process in which an environmental system and the processes it participates in are strongly perturbed by external forcings. These forcings typically increase the rates of processes unfolding in the system, relative to their normal rates.</v>
      </c>
      <c r="E491" s="141"/>
      <c r="F491" s="141"/>
      <c r="G491" s="141"/>
      <c r="H491" s="141"/>
      <c r="I491" s="141"/>
      <c r="J491" s="141"/>
      <c r="K491" s="141"/>
      <c r="L491" s="141"/>
      <c r="M491" s="141"/>
      <c r="N491" s="141"/>
      <c r="O491" s="141"/>
      <c r="P491" s="141"/>
      <c r="Q491" s="141"/>
      <c r="R491" s="141"/>
      <c r="S491" s="141"/>
      <c r="T491" s="141"/>
      <c r="U491" s="141"/>
      <c r="V491" s="141"/>
      <c r="W491" s="141"/>
      <c r="X491" s="141"/>
      <c r="Y491" s="141"/>
      <c r="Z491" s="141"/>
    </row>
    <row r="492">
      <c r="A492" s="141"/>
      <c r="B492" s="141" t="str">
        <f>IFERROR(__xludf.DUMMYFUNCTION("""COMPUTED_VALUE"""),"Sunny/Clear [ENVO:03501421]                ")</f>
        <v>Sunny/Clear [ENVO:03501421]                </v>
      </c>
      <c r="C492" s="141" t="str">
        <f>IFERROR(__xludf.DUMMYFUNCTION("""COMPUTED_VALUE"""),"ENVO:03501421")</f>
        <v>ENVO:03501421</v>
      </c>
      <c r="D492" s="141" t="str">
        <f>IFERROR(__xludf.DUMMYFUNCTION("""COMPUTED_VALUE"""),"Atmospheric weather in which the sun can be seen to shine brightly.")</f>
        <v>Atmospheric weather in which the sun can be seen to shine brightly.</v>
      </c>
      <c r="E492" s="141"/>
      <c r="F492" s="141"/>
      <c r="G492" s="141"/>
      <c r="H492" s="141"/>
      <c r="I492" s="141"/>
      <c r="J492" s="141"/>
      <c r="K492" s="141"/>
      <c r="L492" s="141"/>
      <c r="M492" s="141"/>
      <c r="N492" s="141"/>
      <c r="O492" s="141"/>
      <c r="P492" s="141"/>
      <c r="Q492" s="141"/>
      <c r="R492" s="141"/>
      <c r="S492" s="141"/>
      <c r="T492" s="141"/>
      <c r="U492" s="141"/>
      <c r="V492" s="141"/>
      <c r="W492" s="141"/>
      <c r="X492" s="141"/>
      <c r="Y492" s="141"/>
      <c r="Z492" s="141"/>
    </row>
    <row r="493">
      <c r="A493" s="141" t="str">
        <f>IFERROR(__xludf.DUMMYFUNCTION("""COMPUTED_VALUE"""),"presampling weather conditions menu")</f>
        <v>presampling weather conditions menu</v>
      </c>
      <c r="B493" s="141" t="str">
        <f>IFERROR(__xludf.DUMMYFUNCTION("""COMPUTED_VALUE"""),"                ")</f>
        <v>                </v>
      </c>
      <c r="C493" s="141" t="str">
        <f>IFERROR(__xludf.DUMMYFUNCTION("""COMPUTED_VALUE"""),"")</f>
        <v/>
      </c>
      <c r="D493" s="141"/>
      <c r="E493" s="141"/>
      <c r="F493" s="141"/>
      <c r="G493" s="141"/>
      <c r="H493" s="141"/>
      <c r="I493" s="141"/>
      <c r="J493" s="141"/>
      <c r="K493" s="141"/>
      <c r="L493" s="141"/>
      <c r="M493" s="141"/>
      <c r="N493" s="141"/>
      <c r="O493" s="141"/>
      <c r="P493" s="141"/>
      <c r="Q493" s="141"/>
      <c r="R493" s="141"/>
      <c r="S493" s="141"/>
      <c r="T493" s="141"/>
      <c r="U493" s="141"/>
      <c r="V493" s="141"/>
      <c r="W493" s="141"/>
      <c r="X493" s="141"/>
      <c r="Y493" s="141"/>
      <c r="Z493" s="141"/>
    </row>
    <row r="494">
      <c r="A494" s="141"/>
      <c r="B494" s="141" t="str">
        <f>IFERROR(__xludf.DUMMYFUNCTION("""COMPUTED_VALUE"""),"Cloudy/Overcast [ENVO:03501418]                ")</f>
        <v>Cloudy/Overcast [ENVO:03501418]                </v>
      </c>
      <c r="C494" s="141" t="str">
        <f>IFERROR(__xludf.DUMMYFUNCTION("""COMPUTED_VALUE"""),"ENVO:03501418")</f>
        <v>ENVO:03501418</v>
      </c>
      <c r="D494" s="141" t="str">
        <f>IFERROR(__xludf.DUMMYFUNCTION("""COMPUTED_VALUE"""),"Atmospheric weather in which the sky is mostly or completely obscured by clouds.")</f>
        <v>Atmospheric weather in which the sky is mostly or completely obscured by clouds.</v>
      </c>
      <c r="E494" s="141"/>
      <c r="F494" s="141"/>
      <c r="G494" s="141"/>
      <c r="H494" s="141"/>
      <c r="I494" s="141"/>
      <c r="J494" s="141"/>
      <c r="K494" s="141"/>
      <c r="L494" s="141"/>
      <c r="M494" s="141"/>
      <c r="N494" s="141"/>
      <c r="O494" s="141"/>
      <c r="P494" s="141"/>
      <c r="Q494" s="141"/>
      <c r="R494" s="141"/>
      <c r="S494" s="141"/>
      <c r="T494" s="141"/>
      <c r="U494" s="141"/>
      <c r="V494" s="141"/>
      <c r="W494" s="141"/>
      <c r="X494" s="141"/>
      <c r="Y494" s="141"/>
      <c r="Z494" s="141"/>
    </row>
    <row r="495">
      <c r="A495" s="141"/>
      <c r="B495" s="141" t="str">
        <f>IFERROR(__xludf.DUMMYFUNCTION("""COMPUTED_VALUE"""),"    Partially cloudy [ENVO:03501419]            ")</f>
        <v>    Partially cloudy [ENVO:03501419]            </v>
      </c>
      <c r="C495" s="141" t="str">
        <f>IFERROR(__xludf.DUMMYFUNCTION("""COMPUTED_VALUE"""),"ENVO:03501419")</f>
        <v>ENVO:03501419</v>
      </c>
      <c r="D495" s="141" t="str">
        <f>IFERROR(__xludf.DUMMYFUNCTION("""COMPUTED_VALUE"""),"Atmospheric weather in which the sky is partially obscured by clouds.")</f>
        <v>Atmospheric weather in which the sky is partially obscured by clouds.</v>
      </c>
      <c r="E495" s="141"/>
      <c r="F495" s="141"/>
      <c r="G495" s="141"/>
      <c r="H495" s="141"/>
      <c r="I495" s="141"/>
      <c r="J495" s="141"/>
      <c r="K495" s="141"/>
      <c r="L495" s="141"/>
      <c r="M495" s="141"/>
      <c r="N495" s="141"/>
      <c r="O495" s="141"/>
      <c r="P495" s="141"/>
      <c r="Q495" s="141"/>
      <c r="R495" s="141"/>
      <c r="S495" s="141"/>
      <c r="T495" s="141"/>
      <c r="U495" s="141"/>
      <c r="V495" s="141"/>
      <c r="W495" s="141"/>
      <c r="X495" s="141"/>
      <c r="Y495" s="141"/>
      <c r="Z495" s="141"/>
    </row>
    <row r="496">
      <c r="A496" s="141"/>
      <c r="B496" s="141" t="str">
        <f>IFERROR(__xludf.DUMMYFUNCTION("""COMPUTED_VALUE"""),"Drizzle [ENVO:03501420]                ")</f>
        <v>Drizzle [ENVO:03501420]                </v>
      </c>
      <c r="C496" s="141" t="str">
        <f>IFERROR(__xludf.DUMMYFUNCTION("""COMPUTED_VALUE"""),"ENVO:03501420")</f>
        <v>ENVO:03501420</v>
      </c>
      <c r="D496" s="141" t="str">
        <f>IFERROR(__xludf.DUMMYFUNCTION("""COMPUTED_VALUE"""),"An aggregate of water drops smaller than those of rain which falls on a planetary surface during a precipitation process.")</f>
        <v>An aggregate of water drops smaller than those of rain which falls on a planetary surface during a precipitation process.</v>
      </c>
      <c r="E496" s="141"/>
      <c r="F496" s="141"/>
      <c r="G496" s="141"/>
      <c r="H496" s="141"/>
      <c r="I496" s="141"/>
      <c r="J496" s="141"/>
      <c r="K496" s="141"/>
      <c r="L496" s="141"/>
      <c r="M496" s="141"/>
      <c r="N496" s="141"/>
      <c r="O496" s="141"/>
      <c r="P496" s="141"/>
      <c r="Q496" s="141"/>
      <c r="R496" s="141"/>
      <c r="S496" s="141"/>
      <c r="T496" s="141"/>
      <c r="U496" s="141"/>
      <c r="V496" s="141"/>
      <c r="W496" s="141"/>
      <c r="X496" s="141"/>
      <c r="Y496" s="141"/>
      <c r="Z496" s="141"/>
    </row>
    <row r="497">
      <c r="A497" s="141"/>
      <c r="B497" s="141" t="str">
        <f>IFERROR(__xludf.DUMMYFUNCTION("""COMPUTED_VALUE"""),"Fog [ENVO:01000844]                ")</f>
        <v>Fog [ENVO:01000844]                </v>
      </c>
      <c r="C497" s="141" t="str">
        <f>IFERROR(__xludf.DUMMYFUNCTION("""COMPUTED_VALUE"""),"ENVO:01000844")</f>
        <v>ENVO:01000844</v>
      </c>
      <c r="D497" s="141" t="str">
        <f>IFERROR(__xludf.DUMMYFUNCTION("""COMPUTED_VALUE"""),"A visible mass of cloud water droplets or ice crystals suspended in the air at or near the surface of an astronomical body.")</f>
        <v>A visible mass of cloud water droplets or ice crystals suspended in the air at or near the surface of an astronomical body.</v>
      </c>
      <c r="E497" s="141"/>
      <c r="F497" s="141"/>
      <c r="G497" s="141"/>
      <c r="H497" s="141"/>
      <c r="I497" s="141"/>
      <c r="J497" s="141"/>
      <c r="K497" s="141"/>
      <c r="L497" s="141"/>
      <c r="M497" s="141"/>
      <c r="N497" s="141"/>
      <c r="O497" s="141"/>
      <c r="P497" s="141"/>
      <c r="Q497" s="141"/>
      <c r="R497" s="141"/>
      <c r="S497" s="141"/>
      <c r="T497" s="141"/>
      <c r="U497" s="141"/>
      <c r="V497" s="141"/>
      <c r="W497" s="141"/>
      <c r="X497" s="141"/>
      <c r="Y497" s="141"/>
      <c r="Z497" s="141"/>
    </row>
    <row r="498">
      <c r="A498" s="141"/>
      <c r="B498" s="141" t="str">
        <f>IFERROR(__xludf.DUMMYFUNCTION("""COMPUTED_VALUE"""),"Rain [ENVO:01001564]                ")</f>
        <v>Rain [ENVO:01001564]                </v>
      </c>
      <c r="C498" s="141" t="str">
        <f>IFERROR(__xludf.DUMMYFUNCTION("""COMPUTED_VALUE"""),"ENVO:01001564")</f>
        <v>ENVO:01001564</v>
      </c>
      <c r="D498" s="141" t="str">
        <f>IFERROR(__xludf.DUMMYFUNCTION("""COMPUTED_VALUE"""),"An aggregate of raindrops falling to a planetary surface during a precipitation process.")</f>
        <v>An aggregate of raindrops falling to a planetary surface during a precipitation process.</v>
      </c>
      <c r="E498" s="141"/>
      <c r="F498" s="141"/>
      <c r="G498" s="141"/>
      <c r="H498" s="141"/>
      <c r="I498" s="141"/>
      <c r="J498" s="141"/>
      <c r="K498" s="141"/>
      <c r="L498" s="141"/>
      <c r="M498" s="141"/>
      <c r="N498" s="141"/>
      <c r="O498" s="141"/>
      <c r="P498" s="141"/>
      <c r="Q498" s="141"/>
      <c r="R498" s="141"/>
      <c r="S498" s="141"/>
      <c r="T498" s="141"/>
      <c r="U498" s="141"/>
      <c r="V498" s="141"/>
      <c r="W498" s="141"/>
      <c r="X498" s="141"/>
      <c r="Y498" s="141"/>
      <c r="Z498" s="141"/>
    </row>
    <row r="499">
      <c r="A499" s="141"/>
      <c r="B499" s="141" t="str">
        <f>IFERROR(__xludf.DUMMYFUNCTION("""COMPUTED_VALUE"""),"Snow [ENVO:01000406]                ")</f>
        <v>Snow [ENVO:01000406]                </v>
      </c>
      <c r="C499" s="141" t="str">
        <f>IFERROR(__xludf.DUMMYFUNCTION("""COMPUTED_VALUE"""),"ENVO:01000406")</f>
        <v>ENVO:01000406</v>
      </c>
      <c r="D499" s="141" t="str">
        <f>IFERROR(__xludf.DUMMYFUNCTION("""COMPUTED_VALUE"""),"Snow is an environmental material which is primarily composed of flakes of crystalline water ice.")</f>
        <v>Snow is an environmental material which is primarily composed of flakes of crystalline water ice.</v>
      </c>
      <c r="E499" s="141"/>
      <c r="F499" s="141"/>
      <c r="G499" s="141"/>
      <c r="H499" s="141"/>
      <c r="I499" s="141"/>
      <c r="J499" s="141"/>
      <c r="K499" s="141"/>
      <c r="L499" s="141"/>
      <c r="M499" s="141"/>
      <c r="N499" s="141"/>
      <c r="O499" s="141"/>
      <c r="P499" s="141"/>
      <c r="Q499" s="141"/>
      <c r="R499" s="141"/>
      <c r="S499" s="141"/>
      <c r="T499" s="141"/>
      <c r="U499" s="141"/>
      <c r="V499" s="141"/>
      <c r="W499" s="141"/>
      <c r="X499" s="141"/>
      <c r="Y499" s="141"/>
      <c r="Z499" s="141"/>
    </row>
    <row r="500">
      <c r="A500" s="141"/>
      <c r="B500" s="141" t="str">
        <f>IFERROR(__xludf.DUMMYFUNCTION("""COMPUTED_VALUE"""),"Storm [ENVO:01000876]                ")</f>
        <v>Storm [ENVO:01000876]                </v>
      </c>
      <c r="C500" s="141" t="str">
        <f>IFERROR(__xludf.DUMMYFUNCTION("""COMPUTED_VALUE"""),"ENVO:01000876")</f>
        <v>ENVO:01000876</v>
      </c>
      <c r="D500" s="141" t="str">
        <f>IFERROR(__xludf.DUMMYFUNCTION("""COMPUTED_VALUE"""),"A storm is an environmental process in which an environmental system and the processes it participates in are strongly perturbed by external forcings. These forcings typically increase the rates of processes unfolding in the system, relative to their norm"&amp;"al rates.")</f>
        <v>A storm is an environmental process in which an environmental system and the processes it participates in are strongly perturbed by external forcings. These forcings typically increase the rates of processes unfolding in the system, relative to their normal rates.</v>
      </c>
      <c r="E500" s="141"/>
      <c r="F500" s="141"/>
      <c r="G500" s="141"/>
      <c r="H500" s="141"/>
      <c r="I500" s="141"/>
      <c r="J500" s="141"/>
      <c r="K500" s="141"/>
      <c r="L500" s="141"/>
      <c r="M500" s="141"/>
      <c r="N500" s="141"/>
      <c r="O500" s="141"/>
      <c r="P500" s="141"/>
      <c r="Q500" s="141"/>
      <c r="R500" s="141"/>
      <c r="S500" s="141"/>
      <c r="T500" s="141"/>
      <c r="U500" s="141"/>
      <c r="V500" s="141"/>
      <c r="W500" s="141"/>
      <c r="X500" s="141"/>
      <c r="Y500" s="141"/>
      <c r="Z500" s="141"/>
    </row>
    <row r="501">
      <c r="A501" s="141"/>
      <c r="B501" s="141" t="str">
        <f>IFERROR(__xludf.DUMMYFUNCTION("""COMPUTED_VALUE"""),"Sunny/Clear [ENVO:03501421]                ")</f>
        <v>Sunny/Clear [ENVO:03501421]                </v>
      </c>
      <c r="C501" s="141" t="str">
        <f>IFERROR(__xludf.DUMMYFUNCTION("""COMPUTED_VALUE"""),"ENVO:03501421")</f>
        <v>ENVO:03501421</v>
      </c>
      <c r="D501" s="141" t="str">
        <f>IFERROR(__xludf.DUMMYFUNCTION("""COMPUTED_VALUE"""),"Atmospheric weather in which the sun can be seen to shine brightly.")</f>
        <v>Atmospheric weather in which the sun can be seen to shine brightly.</v>
      </c>
      <c r="E501" s="141"/>
      <c r="F501" s="141"/>
      <c r="G501" s="141"/>
      <c r="H501" s="141"/>
      <c r="I501" s="141"/>
      <c r="J501" s="141"/>
      <c r="K501" s="141"/>
      <c r="L501" s="141"/>
      <c r="M501" s="141"/>
      <c r="N501" s="141"/>
      <c r="O501" s="141"/>
      <c r="P501" s="141"/>
      <c r="Q501" s="141"/>
      <c r="R501" s="141"/>
      <c r="S501" s="141"/>
      <c r="T501" s="141"/>
      <c r="U501" s="141"/>
      <c r="V501" s="141"/>
      <c r="W501" s="141"/>
      <c r="X501" s="141"/>
      <c r="Y501" s="141"/>
      <c r="Z501" s="141"/>
    </row>
    <row r="502">
      <c r="A502" s="141" t="str">
        <f>IFERROR(__xludf.DUMMYFUNCTION("""COMPUTED_VALUE"""),"precipitation measurement unit menu")</f>
        <v>precipitation measurement unit menu</v>
      </c>
      <c r="B502" s="141" t="str">
        <f>IFERROR(__xludf.DUMMYFUNCTION("""COMPUTED_VALUE"""),"                ")</f>
        <v>                </v>
      </c>
      <c r="C502" s="141" t="str">
        <f>IFERROR(__xludf.DUMMYFUNCTION("""COMPUTED_VALUE"""),"")</f>
        <v/>
      </c>
      <c r="D502" s="141"/>
      <c r="E502" s="141"/>
      <c r="F502" s="141"/>
      <c r="G502" s="141"/>
      <c r="H502" s="141"/>
      <c r="I502" s="141"/>
      <c r="J502" s="141"/>
      <c r="K502" s="141"/>
      <c r="L502" s="141"/>
      <c r="M502" s="141"/>
      <c r="N502" s="141"/>
      <c r="O502" s="141"/>
      <c r="P502" s="141"/>
      <c r="Q502" s="141"/>
      <c r="R502" s="141"/>
      <c r="S502" s="141"/>
      <c r="T502" s="141"/>
      <c r="U502" s="141"/>
      <c r="V502" s="141"/>
      <c r="W502" s="141"/>
      <c r="X502" s="141"/>
      <c r="Y502" s="141"/>
      <c r="Z502" s="141"/>
    </row>
    <row r="503">
      <c r="A503" s="141"/>
      <c r="B503" s="141" t="str">
        <f>IFERROR(__xludf.DUMMYFUNCTION("""COMPUTED_VALUE"""),"millimeter (mm) [UO:0000016]                ")</f>
        <v>millimeter (mm) [UO:0000016]                </v>
      </c>
      <c r="C503" s="141" t="str">
        <f>IFERROR(__xludf.DUMMYFUNCTION("""COMPUTED_VALUE"""),"UO:0000016")</f>
        <v>UO:0000016</v>
      </c>
      <c r="D503" s="141" t="str">
        <f>IFERROR(__xludf.DUMMYFUNCTION("""COMPUTED_VALUE"""),"A length unit which is defined as one thousandth of a meter.")</f>
        <v>A length unit which is defined as one thousandth of a meter.</v>
      </c>
      <c r="E503" s="141"/>
      <c r="F503" s="141"/>
      <c r="G503" s="141"/>
      <c r="H503" s="141"/>
      <c r="I503" s="141"/>
      <c r="J503" s="141"/>
      <c r="K503" s="141"/>
      <c r="L503" s="141"/>
      <c r="M503" s="141"/>
      <c r="N503" s="141"/>
      <c r="O503" s="141"/>
      <c r="P503" s="141"/>
      <c r="Q503" s="141"/>
      <c r="R503" s="141"/>
      <c r="S503" s="141"/>
      <c r="T503" s="141"/>
      <c r="U503" s="141"/>
      <c r="V503" s="141"/>
      <c r="W503" s="141"/>
      <c r="X503" s="141"/>
      <c r="Y503" s="141"/>
      <c r="Z503" s="141"/>
    </row>
    <row r="504">
      <c r="A504" s="141"/>
      <c r="B504" s="141" t="str">
        <f>IFERROR(__xludf.DUMMYFUNCTION("""COMPUTED_VALUE"""),"centimeter (cm) [UO:0000015]                ")</f>
        <v>centimeter (cm) [UO:0000015]                </v>
      </c>
      <c r="C504" s="141" t="str">
        <f>IFERROR(__xludf.DUMMYFUNCTION("""COMPUTED_VALUE"""),"UO:0000015")</f>
        <v>UO:0000015</v>
      </c>
      <c r="D504" s="141" t="str">
        <f>IFERROR(__xludf.DUMMYFUNCTION("""COMPUTED_VALUE"""),"A length unit which is equal to one hundredth of a meter or 10^[-2] m")</f>
        <v>A length unit which is equal to one hundredth of a meter or 10^[-2] m</v>
      </c>
      <c r="E504" s="141"/>
      <c r="F504" s="141"/>
      <c r="G504" s="141"/>
      <c r="H504" s="141"/>
      <c r="I504" s="141"/>
      <c r="J504" s="141"/>
      <c r="K504" s="141"/>
      <c r="L504" s="141"/>
      <c r="M504" s="141"/>
      <c r="N504" s="141"/>
      <c r="O504" s="141"/>
      <c r="P504" s="141"/>
      <c r="Q504" s="141"/>
      <c r="R504" s="141"/>
      <c r="S504" s="141"/>
      <c r="T504" s="141"/>
      <c r="U504" s="141"/>
      <c r="V504" s="141"/>
      <c r="W504" s="141"/>
      <c r="X504" s="141"/>
      <c r="Y504" s="141"/>
      <c r="Z504" s="141"/>
    </row>
    <row r="505">
      <c r="A505" s="141"/>
      <c r="B505" s="141" t="str">
        <f>IFERROR(__xludf.DUMMYFUNCTION("""COMPUTED_VALUE"""),"meter (m) [UO:0000008]                ")</f>
        <v>meter (m) [UO:0000008]                </v>
      </c>
      <c r="C505" s="141" t="str">
        <f>IFERROR(__xludf.DUMMYFUNCTION("""COMPUTED_VALUE"""),"UO:0000008")</f>
        <v>UO:0000008</v>
      </c>
      <c r="D505" s="141" t="str">
        <f>IFERROR(__xludf.DUMMYFUNCTION("""COMPUTED_VALUE"""),"An SI unit of length defined as the length of the path travelled by light in a vacuum in 1/299792458th of a second. ")</f>
        <v>An SI unit of length defined as the length of the path travelled by light in a vacuum in 1/299792458th of a second. </v>
      </c>
      <c r="E505" s="141"/>
      <c r="F505" s="141"/>
      <c r="G505" s="141"/>
      <c r="H505" s="141"/>
      <c r="I505" s="141"/>
      <c r="J505" s="141"/>
      <c r="K505" s="141"/>
      <c r="L505" s="141"/>
      <c r="M505" s="141"/>
      <c r="N505" s="141"/>
      <c r="O505" s="141"/>
      <c r="P505" s="141"/>
      <c r="Q505" s="141"/>
      <c r="R505" s="141"/>
      <c r="S505" s="141"/>
      <c r="T505" s="141"/>
      <c r="U505" s="141"/>
      <c r="V505" s="141"/>
      <c r="W505" s="141"/>
      <c r="X505" s="141"/>
      <c r="Y505" s="141"/>
      <c r="Z505" s="141"/>
    </row>
    <row r="506">
      <c r="A506" s="141"/>
      <c r="B506" s="141" t="str">
        <f>IFERROR(__xludf.DUMMYFUNCTION("""COMPUTED_VALUE"""),"inch (in) [UO:0010011]                ")</f>
        <v>inch (in) [UO:0010011]                </v>
      </c>
      <c r="C506" s="141" t="str">
        <f>IFERROR(__xludf.DUMMYFUNCTION("""COMPUTED_VALUE"""),"UO:0010011")</f>
        <v>UO:0010011</v>
      </c>
      <c r="D506" s="141" t="str">
        <f>IFERROR(__xludf.DUMMYFUNCTION("""COMPUTED_VALUE"""),"A non-SI unit of length defined as one twelfth of a foot.")</f>
        <v>A non-SI unit of length defined as one twelfth of a foot.</v>
      </c>
      <c r="E506" s="141"/>
      <c r="F506" s="141"/>
      <c r="G506" s="141"/>
      <c r="H506" s="141"/>
      <c r="I506" s="141"/>
      <c r="J506" s="141"/>
      <c r="K506" s="141"/>
      <c r="L506" s="141"/>
      <c r="M506" s="141"/>
      <c r="N506" s="141"/>
      <c r="O506" s="141"/>
      <c r="P506" s="141"/>
      <c r="Q506" s="141"/>
      <c r="R506" s="141"/>
      <c r="S506" s="141"/>
      <c r="T506" s="141"/>
      <c r="U506" s="141"/>
      <c r="V506" s="141"/>
      <c r="W506" s="141"/>
      <c r="X506" s="141"/>
      <c r="Y506" s="141"/>
      <c r="Z506" s="141"/>
    </row>
    <row r="507">
      <c r="A507" s="141"/>
      <c r="B507" s="141" t="str">
        <f>IFERROR(__xludf.DUMMYFUNCTION("""COMPUTED_VALUE"""),"foot (ft) [UO:0010013]                ")</f>
        <v>foot (ft) [UO:0010013]                </v>
      </c>
      <c r="C507" s="141" t="str">
        <f>IFERROR(__xludf.DUMMYFUNCTION("""COMPUTED_VALUE"""),"UO:0010013")</f>
        <v>UO:0010013</v>
      </c>
      <c r="D507" s="141" t="str">
        <f>IFERROR(__xludf.DUMMYFUNCTION("""COMPUTED_VALUE"""),"A non-SI unit of length which is approximately 0.3048 meters.")</f>
        <v>A non-SI unit of length which is approximately 0.3048 meters.</v>
      </c>
      <c r="E507" s="141"/>
      <c r="F507" s="141"/>
      <c r="G507" s="141"/>
      <c r="H507" s="141"/>
      <c r="I507" s="141"/>
      <c r="J507" s="141"/>
      <c r="K507" s="141"/>
      <c r="L507" s="141"/>
      <c r="M507" s="141"/>
      <c r="N507" s="141"/>
      <c r="O507" s="141"/>
      <c r="P507" s="141"/>
      <c r="Q507" s="141"/>
      <c r="R507" s="141"/>
      <c r="S507" s="141"/>
      <c r="T507" s="141"/>
      <c r="U507" s="141"/>
      <c r="V507" s="141"/>
      <c r="W507" s="141"/>
      <c r="X507" s="141"/>
      <c r="Y507" s="141"/>
      <c r="Z507" s="141"/>
    </row>
    <row r="508">
      <c r="A508" s="141" t="str">
        <f>IFERROR(__xludf.DUMMYFUNCTION("""COMPUTED_VALUE"""),"air pressure measurement unit menu")</f>
        <v>air pressure measurement unit menu</v>
      </c>
      <c r="B508" s="141" t="str">
        <f>IFERROR(__xludf.DUMMYFUNCTION("""COMPUTED_VALUE"""),"                ")</f>
        <v>                </v>
      </c>
      <c r="C508" s="141" t="str">
        <f>IFERROR(__xludf.DUMMYFUNCTION("""COMPUTED_VALUE"""),"")</f>
        <v/>
      </c>
      <c r="D508" s="141"/>
      <c r="E508" s="141"/>
      <c r="F508" s="141"/>
      <c r="G508" s="141"/>
      <c r="H508" s="141"/>
      <c r="I508" s="141"/>
      <c r="J508" s="141"/>
      <c r="K508" s="141"/>
      <c r="L508" s="141"/>
      <c r="M508" s="141"/>
      <c r="N508" s="141"/>
      <c r="O508" s="141"/>
      <c r="P508" s="141"/>
      <c r="Q508" s="141"/>
      <c r="R508" s="141"/>
      <c r="S508" s="141"/>
      <c r="T508" s="141"/>
      <c r="U508" s="141"/>
      <c r="V508" s="141"/>
      <c r="W508" s="141"/>
      <c r="X508" s="141"/>
      <c r="Y508" s="141"/>
      <c r="Z508" s="141"/>
    </row>
    <row r="509">
      <c r="A509" s="141"/>
      <c r="B509" s="141" t="str">
        <f>IFERROR(__xludf.DUMMYFUNCTION("""COMPUTED_VALUE"""),"atmosphere (atm) [EFO:0005212]                ")</f>
        <v>atmosphere (atm) [EFO:0005212]                </v>
      </c>
      <c r="C509" s="141" t="str">
        <f>IFERROR(__xludf.DUMMYFUNCTION("""COMPUTED_VALUE"""),"EFO:0005212")</f>
        <v>EFO:0005212</v>
      </c>
      <c r="D509" s="141" t="str">
        <f>IFERROR(__xludf.DUMMYFUNCTION("""COMPUTED_VALUE"""),"A non-SI unit of pressure defined as 101,325 pascals (Pa).")</f>
        <v>A non-SI unit of pressure defined as 101,325 pascals (Pa).</v>
      </c>
      <c r="E509" s="141"/>
      <c r="F509" s="141"/>
      <c r="G509" s="141"/>
      <c r="H509" s="141"/>
      <c r="I509" s="141"/>
      <c r="J509" s="141"/>
      <c r="K509" s="141"/>
      <c r="L509" s="141"/>
      <c r="M509" s="141"/>
      <c r="N509" s="141"/>
      <c r="O509" s="141"/>
      <c r="P509" s="141"/>
      <c r="Q509" s="141"/>
      <c r="R509" s="141"/>
      <c r="S509" s="141"/>
      <c r="T509" s="141"/>
      <c r="U509" s="141"/>
      <c r="V509" s="141"/>
      <c r="W509" s="141"/>
      <c r="X509" s="141"/>
      <c r="Y509" s="141"/>
      <c r="Z509" s="141"/>
    </row>
    <row r="510">
      <c r="A510" s="141"/>
      <c r="B510" s="141" t="str">
        <f>IFERROR(__xludf.DUMMYFUNCTION("""COMPUTED_VALUE"""),"bar                ")</f>
        <v>bar                </v>
      </c>
      <c r="C510" s="141" t="str">
        <f>IFERROR(__xludf.DUMMYFUNCTION("""COMPUTED_VALUE"""),"")</f>
        <v/>
      </c>
      <c r="D510" s="141"/>
      <c r="E510" s="141"/>
      <c r="F510" s="141"/>
      <c r="G510" s="141"/>
      <c r="H510" s="141"/>
      <c r="I510" s="141"/>
      <c r="J510" s="141"/>
      <c r="K510" s="141"/>
      <c r="L510" s="141"/>
      <c r="M510" s="141"/>
      <c r="N510" s="141"/>
      <c r="O510" s="141"/>
      <c r="P510" s="141"/>
      <c r="Q510" s="141"/>
      <c r="R510" s="141"/>
      <c r="S510" s="141"/>
      <c r="T510" s="141"/>
      <c r="U510" s="141"/>
      <c r="V510" s="141"/>
      <c r="W510" s="141"/>
      <c r="X510" s="141"/>
      <c r="Y510" s="141"/>
      <c r="Z510" s="141"/>
    </row>
    <row r="511">
      <c r="A511" s="141"/>
      <c r="B511" s="141" t="str">
        <f>IFERROR(__xludf.DUMMYFUNCTION("""COMPUTED_VALUE"""),"pascal [UO:0000110]                ")</f>
        <v>pascal [UO:0000110]                </v>
      </c>
      <c r="C511" s="141" t="str">
        <f>IFERROR(__xludf.DUMMYFUNCTION("""COMPUTED_VALUE"""),"UO:0000110")</f>
        <v>UO:0000110</v>
      </c>
      <c r="D511" s="141" t="str">
        <f>IFERROR(__xludf.DUMMYFUNCTION("""COMPUTED_VALUE"""),"An SI unit of pressure defined as one newton per square meter (N/m^2).")</f>
        <v>An SI unit of pressure defined as one newton per square meter (N/m^2).</v>
      </c>
      <c r="E511" s="141"/>
      <c r="F511" s="141"/>
      <c r="G511" s="141"/>
      <c r="H511" s="141"/>
      <c r="I511" s="141"/>
      <c r="J511" s="141"/>
      <c r="K511" s="141"/>
      <c r="L511" s="141"/>
      <c r="M511" s="141"/>
      <c r="N511" s="141"/>
      <c r="O511" s="141"/>
      <c r="P511" s="141"/>
      <c r="Q511" s="141"/>
      <c r="R511" s="141"/>
      <c r="S511" s="141"/>
      <c r="T511" s="141"/>
      <c r="U511" s="141"/>
      <c r="V511" s="141"/>
      <c r="W511" s="141"/>
      <c r="X511" s="141"/>
      <c r="Y511" s="141"/>
      <c r="Z511" s="141"/>
    </row>
    <row r="512">
      <c r="A512" s="141" t="str">
        <f>IFERROR(__xludf.DUMMYFUNCTION("""COMPUTED_VALUE"""),"ambient temperature measurement unit menu")</f>
        <v>ambient temperature measurement unit menu</v>
      </c>
      <c r="B512" s="141" t="str">
        <f>IFERROR(__xludf.DUMMYFUNCTION("""COMPUTED_VALUE"""),"                ")</f>
        <v>                </v>
      </c>
      <c r="C512" s="141" t="str">
        <f>IFERROR(__xludf.DUMMYFUNCTION("""COMPUTED_VALUE"""),"")</f>
        <v/>
      </c>
      <c r="D512" s="141"/>
      <c r="E512" s="141"/>
      <c r="F512" s="141"/>
      <c r="G512" s="141"/>
      <c r="H512" s="141"/>
      <c r="I512" s="141"/>
      <c r="J512" s="141"/>
      <c r="K512" s="141"/>
      <c r="L512" s="141"/>
      <c r="M512" s="141"/>
      <c r="N512" s="141"/>
      <c r="O512" s="141"/>
      <c r="P512" s="141"/>
      <c r="Q512" s="141"/>
      <c r="R512" s="141"/>
      <c r="S512" s="141"/>
      <c r="T512" s="141"/>
      <c r="U512" s="141"/>
      <c r="V512" s="141"/>
      <c r="W512" s="141"/>
      <c r="X512" s="141"/>
      <c r="Y512" s="141"/>
      <c r="Z512" s="141"/>
    </row>
    <row r="513">
      <c r="A513" s="141"/>
      <c r="B513" s="141" t="str">
        <f>IFERROR(__xludf.DUMMYFUNCTION("""COMPUTED_VALUE"""),"degree Fahrenheit (F) [UO:0000195]                ")</f>
        <v>degree Fahrenheit (F) [UO:0000195]                </v>
      </c>
      <c r="C513" s="141" t="str">
        <f>IFERROR(__xludf.DUMMYFUNCTION("""COMPUTED_VALUE"""),"UO:0000195")</f>
        <v>UO:0000195</v>
      </c>
      <c r="D513" s="141" t="str">
        <f>IFERROR(__xludf.DUMMYFUNCTION("""COMPUTED_VALUE"""),"A unit of temperature on a scale where water freezes at 32 degrees and boils at 212 degrees under standard conditions.")</f>
        <v>A unit of temperature on a scale where water freezes at 32 degrees and boils at 212 degrees under standard conditions.</v>
      </c>
      <c r="E513" s="141"/>
      <c r="F513" s="141"/>
      <c r="G513" s="141"/>
      <c r="H513" s="141"/>
      <c r="I513" s="141"/>
      <c r="J513" s="141"/>
      <c r="K513" s="141"/>
      <c r="L513" s="141"/>
      <c r="M513" s="141"/>
      <c r="N513" s="141"/>
      <c r="O513" s="141"/>
      <c r="P513" s="141"/>
      <c r="Q513" s="141"/>
      <c r="R513" s="141"/>
      <c r="S513" s="141"/>
      <c r="T513" s="141"/>
      <c r="U513" s="141"/>
      <c r="V513" s="141"/>
      <c r="W513" s="141"/>
      <c r="X513" s="141"/>
      <c r="Y513" s="141"/>
      <c r="Z513" s="141"/>
    </row>
    <row r="514">
      <c r="A514" s="141"/>
      <c r="B514" s="141" t="str">
        <f>IFERROR(__xludf.DUMMYFUNCTION("""COMPUTED_VALUE"""),"degree Celsius (C) [UO:0000027]                ")</f>
        <v>degree Celsius (C) [UO:0000027]                </v>
      </c>
      <c r="C514" s="141" t="str">
        <f>IFERROR(__xludf.DUMMYFUNCTION("""COMPUTED_VALUE"""),"UO:0000027")</f>
        <v>UO:0000027</v>
      </c>
      <c r="D514" s="141" t="str">
        <f>IFERROR(__xludf.DUMMYFUNCTION("""COMPUTED_VALUE"""),"A unit of temperature on a scale where water freezes at 0 degrees and boils at 100 degrees under standard conditions.")</f>
        <v>A unit of temperature on a scale where water freezes at 0 degrees and boils at 100 degrees under standard conditions.</v>
      </c>
      <c r="E514" s="141"/>
      <c r="F514" s="141"/>
      <c r="G514" s="141"/>
      <c r="H514" s="141"/>
      <c r="I514" s="141"/>
      <c r="J514" s="141"/>
      <c r="K514" s="141"/>
      <c r="L514" s="141"/>
      <c r="M514" s="141"/>
      <c r="N514" s="141"/>
      <c r="O514" s="141"/>
      <c r="P514" s="141"/>
      <c r="Q514" s="141"/>
      <c r="R514" s="141"/>
      <c r="S514" s="141"/>
      <c r="T514" s="141"/>
      <c r="U514" s="141"/>
      <c r="V514" s="141"/>
      <c r="W514" s="141"/>
      <c r="X514" s="141"/>
      <c r="Y514" s="141"/>
      <c r="Z514" s="141"/>
    </row>
    <row r="515">
      <c r="A515" s="141" t="str">
        <f>IFERROR(__xludf.DUMMYFUNCTION("""COMPUTED_VALUE"""),"total daily flow rate measurement unit menu")</f>
        <v>total daily flow rate measurement unit menu</v>
      </c>
      <c r="B515" s="141" t="str">
        <f>IFERROR(__xludf.DUMMYFUNCTION("""COMPUTED_VALUE"""),"                ")</f>
        <v>                </v>
      </c>
      <c r="C515" s="141" t="str">
        <f>IFERROR(__xludf.DUMMYFUNCTION("""COMPUTED_VALUE"""),"")</f>
        <v/>
      </c>
      <c r="D515" s="141"/>
      <c r="E515" s="141"/>
      <c r="F515" s="141"/>
      <c r="G515" s="141"/>
      <c r="H515" s="141"/>
      <c r="I515" s="141"/>
      <c r="J515" s="141"/>
      <c r="K515" s="141"/>
      <c r="L515" s="141"/>
      <c r="M515" s="141"/>
      <c r="N515" s="141"/>
      <c r="O515" s="141"/>
      <c r="P515" s="141"/>
      <c r="Q515" s="141"/>
      <c r="R515" s="141"/>
      <c r="S515" s="141"/>
      <c r="T515" s="141"/>
      <c r="U515" s="141"/>
      <c r="V515" s="141"/>
      <c r="W515" s="141"/>
      <c r="X515" s="141"/>
      <c r="Y515" s="141"/>
      <c r="Z515" s="141"/>
    </row>
    <row r="516">
      <c r="A516" s="141"/>
      <c r="B516" s="141" t="str">
        <f>IFERROR(__xludf.DUMMYFUNCTION("""COMPUTED_VALUE"""),"cubic meter per second (m^3/s)                ")</f>
        <v>cubic meter per second (m^3/s)                </v>
      </c>
      <c r="C516" s="141" t="str">
        <f>IFERROR(__xludf.DUMMYFUNCTION("""COMPUTED_VALUE"""),"")</f>
        <v/>
      </c>
      <c r="D516" s="141" t="str">
        <f>IFERROR(__xludf.DUMMYFUNCTION("""COMPUTED_VALUE"""),"A volumetric flow rate unit which is the measure of the volume of one cubic meter of matter crosses a given surface during the period of time equal to one second.")</f>
        <v>A volumetric flow rate unit which is the measure of the volume of one cubic meter of matter crosses a given surface during the period of time equal to one second.</v>
      </c>
      <c r="E516" s="141"/>
      <c r="F516" s="141"/>
      <c r="G516" s="141"/>
      <c r="H516" s="141"/>
      <c r="I516" s="141"/>
      <c r="J516" s="141"/>
      <c r="K516" s="141"/>
      <c r="L516" s="141"/>
      <c r="M516" s="141"/>
      <c r="N516" s="141"/>
      <c r="O516" s="141"/>
      <c r="P516" s="141"/>
      <c r="Q516" s="141"/>
      <c r="R516" s="141"/>
      <c r="S516" s="141"/>
      <c r="T516" s="141"/>
      <c r="U516" s="141"/>
      <c r="V516" s="141"/>
      <c r="W516" s="141"/>
      <c r="X516" s="141"/>
      <c r="Y516" s="141"/>
      <c r="Z516" s="141"/>
    </row>
    <row r="517">
      <c r="A517" s="141"/>
      <c r="B517" s="141" t="str">
        <f>IFERROR(__xludf.DUMMYFUNCTION("""COMPUTED_VALUE"""),"cubic meter per minute (m^3/min)                ")</f>
        <v>cubic meter per minute (m^3/min)                </v>
      </c>
      <c r="C517" s="141" t="str">
        <f>IFERROR(__xludf.DUMMYFUNCTION("""COMPUTED_VALUE"""),"")</f>
        <v/>
      </c>
      <c r="D517" s="141" t="str">
        <f>IFERROR(__xludf.DUMMYFUNCTION("""COMPUTED_VALUE"""),"A volumetric flow rate unit which is the measure of the volume of one cubic meter of matter crosses a given surface during the period of time equal to one minute.")</f>
        <v>A volumetric flow rate unit which is the measure of the volume of one cubic meter of matter crosses a given surface during the period of time equal to one minute.</v>
      </c>
      <c r="E517" s="141"/>
      <c r="F517" s="141"/>
      <c r="G517" s="141"/>
      <c r="H517" s="141"/>
      <c r="I517" s="141"/>
      <c r="J517" s="141"/>
      <c r="K517" s="141"/>
      <c r="L517" s="141"/>
      <c r="M517" s="141"/>
      <c r="N517" s="141"/>
      <c r="O517" s="141"/>
      <c r="P517" s="141"/>
      <c r="Q517" s="141"/>
      <c r="R517" s="141"/>
      <c r="S517" s="141"/>
      <c r="T517" s="141"/>
      <c r="U517" s="141"/>
      <c r="V517" s="141"/>
      <c r="W517" s="141"/>
      <c r="X517" s="141"/>
      <c r="Y517" s="141"/>
      <c r="Z517" s="141"/>
    </row>
    <row r="518">
      <c r="A518" s="141"/>
      <c r="B518" s="141" t="str">
        <f>IFERROR(__xludf.DUMMYFUNCTION("""COMPUTED_VALUE"""),"cubic meter per hour (m^3/h)                ")</f>
        <v>cubic meter per hour (m^3/h)                </v>
      </c>
      <c r="C518" s="141" t="str">
        <f>IFERROR(__xludf.DUMMYFUNCTION("""COMPUTED_VALUE"""),"")</f>
        <v/>
      </c>
      <c r="D518" s="141" t="str">
        <f>IFERROR(__xludf.DUMMYFUNCTION("""COMPUTED_VALUE"""),"A volumetric flow rate unit which is the measure of the volume of one cubic meter of matter crosses a given surface during the period of time equal to one hour.")</f>
        <v>A volumetric flow rate unit which is the measure of the volume of one cubic meter of matter crosses a given surface during the period of time equal to one hour.</v>
      </c>
      <c r="E518" s="141"/>
      <c r="F518" s="141"/>
      <c r="G518" s="141"/>
      <c r="H518" s="141"/>
      <c r="I518" s="141"/>
      <c r="J518" s="141"/>
      <c r="K518" s="141"/>
      <c r="L518" s="141"/>
      <c r="M518" s="141"/>
      <c r="N518" s="141"/>
      <c r="O518" s="141"/>
      <c r="P518" s="141"/>
      <c r="Q518" s="141"/>
      <c r="R518" s="141"/>
      <c r="S518" s="141"/>
      <c r="T518" s="141"/>
      <c r="U518" s="141"/>
      <c r="V518" s="141"/>
      <c r="W518" s="141"/>
      <c r="X518" s="141"/>
      <c r="Y518" s="141"/>
      <c r="Z518" s="141"/>
    </row>
    <row r="519">
      <c r="A519" s="141"/>
      <c r="B519" s="141" t="str">
        <f>IFERROR(__xludf.DUMMYFUNCTION("""COMPUTED_VALUE"""),"liter per second (L/s)                ")</f>
        <v>liter per second (L/s)                </v>
      </c>
      <c r="C519" s="141" t="str">
        <f>IFERROR(__xludf.DUMMYFUNCTION("""COMPUTED_VALUE"""),"")</f>
        <v/>
      </c>
      <c r="D519" s="141" t="str">
        <f>IFERROR(__xludf.DUMMYFUNCTION("""COMPUTED_VALUE"""),"A volumetric flow rate unit which is the measure of the volume of one liter of matter crosses a given surface during the period of time equal to one second.")</f>
        <v>A volumetric flow rate unit which is the measure of the volume of one liter of matter crosses a given surface during the period of time equal to one second.</v>
      </c>
      <c r="E519" s="141"/>
      <c r="F519" s="141"/>
      <c r="G519" s="141"/>
      <c r="H519" s="141"/>
      <c r="I519" s="141"/>
      <c r="J519" s="141"/>
      <c r="K519" s="141"/>
      <c r="L519" s="141"/>
      <c r="M519" s="141"/>
      <c r="N519" s="141"/>
      <c r="O519" s="141"/>
      <c r="P519" s="141"/>
      <c r="Q519" s="141"/>
      <c r="R519" s="141"/>
      <c r="S519" s="141"/>
      <c r="T519" s="141"/>
      <c r="U519" s="141"/>
      <c r="V519" s="141"/>
      <c r="W519" s="141"/>
      <c r="X519" s="141"/>
      <c r="Y519" s="141"/>
      <c r="Z519" s="141"/>
    </row>
    <row r="520">
      <c r="A520" s="141"/>
      <c r="B520" s="141" t="str">
        <f>IFERROR(__xludf.DUMMYFUNCTION("""COMPUTED_VALUE"""),"liter per minute (L/min)                ")</f>
        <v>liter per minute (L/min)                </v>
      </c>
      <c r="C520" s="141" t="str">
        <f>IFERROR(__xludf.DUMMYFUNCTION("""COMPUTED_VALUE"""),"")</f>
        <v/>
      </c>
      <c r="D520" s="141" t="str">
        <f>IFERROR(__xludf.DUMMYFUNCTION("""COMPUTED_VALUE"""),"A volumetric flow rate unit which is the measure of the volume of one liter of matter crosses a given surface during the period of time equal to one minute.")</f>
        <v>A volumetric flow rate unit which is the measure of the volume of one liter of matter crosses a given surface during the period of time equal to one minute.</v>
      </c>
      <c r="E520" s="141"/>
      <c r="F520" s="141"/>
      <c r="G520" s="141"/>
      <c r="H520" s="141"/>
      <c r="I520" s="141"/>
      <c r="J520" s="141"/>
      <c r="K520" s="141"/>
      <c r="L520" s="141"/>
      <c r="M520" s="141"/>
      <c r="N520" s="141"/>
      <c r="O520" s="141"/>
      <c r="P520" s="141"/>
      <c r="Q520" s="141"/>
      <c r="R520" s="141"/>
      <c r="S520" s="141"/>
      <c r="T520" s="141"/>
      <c r="U520" s="141"/>
      <c r="V520" s="141"/>
      <c r="W520" s="141"/>
      <c r="X520" s="141"/>
      <c r="Y520" s="141"/>
      <c r="Z520" s="141"/>
    </row>
    <row r="521">
      <c r="A521" s="141"/>
      <c r="B521" s="141" t="str">
        <f>IFERROR(__xludf.DUMMYFUNCTION("""COMPUTED_VALUE"""),"liter per hour (L/h)                ")</f>
        <v>liter per hour (L/h)                </v>
      </c>
      <c r="C521" s="141" t="str">
        <f>IFERROR(__xludf.DUMMYFUNCTION("""COMPUTED_VALUE"""),"")</f>
        <v/>
      </c>
      <c r="D521" s="141" t="str">
        <f>IFERROR(__xludf.DUMMYFUNCTION("""COMPUTED_VALUE"""),"A volumetric flow rate unit which is the measure of the volume of one liter of matter crosses a given surface during the period of time equal to one hour.")</f>
        <v>A volumetric flow rate unit which is the measure of the volume of one liter of matter crosses a given surface during the period of time equal to one hour.</v>
      </c>
      <c r="E521" s="141"/>
      <c r="F521" s="141"/>
      <c r="G521" s="141"/>
      <c r="H521" s="141"/>
      <c r="I521" s="141"/>
      <c r="J521" s="141"/>
      <c r="K521" s="141"/>
      <c r="L521" s="141"/>
      <c r="M521" s="141"/>
      <c r="N521" s="141"/>
      <c r="O521" s="141"/>
      <c r="P521" s="141"/>
      <c r="Q521" s="141"/>
      <c r="R521" s="141"/>
      <c r="S521" s="141"/>
      <c r="T521" s="141"/>
      <c r="U521" s="141"/>
      <c r="V521" s="141"/>
      <c r="W521" s="141"/>
      <c r="X521" s="141"/>
      <c r="Y521" s="141"/>
      <c r="Z521" s="141"/>
    </row>
    <row r="522">
      <c r="A522" s="141"/>
      <c r="B522" s="141" t="str">
        <f>IFERROR(__xludf.DUMMYFUNCTION("""COMPUTED_VALUE"""),"liter per day (L/day)                ")</f>
        <v>liter per day (L/day)                </v>
      </c>
      <c r="C522" s="141" t="str">
        <f>IFERROR(__xludf.DUMMYFUNCTION("""COMPUTED_VALUE"""),"")</f>
        <v/>
      </c>
      <c r="D522" s="141" t="str">
        <f>IFERROR(__xludf.DUMMYFUNCTION("""COMPUTED_VALUE"""),"A volumetric flow rate unit which is the measure of the volume of one liter of matter crosses a given surface during the period of time equal to one day.")</f>
        <v>A volumetric flow rate unit which is the measure of the volume of one liter of matter crosses a given surface during the period of time equal to one day.</v>
      </c>
      <c r="E522" s="141"/>
      <c r="F522" s="141"/>
      <c r="G522" s="141"/>
      <c r="H522" s="141"/>
      <c r="I522" s="141"/>
      <c r="J522" s="141"/>
      <c r="K522" s="141"/>
      <c r="L522" s="141"/>
      <c r="M522" s="141"/>
      <c r="N522" s="141"/>
      <c r="O522" s="141"/>
      <c r="P522" s="141"/>
      <c r="Q522" s="141"/>
      <c r="R522" s="141"/>
      <c r="S522" s="141"/>
      <c r="T522" s="141"/>
      <c r="U522" s="141"/>
      <c r="V522" s="141"/>
      <c r="W522" s="141"/>
      <c r="X522" s="141"/>
      <c r="Y522" s="141"/>
      <c r="Z522" s="141"/>
    </row>
    <row r="523">
      <c r="A523" s="141"/>
      <c r="B523" s="141" t="str">
        <f>IFERROR(__xludf.DUMMYFUNCTION("""COMPUTED_VALUE"""),"million gallons per day (MGD)                ")</f>
        <v>million gallons per day (MGD)                </v>
      </c>
      <c r="C523" s="141" t="str">
        <f>IFERROR(__xludf.DUMMYFUNCTION("""COMPUTED_VALUE"""),"")</f>
        <v/>
      </c>
      <c r="D523" s="141" t="str">
        <f>IFERROR(__xludf.DUMMYFUNCTION("""COMPUTED_VALUE"""),"A volumetric flow rate unit which is the measure of the volume of one million gallons of matter crosses a given surface during the period of time equal to one day.")</f>
        <v>A volumetric flow rate unit which is the measure of the volume of one million gallons of matter crosses a given surface during the period of time equal to one day.</v>
      </c>
      <c r="E523" s="141"/>
      <c r="F523" s="141"/>
      <c r="G523" s="141"/>
      <c r="H523" s="141"/>
      <c r="I523" s="141"/>
      <c r="J523" s="141"/>
      <c r="K523" s="141"/>
      <c r="L523" s="141"/>
      <c r="M523" s="141"/>
      <c r="N523" s="141"/>
      <c r="O523" s="141"/>
      <c r="P523" s="141"/>
      <c r="Q523" s="141"/>
      <c r="R523" s="141"/>
      <c r="S523" s="141"/>
      <c r="T523" s="141"/>
      <c r="U523" s="141"/>
      <c r="V523" s="141"/>
      <c r="W523" s="141"/>
      <c r="X523" s="141"/>
      <c r="Y523" s="141"/>
      <c r="Z523" s="141"/>
    </row>
    <row r="524">
      <c r="A524" s="141" t="str">
        <f>IFERROR(__xludf.DUMMYFUNCTION("""COMPUTED_VALUE"""),"instantaneous flow rate measurement unit menu")</f>
        <v>instantaneous flow rate measurement unit menu</v>
      </c>
      <c r="B524" s="141" t="str">
        <f>IFERROR(__xludf.DUMMYFUNCTION("""COMPUTED_VALUE"""),"                ")</f>
        <v>                </v>
      </c>
      <c r="C524" s="141" t="str">
        <f>IFERROR(__xludf.DUMMYFUNCTION("""COMPUTED_VALUE"""),"")</f>
        <v/>
      </c>
      <c r="D524" s="141"/>
      <c r="E524" s="141"/>
      <c r="F524" s="141"/>
      <c r="G524" s="141"/>
      <c r="H524" s="141"/>
      <c r="I524" s="141"/>
      <c r="J524" s="141"/>
      <c r="K524" s="141"/>
      <c r="L524" s="141"/>
      <c r="M524" s="141"/>
      <c r="N524" s="141"/>
      <c r="O524" s="141"/>
      <c r="P524" s="141"/>
      <c r="Q524" s="141"/>
      <c r="R524" s="141"/>
      <c r="S524" s="141"/>
      <c r="T524" s="141"/>
      <c r="U524" s="141"/>
      <c r="V524" s="141"/>
      <c r="W524" s="141"/>
      <c r="X524" s="141"/>
      <c r="Y524" s="141"/>
      <c r="Z524" s="141"/>
    </row>
    <row r="525">
      <c r="A525" s="141"/>
      <c r="B525" s="141" t="str">
        <f>IFERROR(__xludf.DUMMYFUNCTION("""COMPUTED_VALUE"""),"cubic meter per second (m^3/s)                ")</f>
        <v>cubic meter per second (m^3/s)                </v>
      </c>
      <c r="C525" s="141" t="str">
        <f>IFERROR(__xludf.DUMMYFUNCTION("""COMPUTED_VALUE"""),"")</f>
        <v/>
      </c>
      <c r="D525" s="141" t="str">
        <f>IFERROR(__xludf.DUMMYFUNCTION("""COMPUTED_VALUE"""),"A volumetric flow rate unit which is the measure of the volume of one cubic meter of matter crosses a given surface during the period of time equal to one second.")</f>
        <v>A volumetric flow rate unit which is the measure of the volume of one cubic meter of matter crosses a given surface during the period of time equal to one second.</v>
      </c>
      <c r="E525" s="141"/>
      <c r="F525" s="141"/>
      <c r="G525" s="141"/>
      <c r="H525" s="141"/>
      <c r="I525" s="141"/>
      <c r="J525" s="141"/>
      <c r="K525" s="141"/>
      <c r="L525" s="141"/>
      <c r="M525" s="141"/>
      <c r="N525" s="141"/>
      <c r="O525" s="141"/>
      <c r="P525" s="141"/>
      <c r="Q525" s="141"/>
      <c r="R525" s="141"/>
      <c r="S525" s="141"/>
      <c r="T525" s="141"/>
      <c r="U525" s="141"/>
      <c r="V525" s="141"/>
      <c r="W525" s="141"/>
      <c r="X525" s="141"/>
      <c r="Y525" s="141"/>
      <c r="Z525" s="141"/>
    </row>
    <row r="526">
      <c r="A526" s="141"/>
      <c r="B526" s="141" t="str">
        <f>IFERROR(__xludf.DUMMYFUNCTION("""COMPUTED_VALUE"""),"cubic meter per minute (m^3/min)                ")</f>
        <v>cubic meter per minute (m^3/min)                </v>
      </c>
      <c r="C526" s="141" t="str">
        <f>IFERROR(__xludf.DUMMYFUNCTION("""COMPUTED_VALUE"""),"")</f>
        <v/>
      </c>
      <c r="D526" s="141" t="str">
        <f>IFERROR(__xludf.DUMMYFUNCTION("""COMPUTED_VALUE"""),"A volumetric flow rate unit which is the measure of the volume of one cubic meter of matter crosses a given surface during the period of time equal to one minute.")</f>
        <v>A volumetric flow rate unit which is the measure of the volume of one cubic meter of matter crosses a given surface during the period of time equal to one minute.</v>
      </c>
      <c r="E526" s="141"/>
      <c r="F526" s="141"/>
      <c r="G526" s="141"/>
      <c r="H526" s="141"/>
      <c r="I526" s="141"/>
      <c r="J526" s="141"/>
      <c r="K526" s="141"/>
      <c r="L526" s="141"/>
      <c r="M526" s="141"/>
      <c r="N526" s="141"/>
      <c r="O526" s="141"/>
      <c r="P526" s="141"/>
      <c r="Q526" s="141"/>
      <c r="R526" s="141"/>
      <c r="S526" s="141"/>
      <c r="T526" s="141"/>
      <c r="U526" s="141"/>
      <c r="V526" s="141"/>
      <c r="W526" s="141"/>
      <c r="X526" s="141"/>
      <c r="Y526" s="141"/>
      <c r="Z526" s="141"/>
    </row>
    <row r="527">
      <c r="A527" s="141"/>
      <c r="B527" s="141" t="str">
        <f>IFERROR(__xludf.DUMMYFUNCTION("""COMPUTED_VALUE"""),"cubic meter per hour (m^3/h)                ")</f>
        <v>cubic meter per hour (m^3/h)                </v>
      </c>
      <c r="C527" s="141" t="str">
        <f>IFERROR(__xludf.DUMMYFUNCTION("""COMPUTED_VALUE"""),"")</f>
        <v/>
      </c>
      <c r="D527" s="141" t="str">
        <f>IFERROR(__xludf.DUMMYFUNCTION("""COMPUTED_VALUE"""),"A volumetric flow rate unit which is the measure of the volume of one cubic meter of matter crosses a given surface during the period of time equal to one hour.")</f>
        <v>A volumetric flow rate unit which is the measure of the volume of one cubic meter of matter crosses a given surface during the period of time equal to one hour.</v>
      </c>
      <c r="E527" s="141"/>
      <c r="F527" s="141"/>
      <c r="G527" s="141"/>
      <c r="H527" s="141"/>
      <c r="I527" s="141"/>
      <c r="J527" s="141"/>
      <c r="K527" s="141"/>
      <c r="L527" s="141"/>
      <c r="M527" s="141"/>
      <c r="N527" s="141"/>
      <c r="O527" s="141"/>
      <c r="P527" s="141"/>
      <c r="Q527" s="141"/>
      <c r="R527" s="141"/>
      <c r="S527" s="141"/>
      <c r="T527" s="141"/>
      <c r="U527" s="141"/>
      <c r="V527" s="141"/>
      <c r="W527" s="141"/>
      <c r="X527" s="141"/>
      <c r="Y527" s="141"/>
      <c r="Z527" s="141"/>
    </row>
    <row r="528">
      <c r="A528" s="141"/>
      <c r="B528" s="141" t="str">
        <f>IFERROR(__xludf.DUMMYFUNCTION("""COMPUTED_VALUE"""),"liter per second (L/s)                ")</f>
        <v>liter per second (L/s)                </v>
      </c>
      <c r="C528" s="141" t="str">
        <f>IFERROR(__xludf.DUMMYFUNCTION("""COMPUTED_VALUE"""),"")</f>
        <v/>
      </c>
      <c r="D528" s="141" t="str">
        <f>IFERROR(__xludf.DUMMYFUNCTION("""COMPUTED_VALUE"""),"A volumetric flow rate unit which is the measure of the volume of one liter of matter crosses a given surface during the period of time equal to one second.")</f>
        <v>A volumetric flow rate unit which is the measure of the volume of one liter of matter crosses a given surface during the period of time equal to one second.</v>
      </c>
      <c r="E528" s="141"/>
      <c r="F528" s="141"/>
      <c r="G528" s="141"/>
      <c r="H528" s="141"/>
      <c r="I528" s="141"/>
      <c r="J528" s="141"/>
      <c r="K528" s="141"/>
      <c r="L528" s="141"/>
      <c r="M528" s="141"/>
      <c r="N528" s="141"/>
      <c r="O528" s="141"/>
      <c r="P528" s="141"/>
      <c r="Q528" s="141"/>
      <c r="R528" s="141"/>
      <c r="S528" s="141"/>
      <c r="T528" s="141"/>
      <c r="U528" s="141"/>
      <c r="V528" s="141"/>
      <c r="W528" s="141"/>
      <c r="X528" s="141"/>
      <c r="Y528" s="141"/>
      <c r="Z528" s="141"/>
    </row>
    <row r="529">
      <c r="A529" s="141"/>
      <c r="B529" s="141" t="str">
        <f>IFERROR(__xludf.DUMMYFUNCTION("""COMPUTED_VALUE"""),"liter per minute (L/min)                ")</f>
        <v>liter per minute (L/min)                </v>
      </c>
      <c r="C529" s="141" t="str">
        <f>IFERROR(__xludf.DUMMYFUNCTION("""COMPUTED_VALUE"""),"")</f>
        <v/>
      </c>
      <c r="D529" s="141" t="str">
        <f>IFERROR(__xludf.DUMMYFUNCTION("""COMPUTED_VALUE"""),"A volumetric flow rate unit which is the measure of the volume of one liter of matter crosses a given surface during the period of time equal to one minute.")</f>
        <v>A volumetric flow rate unit which is the measure of the volume of one liter of matter crosses a given surface during the period of time equal to one minute.</v>
      </c>
      <c r="E529" s="141"/>
      <c r="F529" s="141"/>
      <c r="G529" s="141"/>
      <c r="H529" s="141"/>
      <c r="I529" s="141"/>
      <c r="J529" s="141"/>
      <c r="K529" s="141"/>
      <c r="L529" s="141"/>
      <c r="M529" s="141"/>
      <c r="N529" s="141"/>
      <c r="O529" s="141"/>
      <c r="P529" s="141"/>
      <c r="Q529" s="141"/>
      <c r="R529" s="141"/>
      <c r="S529" s="141"/>
      <c r="T529" s="141"/>
      <c r="U529" s="141"/>
      <c r="V529" s="141"/>
      <c r="W529" s="141"/>
      <c r="X529" s="141"/>
      <c r="Y529" s="141"/>
      <c r="Z529" s="141"/>
    </row>
    <row r="530">
      <c r="A530" s="141"/>
      <c r="B530" s="141" t="str">
        <f>IFERROR(__xludf.DUMMYFUNCTION("""COMPUTED_VALUE"""),"liter per hour (L/h)                ")</f>
        <v>liter per hour (L/h)                </v>
      </c>
      <c r="C530" s="141" t="str">
        <f>IFERROR(__xludf.DUMMYFUNCTION("""COMPUTED_VALUE"""),"")</f>
        <v/>
      </c>
      <c r="D530" s="141" t="str">
        <f>IFERROR(__xludf.DUMMYFUNCTION("""COMPUTED_VALUE"""),"A volumetric flow rate unit which is the measure of the volume of one liter of matter crosses a given surface during the period of time equal to one hour.")</f>
        <v>A volumetric flow rate unit which is the measure of the volume of one liter of matter crosses a given surface during the period of time equal to one hour.</v>
      </c>
      <c r="E530" s="141"/>
      <c r="F530" s="141"/>
      <c r="G530" s="141"/>
      <c r="H530" s="141"/>
      <c r="I530" s="141"/>
      <c r="J530" s="141"/>
      <c r="K530" s="141"/>
      <c r="L530" s="141"/>
      <c r="M530" s="141"/>
      <c r="N530" s="141"/>
      <c r="O530" s="141"/>
      <c r="P530" s="141"/>
      <c r="Q530" s="141"/>
      <c r="R530" s="141"/>
      <c r="S530" s="141"/>
      <c r="T530" s="141"/>
      <c r="U530" s="141"/>
      <c r="V530" s="141"/>
      <c r="W530" s="141"/>
      <c r="X530" s="141"/>
      <c r="Y530" s="141"/>
      <c r="Z530" s="141"/>
    </row>
    <row r="531">
      <c r="A531" s="141"/>
      <c r="B531" s="141" t="str">
        <f>IFERROR(__xludf.DUMMYFUNCTION("""COMPUTED_VALUE"""),"liter per day (L/day)                ")</f>
        <v>liter per day (L/day)                </v>
      </c>
      <c r="C531" s="141" t="str">
        <f>IFERROR(__xludf.DUMMYFUNCTION("""COMPUTED_VALUE"""),"")</f>
        <v/>
      </c>
      <c r="D531" s="141" t="str">
        <f>IFERROR(__xludf.DUMMYFUNCTION("""COMPUTED_VALUE"""),"A volumetric flow rate unit which is the measure of the volume of one liter of matter crosses a given surface during the period of time equal to one day.")</f>
        <v>A volumetric flow rate unit which is the measure of the volume of one liter of matter crosses a given surface during the period of time equal to one day.</v>
      </c>
      <c r="E531" s="141"/>
      <c r="F531" s="141"/>
      <c r="G531" s="141"/>
      <c r="H531" s="141"/>
      <c r="I531" s="141"/>
      <c r="J531" s="141"/>
      <c r="K531" s="141"/>
      <c r="L531" s="141"/>
      <c r="M531" s="141"/>
      <c r="N531" s="141"/>
      <c r="O531" s="141"/>
      <c r="P531" s="141"/>
      <c r="Q531" s="141"/>
      <c r="R531" s="141"/>
      <c r="S531" s="141"/>
      <c r="T531" s="141"/>
      <c r="U531" s="141"/>
      <c r="V531" s="141"/>
      <c r="W531" s="141"/>
      <c r="X531" s="141"/>
      <c r="Y531" s="141"/>
      <c r="Z531" s="141"/>
    </row>
    <row r="532">
      <c r="A532" s="141"/>
      <c r="B532" s="141" t="str">
        <f>IFERROR(__xludf.DUMMYFUNCTION("""COMPUTED_VALUE"""),"million gallons per day (MGD)                ")</f>
        <v>million gallons per day (MGD)                </v>
      </c>
      <c r="C532" s="141" t="str">
        <f>IFERROR(__xludf.DUMMYFUNCTION("""COMPUTED_VALUE"""),"")</f>
        <v/>
      </c>
      <c r="D532" s="141" t="str">
        <f>IFERROR(__xludf.DUMMYFUNCTION("""COMPUTED_VALUE"""),"A volumetric flow rate unit which is the measure of the volume of one million gallons of matter crosses a given surface during the period of time equal to one day.")</f>
        <v>A volumetric flow rate unit which is the measure of the volume of one million gallons of matter crosses a given surface during the period of time equal to one day.</v>
      </c>
      <c r="E532" s="141"/>
      <c r="F532" s="141"/>
      <c r="G532" s="141"/>
      <c r="H532" s="141"/>
      <c r="I532" s="141"/>
      <c r="J532" s="141"/>
      <c r="K532" s="141"/>
      <c r="L532" s="141"/>
      <c r="M532" s="141"/>
      <c r="N532" s="141"/>
      <c r="O532" s="141"/>
      <c r="P532" s="141"/>
      <c r="Q532" s="141"/>
      <c r="R532" s="141"/>
      <c r="S532" s="141"/>
      <c r="T532" s="141"/>
      <c r="U532" s="141"/>
      <c r="V532" s="141"/>
      <c r="W532" s="141"/>
      <c r="X532" s="141"/>
      <c r="Y532" s="141"/>
      <c r="Z532" s="141"/>
    </row>
    <row r="533">
      <c r="A533" s="141" t="str">
        <f>IFERROR(__xludf.DUMMYFUNCTION("""COMPUTED_VALUE"""),"turbidity measurement unit menu")</f>
        <v>turbidity measurement unit menu</v>
      </c>
      <c r="B533" s="141" t="str">
        <f>IFERROR(__xludf.DUMMYFUNCTION("""COMPUTED_VALUE"""),"                ")</f>
        <v>                </v>
      </c>
      <c r="C533" s="141" t="str">
        <f>IFERROR(__xludf.DUMMYFUNCTION("""COMPUTED_VALUE"""),"")</f>
        <v/>
      </c>
      <c r="D533" s="141"/>
      <c r="E533" s="141"/>
      <c r="F533" s="141"/>
      <c r="G533" s="141"/>
      <c r="H533" s="141"/>
      <c r="I533" s="141"/>
      <c r="J533" s="141"/>
      <c r="K533" s="141"/>
      <c r="L533" s="141"/>
      <c r="M533" s="141"/>
      <c r="N533" s="141"/>
      <c r="O533" s="141"/>
      <c r="P533" s="141"/>
      <c r="Q533" s="141"/>
      <c r="R533" s="141"/>
      <c r="S533" s="141"/>
      <c r="T533" s="141"/>
      <c r="U533" s="141"/>
      <c r="V533" s="141"/>
      <c r="W533" s="141"/>
      <c r="X533" s="141"/>
      <c r="Y533" s="141"/>
      <c r="Z533" s="141"/>
    </row>
    <row r="534">
      <c r="A534" s="141"/>
      <c r="B534" s="141" t="str">
        <f>IFERROR(__xludf.DUMMYFUNCTION("""COMPUTED_VALUE"""),"nephelometric turbidity unit (NTU)                ")</f>
        <v>nephelometric turbidity unit (NTU)                </v>
      </c>
      <c r="C534" s="141" t="str">
        <f>IFERROR(__xludf.DUMMYFUNCTION("""COMPUTED_VALUE"""),"")</f>
        <v/>
      </c>
      <c r="D534" s="141" t="str">
        <f>IFERROR(__xludf.DUMMYFUNCTION("""COMPUTED_VALUE"""),"A measure of turbidity calculated by using a nephelometer to compare how white light is scattered in a water sample.")</f>
        <v>A measure of turbidity calculated by using a nephelometer to compare how white light is scattered in a water sample.</v>
      </c>
      <c r="E534" s="141"/>
      <c r="F534" s="141"/>
      <c r="G534" s="141"/>
      <c r="H534" s="141"/>
      <c r="I534" s="141"/>
      <c r="J534" s="141"/>
      <c r="K534" s="141"/>
      <c r="L534" s="141"/>
      <c r="M534" s="141"/>
      <c r="N534" s="141"/>
      <c r="O534" s="141"/>
      <c r="P534" s="141"/>
      <c r="Q534" s="141"/>
      <c r="R534" s="141"/>
      <c r="S534" s="141"/>
      <c r="T534" s="141"/>
      <c r="U534" s="141"/>
      <c r="V534" s="141"/>
      <c r="W534" s="141"/>
      <c r="X534" s="141"/>
      <c r="Y534" s="141"/>
      <c r="Z534" s="141"/>
    </row>
    <row r="535">
      <c r="A535" s="141"/>
      <c r="B535" s="141" t="str">
        <f>IFERROR(__xludf.DUMMYFUNCTION("""COMPUTED_VALUE"""),"formazin nephelometric unit (FNU) [UO:0000318]                ")</f>
        <v>formazin nephelometric unit (FNU) [UO:0000318]                </v>
      </c>
      <c r="C535" s="141" t="str">
        <f>IFERROR(__xludf.DUMMYFUNCTION("""COMPUTED_VALUE"""),"UO:0000318")</f>
        <v>UO:0000318</v>
      </c>
      <c r="D535" s="141" t="str">
        <f>IFERROR(__xludf.DUMMYFUNCTION("""COMPUTED_VALUE"""),"A measure of turbidity calculated by comparing how infrared light is scattered in a water sample against the amount of infrared light scattered in a reference solution containing formazin.")</f>
        <v>A measure of turbidity calculated by comparing how infrared light is scattered in a water sample against the amount of infrared light scattered in a reference solution containing formazin.</v>
      </c>
      <c r="E535" s="141"/>
      <c r="F535" s="141"/>
      <c r="G535" s="141"/>
      <c r="H535" s="141"/>
      <c r="I535" s="141"/>
      <c r="J535" s="141"/>
      <c r="K535" s="141"/>
      <c r="L535" s="141"/>
      <c r="M535" s="141"/>
      <c r="N535" s="141"/>
      <c r="O535" s="141"/>
      <c r="P535" s="141"/>
      <c r="Q535" s="141"/>
      <c r="R535" s="141"/>
      <c r="S535" s="141"/>
      <c r="T535" s="141"/>
      <c r="U535" s="141"/>
      <c r="V535" s="141"/>
      <c r="W535" s="141"/>
      <c r="X535" s="141"/>
      <c r="Y535" s="141"/>
      <c r="Z535" s="141"/>
    </row>
    <row r="536">
      <c r="A536" s="141" t="str">
        <f>IFERROR(__xludf.DUMMYFUNCTION("""COMPUTED_VALUE"""),"dissolved oxygen measurement unit menu")</f>
        <v>dissolved oxygen measurement unit menu</v>
      </c>
      <c r="B536" s="141" t="str">
        <f>IFERROR(__xludf.DUMMYFUNCTION("""COMPUTED_VALUE"""),"                ")</f>
        <v>                </v>
      </c>
      <c r="C536" s="141" t="str">
        <f>IFERROR(__xludf.DUMMYFUNCTION("""COMPUTED_VALUE"""),"")</f>
        <v/>
      </c>
      <c r="D536" s="141"/>
      <c r="E536" s="141"/>
      <c r="F536" s="141"/>
      <c r="G536" s="141"/>
      <c r="H536" s="141"/>
      <c r="I536" s="141"/>
      <c r="J536" s="141"/>
      <c r="K536" s="141"/>
      <c r="L536" s="141"/>
      <c r="M536" s="141"/>
      <c r="N536" s="141"/>
      <c r="O536" s="141"/>
      <c r="P536" s="141"/>
      <c r="Q536" s="141"/>
      <c r="R536" s="141"/>
      <c r="S536" s="141"/>
      <c r="T536" s="141"/>
      <c r="U536" s="141"/>
      <c r="V536" s="141"/>
      <c r="W536" s="141"/>
      <c r="X536" s="141"/>
      <c r="Y536" s="141"/>
      <c r="Z536" s="141"/>
    </row>
    <row r="537">
      <c r="A537" s="141"/>
      <c r="B537" s="141" t="str">
        <f>IFERROR(__xludf.DUMMYFUNCTION("""COMPUTED_VALUE"""),"milligram per liter (mg/L) [UO:0000273]                ")</f>
        <v>milligram per liter (mg/L) [UO:0000273]                </v>
      </c>
      <c r="C537" s="141" t="str">
        <f>IFERROR(__xludf.DUMMYFUNCTION("""COMPUTED_VALUE"""),"UO:0000273")</f>
        <v>UO:0000273</v>
      </c>
      <c r="D537" s="141" t="str">
        <f>IFERROR(__xludf.DUMMYFUNCTION("""COMPUTED_VALUE"""),"A non-SI unit of density that is equivalent to the SI metric kilogram per cubic meter.")</f>
        <v>A non-SI unit of density that is equivalent to the SI metric kilogram per cubic meter.</v>
      </c>
      <c r="E537" s="141"/>
      <c r="F537" s="141"/>
      <c r="G537" s="141"/>
      <c r="H537" s="141"/>
      <c r="I537" s="141"/>
      <c r="J537" s="141"/>
      <c r="K537" s="141"/>
      <c r="L537" s="141"/>
      <c r="M537" s="141"/>
      <c r="N537" s="141"/>
      <c r="O537" s="141"/>
      <c r="P537" s="141"/>
      <c r="Q537" s="141"/>
      <c r="R537" s="141"/>
      <c r="S537" s="141"/>
      <c r="T537" s="141"/>
      <c r="U537" s="141"/>
      <c r="V537" s="141"/>
      <c r="W537" s="141"/>
      <c r="X537" s="141"/>
      <c r="Y537" s="141"/>
      <c r="Z537" s="141"/>
    </row>
    <row r="538">
      <c r="A538" s="141"/>
      <c r="B538" s="141" t="str">
        <f>IFERROR(__xludf.DUMMYFUNCTION("""COMPUTED_VALUE"""),"kilogram per cubic meter (kg/m^3) [UO:0000083]                ")</f>
        <v>kilogram per cubic meter (kg/m^3) [UO:0000083]                </v>
      </c>
      <c r="C538" s="141" t="str">
        <f>IFERROR(__xludf.DUMMYFUNCTION("""COMPUTED_VALUE"""),"UO:0000083")</f>
        <v>UO:0000083</v>
      </c>
      <c r="D538" s="141" t="str">
        <f>IFERROR(__xludf.DUMMYFUNCTION("""COMPUTED_VALUE"""),"An SI unit of density that is one thousandth of the density of water.")</f>
        <v>An SI unit of density that is one thousandth of the density of water.</v>
      </c>
      <c r="E538" s="141"/>
      <c r="F538" s="141"/>
      <c r="G538" s="141"/>
      <c r="H538" s="141"/>
      <c r="I538" s="141"/>
      <c r="J538" s="141"/>
      <c r="K538" s="141"/>
      <c r="L538" s="141"/>
      <c r="M538" s="141"/>
      <c r="N538" s="141"/>
      <c r="O538" s="141"/>
      <c r="P538" s="141"/>
      <c r="Q538" s="141"/>
      <c r="R538" s="141"/>
      <c r="S538" s="141"/>
      <c r="T538" s="141"/>
      <c r="U538" s="141"/>
      <c r="V538" s="141"/>
      <c r="W538" s="141"/>
      <c r="X538" s="141"/>
      <c r="Y538" s="141"/>
      <c r="Z538" s="141"/>
    </row>
    <row r="539">
      <c r="A539" s="141"/>
      <c r="B539" s="141" t="str">
        <f>IFERROR(__xludf.DUMMYFUNCTION("""COMPUTED_VALUE"""),"part per million (ppm) [UO:0000169]                ")</f>
        <v>part per million (ppm) [UO:0000169]                </v>
      </c>
      <c r="C539" s="141" t="str">
        <f>IFERROR(__xludf.DUMMYFUNCTION("""COMPUTED_VALUE"""),"UO:0000169")</f>
        <v>UO:0000169</v>
      </c>
      <c r="D539" s="141" t="str">
        <f>IFERROR(__xludf.DUMMYFUNCTION("""COMPUTED_VALUE"""),"A unitless measure of density that represents one item out of a million.")</f>
        <v>A unitless measure of density that represents one item out of a million.</v>
      </c>
      <c r="E539" s="141"/>
      <c r="F539" s="141"/>
      <c r="G539" s="141"/>
      <c r="H539" s="141"/>
      <c r="I539" s="141"/>
      <c r="J539" s="141"/>
      <c r="K539" s="141"/>
      <c r="L539" s="141"/>
      <c r="M539" s="141"/>
      <c r="N539" s="141"/>
      <c r="O539" s="141"/>
      <c r="P539" s="141"/>
      <c r="Q539" s="141"/>
      <c r="R539" s="141"/>
      <c r="S539" s="141"/>
      <c r="T539" s="141"/>
      <c r="U539" s="141"/>
      <c r="V539" s="141"/>
      <c r="W539" s="141"/>
      <c r="X539" s="141"/>
      <c r="Y539" s="141"/>
      <c r="Z539" s="141"/>
    </row>
    <row r="540">
      <c r="A540" s="141" t="str">
        <f>IFERROR(__xludf.DUMMYFUNCTION("""COMPUTED_VALUE"""),"oxygen reduction potential (ORP) measurement unit menu")</f>
        <v>oxygen reduction potential (ORP) measurement unit menu</v>
      </c>
      <c r="B540" s="141" t="str">
        <f>IFERROR(__xludf.DUMMYFUNCTION("""COMPUTED_VALUE"""),"                ")</f>
        <v>                </v>
      </c>
      <c r="C540" s="141" t="str">
        <f>IFERROR(__xludf.DUMMYFUNCTION("""COMPUTED_VALUE"""),"")</f>
        <v/>
      </c>
      <c r="D540" s="141"/>
      <c r="E540" s="141"/>
      <c r="F540" s="141"/>
      <c r="G540" s="141"/>
      <c r="H540" s="141"/>
      <c r="I540" s="141"/>
      <c r="J540" s="141"/>
      <c r="K540" s="141"/>
      <c r="L540" s="141"/>
      <c r="M540" s="141"/>
      <c r="N540" s="141"/>
      <c r="O540" s="141"/>
      <c r="P540" s="141"/>
      <c r="Q540" s="141"/>
      <c r="R540" s="141"/>
      <c r="S540" s="141"/>
      <c r="T540" s="141"/>
      <c r="U540" s="141"/>
      <c r="V540" s="141"/>
      <c r="W540" s="141"/>
      <c r="X540" s="141"/>
      <c r="Y540" s="141"/>
      <c r="Z540" s="141"/>
    </row>
    <row r="541">
      <c r="A541" s="141"/>
      <c r="B541" s="141" t="str">
        <f>IFERROR(__xludf.DUMMYFUNCTION("""COMPUTED_VALUE"""),"milliVolt (mV) [UO:0000247]                ")</f>
        <v>milliVolt (mV) [UO:0000247]                </v>
      </c>
      <c r="C541" s="141" t="str">
        <f>IFERROR(__xludf.DUMMYFUNCTION("""COMPUTED_VALUE"""),"UO:0000247")</f>
        <v>UO:0000247</v>
      </c>
      <c r="D541" s="141" t="str">
        <f>IFERROR(__xludf.DUMMYFUNCTION("""COMPUTED_VALUE"""),"A non-SI unit of electromotive force that is one thousandth of a volt.")</f>
        <v>A non-SI unit of electromotive force that is one thousandth of a volt.</v>
      </c>
      <c r="E541" s="141"/>
      <c r="F541" s="141"/>
      <c r="G541" s="141"/>
      <c r="H541" s="141"/>
      <c r="I541" s="141"/>
      <c r="J541" s="141"/>
      <c r="K541" s="141"/>
      <c r="L541" s="141"/>
      <c r="M541" s="141"/>
      <c r="N541" s="141"/>
      <c r="O541" s="141"/>
      <c r="P541" s="141"/>
      <c r="Q541" s="141"/>
      <c r="R541" s="141"/>
      <c r="S541" s="141"/>
      <c r="T541" s="141"/>
      <c r="U541" s="141"/>
      <c r="V541" s="141"/>
      <c r="W541" s="141"/>
      <c r="X541" s="141"/>
      <c r="Y541" s="141"/>
      <c r="Z541" s="141"/>
    </row>
    <row r="542">
      <c r="A542" s="141" t="str">
        <f>IFERROR(__xludf.DUMMYFUNCTION("""COMPUTED_VALUE"""),"chemical oxygen demand (COD) measurement unit menu")</f>
        <v>chemical oxygen demand (COD) measurement unit menu</v>
      </c>
      <c r="B542" s="141" t="str">
        <f>IFERROR(__xludf.DUMMYFUNCTION("""COMPUTED_VALUE"""),"                ")</f>
        <v>                </v>
      </c>
      <c r="C542" s="141" t="str">
        <f>IFERROR(__xludf.DUMMYFUNCTION("""COMPUTED_VALUE"""),"")</f>
        <v/>
      </c>
      <c r="D542" s="141"/>
      <c r="E542" s="141"/>
      <c r="F542" s="141"/>
      <c r="G542" s="141"/>
      <c r="H542" s="141"/>
      <c r="I542" s="141"/>
      <c r="J542" s="141"/>
      <c r="K542" s="141"/>
      <c r="L542" s="141"/>
      <c r="M542" s="141"/>
      <c r="N542" s="141"/>
      <c r="O542" s="141"/>
      <c r="P542" s="141"/>
      <c r="Q542" s="141"/>
      <c r="R542" s="141"/>
      <c r="S542" s="141"/>
      <c r="T542" s="141"/>
      <c r="U542" s="141"/>
      <c r="V542" s="141"/>
      <c r="W542" s="141"/>
      <c r="X542" s="141"/>
      <c r="Y542" s="141"/>
      <c r="Z542" s="141"/>
    </row>
    <row r="543">
      <c r="A543" s="141"/>
      <c r="B543" s="141" t="str">
        <f>IFERROR(__xludf.DUMMYFUNCTION("""COMPUTED_VALUE"""),"milligram per liter (mg/L) [UO:0000273]                ")</f>
        <v>milligram per liter (mg/L) [UO:0000273]                </v>
      </c>
      <c r="C543" s="141" t="str">
        <f>IFERROR(__xludf.DUMMYFUNCTION("""COMPUTED_VALUE"""),"UO:0000273")</f>
        <v>UO:0000273</v>
      </c>
      <c r="D543" s="141" t="str">
        <f>IFERROR(__xludf.DUMMYFUNCTION("""COMPUTED_VALUE"""),"A non-SI unit of density that is equivalent to the SI metric kilogram per cubic meter.")</f>
        <v>A non-SI unit of density that is equivalent to the SI metric kilogram per cubic meter.</v>
      </c>
      <c r="E543" s="141"/>
      <c r="F543" s="141"/>
      <c r="G543" s="141"/>
      <c r="H543" s="141"/>
      <c r="I543" s="141"/>
      <c r="J543" s="141"/>
      <c r="K543" s="141"/>
      <c r="L543" s="141"/>
      <c r="M543" s="141"/>
      <c r="N543" s="141"/>
      <c r="O543" s="141"/>
      <c r="P543" s="141"/>
      <c r="Q543" s="141"/>
      <c r="R543" s="141"/>
      <c r="S543" s="141"/>
      <c r="T543" s="141"/>
      <c r="U543" s="141"/>
      <c r="V543" s="141"/>
      <c r="W543" s="141"/>
      <c r="X543" s="141"/>
      <c r="Y543" s="141"/>
      <c r="Z543" s="141"/>
    </row>
    <row r="544">
      <c r="A544" s="141" t="str">
        <f>IFERROR(__xludf.DUMMYFUNCTION("""COMPUTED_VALUE"""),"carbonaceous biochemical oxygen demand (CBOD) measurement unit menu")</f>
        <v>carbonaceous biochemical oxygen demand (CBOD) measurement unit menu</v>
      </c>
      <c r="B544" s="141" t="str">
        <f>IFERROR(__xludf.DUMMYFUNCTION("""COMPUTED_VALUE"""),"                ")</f>
        <v>                </v>
      </c>
      <c r="C544" s="141" t="str">
        <f>IFERROR(__xludf.DUMMYFUNCTION("""COMPUTED_VALUE"""),"")</f>
        <v/>
      </c>
      <c r="D544" s="141"/>
      <c r="E544" s="141"/>
      <c r="F544" s="141"/>
      <c r="G544" s="141"/>
      <c r="H544" s="141"/>
      <c r="I544" s="141"/>
      <c r="J544" s="141"/>
      <c r="K544" s="141"/>
      <c r="L544" s="141"/>
      <c r="M544" s="141"/>
      <c r="N544" s="141"/>
      <c r="O544" s="141"/>
      <c r="P544" s="141"/>
      <c r="Q544" s="141"/>
      <c r="R544" s="141"/>
      <c r="S544" s="141"/>
      <c r="T544" s="141"/>
      <c r="U544" s="141"/>
      <c r="V544" s="141"/>
      <c r="W544" s="141"/>
      <c r="X544" s="141"/>
      <c r="Y544" s="141"/>
      <c r="Z544" s="141"/>
    </row>
    <row r="545">
      <c r="A545" s="141"/>
      <c r="B545" s="141" t="str">
        <f>IFERROR(__xludf.DUMMYFUNCTION("""COMPUTED_VALUE"""),"milligram per liter (mg/L) [UO:0000273]                ")</f>
        <v>milligram per liter (mg/L) [UO:0000273]                </v>
      </c>
      <c r="C545" s="141" t="str">
        <f>IFERROR(__xludf.DUMMYFUNCTION("""COMPUTED_VALUE"""),"UO:0000273")</f>
        <v>UO:0000273</v>
      </c>
      <c r="D545" s="141" t="str">
        <f>IFERROR(__xludf.DUMMYFUNCTION("""COMPUTED_VALUE"""),"A non-SI unit of density that is equivalent to the SI metric kilogram per cubic meter.")</f>
        <v>A non-SI unit of density that is equivalent to the SI metric kilogram per cubic meter.</v>
      </c>
      <c r="E545" s="141"/>
      <c r="F545" s="141"/>
      <c r="G545" s="141"/>
      <c r="H545" s="141"/>
      <c r="I545" s="141"/>
      <c r="J545" s="141"/>
      <c r="K545" s="141"/>
      <c r="L545" s="141"/>
      <c r="M545" s="141"/>
      <c r="N545" s="141"/>
      <c r="O545" s="141"/>
      <c r="P545" s="141"/>
      <c r="Q545" s="141"/>
      <c r="R545" s="141"/>
      <c r="S545" s="141"/>
      <c r="T545" s="141"/>
      <c r="U545" s="141"/>
      <c r="V545" s="141"/>
      <c r="W545" s="141"/>
      <c r="X545" s="141"/>
      <c r="Y545" s="141"/>
      <c r="Z545" s="141"/>
    </row>
    <row r="546">
      <c r="A546" s="141" t="str">
        <f>IFERROR(__xludf.DUMMYFUNCTION("""COMPUTED_VALUE"""),"total suspended solids (TSS) measurement unit menu")</f>
        <v>total suspended solids (TSS) measurement unit menu</v>
      </c>
      <c r="B546" s="141" t="str">
        <f>IFERROR(__xludf.DUMMYFUNCTION("""COMPUTED_VALUE"""),"                ")</f>
        <v>                </v>
      </c>
      <c r="C546" s="141" t="str">
        <f>IFERROR(__xludf.DUMMYFUNCTION("""COMPUTED_VALUE"""),"")</f>
        <v/>
      </c>
      <c r="D546" s="141"/>
      <c r="E546" s="141"/>
      <c r="F546" s="141"/>
      <c r="G546" s="141"/>
      <c r="H546" s="141"/>
      <c r="I546" s="141"/>
      <c r="J546" s="141"/>
      <c r="K546" s="141"/>
      <c r="L546" s="141"/>
      <c r="M546" s="141"/>
      <c r="N546" s="141"/>
      <c r="O546" s="141"/>
      <c r="P546" s="141"/>
      <c r="Q546" s="141"/>
      <c r="R546" s="141"/>
      <c r="S546" s="141"/>
      <c r="T546" s="141"/>
      <c r="U546" s="141"/>
      <c r="V546" s="141"/>
      <c r="W546" s="141"/>
      <c r="X546" s="141"/>
      <c r="Y546" s="141"/>
      <c r="Z546" s="141"/>
    </row>
    <row r="547">
      <c r="A547" s="141"/>
      <c r="B547" s="141" t="str">
        <f>IFERROR(__xludf.DUMMYFUNCTION("""COMPUTED_VALUE"""),"percent (%) [UO:0000187]                ")</f>
        <v>percent (%) [UO:0000187]                </v>
      </c>
      <c r="C547" s="141" t="str">
        <f>IFERROR(__xludf.DUMMYFUNCTION("""COMPUTED_VALUE"""),"UO:0000187")</f>
        <v>UO:0000187</v>
      </c>
      <c r="D547" s="141" t="str">
        <f>IFERROR(__xludf.DUMMYFUNCTION("""COMPUTED_VALUE"""),"A unitless measure that represents one in a hundred.")</f>
        <v>A unitless measure that represents one in a hundred.</v>
      </c>
      <c r="E547" s="141"/>
      <c r="F547" s="141"/>
      <c r="G547" s="141"/>
      <c r="H547" s="141"/>
      <c r="I547" s="141"/>
      <c r="J547" s="141"/>
      <c r="K547" s="141"/>
      <c r="L547" s="141"/>
      <c r="M547" s="141"/>
      <c r="N547" s="141"/>
      <c r="O547" s="141"/>
      <c r="P547" s="141"/>
      <c r="Q547" s="141"/>
      <c r="R547" s="141"/>
      <c r="S547" s="141"/>
      <c r="T547" s="141"/>
      <c r="U547" s="141"/>
      <c r="V547" s="141"/>
      <c r="W547" s="141"/>
      <c r="X547" s="141"/>
      <c r="Y547" s="141"/>
      <c r="Z547" s="141"/>
    </row>
    <row r="548">
      <c r="A548" s="141"/>
      <c r="B548" s="141" t="str">
        <f>IFERROR(__xludf.DUMMYFUNCTION("""COMPUTED_VALUE"""),"gram per liter (g/L) [UO:0000175]                ")</f>
        <v>gram per liter (g/L) [UO:0000175]                </v>
      </c>
      <c r="C548" s="141" t="str">
        <f>IFERROR(__xludf.DUMMYFUNCTION("""COMPUTED_VALUE"""),"UO:0000175")</f>
        <v>UO:0000175</v>
      </c>
      <c r="D548" s="141" t="str">
        <f>IFERROR(__xludf.DUMMYFUNCTION("""COMPUTED_VALUE"""),"A non-SI unit of density that is a thousand kilograms per cubic meter.")</f>
        <v>A non-SI unit of density that is a thousand kilograms per cubic meter.</v>
      </c>
      <c r="E548" s="141"/>
      <c r="F548" s="141"/>
      <c r="G548" s="141"/>
      <c r="H548" s="141"/>
      <c r="I548" s="141"/>
      <c r="J548" s="141"/>
      <c r="K548" s="141"/>
      <c r="L548" s="141"/>
      <c r="M548" s="141"/>
      <c r="N548" s="141"/>
      <c r="O548" s="141"/>
      <c r="P548" s="141"/>
      <c r="Q548" s="141"/>
      <c r="R548" s="141"/>
      <c r="S548" s="141"/>
      <c r="T548" s="141"/>
      <c r="U548" s="141"/>
      <c r="V548" s="141"/>
      <c r="W548" s="141"/>
      <c r="X548" s="141"/>
      <c r="Y548" s="141"/>
      <c r="Z548" s="141"/>
    </row>
    <row r="549">
      <c r="A549" s="141" t="str">
        <f>IFERROR(__xludf.DUMMYFUNCTION("""COMPUTED_VALUE"""),"total dissolved solids (TDS) measurement unit menu")</f>
        <v>total dissolved solids (TDS) measurement unit menu</v>
      </c>
      <c r="B549" s="141" t="str">
        <f>IFERROR(__xludf.DUMMYFUNCTION("""COMPUTED_VALUE"""),"                ")</f>
        <v>                </v>
      </c>
      <c r="C549" s="141" t="str">
        <f>IFERROR(__xludf.DUMMYFUNCTION("""COMPUTED_VALUE"""),"")</f>
        <v/>
      </c>
      <c r="D549" s="141"/>
      <c r="E549" s="141"/>
      <c r="F549" s="141"/>
      <c r="G549" s="141"/>
      <c r="H549" s="141"/>
      <c r="I549" s="141"/>
      <c r="J549" s="141"/>
      <c r="K549" s="141"/>
      <c r="L549" s="141"/>
      <c r="M549" s="141"/>
      <c r="N549" s="141"/>
      <c r="O549" s="141"/>
      <c r="P549" s="141"/>
      <c r="Q549" s="141"/>
      <c r="R549" s="141"/>
      <c r="S549" s="141"/>
      <c r="T549" s="141"/>
      <c r="U549" s="141"/>
      <c r="V549" s="141"/>
      <c r="W549" s="141"/>
      <c r="X549" s="141"/>
      <c r="Y549" s="141"/>
      <c r="Z549" s="141"/>
    </row>
    <row r="550">
      <c r="A550" s="141"/>
      <c r="B550" s="141" t="str">
        <f>IFERROR(__xludf.DUMMYFUNCTION("""COMPUTED_VALUE"""),"percent (%) [UO:0000187]                ")</f>
        <v>percent (%) [UO:0000187]                </v>
      </c>
      <c r="C550" s="141" t="str">
        <f>IFERROR(__xludf.DUMMYFUNCTION("""COMPUTED_VALUE"""),"UO:0000187")</f>
        <v>UO:0000187</v>
      </c>
      <c r="D550" s="141" t="str">
        <f>IFERROR(__xludf.DUMMYFUNCTION("""COMPUTED_VALUE"""),"A unitless measure that represents one in a hundred.")</f>
        <v>A unitless measure that represents one in a hundred.</v>
      </c>
      <c r="E550" s="141"/>
      <c r="F550" s="141"/>
      <c r="G550" s="141"/>
      <c r="H550" s="141"/>
      <c r="I550" s="141"/>
      <c r="J550" s="141"/>
      <c r="K550" s="141"/>
      <c r="L550" s="141"/>
      <c r="M550" s="141"/>
      <c r="N550" s="141"/>
      <c r="O550" s="141"/>
      <c r="P550" s="141"/>
      <c r="Q550" s="141"/>
      <c r="R550" s="141"/>
      <c r="S550" s="141"/>
      <c r="T550" s="141"/>
      <c r="U550" s="141"/>
      <c r="V550" s="141"/>
      <c r="W550" s="141"/>
      <c r="X550" s="141"/>
      <c r="Y550" s="141"/>
      <c r="Z550" s="141"/>
    </row>
    <row r="551">
      <c r="A551" s="141"/>
      <c r="B551" s="141" t="str">
        <f>IFERROR(__xludf.DUMMYFUNCTION("""COMPUTED_VALUE"""),"gram per liter (g/L) [UO:0000175]                ")</f>
        <v>gram per liter (g/L) [UO:0000175]                </v>
      </c>
      <c r="C551" s="141" t="str">
        <f>IFERROR(__xludf.DUMMYFUNCTION("""COMPUTED_VALUE"""),"UO:0000175")</f>
        <v>UO:0000175</v>
      </c>
      <c r="D551" s="141" t="str">
        <f>IFERROR(__xludf.DUMMYFUNCTION("""COMPUTED_VALUE"""),"A non-SI unit of density that is a thousand kilograms per cubic meter.")</f>
        <v>A non-SI unit of density that is a thousand kilograms per cubic meter.</v>
      </c>
      <c r="E551" s="141"/>
      <c r="F551" s="141"/>
      <c r="G551" s="141"/>
      <c r="H551" s="141"/>
      <c r="I551" s="141"/>
      <c r="J551" s="141"/>
      <c r="K551" s="141"/>
      <c r="L551" s="141"/>
      <c r="M551" s="141"/>
      <c r="N551" s="141"/>
      <c r="O551" s="141"/>
      <c r="P551" s="141"/>
      <c r="Q551" s="141"/>
      <c r="R551" s="141"/>
      <c r="S551" s="141"/>
      <c r="T551" s="141"/>
      <c r="U551" s="141"/>
      <c r="V551" s="141"/>
      <c r="W551" s="141"/>
      <c r="X551" s="141"/>
      <c r="Y551" s="141"/>
      <c r="Z551" s="141"/>
    </row>
    <row r="552">
      <c r="A552" s="141" t="str">
        <f>IFERROR(__xludf.DUMMYFUNCTION("""COMPUTED_VALUE"""),"total solids (TS) measurement unit menu")</f>
        <v>total solids (TS) measurement unit menu</v>
      </c>
      <c r="B552" s="141" t="str">
        <f>IFERROR(__xludf.DUMMYFUNCTION("""COMPUTED_VALUE"""),"                ")</f>
        <v>                </v>
      </c>
      <c r="C552" s="141" t="str">
        <f>IFERROR(__xludf.DUMMYFUNCTION("""COMPUTED_VALUE"""),"")</f>
        <v/>
      </c>
      <c r="D552" s="141"/>
      <c r="E552" s="141"/>
      <c r="F552" s="141"/>
      <c r="G552" s="141"/>
      <c r="H552" s="141"/>
      <c r="I552" s="141"/>
      <c r="J552" s="141"/>
      <c r="K552" s="141"/>
      <c r="L552" s="141"/>
      <c r="M552" s="141"/>
      <c r="N552" s="141"/>
      <c r="O552" s="141"/>
      <c r="P552" s="141"/>
      <c r="Q552" s="141"/>
      <c r="R552" s="141"/>
      <c r="S552" s="141"/>
      <c r="T552" s="141"/>
      <c r="U552" s="141"/>
      <c r="V552" s="141"/>
      <c r="W552" s="141"/>
      <c r="X552" s="141"/>
      <c r="Y552" s="141"/>
      <c r="Z552" s="141"/>
    </row>
    <row r="553">
      <c r="A553" s="141"/>
      <c r="B553" s="141" t="str">
        <f>IFERROR(__xludf.DUMMYFUNCTION("""COMPUTED_VALUE"""),"percent (%) [UO:0000187]                ")</f>
        <v>percent (%) [UO:0000187]                </v>
      </c>
      <c r="C553" s="141" t="str">
        <f>IFERROR(__xludf.DUMMYFUNCTION("""COMPUTED_VALUE"""),"UO:0000187")</f>
        <v>UO:0000187</v>
      </c>
      <c r="D553" s="141" t="str">
        <f>IFERROR(__xludf.DUMMYFUNCTION("""COMPUTED_VALUE"""),"A unitless measure that represents one in a hundred.")</f>
        <v>A unitless measure that represents one in a hundred.</v>
      </c>
      <c r="E553" s="141"/>
      <c r="F553" s="141"/>
      <c r="G553" s="141"/>
      <c r="H553" s="141"/>
      <c r="I553" s="141"/>
      <c r="J553" s="141"/>
      <c r="K553" s="141"/>
      <c r="L553" s="141"/>
      <c r="M553" s="141"/>
      <c r="N553" s="141"/>
      <c r="O553" s="141"/>
      <c r="P553" s="141"/>
      <c r="Q553" s="141"/>
      <c r="R553" s="141"/>
      <c r="S553" s="141"/>
      <c r="T553" s="141"/>
      <c r="U553" s="141"/>
      <c r="V553" s="141"/>
      <c r="W553" s="141"/>
      <c r="X553" s="141"/>
      <c r="Y553" s="141"/>
      <c r="Z553" s="141"/>
    </row>
    <row r="554">
      <c r="A554" s="141"/>
      <c r="B554" s="141" t="str">
        <f>IFERROR(__xludf.DUMMYFUNCTION("""COMPUTED_VALUE"""),"gram per liter (g/L) [UO:0000175]                ")</f>
        <v>gram per liter (g/L) [UO:0000175]                </v>
      </c>
      <c r="C554" s="141" t="str">
        <f>IFERROR(__xludf.DUMMYFUNCTION("""COMPUTED_VALUE"""),"UO:0000175")</f>
        <v>UO:0000175</v>
      </c>
      <c r="D554" s="141" t="str">
        <f>IFERROR(__xludf.DUMMYFUNCTION("""COMPUTED_VALUE"""),"A non-SI unit of density that is a thousand kilograms per cubic meter.")</f>
        <v>A non-SI unit of density that is a thousand kilograms per cubic meter.</v>
      </c>
      <c r="E554" s="141"/>
      <c r="F554" s="141"/>
      <c r="G554" s="141"/>
      <c r="H554" s="141"/>
      <c r="I554" s="141"/>
      <c r="J554" s="141"/>
      <c r="K554" s="141"/>
      <c r="L554" s="141"/>
      <c r="M554" s="141"/>
      <c r="N554" s="141"/>
      <c r="O554" s="141"/>
      <c r="P554" s="141"/>
      <c r="Q554" s="141"/>
      <c r="R554" s="141"/>
      <c r="S554" s="141"/>
      <c r="T554" s="141"/>
      <c r="U554" s="141"/>
      <c r="V554" s="141"/>
      <c r="W554" s="141"/>
      <c r="X554" s="141"/>
      <c r="Y554" s="141"/>
      <c r="Z554" s="141"/>
    </row>
    <row r="555">
      <c r="A555" s="141" t="str">
        <f>IFERROR(__xludf.DUMMYFUNCTION("""COMPUTED_VALUE"""),"alkalinity measurement unit menu")</f>
        <v>alkalinity measurement unit menu</v>
      </c>
      <c r="B555" s="141" t="str">
        <f>IFERROR(__xludf.DUMMYFUNCTION("""COMPUTED_VALUE"""),"                ")</f>
        <v>                </v>
      </c>
      <c r="C555" s="141" t="str">
        <f>IFERROR(__xludf.DUMMYFUNCTION("""COMPUTED_VALUE"""),"")</f>
        <v/>
      </c>
      <c r="D555" s="141"/>
      <c r="E555" s="141"/>
      <c r="F555" s="141"/>
      <c r="G555" s="141"/>
      <c r="H555" s="141"/>
      <c r="I555" s="141"/>
      <c r="J555" s="141"/>
      <c r="K555" s="141"/>
      <c r="L555" s="141"/>
      <c r="M555" s="141"/>
      <c r="N555" s="141"/>
      <c r="O555" s="141"/>
      <c r="P555" s="141"/>
      <c r="Q555" s="141"/>
      <c r="R555" s="141"/>
      <c r="S555" s="141"/>
      <c r="T555" s="141"/>
      <c r="U555" s="141"/>
      <c r="V555" s="141"/>
      <c r="W555" s="141"/>
      <c r="X555" s="141"/>
      <c r="Y555" s="141"/>
      <c r="Z555" s="141"/>
    </row>
    <row r="556">
      <c r="A556" s="141"/>
      <c r="B556" s="141" t="str">
        <f>IFERROR(__xludf.DUMMYFUNCTION("""COMPUTED_VALUE"""),"milliequivalent per liter (meq/L)                ")</f>
        <v>milliequivalent per liter (meq/L)                </v>
      </c>
      <c r="C556" s="141" t="str">
        <f>IFERROR(__xludf.DUMMYFUNCTION("""COMPUTED_VALUE"""),"")</f>
        <v/>
      </c>
      <c r="D556" s="141" t="str">
        <f>IFERROR(__xludf.DUMMYFUNCTION("""COMPUTED_VALUE"""),"A unit of ion concentration that represents chemical activity per volume.")</f>
        <v>A unit of ion concentration that represents chemical activity per volume.</v>
      </c>
      <c r="E556" s="141"/>
      <c r="F556" s="141"/>
      <c r="G556" s="141"/>
      <c r="H556" s="141"/>
      <c r="I556" s="141"/>
      <c r="J556" s="141"/>
      <c r="K556" s="141"/>
      <c r="L556" s="141"/>
      <c r="M556" s="141"/>
      <c r="N556" s="141"/>
      <c r="O556" s="141"/>
      <c r="P556" s="141"/>
      <c r="Q556" s="141"/>
      <c r="R556" s="141"/>
      <c r="S556" s="141"/>
      <c r="T556" s="141"/>
      <c r="U556" s="141"/>
      <c r="V556" s="141"/>
      <c r="W556" s="141"/>
      <c r="X556" s="141"/>
      <c r="Y556" s="141"/>
      <c r="Z556" s="141"/>
    </row>
    <row r="557">
      <c r="A557" s="141"/>
      <c r="B557" s="141" t="str">
        <f>IFERROR(__xludf.DUMMYFUNCTION("""COMPUTED_VALUE"""),"milligram per liter (mg/L) [UO:0000273]                ")</f>
        <v>milligram per liter (mg/L) [UO:0000273]                </v>
      </c>
      <c r="C557" s="141" t="str">
        <f>IFERROR(__xludf.DUMMYFUNCTION("""COMPUTED_VALUE"""),"UO:0000273")</f>
        <v>UO:0000273</v>
      </c>
      <c r="D557" s="141" t="str">
        <f>IFERROR(__xludf.DUMMYFUNCTION("""COMPUTED_VALUE"""),"A non-SI unit of density that is equivalent to the SI metric kilogram per cubic meter.")</f>
        <v>A non-SI unit of density that is equivalent to the SI metric kilogram per cubic meter.</v>
      </c>
      <c r="E557" s="141"/>
      <c r="F557" s="141"/>
      <c r="G557" s="141"/>
      <c r="H557" s="141"/>
      <c r="I557" s="141"/>
      <c r="J557" s="141"/>
      <c r="K557" s="141"/>
      <c r="L557" s="141"/>
      <c r="M557" s="141"/>
      <c r="N557" s="141"/>
      <c r="O557" s="141"/>
      <c r="P557" s="141"/>
      <c r="Q557" s="141"/>
      <c r="R557" s="141"/>
      <c r="S557" s="141"/>
      <c r="T557" s="141"/>
      <c r="U557" s="141"/>
      <c r="V557" s="141"/>
      <c r="W557" s="141"/>
      <c r="X557" s="141"/>
      <c r="Y557" s="141"/>
      <c r="Z557" s="141"/>
    </row>
    <row r="558">
      <c r="A558" s="141"/>
      <c r="B558" s="141" t="str">
        <f>IFERROR(__xludf.DUMMYFUNCTION("""COMPUTED_VALUE"""),"parts per million [UO:0000169]                ")</f>
        <v>parts per million [UO:0000169]                </v>
      </c>
      <c r="C558" s="141" t="str">
        <f>IFERROR(__xludf.DUMMYFUNCTION("""COMPUTED_VALUE"""),"UO:0000169")</f>
        <v>UO:0000169</v>
      </c>
      <c r="D558" s="141" t="str">
        <f>IFERROR(__xludf.DUMMYFUNCTION("""COMPUTED_VALUE"""),"A unitless measure of density that represents one item out of a million.")</f>
        <v>A unitless measure of density that represents one item out of a million.</v>
      </c>
      <c r="E558" s="141"/>
      <c r="F558" s="141"/>
      <c r="G558" s="141"/>
      <c r="H558" s="141"/>
      <c r="I558" s="141"/>
      <c r="J558" s="141"/>
      <c r="K558" s="141"/>
      <c r="L558" s="141"/>
      <c r="M558" s="141"/>
      <c r="N558" s="141"/>
      <c r="O558" s="141"/>
      <c r="P558" s="141"/>
      <c r="Q558" s="141"/>
      <c r="R558" s="141"/>
      <c r="S558" s="141"/>
      <c r="T558" s="141"/>
      <c r="U558" s="141"/>
      <c r="V558" s="141"/>
      <c r="W558" s="141"/>
      <c r="X558" s="141"/>
      <c r="Y558" s="141"/>
      <c r="Z558" s="141"/>
    </row>
    <row r="559">
      <c r="A559" s="141" t="str">
        <f>IFERROR(__xludf.DUMMYFUNCTION("""COMPUTED_VALUE"""),"conductivity measurement unit menu")</f>
        <v>conductivity measurement unit menu</v>
      </c>
      <c r="B559" s="141" t="str">
        <f>IFERROR(__xludf.DUMMYFUNCTION("""COMPUTED_VALUE"""),"                ")</f>
        <v>                </v>
      </c>
      <c r="C559" s="141" t="str">
        <f>IFERROR(__xludf.DUMMYFUNCTION("""COMPUTED_VALUE"""),"")</f>
        <v/>
      </c>
      <c r="D559" s="141"/>
      <c r="E559" s="141"/>
      <c r="F559" s="141"/>
      <c r="G559" s="141"/>
      <c r="H559" s="141"/>
      <c r="I559" s="141"/>
      <c r="J559" s="141"/>
      <c r="K559" s="141"/>
      <c r="L559" s="141"/>
      <c r="M559" s="141"/>
      <c r="N559" s="141"/>
      <c r="O559" s="141"/>
      <c r="P559" s="141"/>
      <c r="Q559" s="141"/>
      <c r="R559" s="141"/>
      <c r="S559" s="141"/>
      <c r="T559" s="141"/>
      <c r="U559" s="141"/>
      <c r="V559" s="141"/>
      <c r="W559" s="141"/>
      <c r="X559" s="141"/>
      <c r="Y559" s="141"/>
      <c r="Z559" s="141"/>
    </row>
    <row r="560">
      <c r="A560" s="141"/>
      <c r="B560" s="141" t="str">
        <f>IFERROR(__xludf.DUMMYFUNCTION("""COMPUTED_VALUE"""),"milliSiemen per centimeter (mS/cm)                ")</f>
        <v>milliSiemen per centimeter (mS/cm)                </v>
      </c>
      <c r="C560" s="141" t="str">
        <f>IFERROR(__xludf.DUMMYFUNCTION("""COMPUTED_VALUE"""),"")</f>
        <v/>
      </c>
      <c r="D560" s="141" t="str">
        <f>IFERROR(__xludf.DUMMYFUNCTION("""COMPUTED_VALUE"""),"A non-SI unit of electrical conductivity that is equivalent to one tenth of a Siemen per meter (S/m).")</f>
        <v>A non-SI unit of electrical conductivity that is equivalent to one tenth of a Siemen per meter (S/m).</v>
      </c>
      <c r="E560" s="141"/>
      <c r="F560" s="141"/>
      <c r="G560" s="141"/>
      <c r="H560" s="141"/>
      <c r="I560" s="141"/>
      <c r="J560" s="141"/>
      <c r="K560" s="141"/>
      <c r="L560" s="141"/>
      <c r="M560" s="141"/>
      <c r="N560" s="141"/>
      <c r="O560" s="141"/>
      <c r="P560" s="141"/>
      <c r="Q560" s="141"/>
      <c r="R560" s="141"/>
      <c r="S560" s="141"/>
      <c r="T560" s="141"/>
      <c r="U560" s="141"/>
      <c r="V560" s="141"/>
      <c r="W560" s="141"/>
      <c r="X560" s="141"/>
      <c r="Y560" s="141"/>
      <c r="Z560" s="141"/>
    </row>
    <row r="561">
      <c r="A561" s="141"/>
      <c r="B561" s="141" t="str">
        <f>IFERROR(__xludf.DUMMYFUNCTION("""COMPUTED_VALUE"""),"microSiemen per centimeter (μS/cm)                ")</f>
        <v>microSiemen per centimeter (μS/cm)                </v>
      </c>
      <c r="C561" s="141" t="str">
        <f>IFERROR(__xludf.DUMMYFUNCTION("""COMPUTED_VALUE"""),"")</f>
        <v/>
      </c>
      <c r="D561" s="141" t="str">
        <f>IFERROR(__xludf.DUMMYFUNCTION("""COMPUTED_VALUE"""),"A non-SI unit of electrical conductivity that is equivalent to one ten thousandth of a Siemen per meter (S/m).")</f>
        <v>A non-SI unit of electrical conductivity that is equivalent to one ten thousandth of a Siemen per meter (S/m).</v>
      </c>
      <c r="E561" s="141"/>
      <c r="F561" s="141"/>
      <c r="G561" s="141"/>
      <c r="H561" s="141"/>
      <c r="I561" s="141"/>
      <c r="J561" s="141"/>
      <c r="K561" s="141"/>
      <c r="L561" s="141"/>
      <c r="M561" s="141"/>
      <c r="N561" s="141"/>
      <c r="O561" s="141"/>
      <c r="P561" s="141"/>
      <c r="Q561" s="141"/>
      <c r="R561" s="141"/>
      <c r="S561" s="141"/>
      <c r="T561" s="141"/>
      <c r="U561" s="141"/>
      <c r="V561" s="141"/>
      <c r="W561" s="141"/>
      <c r="X561" s="141"/>
      <c r="Y561" s="141"/>
      <c r="Z561" s="141"/>
    </row>
    <row r="562">
      <c r="A562" s="141"/>
      <c r="B562" s="141" t="str">
        <f>IFERROR(__xludf.DUMMYFUNCTION("""COMPUTED_VALUE"""),"Siemen per meter (S/m)                ")</f>
        <v>Siemen per meter (S/m)                </v>
      </c>
      <c r="C562" s="141" t="str">
        <f>IFERROR(__xludf.DUMMYFUNCTION("""COMPUTED_VALUE"""),"")</f>
        <v/>
      </c>
      <c r="D562" s="141" t="str">
        <f>IFERROR(__xludf.DUMMYFUNCTION("""COMPUTED_VALUE"""),"An SI unit of electrical conductivity that is equivalent to an ampere per volt per meter (A/v/m).")</f>
        <v>An SI unit of electrical conductivity that is equivalent to an ampere per volt per meter (A/v/m).</v>
      </c>
      <c r="E562" s="141"/>
      <c r="F562" s="141"/>
      <c r="G562" s="141"/>
      <c r="H562" s="141"/>
      <c r="I562" s="141"/>
      <c r="J562" s="141"/>
      <c r="K562" s="141"/>
      <c r="L562" s="141"/>
      <c r="M562" s="141"/>
      <c r="N562" s="141"/>
      <c r="O562" s="141"/>
      <c r="P562" s="141"/>
      <c r="Q562" s="141"/>
      <c r="R562" s="141"/>
      <c r="S562" s="141"/>
      <c r="T562" s="141"/>
      <c r="U562" s="141"/>
      <c r="V562" s="141"/>
      <c r="W562" s="141"/>
      <c r="X562" s="141"/>
      <c r="Y562" s="141"/>
      <c r="Z562" s="141"/>
    </row>
    <row r="563">
      <c r="A563" s="141" t="str">
        <f>IFERROR(__xludf.DUMMYFUNCTION("""COMPUTED_VALUE"""),"salinity measurement unit menu")</f>
        <v>salinity measurement unit menu</v>
      </c>
      <c r="B563" s="141" t="str">
        <f>IFERROR(__xludf.DUMMYFUNCTION("""COMPUTED_VALUE"""),"                ")</f>
        <v>                </v>
      </c>
      <c r="C563" s="141" t="str">
        <f>IFERROR(__xludf.DUMMYFUNCTION("""COMPUTED_VALUE"""),"")</f>
        <v/>
      </c>
      <c r="D563" s="141"/>
      <c r="E563" s="141"/>
      <c r="F563" s="141"/>
      <c r="G563" s="141"/>
      <c r="H563" s="141"/>
      <c r="I563" s="141"/>
      <c r="J563" s="141"/>
      <c r="K563" s="141"/>
      <c r="L563" s="141"/>
      <c r="M563" s="141"/>
      <c r="N563" s="141"/>
      <c r="O563" s="141"/>
      <c r="P563" s="141"/>
      <c r="Q563" s="141"/>
      <c r="R563" s="141"/>
      <c r="S563" s="141"/>
      <c r="T563" s="141"/>
      <c r="U563" s="141"/>
      <c r="V563" s="141"/>
      <c r="W563" s="141"/>
      <c r="X563" s="141"/>
      <c r="Y563" s="141"/>
      <c r="Z563" s="141"/>
    </row>
    <row r="564">
      <c r="A564" s="141"/>
      <c r="B564" s="141" t="str">
        <f>IFERROR(__xludf.DUMMYFUNCTION("""COMPUTED_VALUE"""),"practical salinity unit (PSU)                ")</f>
        <v>practical salinity unit (PSU)                </v>
      </c>
      <c r="C564" s="141" t="str">
        <f>IFERROR(__xludf.DUMMYFUNCTION("""COMPUTED_VALUE"""),"")</f>
        <v/>
      </c>
      <c r="D564" s="141" t="str">
        <f>IFERROR(__xludf.DUMMYFUNCTION("""COMPUTED_VALUE"""),"A unitless measure of salinity that is equivalent to per thousand.")</f>
        <v>A unitless measure of salinity that is equivalent to per thousand.</v>
      </c>
      <c r="E564" s="141"/>
      <c r="F564" s="141"/>
      <c r="G564" s="141"/>
      <c r="H564" s="141"/>
      <c r="I564" s="141"/>
      <c r="J564" s="141"/>
      <c r="K564" s="141"/>
      <c r="L564" s="141"/>
      <c r="M564" s="141"/>
      <c r="N564" s="141"/>
      <c r="O564" s="141"/>
      <c r="P564" s="141"/>
      <c r="Q564" s="141"/>
      <c r="R564" s="141"/>
      <c r="S564" s="141"/>
      <c r="T564" s="141"/>
      <c r="U564" s="141"/>
      <c r="V564" s="141"/>
      <c r="W564" s="141"/>
      <c r="X564" s="141"/>
      <c r="Y564" s="141"/>
      <c r="Z564" s="141"/>
    </row>
    <row r="565">
      <c r="A565" s="141"/>
      <c r="B565" s="141" t="str">
        <f>IFERROR(__xludf.DUMMYFUNCTION("""COMPUTED_VALUE"""),"weight for weight (% w/w)                ")</f>
        <v>weight for weight (% w/w)                </v>
      </c>
      <c r="C565" s="141" t="str">
        <f>IFERROR(__xludf.DUMMYFUNCTION("""COMPUTED_VALUE"""),"")</f>
        <v/>
      </c>
      <c r="D565" s="141" t="str">
        <f>IFERROR(__xludf.DUMMYFUNCTION("""COMPUTED_VALUE"""),"A unitless comparison based on weight rather than volume, which is equivalent to per hundred.")</f>
        <v>A unitless comparison based on weight rather than volume, which is equivalent to per hundred.</v>
      </c>
      <c r="E565" s="141"/>
      <c r="F565" s="141"/>
      <c r="G565" s="141"/>
      <c r="H565" s="141"/>
      <c r="I565" s="141"/>
      <c r="J565" s="141"/>
      <c r="K565" s="141"/>
      <c r="L565" s="141"/>
      <c r="M565" s="141"/>
      <c r="N565" s="141"/>
      <c r="O565" s="141"/>
      <c r="P565" s="141"/>
      <c r="Q565" s="141"/>
      <c r="R565" s="141"/>
      <c r="S565" s="141"/>
      <c r="T565" s="141"/>
      <c r="U565" s="141"/>
      <c r="V565" s="141"/>
      <c r="W565" s="141"/>
      <c r="X565" s="141"/>
      <c r="Y565" s="141"/>
      <c r="Z565" s="141"/>
    </row>
    <row r="566">
      <c r="A566" s="141"/>
      <c r="B566" s="141" t="str">
        <f>IFERROR(__xludf.DUMMYFUNCTION("""COMPUTED_VALUE"""),"parts per thousand [UO:0000168]                ")</f>
        <v>parts per thousand [UO:0000168]                </v>
      </c>
      <c r="C566" s="141" t="str">
        <f>IFERROR(__xludf.DUMMYFUNCTION("""COMPUTED_VALUE"""),"UO:0000168")</f>
        <v>UO:0000168</v>
      </c>
      <c r="D566" s="141" t="str">
        <f>IFERROR(__xludf.DUMMYFUNCTION("""COMPUTED_VALUE"""),"A dimensionless concentration notation which denotes the amount of a given substance in a total amount of 1000 regardless of the units of measure as long as they are the same.")</f>
        <v>A dimensionless concentration notation which denotes the amount of a given substance in a total amount of 1000 regardless of the units of measure as long as they are the same.</v>
      </c>
      <c r="E566" s="141"/>
      <c r="F566" s="141"/>
      <c r="G566" s="141"/>
      <c r="H566" s="141"/>
      <c r="I566" s="141"/>
      <c r="J566" s="141"/>
      <c r="K566" s="141"/>
      <c r="L566" s="141"/>
      <c r="M566" s="141"/>
      <c r="N566" s="141"/>
      <c r="O566" s="141"/>
      <c r="P566" s="141"/>
      <c r="Q566" s="141"/>
      <c r="R566" s="141"/>
      <c r="S566" s="141"/>
      <c r="T566" s="141"/>
      <c r="U566" s="141"/>
      <c r="V566" s="141"/>
      <c r="W566" s="141"/>
      <c r="X566" s="141"/>
      <c r="Y566" s="141"/>
      <c r="Z566" s="141"/>
    </row>
    <row r="567">
      <c r="A567" s="141"/>
      <c r="B567" s="141" t="str">
        <f>IFERROR(__xludf.DUMMYFUNCTION("""COMPUTED_VALUE"""),"gram per liter (g/L) [UO:0000175]                ")</f>
        <v>gram per liter (g/L) [UO:0000175]                </v>
      </c>
      <c r="C567" s="141" t="str">
        <f>IFERROR(__xludf.DUMMYFUNCTION("""COMPUTED_VALUE"""),"UO:0000175")</f>
        <v>UO:0000175</v>
      </c>
      <c r="D567" s="141" t="str">
        <f>IFERROR(__xludf.DUMMYFUNCTION("""COMPUTED_VALUE"""),"A non-SI unit of density that is a thousand kilograms per cubic meter.")</f>
        <v>A non-SI unit of density that is a thousand kilograms per cubic meter.</v>
      </c>
      <c r="E567" s="141"/>
      <c r="F567" s="141"/>
      <c r="G567" s="141"/>
      <c r="H567" s="141"/>
      <c r="I567" s="141"/>
      <c r="J567" s="141"/>
      <c r="K567" s="141"/>
      <c r="L567" s="141"/>
      <c r="M567" s="141"/>
      <c r="N567" s="141"/>
      <c r="O567" s="141"/>
      <c r="P567" s="141"/>
      <c r="Q567" s="141"/>
      <c r="R567" s="141"/>
      <c r="S567" s="141"/>
      <c r="T567" s="141"/>
      <c r="U567" s="141"/>
      <c r="V567" s="141"/>
      <c r="W567" s="141"/>
      <c r="X567" s="141"/>
      <c r="Y567" s="141"/>
      <c r="Z567" s="141"/>
    </row>
    <row r="568">
      <c r="A568" s="141" t="str">
        <f>IFERROR(__xludf.DUMMYFUNCTION("""COMPUTED_VALUE"""),"total nitrogen (TN) measurement unit menu")</f>
        <v>total nitrogen (TN) measurement unit menu</v>
      </c>
      <c r="B568" s="141" t="str">
        <f>IFERROR(__xludf.DUMMYFUNCTION("""COMPUTED_VALUE"""),"                ")</f>
        <v>                </v>
      </c>
      <c r="C568" s="141" t="str">
        <f>IFERROR(__xludf.DUMMYFUNCTION("""COMPUTED_VALUE"""),"")</f>
        <v/>
      </c>
      <c r="D568" s="141"/>
      <c r="E568" s="141"/>
      <c r="F568" s="141"/>
      <c r="G568" s="141"/>
      <c r="H568" s="141"/>
      <c r="I568" s="141"/>
      <c r="J568" s="141"/>
      <c r="K568" s="141"/>
      <c r="L568" s="141"/>
      <c r="M568" s="141"/>
      <c r="N568" s="141"/>
      <c r="O568" s="141"/>
      <c r="P568" s="141"/>
      <c r="Q568" s="141"/>
      <c r="R568" s="141"/>
      <c r="S568" s="141"/>
      <c r="T568" s="141"/>
      <c r="U568" s="141"/>
      <c r="V568" s="141"/>
      <c r="W568" s="141"/>
      <c r="X568" s="141"/>
      <c r="Y568" s="141"/>
      <c r="Z568" s="141"/>
    </row>
    <row r="569">
      <c r="A569" s="141"/>
      <c r="B569" s="141" t="str">
        <f>IFERROR(__xludf.DUMMYFUNCTION("""COMPUTED_VALUE"""),"milligram per liter (mg/L) [UO:0000273]                ")</f>
        <v>milligram per liter (mg/L) [UO:0000273]                </v>
      </c>
      <c r="C569" s="141" t="str">
        <f>IFERROR(__xludf.DUMMYFUNCTION("""COMPUTED_VALUE"""),"UO:0000273")</f>
        <v>UO:0000273</v>
      </c>
      <c r="D569" s="141" t="str">
        <f>IFERROR(__xludf.DUMMYFUNCTION("""COMPUTED_VALUE"""),"A non-SI unit of density that is equivalent to the SI metric kilogram per cubic meter.")</f>
        <v>A non-SI unit of density that is equivalent to the SI metric kilogram per cubic meter.</v>
      </c>
      <c r="E569" s="141"/>
      <c r="F569" s="141"/>
      <c r="G569" s="141"/>
      <c r="H569" s="141"/>
      <c r="I569" s="141"/>
      <c r="J569" s="141"/>
      <c r="K569" s="141"/>
      <c r="L569" s="141"/>
      <c r="M569" s="141"/>
      <c r="N569" s="141"/>
      <c r="O569" s="141"/>
      <c r="P569" s="141"/>
      <c r="Q569" s="141"/>
      <c r="R569" s="141"/>
      <c r="S569" s="141"/>
      <c r="T569" s="141"/>
      <c r="U569" s="141"/>
      <c r="V569" s="141"/>
      <c r="W569" s="141"/>
      <c r="X569" s="141"/>
      <c r="Y569" s="141"/>
      <c r="Z569" s="141"/>
    </row>
    <row r="570">
      <c r="A570" s="141" t="str">
        <f>IFERROR(__xludf.DUMMYFUNCTION("""COMPUTED_VALUE"""),"total nitrogen (TN) measurement unit menu")</f>
        <v>total nitrogen (TN) measurement unit menu</v>
      </c>
      <c r="B570" s="141" t="str">
        <f>IFERROR(__xludf.DUMMYFUNCTION("""COMPUTED_VALUE"""),"gram per liter (g/L) [UO:0000175]                ")</f>
        <v>gram per liter (g/L) [UO:0000175]                </v>
      </c>
      <c r="C570" s="141" t="str">
        <f>IFERROR(__xludf.DUMMYFUNCTION("""COMPUTED_VALUE"""),"UO:0000175")</f>
        <v>UO:0000175</v>
      </c>
      <c r="D570" s="141" t="str">
        <f>IFERROR(__xludf.DUMMYFUNCTION("""COMPUTED_VALUE"""),"A non-SI unit of density that is a thousand kilograms per cubic meter.")</f>
        <v>A non-SI unit of density that is a thousand kilograms per cubic meter.</v>
      </c>
      <c r="E570" s="141"/>
      <c r="F570" s="141"/>
      <c r="G570" s="141"/>
      <c r="H570" s="141"/>
      <c r="I570" s="141"/>
      <c r="J570" s="141"/>
      <c r="K570" s="141"/>
      <c r="L570" s="141"/>
      <c r="M570" s="141"/>
      <c r="N570" s="141"/>
      <c r="O570" s="141"/>
      <c r="P570" s="141"/>
      <c r="Q570" s="141"/>
      <c r="R570" s="141"/>
      <c r="S570" s="141"/>
      <c r="T570" s="141"/>
      <c r="U570" s="141"/>
      <c r="V570" s="141"/>
      <c r="W570" s="141"/>
      <c r="X570" s="141"/>
      <c r="Y570" s="141"/>
      <c r="Z570" s="141"/>
    </row>
    <row r="571">
      <c r="A571" s="141"/>
      <c r="B571" s="141" t="str">
        <f>IFERROR(__xludf.DUMMYFUNCTION("""COMPUTED_VALUE"""),"gram per total solids (g/gTS)                ")</f>
        <v>gram per total solids (g/gTS)                </v>
      </c>
      <c r="C571" s="141" t="str">
        <f>IFERROR(__xludf.DUMMYFUNCTION("""COMPUTED_VALUE"""),"")</f>
        <v/>
      </c>
      <c r="D571" s="141" t="str">
        <f>IFERROR(__xludf.DUMMYFUNCTION("""COMPUTED_VALUE"""),"A unitless comparison of the weight of a substance as a proportion to the weight of total solids. ")</f>
        <v>A unitless comparison of the weight of a substance as a proportion to the weight of total solids. </v>
      </c>
      <c r="E571" s="141"/>
      <c r="F571" s="141"/>
      <c r="G571" s="141"/>
      <c r="H571" s="141"/>
      <c r="I571" s="141"/>
      <c r="J571" s="141"/>
      <c r="K571" s="141"/>
      <c r="L571" s="141"/>
      <c r="M571" s="141"/>
      <c r="N571" s="141"/>
      <c r="O571" s="141"/>
      <c r="P571" s="141"/>
      <c r="Q571" s="141"/>
      <c r="R571" s="141"/>
      <c r="S571" s="141"/>
      <c r="T571" s="141"/>
      <c r="U571" s="141"/>
      <c r="V571" s="141"/>
      <c r="W571" s="141"/>
      <c r="X571" s="141"/>
      <c r="Y571" s="141"/>
      <c r="Z571" s="141"/>
    </row>
    <row r="572">
      <c r="A572" s="141" t="str">
        <f>IFERROR(__xludf.DUMMYFUNCTION("""COMPUTED_VALUE"""),"total phosphorpus (TP) measurement unit menu")</f>
        <v>total phosphorpus (TP) measurement unit menu</v>
      </c>
      <c r="B572" s="141" t="str">
        <f>IFERROR(__xludf.DUMMYFUNCTION("""COMPUTED_VALUE"""),"                ")</f>
        <v>                </v>
      </c>
      <c r="C572" s="141" t="str">
        <f>IFERROR(__xludf.DUMMYFUNCTION("""COMPUTED_VALUE"""),"")</f>
        <v/>
      </c>
      <c r="D572" s="141"/>
      <c r="E572" s="141"/>
      <c r="F572" s="141"/>
      <c r="G572" s="141"/>
      <c r="H572" s="141"/>
      <c r="I572" s="141"/>
      <c r="J572" s="141"/>
      <c r="K572" s="141"/>
      <c r="L572" s="141"/>
      <c r="M572" s="141"/>
      <c r="N572" s="141"/>
      <c r="O572" s="141"/>
      <c r="P572" s="141"/>
      <c r="Q572" s="141"/>
      <c r="R572" s="141"/>
      <c r="S572" s="141"/>
      <c r="T572" s="141"/>
      <c r="U572" s="141"/>
      <c r="V572" s="141"/>
      <c r="W572" s="141"/>
      <c r="X572" s="141"/>
      <c r="Y572" s="141"/>
      <c r="Z572" s="141"/>
    </row>
    <row r="573">
      <c r="A573" s="141"/>
      <c r="B573" s="141" t="str">
        <f>IFERROR(__xludf.DUMMYFUNCTION("""COMPUTED_VALUE"""),"gram per total solids (g/gTS)                ")</f>
        <v>gram per total solids (g/gTS)                </v>
      </c>
      <c r="C573" s="141" t="str">
        <f>IFERROR(__xludf.DUMMYFUNCTION("""COMPUTED_VALUE"""),"")</f>
        <v/>
      </c>
      <c r="D573" s="141" t="str">
        <f>IFERROR(__xludf.DUMMYFUNCTION("""COMPUTED_VALUE"""),"A unitless comparison of the weight of a substance as a proportion to the weight of total solids. ")</f>
        <v>A unitless comparison of the weight of a substance as a proportion to the weight of total solids. </v>
      </c>
      <c r="E573" s="141"/>
      <c r="F573" s="141"/>
      <c r="G573" s="141"/>
      <c r="H573" s="141"/>
      <c r="I573" s="141"/>
      <c r="J573" s="141"/>
      <c r="K573" s="141"/>
      <c r="L573" s="141"/>
      <c r="M573" s="141"/>
      <c r="N573" s="141"/>
      <c r="O573" s="141"/>
      <c r="P573" s="141"/>
      <c r="Q573" s="141"/>
      <c r="R573" s="141"/>
      <c r="S573" s="141"/>
      <c r="T573" s="141"/>
      <c r="U573" s="141"/>
      <c r="V573" s="141"/>
      <c r="W573" s="141"/>
      <c r="X573" s="141"/>
      <c r="Y573" s="141"/>
      <c r="Z573" s="141"/>
    </row>
    <row r="574">
      <c r="A574" s="141"/>
      <c r="B574" s="141" t="str">
        <f>IFERROR(__xludf.DUMMYFUNCTION("""COMPUTED_VALUE"""),"orthophosphate as phosphorus per total solids (gPO4-P/gTS) [GENEPIO:0100998]                ")</f>
        <v>orthophosphate as phosphorus per total solids (gPO4-P/gTS) [GENEPIO:0100998]                </v>
      </c>
      <c r="C574" s="141" t="str">
        <f>IFERROR(__xludf.DUMMYFUNCTION("""COMPUTED_VALUE"""),"GENEPIO:0100998")</f>
        <v>GENEPIO:0100998</v>
      </c>
      <c r="D574" s="141" t="str">
        <f>IFERROR(__xludf.DUMMYFUNCTION("""COMPUTED_VALUE"""),"A substance unit which describes the weight of orthophosphate as phosphorus (gPO4-P) within a sample to the weight of total solids.")</f>
        <v>A substance unit which describes the weight of orthophosphate as phosphorus (gPO4-P) within a sample to the weight of total solids.</v>
      </c>
      <c r="E574" s="141"/>
      <c r="F574" s="141"/>
      <c r="G574" s="141"/>
      <c r="H574" s="141"/>
      <c r="I574" s="141"/>
      <c r="J574" s="141"/>
      <c r="K574" s="141"/>
      <c r="L574" s="141"/>
      <c r="M574" s="141"/>
      <c r="N574" s="141"/>
      <c r="O574" s="141"/>
      <c r="P574" s="141"/>
      <c r="Q574" s="141"/>
      <c r="R574" s="141"/>
      <c r="S574" s="141"/>
      <c r="T574" s="141"/>
      <c r="U574" s="141"/>
      <c r="V574" s="141"/>
      <c r="W574" s="141"/>
      <c r="X574" s="141"/>
      <c r="Y574" s="141"/>
      <c r="Z574" s="141"/>
    </row>
    <row r="575">
      <c r="A575" s="141"/>
      <c r="B575" s="141" t="str">
        <f>IFERROR(__xludf.DUMMYFUNCTION("""COMPUTED_VALUE"""),"milligrams per liter (mg/L) [UO:0000273]                ")</f>
        <v>milligrams per liter (mg/L) [UO:0000273]                </v>
      </c>
      <c r="C575" s="141" t="str">
        <f>IFERROR(__xludf.DUMMYFUNCTION("""COMPUTED_VALUE"""),"UO:0000273")</f>
        <v>UO:0000273</v>
      </c>
      <c r="D575" s="141" t="str">
        <f>IFERROR(__xludf.DUMMYFUNCTION("""COMPUTED_VALUE"""),"A non-SI unit of density that is equivalent to the SI metric kilogram per cubic meter.")</f>
        <v>A non-SI unit of density that is equivalent to the SI metric kilogram per cubic meter.</v>
      </c>
      <c r="E575" s="141"/>
      <c r="F575" s="141"/>
      <c r="G575" s="141"/>
      <c r="H575" s="141"/>
      <c r="I575" s="141"/>
      <c r="J575" s="141"/>
      <c r="K575" s="141"/>
      <c r="L575" s="141"/>
      <c r="M575" s="141"/>
      <c r="N575" s="141"/>
      <c r="O575" s="141"/>
      <c r="P575" s="141"/>
      <c r="Q575" s="141"/>
      <c r="R575" s="141"/>
      <c r="S575" s="141"/>
      <c r="T575" s="141"/>
      <c r="U575" s="141"/>
      <c r="V575" s="141"/>
      <c r="W575" s="141"/>
      <c r="X575" s="141"/>
      <c r="Y575" s="141"/>
      <c r="Z575" s="141"/>
    </row>
    <row r="576">
      <c r="A576" s="141"/>
      <c r="B576" s="141" t="str">
        <f>IFERROR(__xludf.DUMMYFUNCTION("""COMPUTED_VALUE"""),"milligrams orthophosphate as phosphorus per liter (mg PO4-P/L) [GENEPIO:0100999]                ")</f>
        <v>milligrams orthophosphate as phosphorus per liter (mg PO4-P/L) [GENEPIO:0100999]                </v>
      </c>
      <c r="C576" s="141" t="str">
        <f>IFERROR(__xludf.DUMMYFUNCTION("""COMPUTED_VALUE"""),"GENEPIO:0100999")</f>
        <v>GENEPIO:0100999</v>
      </c>
      <c r="D576" s="141" t="str">
        <f>IFERROR(__xludf.DUMMYFUNCTION("""COMPUTED_VALUE"""),"A density unit comparing the weight of orthophosphate as phosphorus (PO4-P) in milligrams within a standard liter volume.")</f>
        <v>A density unit comparing the weight of orthophosphate as phosphorus (PO4-P) in milligrams within a standard liter volume.</v>
      </c>
      <c r="E576" s="141"/>
      <c r="F576" s="141"/>
      <c r="G576" s="141"/>
      <c r="H576" s="141"/>
      <c r="I576" s="141"/>
      <c r="J576" s="141"/>
      <c r="K576" s="141"/>
      <c r="L576" s="141"/>
      <c r="M576" s="141"/>
      <c r="N576" s="141"/>
      <c r="O576" s="141"/>
      <c r="P576" s="141"/>
      <c r="Q576" s="141"/>
      <c r="R576" s="141"/>
      <c r="S576" s="141"/>
      <c r="T576" s="141"/>
      <c r="U576" s="141"/>
      <c r="V576" s="141"/>
      <c r="W576" s="141"/>
      <c r="X576" s="141"/>
      <c r="Y576" s="141"/>
      <c r="Z576" s="141"/>
    </row>
    <row r="577">
      <c r="A577" s="141" t="str">
        <f>IFERROR(__xludf.DUMMYFUNCTION("""COMPUTED_VALUE"""),"fecal contamination indicator menu")</f>
        <v>fecal contamination indicator menu</v>
      </c>
      <c r="B577" s="141" t="str">
        <f>IFERROR(__xludf.DUMMYFUNCTION("""COMPUTED_VALUE"""),"                ")</f>
        <v>                </v>
      </c>
      <c r="C577" s="141" t="str">
        <f>IFERROR(__xludf.DUMMYFUNCTION("""COMPUTED_VALUE"""),"")</f>
        <v/>
      </c>
      <c r="D577" s="141"/>
      <c r="E577" s="141"/>
      <c r="F577" s="141"/>
      <c r="G577" s="141"/>
      <c r="H577" s="141"/>
      <c r="I577" s="141"/>
      <c r="J577" s="141"/>
      <c r="K577" s="141"/>
      <c r="L577" s="141"/>
      <c r="M577" s="141"/>
      <c r="N577" s="141"/>
      <c r="O577" s="141"/>
      <c r="P577" s="141"/>
      <c r="Q577" s="141"/>
      <c r="R577" s="141"/>
      <c r="S577" s="141"/>
      <c r="T577" s="141"/>
      <c r="U577" s="141"/>
      <c r="V577" s="141"/>
      <c r="W577" s="141"/>
      <c r="X577" s="141"/>
      <c r="Y577" s="141"/>
      <c r="Z577" s="141"/>
    </row>
    <row r="578">
      <c r="A578" s="141"/>
      <c r="B578" s="141" t="str">
        <f>IFERROR(__xludf.DUMMYFUNCTION("""COMPUTED_VALUE"""),"crAssphage [NCBITaxon:1211417]                ")</f>
        <v>crAssphage [NCBITaxon:1211417]                </v>
      </c>
      <c r="C578" s="141" t="str">
        <f>IFERROR(__xludf.DUMMYFUNCTION("""COMPUTED_VALUE"""),"NCBITaxon:1211417")</f>
        <v>NCBITaxon:1211417</v>
      </c>
      <c r="D578" s="141" t="str">
        <f>IFERROR(__xludf.DUMMYFUNCTION("""COMPUTED_VALUE"""),"CrAss-like phage, a bacteriophage discovered in 2014 in the human fecal metagenome.")</f>
        <v>CrAss-like phage, a bacteriophage discovered in 2014 in the human fecal metagenome.</v>
      </c>
      <c r="E578" s="141"/>
      <c r="F578" s="141"/>
      <c r="G578" s="141"/>
      <c r="H578" s="141"/>
      <c r="I578" s="141"/>
      <c r="J578" s="141"/>
      <c r="K578" s="141"/>
      <c r="L578" s="141"/>
      <c r="M578" s="141"/>
      <c r="N578" s="141"/>
      <c r="O578" s="141"/>
      <c r="P578" s="141"/>
      <c r="Q578" s="141"/>
      <c r="R578" s="141"/>
      <c r="S578" s="141"/>
      <c r="T578" s="141"/>
      <c r="U578" s="141"/>
      <c r="V578" s="141"/>
      <c r="W578" s="141"/>
      <c r="X578" s="141"/>
      <c r="Y578" s="141"/>
      <c r="Z578" s="141"/>
    </row>
    <row r="579">
      <c r="A579" s="141"/>
      <c r="B579" s="141" t="str">
        <f>IFERROR(__xludf.DUMMYFUNCTION("""COMPUTED_VALUE"""),"PMMoV / pepper mild mottle virus [NCBITaxon:12239]                ")</f>
        <v>PMMoV / pepper mild mottle virus [NCBITaxon:12239]                </v>
      </c>
      <c r="C579" s="141" t="str">
        <f>IFERROR(__xludf.DUMMYFUNCTION("""COMPUTED_VALUE"""),"NCBITaxon:12239")</f>
        <v>NCBITaxon:12239</v>
      </c>
      <c r="D579" s="141" t="str">
        <f>IFERROR(__xludf.DUMMYFUNCTION("""COMPUTED_VALUE"""),"A plant RNA virus that is abundant in human feces.")</f>
        <v>A plant RNA virus that is abundant in human feces.</v>
      </c>
      <c r="E579" s="141"/>
      <c r="F579" s="141"/>
      <c r="G579" s="141"/>
      <c r="H579" s="141"/>
      <c r="I579" s="141"/>
      <c r="J579" s="141"/>
      <c r="K579" s="141"/>
      <c r="L579" s="141"/>
      <c r="M579" s="141"/>
      <c r="N579" s="141"/>
      <c r="O579" s="141"/>
      <c r="P579" s="141"/>
      <c r="Q579" s="141"/>
      <c r="R579" s="141"/>
      <c r="S579" s="141"/>
      <c r="T579" s="141"/>
      <c r="U579" s="141"/>
      <c r="V579" s="141"/>
      <c r="W579" s="141"/>
      <c r="X579" s="141"/>
      <c r="Y579" s="141"/>
      <c r="Z579" s="141"/>
    </row>
    <row r="580">
      <c r="A580" s="141"/>
      <c r="B580" s="141" t="str">
        <f>IFERROR(__xludf.DUMMYFUNCTION("""COMPUTED_VALUE"""),"Bacteroides HF183 [GENEPIO:0101000]                ")</f>
        <v>Bacteroides HF183 [GENEPIO:0101000]                </v>
      </c>
      <c r="C580" s="141" t="str">
        <f>IFERROR(__xludf.DUMMYFUNCTION("""COMPUTED_VALUE"""),"GENEPIO:0101000")</f>
        <v>GENEPIO:0101000</v>
      </c>
      <c r="D580" s="141" t="str">
        <f>IFERROR(__xludf.DUMMYFUNCTION("""COMPUTED_VALUE"""),"A fecal indicator which is the most commonly used sewage-associated marker gene, belonging to the Bacteroides genus.")</f>
        <v>A fecal indicator which is the most commonly used sewage-associated marker gene, belonging to the Bacteroides genus.</v>
      </c>
      <c r="E580" s="141"/>
      <c r="F580" s="141"/>
      <c r="G580" s="141"/>
      <c r="H580" s="141"/>
      <c r="I580" s="141"/>
      <c r="J580" s="141"/>
      <c r="K580" s="141"/>
      <c r="L580" s="141"/>
      <c r="M580" s="141"/>
      <c r="N580" s="141"/>
      <c r="O580" s="141"/>
      <c r="P580" s="141"/>
      <c r="Q580" s="141"/>
      <c r="R580" s="141"/>
      <c r="S580" s="141"/>
      <c r="T580" s="141"/>
      <c r="U580" s="141"/>
      <c r="V580" s="141"/>
      <c r="W580" s="141"/>
      <c r="X580" s="141"/>
      <c r="Y580" s="141"/>
      <c r="Z580" s="141"/>
    </row>
    <row r="581">
      <c r="A581" s="141"/>
      <c r="B581" s="141" t="str">
        <f>IFERROR(__xludf.DUMMYFUNCTION("""COMPUTED_VALUE"""),"Lachnospiraceae Lachno3 [GENEPIO:0101001]                ")</f>
        <v>Lachnospiraceae Lachno3 [GENEPIO:0101001]                </v>
      </c>
      <c r="C581" s="141" t="str">
        <f>IFERROR(__xludf.DUMMYFUNCTION("""COMPUTED_VALUE"""),"GENEPIO:0101001")</f>
        <v>GENEPIO:0101001</v>
      </c>
      <c r="D581" s="141" t="str">
        <f>IFERROR(__xludf.DUMMYFUNCTION("""COMPUTED_VALUE"""),"A fecal indicator which is a human-associated genetic marker in the Lachnospiraceae family of bacteria.")</f>
        <v>A fecal indicator which is a human-associated genetic marker in the Lachnospiraceae family of bacteria.</v>
      </c>
      <c r="E581" s="141"/>
      <c r="F581" s="141"/>
      <c r="G581" s="141"/>
      <c r="H581" s="141"/>
      <c r="I581" s="141"/>
      <c r="J581" s="141"/>
      <c r="K581" s="141"/>
      <c r="L581" s="141"/>
      <c r="M581" s="141"/>
      <c r="N581" s="141"/>
      <c r="O581" s="141"/>
      <c r="P581" s="141"/>
      <c r="Q581" s="141"/>
      <c r="R581" s="141"/>
      <c r="S581" s="141"/>
      <c r="T581" s="141"/>
      <c r="U581" s="141"/>
      <c r="V581" s="141"/>
      <c r="W581" s="141"/>
      <c r="X581" s="141"/>
      <c r="Y581" s="141"/>
      <c r="Z581" s="141"/>
    </row>
    <row r="582">
      <c r="A582" s="141"/>
      <c r="B582" s="141" t="str">
        <f>IFERROR(__xludf.DUMMYFUNCTION("""COMPUTED_VALUE"""),"F+ (male specific) coliphages [GENEPIO:0101002]                ")</f>
        <v>F+ (male specific) coliphages [GENEPIO:0101002]                </v>
      </c>
      <c r="C582" s="141" t="str">
        <f>IFERROR(__xludf.DUMMYFUNCTION("""COMPUTED_VALUE"""),"GENEPIO:0101002")</f>
        <v>GENEPIO:0101002</v>
      </c>
      <c r="D582" s="141" t="str">
        <f>IFERROR(__xludf.DUMMYFUNCTION("""COMPUTED_VALUE"""),"A fecal indicator which is a bacteriophage that infects coliform bacteria and is used in water assessment.")</f>
        <v>A fecal indicator which is a bacteriophage that infects coliform bacteria and is used in water assessment.</v>
      </c>
      <c r="E582" s="141"/>
      <c r="F582" s="141"/>
      <c r="G582" s="141"/>
      <c r="H582" s="141"/>
      <c r="I582" s="141"/>
      <c r="J582" s="141"/>
      <c r="K582" s="141"/>
      <c r="L582" s="141"/>
      <c r="M582" s="141"/>
      <c r="N582" s="141"/>
      <c r="O582" s="141"/>
      <c r="P582" s="141"/>
      <c r="Q582" s="141"/>
      <c r="R582" s="141"/>
      <c r="S582" s="141"/>
      <c r="T582" s="141"/>
      <c r="U582" s="141"/>
      <c r="V582" s="141"/>
      <c r="W582" s="141"/>
      <c r="X582" s="141"/>
      <c r="Y582" s="141"/>
      <c r="Z582" s="141"/>
    </row>
    <row r="583">
      <c r="A583" s="141"/>
      <c r="B583" s="141" t="str">
        <f>IFERROR(__xludf.DUMMYFUNCTION("""COMPUTED_VALUE"""),"Stercobilin [CHEBI:26756]                ")</f>
        <v>Stercobilin [CHEBI:26756]                </v>
      </c>
      <c r="C583" s="141" t="str">
        <f>IFERROR(__xludf.DUMMYFUNCTION("""COMPUTED_VALUE"""),"CHEBI:26756")</f>
        <v>CHEBI:26756</v>
      </c>
      <c r="D583" s="141" t="str">
        <f>IFERROR(__xludf.DUMMYFUNCTION("""COMPUTED_VALUE"""),"Bile pigment found in fecal material.")</f>
        <v>Bile pigment found in fecal material.</v>
      </c>
      <c r="E583" s="141"/>
      <c r="F583" s="141"/>
      <c r="G583" s="141"/>
      <c r="H583" s="141"/>
      <c r="I583" s="141"/>
      <c r="J583" s="141"/>
      <c r="K583" s="141"/>
      <c r="L583" s="141"/>
      <c r="M583" s="141"/>
      <c r="N583" s="141"/>
      <c r="O583" s="141"/>
      <c r="P583" s="141"/>
      <c r="Q583" s="141"/>
      <c r="R583" s="141"/>
      <c r="S583" s="141"/>
      <c r="T583" s="141"/>
      <c r="U583" s="141"/>
      <c r="V583" s="141"/>
      <c r="W583" s="141"/>
      <c r="X583" s="141"/>
      <c r="Y583" s="141"/>
      <c r="Z583" s="141"/>
    </row>
    <row r="584">
      <c r="A584" s="141" t="str">
        <f>IFERROR(__xludf.DUMMYFUNCTION("""COMPUTED_VALUE"""),"fecal contamination unit menu")</f>
        <v>fecal contamination unit menu</v>
      </c>
      <c r="B584" s="141" t="str">
        <f>IFERROR(__xludf.DUMMYFUNCTION("""COMPUTED_VALUE"""),"                ")</f>
        <v>                </v>
      </c>
      <c r="C584" s="141" t="str">
        <f>IFERROR(__xludf.DUMMYFUNCTION("""COMPUTED_VALUE"""),"")</f>
        <v/>
      </c>
      <c r="D584" s="141"/>
      <c r="E584" s="141"/>
      <c r="F584" s="141"/>
      <c r="G584" s="141"/>
      <c r="H584" s="141"/>
      <c r="I584" s="141"/>
      <c r="J584" s="141"/>
      <c r="K584" s="141"/>
      <c r="L584" s="141"/>
      <c r="M584" s="141"/>
      <c r="N584" s="141"/>
      <c r="O584" s="141"/>
      <c r="P584" s="141"/>
      <c r="Q584" s="141"/>
      <c r="R584" s="141"/>
      <c r="S584" s="141"/>
      <c r="T584" s="141"/>
      <c r="U584" s="141"/>
      <c r="V584" s="141"/>
      <c r="W584" s="141"/>
      <c r="X584" s="141"/>
      <c r="Y584" s="141"/>
      <c r="Z584" s="141"/>
    </row>
    <row r="585">
      <c r="A585" s="141"/>
      <c r="B585" s="141" t="str">
        <f>IFERROR(__xludf.DUMMYFUNCTION("""COMPUTED_VALUE"""),"log10 gene copies per 100 milliliter (log10 GC/100 mL)                ")</f>
        <v>log10 gene copies per 100 milliliter (log10 GC/100 mL)                </v>
      </c>
      <c r="C585" s="141" t="str">
        <f>IFERROR(__xludf.DUMMYFUNCTION("""COMPUTED_VALUE"""),"")</f>
        <v/>
      </c>
      <c r="D585" s="141" t="str">
        <f>IFERROR(__xludf.DUMMYFUNCTION("""COMPUTED_VALUE"""),"A unit that expresses on a logarithmic scale the number of copies of a given gene within one hundred milliliters of a biological material.")</f>
        <v>A unit that expresses on a logarithmic scale the number of copies of a given gene within one hundred milliliters of a biological material.</v>
      </c>
      <c r="E585" s="141"/>
      <c r="F585" s="141"/>
      <c r="G585" s="141"/>
      <c r="H585" s="141"/>
      <c r="I585" s="141"/>
      <c r="J585" s="141"/>
      <c r="K585" s="141"/>
      <c r="L585" s="141"/>
      <c r="M585" s="141"/>
      <c r="N585" s="141"/>
      <c r="O585" s="141"/>
      <c r="P585" s="141"/>
      <c r="Q585" s="141"/>
      <c r="R585" s="141"/>
      <c r="S585" s="141"/>
      <c r="T585" s="141"/>
      <c r="U585" s="141"/>
      <c r="V585" s="141"/>
      <c r="W585" s="141"/>
      <c r="X585" s="141"/>
      <c r="Y585" s="141"/>
      <c r="Z585" s="141"/>
    </row>
    <row r="586">
      <c r="A586" s="141"/>
      <c r="B586" s="141" t="str">
        <f>IFERROR(__xludf.DUMMYFUNCTION("""COMPUTED_VALUE"""),"gene copies per liter (GC/L)                ")</f>
        <v>gene copies per liter (GC/L)                </v>
      </c>
      <c r="C586" s="141" t="str">
        <f>IFERROR(__xludf.DUMMYFUNCTION("""COMPUTED_VALUE"""),"")</f>
        <v/>
      </c>
      <c r="D586" s="141" t="str">
        <f>IFERROR(__xludf.DUMMYFUNCTION("""COMPUTED_VALUE"""),"A unit that measures the number of copies of a given gene within a liter of a biological material.")</f>
        <v>A unit that measures the number of copies of a given gene within a liter of a biological material.</v>
      </c>
      <c r="E586" s="141"/>
      <c r="F586" s="141"/>
      <c r="G586" s="141"/>
      <c r="H586" s="141"/>
      <c r="I586" s="141"/>
      <c r="J586" s="141"/>
      <c r="K586" s="141"/>
      <c r="L586" s="141"/>
      <c r="M586" s="141"/>
      <c r="N586" s="141"/>
      <c r="O586" s="141"/>
      <c r="P586" s="141"/>
      <c r="Q586" s="141"/>
      <c r="R586" s="141"/>
      <c r="S586" s="141"/>
      <c r="T586" s="141"/>
      <c r="U586" s="141"/>
      <c r="V586" s="141"/>
      <c r="W586" s="141"/>
      <c r="X586" s="141"/>
      <c r="Y586" s="141"/>
      <c r="Z586" s="141"/>
    </row>
    <row r="587">
      <c r="A587" s="141"/>
      <c r="B587" s="141" t="str">
        <f>IFERROR(__xludf.DUMMYFUNCTION("""COMPUTED_VALUE"""),"PCR quantification cycle [UO:0010077]                ")</f>
        <v>PCR quantification cycle [UO:0010077]                </v>
      </c>
      <c r="C587" s="141" t="str">
        <f>IFERROR(__xludf.DUMMYFUNCTION("""COMPUTED_VALUE"""),"UO:0010077")</f>
        <v>UO:0010077</v>
      </c>
      <c r="D587" s="141" t="str">
        <f>IFERROR(__xludf.DUMMYFUNCTION("""COMPUTED_VALUE"""),"A count unit of how many Polymerase Chain Reaction (PCR) cycles it took to detect a real signal from a sample. Equivalent to the PCR cycle number at which a sample's reaction curve intersects the threshold line.")</f>
        <v>A count unit of how many Polymerase Chain Reaction (PCR) cycles it took to detect a real signal from a sample. Equivalent to the PCR cycle number at which a sample's reaction curve intersects the threshold line.</v>
      </c>
      <c r="E587" s="141"/>
      <c r="F587" s="141"/>
      <c r="G587" s="141"/>
      <c r="H587" s="141"/>
      <c r="I587" s="141"/>
      <c r="J587" s="141"/>
      <c r="K587" s="141"/>
      <c r="L587" s="141"/>
      <c r="M587" s="141"/>
      <c r="N587" s="141"/>
      <c r="O587" s="141"/>
      <c r="P587" s="141"/>
      <c r="Q587" s="141"/>
      <c r="R587" s="141"/>
      <c r="S587" s="141"/>
      <c r="T587" s="141"/>
      <c r="U587" s="141"/>
      <c r="V587" s="141"/>
      <c r="W587" s="141"/>
      <c r="X587" s="141"/>
      <c r="Y587" s="141"/>
      <c r="Z587" s="141"/>
    </row>
    <row r="588">
      <c r="A588" s="141"/>
      <c r="B588" s="141" t="str">
        <f>IFERROR(__xludf.DUMMYFUNCTION("""COMPUTED_VALUE"""),"log10 gene copies per nanogram total DNA                ")</f>
        <v>log10 gene copies per nanogram total DNA                </v>
      </c>
      <c r="C588" s="141" t="str">
        <f>IFERROR(__xludf.DUMMYFUNCTION("""COMPUTED_VALUE"""),"")</f>
        <v/>
      </c>
      <c r="D588" s="141" t="str">
        <f>IFERROR(__xludf.DUMMYFUNCTION("""COMPUTED_VALUE"""),"A unit that expresses on a logarithmic scale the number of copies within a nanogram of deoxyribonucleic acid genetic material.")</f>
        <v>A unit that expresses on a logarithmic scale the number of copies within a nanogram of deoxyribonucleic acid genetic material.</v>
      </c>
      <c r="E588" s="141"/>
      <c r="F588" s="141"/>
      <c r="G588" s="141"/>
      <c r="H588" s="141"/>
      <c r="I588" s="141"/>
      <c r="J588" s="141"/>
      <c r="K588" s="141"/>
      <c r="L588" s="141"/>
      <c r="M588" s="141"/>
      <c r="N588" s="141"/>
      <c r="O588" s="141"/>
      <c r="P588" s="141"/>
      <c r="Q588" s="141"/>
      <c r="R588" s="141"/>
      <c r="S588" s="141"/>
      <c r="T588" s="141"/>
      <c r="U588" s="141"/>
      <c r="V588" s="141"/>
      <c r="W588" s="141"/>
      <c r="X588" s="141"/>
      <c r="Y588" s="141"/>
      <c r="Z588" s="141"/>
    </row>
    <row r="589">
      <c r="A589" s="141" t="str">
        <f>IFERROR(__xludf.DUMMYFUNCTION("""COMPUTED_VALUE"""),"urinary contamination indicator menu")</f>
        <v>urinary contamination indicator menu</v>
      </c>
      <c r="B589" s="141" t="str">
        <f>IFERROR(__xludf.DUMMYFUNCTION("""COMPUTED_VALUE"""),"                ")</f>
        <v>                </v>
      </c>
      <c r="C589" s="141" t="str">
        <f>IFERROR(__xludf.DUMMYFUNCTION("""COMPUTED_VALUE"""),"")</f>
        <v/>
      </c>
      <c r="D589" s="141"/>
      <c r="E589" s="141"/>
      <c r="F589" s="141"/>
      <c r="G589" s="141"/>
      <c r="H589" s="141"/>
      <c r="I589" s="141"/>
      <c r="J589" s="141"/>
      <c r="K589" s="141"/>
      <c r="L589" s="141"/>
      <c r="M589" s="141"/>
      <c r="N589" s="141"/>
      <c r="O589" s="141"/>
      <c r="P589" s="141"/>
      <c r="Q589" s="141"/>
      <c r="R589" s="141"/>
      <c r="S589" s="141"/>
      <c r="T589" s="141"/>
      <c r="U589" s="141"/>
      <c r="V589" s="141"/>
      <c r="W589" s="141"/>
      <c r="X589" s="141"/>
      <c r="Y589" s="141"/>
      <c r="Z589" s="141"/>
    </row>
    <row r="590">
      <c r="A590" s="141"/>
      <c r="B590" s="141" t="str">
        <f>IFERROR(__xludf.DUMMYFUNCTION("""COMPUTED_VALUE"""),"Urobilin [CHEBI:36378]                ")</f>
        <v>Urobilin [CHEBI:36378]                </v>
      </c>
      <c r="C590" s="141" t="str">
        <f>IFERROR(__xludf.DUMMYFUNCTION("""COMPUTED_VALUE"""),"CHEBI:36378")</f>
        <v>CHEBI:36378</v>
      </c>
      <c r="D590" s="141" t="str">
        <f>IFERROR(__xludf.DUMMYFUNCTION("""COMPUTED_VALUE"""),"A tetrapyrroledicarboxylic acid that causes the yellow color in urine. Also known as urochrome.")</f>
        <v>A tetrapyrroledicarboxylic acid that causes the yellow color in urine. Also known as urochrome.</v>
      </c>
      <c r="E590" s="141"/>
      <c r="F590" s="141"/>
      <c r="G590" s="141"/>
      <c r="H590" s="141"/>
      <c r="I590" s="141"/>
      <c r="J590" s="141"/>
      <c r="K590" s="141"/>
      <c r="L590" s="141"/>
      <c r="M590" s="141"/>
      <c r="N590" s="141"/>
      <c r="O590" s="141"/>
      <c r="P590" s="141"/>
      <c r="Q590" s="141"/>
      <c r="R590" s="141"/>
      <c r="S590" s="141"/>
      <c r="T590" s="141"/>
      <c r="U590" s="141"/>
      <c r="V590" s="141"/>
      <c r="W590" s="141"/>
      <c r="X590" s="141"/>
      <c r="Y590" s="141"/>
      <c r="Z590" s="141"/>
    </row>
    <row r="591">
      <c r="A591" s="141" t="str">
        <f>IFERROR(__xludf.DUMMYFUNCTION("""COMPUTED_VALUE"""),"urinary contamination unit menu")</f>
        <v>urinary contamination unit menu</v>
      </c>
      <c r="B591" s="141" t="str">
        <f>IFERROR(__xludf.DUMMYFUNCTION("""COMPUTED_VALUE"""),"                ")</f>
        <v>                </v>
      </c>
      <c r="C591" s="141" t="str">
        <f>IFERROR(__xludf.DUMMYFUNCTION("""COMPUTED_VALUE"""),"")</f>
        <v/>
      </c>
      <c r="D591" s="141"/>
      <c r="E591" s="141"/>
      <c r="F591" s="141"/>
      <c r="G591" s="141"/>
      <c r="H591" s="141"/>
      <c r="I591" s="141"/>
      <c r="J591" s="141"/>
      <c r="K591" s="141"/>
      <c r="L591" s="141"/>
      <c r="M591" s="141"/>
      <c r="N591" s="141"/>
      <c r="O591" s="141"/>
      <c r="P591" s="141"/>
      <c r="Q591" s="141"/>
      <c r="R591" s="141"/>
      <c r="S591" s="141"/>
      <c r="T591" s="141"/>
      <c r="U591" s="141"/>
      <c r="V591" s="141"/>
      <c r="W591" s="141"/>
      <c r="X591" s="141"/>
      <c r="Y591" s="141"/>
      <c r="Z591" s="141"/>
    </row>
    <row r="592">
      <c r="A592" s="141"/>
      <c r="B592" s="141" t="str">
        <f>IFERROR(__xludf.DUMMYFUNCTION("""COMPUTED_VALUE"""),"nanograms per liter (ng/L) [EFO:0004382]                ")</f>
        <v>nanograms per liter (ng/L) [EFO:0004382]                </v>
      </c>
      <c r="C592" s="141" t="str">
        <f>IFERROR(__xludf.DUMMYFUNCTION("""COMPUTED_VALUE"""),"EFO:0004382")</f>
        <v>EFO:0004382</v>
      </c>
      <c r="D592" s="141" t="str">
        <f>IFERROR(__xludf.DUMMYFUNCTION("""COMPUTED_VALUE"""),"A mass unit density which is equal to mass of an object in nanograms divided by the volume in liters.")</f>
        <v>A mass unit density which is equal to mass of an object in nanograms divided by the volume in liters.</v>
      </c>
      <c r="E592" s="141"/>
      <c r="F592" s="141"/>
      <c r="G592" s="141"/>
      <c r="H592" s="141"/>
      <c r="I592" s="141"/>
      <c r="J592" s="141"/>
      <c r="K592" s="141"/>
      <c r="L592" s="141"/>
      <c r="M592" s="141"/>
      <c r="N592" s="141"/>
      <c r="O592" s="141"/>
      <c r="P592" s="141"/>
      <c r="Q592" s="141"/>
      <c r="R592" s="141"/>
      <c r="S592" s="141"/>
      <c r="T592" s="141"/>
      <c r="U592" s="141"/>
      <c r="V592" s="141"/>
      <c r="W592" s="141"/>
      <c r="X592" s="141"/>
      <c r="Y592" s="141"/>
      <c r="Z592" s="141"/>
    </row>
    <row r="593">
      <c r="A593" s="141" t="str">
        <f>IFERROR(__xludf.DUMMYFUNCTION("""COMPUTED_VALUE"""),"fecal coliform count unit menu")</f>
        <v>fecal coliform count unit menu</v>
      </c>
      <c r="B593" s="141" t="str">
        <f>IFERROR(__xludf.DUMMYFUNCTION("""COMPUTED_VALUE"""),"                ")</f>
        <v>                </v>
      </c>
      <c r="C593" s="141" t="str">
        <f>IFERROR(__xludf.DUMMYFUNCTION("""COMPUTED_VALUE"""),"")</f>
        <v/>
      </c>
      <c r="D593" s="141"/>
      <c r="E593" s="141"/>
      <c r="F593" s="141"/>
      <c r="G593" s="141"/>
      <c r="H593" s="141"/>
      <c r="I593" s="141"/>
      <c r="J593" s="141"/>
      <c r="K593" s="141"/>
      <c r="L593" s="141"/>
      <c r="M593" s="141"/>
      <c r="N593" s="141"/>
      <c r="O593" s="141"/>
      <c r="P593" s="141"/>
      <c r="Q593" s="141"/>
      <c r="R593" s="141"/>
      <c r="S593" s="141"/>
      <c r="T593" s="141"/>
      <c r="U593" s="141"/>
      <c r="V593" s="141"/>
      <c r="W593" s="141"/>
      <c r="X593" s="141"/>
      <c r="Y593" s="141"/>
      <c r="Z593" s="141"/>
    </row>
    <row r="594">
      <c r="A594" s="141"/>
      <c r="B594" s="141" t="str">
        <f>IFERROR(__xludf.DUMMYFUNCTION("""COMPUTED_VALUE"""),"colony forming units per milliliter (CFU/mL) [UO:0000213]                ")</f>
        <v>colony forming units per milliliter (CFU/mL) [UO:0000213]                </v>
      </c>
      <c r="C594" s="141" t="str">
        <f>IFERROR(__xludf.DUMMYFUNCTION("""COMPUTED_VALUE"""),"UO:0000213")</f>
        <v>UO:0000213</v>
      </c>
      <c r="D594" s="141" t="str">
        <f>IFERROR(__xludf.DUMMYFUNCTION("""COMPUTED_VALUE"""),"A unit of microbial density that describes the number of colony forming units within a milliliter of material.")</f>
        <v>A unit of microbial density that describes the number of colony forming units within a milliliter of material.</v>
      </c>
      <c r="E594" s="141"/>
      <c r="F594" s="141"/>
      <c r="G594" s="141"/>
      <c r="H594" s="141"/>
      <c r="I594" s="141"/>
      <c r="J594" s="141"/>
      <c r="K594" s="141"/>
      <c r="L594" s="141"/>
      <c r="M594" s="141"/>
      <c r="N594" s="141"/>
      <c r="O594" s="141"/>
      <c r="P594" s="141"/>
      <c r="Q594" s="141"/>
      <c r="R594" s="141"/>
      <c r="S594" s="141"/>
      <c r="T594" s="141"/>
      <c r="U594" s="141"/>
      <c r="V594" s="141"/>
      <c r="W594" s="141"/>
      <c r="X594" s="141"/>
      <c r="Y594" s="141"/>
      <c r="Z594" s="141"/>
    </row>
    <row r="595">
      <c r="A595" s="141"/>
      <c r="B595" s="141" t="str">
        <f>IFERROR(__xludf.DUMMYFUNCTION("""COMPUTED_VALUE"""),"colony forming units per 100 milliliter (CFU/100 mL)                ")</f>
        <v>colony forming units per 100 milliliter (CFU/100 mL)                </v>
      </c>
      <c r="C595" s="141" t="str">
        <f>IFERROR(__xludf.DUMMYFUNCTION("""COMPUTED_VALUE"""),"")</f>
        <v/>
      </c>
      <c r="D595" s="141" t="str">
        <f>IFERROR(__xludf.DUMMYFUNCTION("""COMPUTED_VALUE"""),"A unit of microbial density that describes the number of colony forming units within 100 milliliters of material.")</f>
        <v>A unit of microbial density that describes the number of colony forming units within 100 milliliters of material.</v>
      </c>
      <c r="E595" s="141"/>
      <c r="F595" s="141"/>
      <c r="G595" s="141"/>
      <c r="H595" s="141"/>
      <c r="I595" s="141"/>
      <c r="J595" s="141"/>
      <c r="K595" s="141"/>
      <c r="L595" s="141"/>
      <c r="M595" s="141"/>
      <c r="N595" s="141"/>
      <c r="O595" s="141"/>
      <c r="P595" s="141"/>
      <c r="Q595" s="141"/>
      <c r="R595" s="141"/>
      <c r="S595" s="141"/>
      <c r="T595" s="141"/>
      <c r="U595" s="141"/>
      <c r="V595" s="141"/>
      <c r="W595" s="141"/>
      <c r="X595" s="141"/>
      <c r="Y595" s="141"/>
      <c r="Z595" s="141"/>
    </row>
    <row r="596">
      <c r="A596" s="141"/>
      <c r="B596" s="141" t="str">
        <f>IFERROR(__xludf.DUMMYFUNCTION("""COMPUTED_VALUE"""),"colony forming units per grams total solids (CFU/gTS)                ")</f>
        <v>colony forming units per grams total solids (CFU/gTS)                </v>
      </c>
      <c r="C596" s="141" t="str">
        <f>IFERROR(__xludf.DUMMYFUNCTION("""COMPUTED_VALUE"""),"")</f>
        <v/>
      </c>
      <c r="D596" s="141" t="str">
        <f>IFERROR(__xludf.DUMMYFUNCTION("""COMPUTED_VALUE"""),"A unit of microbial density that describes the number of colony forming units within a gram of total solids in waste material.")</f>
        <v>A unit of microbial density that describes the number of colony forming units within a gram of total solids in waste material.</v>
      </c>
      <c r="E596" s="141"/>
      <c r="F596" s="141"/>
      <c r="G596" s="141"/>
      <c r="H596" s="141"/>
      <c r="I596" s="141"/>
      <c r="J596" s="141"/>
      <c r="K596" s="141"/>
      <c r="L596" s="141"/>
      <c r="M596" s="141"/>
      <c r="N596" s="141"/>
      <c r="O596" s="141"/>
      <c r="P596" s="141"/>
      <c r="Q596" s="141"/>
      <c r="R596" s="141"/>
      <c r="S596" s="141"/>
      <c r="T596" s="141"/>
      <c r="U596" s="141"/>
      <c r="V596" s="141"/>
      <c r="W596" s="141"/>
      <c r="X596" s="141"/>
      <c r="Y596" s="141"/>
      <c r="Z596" s="141"/>
    </row>
    <row r="597">
      <c r="A597" s="141"/>
      <c r="B597" s="141" t="str">
        <f>IFERROR(__xludf.DUMMYFUNCTION("""COMPUTED_VALUE"""),"most probable number per milliliter (MPN/mL)                ")</f>
        <v>most probable number per milliliter (MPN/mL)                </v>
      </c>
      <c r="C597" s="141" t="str">
        <f>IFERROR(__xludf.DUMMYFUNCTION("""COMPUTED_VALUE"""),"")</f>
        <v/>
      </c>
      <c r="D597" s="141" t="str">
        <f>IFERROR(__xludf.DUMMYFUNCTION("""COMPUTED_VALUE"""),"A unit of microbial density that describes the most probable number of microbes within one milliliter of material.")</f>
        <v>A unit of microbial density that describes the most probable number of microbes within one milliliter of material.</v>
      </c>
      <c r="E597" s="141"/>
      <c r="F597" s="141"/>
      <c r="G597" s="141"/>
      <c r="H597" s="141"/>
      <c r="I597" s="141"/>
      <c r="J597" s="141"/>
      <c r="K597" s="141"/>
      <c r="L597" s="141"/>
      <c r="M597" s="141"/>
      <c r="N597" s="141"/>
      <c r="O597" s="141"/>
      <c r="P597" s="141"/>
      <c r="Q597" s="141"/>
      <c r="R597" s="141"/>
      <c r="S597" s="141"/>
      <c r="T597" s="141"/>
      <c r="U597" s="141"/>
      <c r="V597" s="141"/>
      <c r="W597" s="141"/>
      <c r="X597" s="141"/>
      <c r="Y597" s="141"/>
      <c r="Z597" s="141"/>
    </row>
    <row r="598">
      <c r="A598" s="141"/>
      <c r="B598" s="141" t="str">
        <f>IFERROR(__xludf.DUMMYFUNCTION("""COMPUTED_VALUE"""),"most probable number per 100 milliliter (MPN/100 mL)                ")</f>
        <v>most probable number per 100 milliliter (MPN/100 mL)                </v>
      </c>
      <c r="C598" s="141" t="str">
        <f>IFERROR(__xludf.DUMMYFUNCTION("""COMPUTED_VALUE"""),"")</f>
        <v/>
      </c>
      <c r="D598" s="141" t="str">
        <f>IFERROR(__xludf.DUMMYFUNCTION("""COMPUTED_VALUE"""),"A unit of microbial density that describes the most probable number of microbes within 100 milliliters of material.")</f>
        <v>A unit of microbial density that describes the most probable number of microbes within 100 milliliters of material.</v>
      </c>
      <c r="E598" s="141"/>
      <c r="F598" s="141"/>
      <c r="G598" s="141"/>
      <c r="H598" s="141"/>
      <c r="I598" s="141"/>
      <c r="J598" s="141"/>
      <c r="K598" s="141"/>
      <c r="L598" s="141"/>
      <c r="M598" s="141"/>
      <c r="N598" s="141"/>
      <c r="O598" s="141"/>
      <c r="P598" s="141"/>
      <c r="Q598" s="141"/>
      <c r="R598" s="141"/>
      <c r="S598" s="141"/>
      <c r="T598" s="141"/>
      <c r="U598" s="141"/>
      <c r="V598" s="141"/>
      <c r="W598" s="141"/>
      <c r="X598" s="141"/>
      <c r="Y598" s="141"/>
      <c r="Z598" s="141"/>
    </row>
    <row r="599">
      <c r="A599" s="141" t="str">
        <f>IFERROR(__xludf.DUMMYFUNCTION("""COMPUTED_VALUE"""),"sample temperature unit (at collection) menu")</f>
        <v>sample temperature unit (at collection) menu</v>
      </c>
      <c r="B599" s="141" t="str">
        <f>IFERROR(__xludf.DUMMYFUNCTION("""COMPUTED_VALUE"""),"                ")</f>
        <v>                </v>
      </c>
      <c r="C599" s="141" t="str">
        <f>IFERROR(__xludf.DUMMYFUNCTION("""COMPUTED_VALUE"""),"")</f>
        <v/>
      </c>
      <c r="D599" s="141"/>
      <c r="E599" s="141"/>
      <c r="F599" s="141"/>
      <c r="G599" s="141"/>
      <c r="H599" s="141"/>
      <c r="I599" s="141"/>
      <c r="J599" s="141"/>
      <c r="K599" s="141"/>
      <c r="L599" s="141"/>
      <c r="M599" s="141"/>
      <c r="N599" s="141"/>
      <c r="O599" s="141"/>
      <c r="P599" s="141"/>
      <c r="Q599" s="141"/>
      <c r="R599" s="141"/>
      <c r="S599" s="141"/>
      <c r="T599" s="141"/>
      <c r="U599" s="141"/>
      <c r="V599" s="141"/>
      <c r="W599" s="141"/>
      <c r="X599" s="141"/>
      <c r="Y599" s="141"/>
      <c r="Z599" s="141"/>
    </row>
    <row r="600">
      <c r="A600" s="141"/>
      <c r="B600" s="141" t="str">
        <f>IFERROR(__xludf.DUMMYFUNCTION("""COMPUTED_VALUE"""),"degree Fahrenheit (F) [UO:0000195]                ")</f>
        <v>degree Fahrenheit (F) [UO:0000195]                </v>
      </c>
      <c r="C600" s="141" t="str">
        <f>IFERROR(__xludf.DUMMYFUNCTION("""COMPUTED_VALUE"""),"UO:0000195")</f>
        <v>UO:0000195</v>
      </c>
      <c r="D600" s="141" t="str">
        <f>IFERROR(__xludf.DUMMYFUNCTION("""COMPUTED_VALUE"""),"A unit of temperature on a scale where water freezes at 32 degrees and boils at 212 degrees under standard conditions.")</f>
        <v>A unit of temperature on a scale where water freezes at 32 degrees and boils at 212 degrees under standard conditions.</v>
      </c>
      <c r="E600" s="141"/>
      <c r="F600" s="141"/>
      <c r="G600" s="141"/>
      <c r="H600" s="141"/>
      <c r="I600" s="141"/>
      <c r="J600" s="141"/>
      <c r="K600" s="141"/>
      <c r="L600" s="141"/>
      <c r="M600" s="141"/>
      <c r="N600" s="141"/>
      <c r="O600" s="141"/>
      <c r="P600" s="141"/>
      <c r="Q600" s="141"/>
      <c r="R600" s="141"/>
      <c r="S600" s="141"/>
      <c r="T600" s="141"/>
      <c r="U600" s="141"/>
      <c r="V600" s="141"/>
      <c r="W600" s="141"/>
      <c r="X600" s="141"/>
      <c r="Y600" s="141"/>
      <c r="Z600" s="141"/>
    </row>
    <row r="601">
      <c r="A601" s="141"/>
      <c r="B601" s="141" t="str">
        <f>IFERROR(__xludf.DUMMYFUNCTION("""COMPUTED_VALUE"""),"degree Celsius (C) [UO:0000027]                ")</f>
        <v>degree Celsius (C) [UO:0000027]                </v>
      </c>
      <c r="C601" s="141" t="str">
        <f>IFERROR(__xludf.DUMMYFUNCTION("""COMPUTED_VALUE"""),"UO:0000027")</f>
        <v>UO:0000027</v>
      </c>
      <c r="D601" s="141" t="str">
        <f>IFERROR(__xludf.DUMMYFUNCTION("""COMPUTED_VALUE"""),"A unit of temperature on a scale where water freezes at 0 degrees and boils at 100 degrees under standard conditions.")</f>
        <v>A unit of temperature on a scale where water freezes at 0 degrees and boils at 100 degrees under standard conditions.</v>
      </c>
      <c r="E601" s="141"/>
      <c r="F601" s="141"/>
      <c r="G601" s="141"/>
      <c r="H601" s="141"/>
      <c r="I601" s="141"/>
      <c r="J601" s="141"/>
      <c r="K601" s="141"/>
      <c r="L601" s="141"/>
      <c r="M601" s="141"/>
      <c r="N601" s="141"/>
      <c r="O601" s="141"/>
      <c r="P601" s="141"/>
      <c r="Q601" s="141"/>
      <c r="R601" s="141"/>
      <c r="S601" s="141"/>
      <c r="T601" s="141"/>
      <c r="U601" s="141"/>
      <c r="V601" s="141"/>
      <c r="W601" s="141"/>
      <c r="X601" s="141"/>
      <c r="Y601" s="141"/>
      <c r="Z601" s="141"/>
    </row>
    <row r="602">
      <c r="A602" s="141" t="str">
        <f>IFERROR(__xludf.DUMMYFUNCTION("""COMPUTED_VALUE"""),"sample temperature unit (when received) menu")</f>
        <v>sample temperature unit (when received) menu</v>
      </c>
      <c r="B602" s="141" t="str">
        <f>IFERROR(__xludf.DUMMYFUNCTION("""COMPUTED_VALUE"""),"                ")</f>
        <v>                </v>
      </c>
      <c r="C602" s="141" t="str">
        <f>IFERROR(__xludf.DUMMYFUNCTION("""COMPUTED_VALUE"""),"")</f>
        <v/>
      </c>
      <c r="D602" s="141"/>
      <c r="E602" s="141"/>
      <c r="F602" s="141"/>
      <c r="G602" s="141"/>
      <c r="H602" s="141"/>
      <c r="I602" s="141"/>
      <c r="J602" s="141"/>
      <c r="K602" s="141"/>
      <c r="L602" s="141"/>
      <c r="M602" s="141"/>
      <c r="N602" s="141"/>
      <c r="O602" s="141"/>
      <c r="P602" s="141"/>
      <c r="Q602" s="141"/>
      <c r="R602" s="141"/>
      <c r="S602" s="141"/>
      <c r="T602" s="141"/>
      <c r="U602" s="141"/>
      <c r="V602" s="141"/>
      <c r="W602" s="141"/>
      <c r="X602" s="141"/>
      <c r="Y602" s="141"/>
      <c r="Z602" s="141"/>
    </row>
    <row r="603">
      <c r="A603" s="141"/>
      <c r="B603" s="141" t="str">
        <f>IFERROR(__xludf.DUMMYFUNCTION("""COMPUTED_VALUE"""),"degree Fahrenheit (F) [UO:0000195]                ")</f>
        <v>degree Fahrenheit (F) [UO:0000195]                </v>
      </c>
      <c r="C603" s="141" t="str">
        <f>IFERROR(__xludf.DUMMYFUNCTION("""COMPUTED_VALUE"""),"UO:0000195")</f>
        <v>UO:0000195</v>
      </c>
      <c r="D603" s="141" t="str">
        <f>IFERROR(__xludf.DUMMYFUNCTION("""COMPUTED_VALUE"""),"A unit of temperature on a scale where water freezes at 32 degrees and boils at 212 degrees under standard conditions.")</f>
        <v>A unit of temperature on a scale where water freezes at 32 degrees and boils at 212 degrees under standard conditions.</v>
      </c>
      <c r="E603" s="141"/>
      <c r="F603" s="141"/>
      <c r="G603" s="141"/>
      <c r="H603" s="141"/>
      <c r="I603" s="141"/>
      <c r="J603" s="141"/>
      <c r="K603" s="141"/>
      <c r="L603" s="141"/>
      <c r="M603" s="141"/>
      <c r="N603" s="141"/>
      <c r="O603" s="141"/>
      <c r="P603" s="141"/>
      <c r="Q603" s="141"/>
      <c r="R603" s="141"/>
      <c r="S603" s="141"/>
      <c r="T603" s="141"/>
      <c r="U603" s="141"/>
      <c r="V603" s="141"/>
      <c r="W603" s="141"/>
      <c r="X603" s="141"/>
      <c r="Y603" s="141"/>
      <c r="Z603" s="141"/>
    </row>
    <row r="604">
      <c r="A604" s="141"/>
      <c r="B604" s="141" t="str">
        <f>IFERROR(__xludf.DUMMYFUNCTION("""COMPUTED_VALUE"""),"degree Celsius (C) [UO:0000027]                ")</f>
        <v>degree Celsius (C) [UO:0000027]                </v>
      </c>
      <c r="C604" s="141" t="str">
        <f>IFERROR(__xludf.DUMMYFUNCTION("""COMPUTED_VALUE"""),"UO:0000027")</f>
        <v>UO:0000027</v>
      </c>
      <c r="D604" s="141" t="str">
        <f>IFERROR(__xludf.DUMMYFUNCTION("""COMPUTED_VALUE"""),"A unit of temperature on a scale where water freezes at 0 degrees and boils at 100 degrees under standard conditions.")</f>
        <v>A unit of temperature on a scale where water freezes at 0 degrees and boils at 100 degrees under standard conditions.</v>
      </c>
      <c r="E604" s="141"/>
      <c r="F604" s="141"/>
      <c r="G604" s="141"/>
      <c r="H604" s="141"/>
      <c r="I604" s="141"/>
      <c r="J604" s="141"/>
      <c r="K604" s="141"/>
      <c r="L604" s="141"/>
      <c r="M604" s="141"/>
      <c r="N604" s="141"/>
      <c r="O604" s="141"/>
      <c r="P604" s="141"/>
      <c r="Q604" s="141"/>
      <c r="R604" s="141"/>
      <c r="S604" s="141"/>
      <c r="T604" s="141"/>
      <c r="U604" s="141"/>
      <c r="V604" s="141"/>
      <c r="W604" s="141"/>
      <c r="X604" s="141"/>
      <c r="Y604" s="141"/>
      <c r="Z604" s="141"/>
    </row>
    <row r="605">
      <c r="A605" s="141" t="str">
        <f>IFERROR(__xludf.DUMMYFUNCTION("""COMPUTED_VALUE"""),"purpose of sequencing menu")</f>
        <v>purpose of sequencing menu</v>
      </c>
      <c r="B605" s="141" t="str">
        <f>IFERROR(__xludf.DUMMYFUNCTION("""COMPUTED_VALUE"""),"                ")</f>
        <v>                </v>
      </c>
      <c r="C605" s="141" t="str">
        <f>IFERROR(__xludf.DUMMYFUNCTION("""COMPUTED_VALUE"""),"")</f>
        <v/>
      </c>
      <c r="D605" s="141"/>
      <c r="E605" s="141"/>
      <c r="F605" s="141"/>
      <c r="G605" s="141"/>
      <c r="H605" s="141"/>
      <c r="I605" s="141"/>
      <c r="J605" s="141"/>
      <c r="K605" s="141"/>
      <c r="L605" s="141"/>
      <c r="M605" s="141"/>
      <c r="N605" s="141"/>
      <c r="O605" s="141"/>
      <c r="P605" s="141"/>
      <c r="Q605" s="141"/>
      <c r="R605" s="141"/>
      <c r="S605" s="141"/>
      <c r="T605" s="141"/>
      <c r="U605" s="141"/>
      <c r="V605" s="141"/>
      <c r="W605" s="141"/>
      <c r="X605" s="141"/>
      <c r="Y605" s="141"/>
      <c r="Z605" s="141"/>
    </row>
    <row r="606">
      <c r="A606" s="141"/>
      <c r="B606" s="141" t="str">
        <f>IFERROR(__xludf.DUMMYFUNCTION("""COMPUTED_VALUE"""),"Baseline surveillance (random sampling) [GENEPIO:0100005]                ")</f>
        <v>Baseline surveillance (random sampling) [GENEPIO:0100005]                </v>
      </c>
      <c r="C606" s="141" t="str">
        <f>IFERROR(__xludf.DUMMYFUNCTION("""COMPUTED_VALUE"""),"GENEPIO:0100005")</f>
        <v>GENEPIO:0100005</v>
      </c>
      <c r="D606" s="141"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606" s="141"/>
      <c r="F606" s="141"/>
      <c r="G606" s="141"/>
      <c r="H606" s="141"/>
      <c r="I606" s="141"/>
      <c r="J606" s="141"/>
      <c r="K606" s="141"/>
      <c r="L606" s="141"/>
      <c r="M606" s="141"/>
      <c r="N606" s="141"/>
      <c r="O606" s="141"/>
      <c r="P606" s="141"/>
      <c r="Q606" s="141"/>
      <c r="R606" s="141"/>
      <c r="S606" s="141"/>
      <c r="T606" s="141"/>
      <c r="U606" s="141"/>
      <c r="V606" s="141"/>
      <c r="W606" s="141"/>
      <c r="X606" s="141"/>
      <c r="Y606" s="141"/>
      <c r="Z606" s="141"/>
    </row>
    <row r="607">
      <c r="A607" s="141"/>
      <c r="B607" s="141" t="str">
        <f>IFERROR(__xludf.DUMMYFUNCTION("""COMPUTED_VALUE"""),"Targeted surveillance (non-random sampling) [GENEPIO:0100006]                ")</f>
        <v>Targeted surveillance (non-random sampling) [GENEPIO:0100006]                </v>
      </c>
      <c r="C607" s="141" t="str">
        <f>IFERROR(__xludf.DUMMYFUNCTION("""COMPUTED_VALUE"""),"GENEPIO:0100006")</f>
        <v>GENEPIO:0100006</v>
      </c>
      <c r="D607" s="141" t="str">
        <f>IFERROR(__xludf.DUMMYFUNCTION("""COMPUTED_VALUE"""),"A surveillance sampling strategy in which an aspired outcome is explicitly stated.")</f>
        <v>A surveillance sampling strategy in which an aspired outcome is explicitly stated.</v>
      </c>
      <c r="E607" s="141"/>
      <c r="F607" s="141"/>
      <c r="G607" s="141"/>
      <c r="H607" s="141"/>
      <c r="I607" s="141"/>
      <c r="J607" s="141"/>
      <c r="K607" s="141"/>
      <c r="L607" s="141"/>
      <c r="M607" s="141"/>
      <c r="N607" s="141"/>
      <c r="O607" s="141"/>
      <c r="P607" s="141"/>
      <c r="Q607" s="141"/>
      <c r="R607" s="141"/>
      <c r="S607" s="141"/>
      <c r="T607" s="141"/>
      <c r="U607" s="141"/>
      <c r="V607" s="141"/>
      <c r="W607" s="141"/>
      <c r="X607" s="141"/>
      <c r="Y607" s="141"/>
      <c r="Z607" s="141"/>
    </row>
    <row r="608">
      <c r="A608" s="141"/>
      <c r="B608" s="141" t="str">
        <f>IFERROR(__xludf.DUMMYFUNCTION("""COMPUTED_VALUE"""),"Priority surveillance project [GENEPIO:0100007]                ")</f>
        <v>Priority surveillance project [GENEPIO:0100007]                </v>
      </c>
      <c r="C608" s="141" t="str">
        <f>IFERROR(__xludf.DUMMYFUNCTION("""COMPUTED_VALUE"""),"GENEPIO:0100007")</f>
        <v>GENEPIO:0100007</v>
      </c>
      <c r="D608" s="141" t="str">
        <f>IFERROR(__xludf.DUMMYFUNCTION("""COMPUTED_VALUE"""),"A targeted surveillance strategy which is considered important and/or urgent.")</f>
        <v>A targeted surveillance strategy which is considered important and/or urgent.</v>
      </c>
      <c r="E608" s="141"/>
      <c r="F608" s="141"/>
      <c r="G608" s="141"/>
      <c r="H608" s="141"/>
      <c r="I608" s="141"/>
      <c r="J608" s="141"/>
      <c r="K608" s="141"/>
      <c r="L608" s="141"/>
      <c r="M608" s="141"/>
      <c r="N608" s="141"/>
      <c r="O608" s="141"/>
      <c r="P608" s="141"/>
      <c r="Q608" s="141"/>
      <c r="R608" s="141"/>
      <c r="S608" s="141"/>
      <c r="T608" s="141"/>
      <c r="U608" s="141"/>
      <c r="V608" s="141"/>
      <c r="W608" s="141"/>
      <c r="X608" s="141"/>
      <c r="Y608" s="141"/>
      <c r="Z608" s="141"/>
    </row>
    <row r="609">
      <c r="A609" s="141"/>
      <c r="B609" s="141" t="str">
        <f>IFERROR(__xludf.DUMMYFUNCTION("""COMPUTED_VALUE"""),"Longitudinal surveillance (repeat sampling) [GENEPIO:0100009]                ")</f>
        <v>Longitudinal surveillance (repeat sampling) [GENEPIO:0100009]                </v>
      </c>
      <c r="C609" s="141" t="str">
        <f>IFERROR(__xludf.DUMMYFUNCTION("""COMPUTED_VALUE"""),"GENEPIO:0100009")</f>
        <v>GENEPIO:0100009</v>
      </c>
      <c r="D609" s="141" t="str">
        <f>IFERROR(__xludf.DUMMYFUNCTION("""COMPUTED_VALUE"""),"A surveillance strategy in which an individual or site is selected to undergo repeat sampling over a defined period of time.")</f>
        <v>A surveillance strategy in which an individual or site is selected to undergo repeat sampling over a defined period of time.</v>
      </c>
      <c r="E609" s="141"/>
      <c r="F609" s="141"/>
      <c r="G609" s="141"/>
      <c r="H609" s="141"/>
      <c r="I609" s="141"/>
      <c r="J609" s="141"/>
      <c r="K609" s="141"/>
      <c r="L609" s="141"/>
      <c r="M609" s="141"/>
      <c r="N609" s="141"/>
      <c r="O609" s="141"/>
      <c r="P609" s="141"/>
      <c r="Q609" s="141"/>
      <c r="R609" s="141"/>
      <c r="S609" s="141"/>
      <c r="T609" s="141"/>
      <c r="U609" s="141"/>
      <c r="V609" s="141"/>
      <c r="W609" s="141"/>
      <c r="X609" s="141"/>
      <c r="Y609" s="141"/>
      <c r="Z609" s="141"/>
    </row>
    <row r="610">
      <c r="A610" s="141"/>
      <c r="B610" s="141" t="str">
        <f>IFERROR(__xludf.DUMMYFUNCTION("""COMPUTED_VALUE"""),"Travel-associated surveillance [GENEPIO:0100012]                ")</f>
        <v>Travel-associated surveillance [GENEPIO:0100012]                </v>
      </c>
      <c r="C610" s="141" t="str">
        <f>IFERROR(__xludf.DUMMYFUNCTION("""COMPUTED_VALUE"""),"GENEPIO:0100012")</f>
        <v>GENEPIO:0100012</v>
      </c>
      <c r="D610" s="141" t="str">
        <f>IFERROR(__xludf.DUMMYFUNCTION("""COMPUTED_VALUE"""),"A surveillance strategy in which wastewater produced within travel hubs or travel vehicles are monitored.")</f>
        <v>A surveillance strategy in which wastewater produced within travel hubs or travel vehicles are monitored.</v>
      </c>
      <c r="E610" s="141"/>
      <c r="F610" s="141"/>
      <c r="G610" s="141"/>
      <c r="H610" s="141"/>
      <c r="I610" s="141"/>
      <c r="J610" s="141"/>
      <c r="K610" s="141"/>
      <c r="L610" s="141"/>
      <c r="M610" s="141"/>
      <c r="N610" s="141"/>
      <c r="O610" s="141"/>
      <c r="P610" s="141"/>
      <c r="Q610" s="141"/>
      <c r="R610" s="141"/>
      <c r="S610" s="141"/>
      <c r="T610" s="141"/>
      <c r="U610" s="141"/>
      <c r="V610" s="141"/>
      <c r="W610" s="141"/>
      <c r="X610" s="141"/>
      <c r="Y610" s="141"/>
      <c r="Z610" s="141"/>
    </row>
    <row r="611">
      <c r="A611" s="141"/>
      <c r="B611" s="141" t="str">
        <f>IFERROR(__xludf.DUMMYFUNCTION("""COMPUTED_VALUE"""),"    Domestic travel surveillance [GENEPIO:0100013]            ")</f>
        <v>    Domestic travel surveillance [GENEPIO:0100013]            </v>
      </c>
      <c r="C611" s="141" t="str">
        <f>IFERROR(__xludf.DUMMYFUNCTION("""COMPUTED_VALUE"""),"GENEPIO:0100013")</f>
        <v>GENEPIO:0100013</v>
      </c>
      <c r="D611" s="141" t="str">
        <f>IFERROR(__xludf.DUMMYFUNCTION("""COMPUTED_VALUE"""),"A surveillance strategy in which wastewater produced within travel hubs or travel vehicles are monitored, related to domestic travel.")</f>
        <v>A surveillance strategy in which wastewater produced within travel hubs or travel vehicles are monitored, related to domestic travel.</v>
      </c>
      <c r="E611" s="141"/>
      <c r="F611" s="141"/>
      <c r="G611" s="141"/>
      <c r="H611" s="141"/>
      <c r="I611" s="141"/>
      <c r="J611" s="141"/>
      <c r="K611" s="141"/>
      <c r="L611" s="141"/>
      <c r="M611" s="141"/>
      <c r="N611" s="141"/>
      <c r="O611" s="141"/>
      <c r="P611" s="141"/>
      <c r="Q611" s="141"/>
      <c r="R611" s="141"/>
      <c r="S611" s="141"/>
      <c r="T611" s="141"/>
      <c r="U611" s="141"/>
      <c r="V611" s="141"/>
      <c r="W611" s="141"/>
      <c r="X611" s="141"/>
      <c r="Y611" s="141"/>
      <c r="Z611" s="141"/>
    </row>
    <row r="612">
      <c r="A612" s="141"/>
      <c r="B612" s="141" t="str">
        <f>IFERROR(__xludf.DUMMYFUNCTION("""COMPUTED_VALUE"""),"    International travel surveillance [GENEPIO:0100014]            ")</f>
        <v>    International travel surveillance [GENEPIO:0100014]            </v>
      </c>
      <c r="C612" s="141" t="str">
        <f>IFERROR(__xludf.DUMMYFUNCTION("""COMPUTED_VALUE"""),"GENEPIO:0100014")</f>
        <v>GENEPIO:0100014</v>
      </c>
      <c r="D612" s="141" t="str">
        <f>IFERROR(__xludf.DUMMYFUNCTION("""COMPUTED_VALUE"""),"A surveillance strategy in which wastewater produced within travel hubs or travel vehicles are monitored, related to international travel.")</f>
        <v>A surveillance strategy in which wastewater produced within travel hubs or travel vehicles are monitored, related to international travel.</v>
      </c>
      <c r="E612" s="141"/>
      <c r="F612" s="141"/>
      <c r="G612" s="141"/>
      <c r="H612" s="141"/>
      <c r="I612" s="141"/>
      <c r="J612" s="141"/>
      <c r="K612" s="141"/>
      <c r="L612" s="141"/>
      <c r="M612" s="141"/>
      <c r="N612" s="141"/>
      <c r="O612" s="141"/>
      <c r="P612" s="141"/>
      <c r="Q612" s="141"/>
      <c r="R612" s="141"/>
      <c r="S612" s="141"/>
      <c r="T612" s="141"/>
      <c r="U612" s="141"/>
      <c r="V612" s="141"/>
      <c r="W612" s="141"/>
      <c r="X612" s="141"/>
      <c r="Y612" s="141"/>
      <c r="Z612" s="141"/>
    </row>
    <row r="613">
      <c r="A613" s="141"/>
      <c r="B613" s="141" t="str">
        <f>IFERROR(__xludf.DUMMYFUNCTION("""COMPUTED_VALUE"""),"Research [GENEPIO:0100022]                ")</f>
        <v>Research [GENEPIO:0100022]                </v>
      </c>
      <c r="C613" s="141" t="str">
        <f>IFERROR(__xludf.DUMMYFUNCTION("""COMPUTED_VALUE"""),"GENEPIO:0100022")</f>
        <v>GENEPIO:0100022</v>
      </c>
      <c r="D613" s="141" t="str">
        <f>IFERROR(__xludf.DUMMYFUNCTION("""COMPUTED_VALUE"""),"A sampling strategy in which sites are sampled in order to perform research.")</f>
        <v>A sampling strategy in which sites are sampled in order to perform research.</v>
      </c>
      <c r="E613" s="141"/>
      <c r="F613" s="141"/>
      <c r="G613" s="141"/>
      <c r="H613" s="141"/>
      <c r="I613" s="141"/>
      <c r="J613" s="141"/>
      <c r="K613" s="141"/>
      <c r="L613" s="141"/>
      <c r="M613" s="141"/>
      <c r="N613" s="141"/>
      <c r="O613" s="141"/>
      <c r="P613" s="141"/>
      <c r="Q613" s="141"/>
      <c r="R613" s="141"/>
      <c r="S613" s="141"/>
      <c r="T613" s="141"/>
      <c r="U613" s="141"/>
      <c r="V613" s="141"/>
      <c r="W613" s="141"/>
      <c r="X613" s="141"/>
      <c r="Y613" s="141"/>
      <c r="Z613" s="141"/>
    </row>
    <row r="614">
      <c r="A614" s="141"/>
      <c r="B614" s="141" t="str">
        <f>IFERROR(__xludf.DUMMYFUNCTION("""COMPUTED_VALUE"""),"    Viral passage experiment [GENEPIO:0100023]            ")</f>
        <v>    Viral passage experiment [GENEPIO:0100023]            </v>
      </c>
      <c r="C614" s="141" t="str">
        <f>IFERROR(__xludf.DUMMYFUNCTION("""COMPUTED_VALUE"""),"GENEPIO:0100023")</f>
        <v>GENEPIO:0100023</v>
      </c>
      <c r="D614" s="141" t="str">
        <f>IFERROR(__xludf.DUMMYFUNCTION("""COMPUTED_VALUE"""),"A research sampling strategy in which samples are selected in order to perform a viral passage experiment.")</f>
        <v>A research sampling strategy in which samples are selected in order to perform a viral passage experiment.</v>
      </c>
      <c r="E614" s="141"/>
      <c r="F614" s="141"/>
      <c r="G614" s="141"/>
      <c r="H614" s="141"/>
      <c r="I614" s="141"/>
      <c r="J614" s="141"/>
      <c r="K614" s="141"/>
      <c r="L614" s="141"/>
      <c r="M614" s="141"/>
      <c r="N614" s="141"/>
      <c r="O614" s="141"/>
      <c r="P614" s="141"/>
      <c r="Q614" s="141"/>
      <c r="R614" s="141"/>
      <c r="S614" s="141"/>
      <c r="T614" s="141"/>
      <c r="U614" s="141"/>
      <c r="V614" s="141"/>
      <c r="W614" s="141"/>
      <c r="X614" s="141"/>
      <c r="Y614" s="141"/>
      <c r="Z614" s="141"/>
    </row>
    <row r="615">
      <c r="A615" s="141"/>
      <c r="B615" s="141" t="str">
        <f>IFERROR(__xludf.DUMMYFUNCTION("""COMPUTED_VALUE"""),"    Protocol testing experiment [GENEPIO:0100024]            ")</f>
        <v>    Protocol testing experiment [GENEPIO:0100024]            </v>
      </c>
      <c r="C615" s="141" t="str">
        <f>IFERROR(__xludf.DUMMYFUNCTION("""COMPUTED_VALUE"""),"GENEPIO:0100024")</f>
        <v>GENEPIO:0100024</v>
      </c>
      <c r="D615" s="141" t="str">
        <f>IFERROR(__xludf.DUMMYFUNCTION("""COMPUTED_VALUE"""),"A research sampling strategy in which samples are collected in order to test a method or protocol.")</f>
        <v>A research sampling strategy in which samples are collected in order to test a method or protocol.</v>
      </c>
      <c r="E615" s="141"/>
      <c r="F615" s="141"/>
      <c r="G615" s="141"/>
      <c r="H615" s="141"/>
      <c r="I615" s="141"/>
      <c r="J615" s="141"/>
      <c r="K615" s="141"/>
      <c r="L615" s="141"/>
      <c r="M615" s="141"/>
      <c r="N615" s="141"/>
      <c r="O615" s="141"/>
      <c r="P615" s="141"/>
      <c r="Q615" s="141"/>
      <c r="R615" s="141"/>
      <c r="S615" s="141"/>
      <c r="T615" s="141"/>
      <c r="U615" s="141"/>
      <c r="V615" s="141"/>
      <c r="W615" s="141"/>
      <c r="X615" s="141"/>
      <c r="Y615" s="141"/>
      <c r="Z615" s="141"/>
    </row>
    <row r="616">
      <c r="A616" s="141" t="str">
        <f>IFERROR(__xludf.DUMMYFUNCTION("""COMPUTED_VALUE"""),"sequencing platform menu")</f>
        <v>sequencing platform menu</v>
      </c>
      <c r="B616" s="141" t="str">
        <f>IFERROR(__xludf.DUMMYFUNCTION("""COMPUTED_VALUE"""),"                ")</f>
        <v>                </v>
      </c>
      <c r="C616" s="141" t="str">
        <f>IFERROR(__xludf.DUMMYFUNCTION("""COMPUTED_VALUE"""),"")</f>
        <v/>
      </c>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c r="Z616" s="141"/>
    </row>
    <row r="617">
      <c r="A617" s="141"/>
      <c r="B617" s="141" t="str">
        <f>IFERROR(__xludf.DUMMYFUNCTION("""COMPUTED_VALUE"""),"Illumina [GENEPIO:0001923]                ")</f>
        <v>Illumina [GENEPIO:0001923]                </v>
      </c>
      <c r="C617" s="141" t="str">
        <f>IFERROR(__xludf.DUMMYFUNCTION("""COMPUTED_VALUE"""),"GENEPIO:0001923")</f>
        <v>GENEPIO:0001923</v>
      </c>
      <c r="D617" s="141" t="str">
        <f>IFERROR(__xludf.DUMMYFUNCTION("""COMPUTED_VALUE"""),"A sequencing platform provided by the Illumina company.")</f>
        <v>A sequencing platform provided by the Illumina company.</v>
      </c>
      <c r="E617" s="141"/>
      <c r="F617" s="141"/>
      <c r="G617" s="141"/>
      <c r="H617" s="141"/>
      <c r="I617" s="141"/>
      <c r="J617" s="141"/>
      <c r="K617" s="141"/>
      <c r="L617" s="141"/>
      <c r="M617" s="141"/>
      <c r="N617" s="141"/>
      <c r="O617" s="141"/>
      <c r="P617" s="141"/>
      <c r="Q617" s="141"/>
      <c r="R617" s="141"/>
      <c r="S617" s="141"/>
      <c r="T617" s="141"/>
      <c r="U617" s="141"/>
      <c r="V617" s="141"/>
      <c r="W617" s="141"/>
      <c r="X617" s="141"/>
      <c r="Y617" s="141"/>
      <c r="Z617" s="141"/>
    </row>
    <row r="618">
      <c r="A618" s="141"/>
      <c r="B618" s="141" t="str">
        <f>IFERROR(__xludf.DUMMYFUNCTION("""COMPUTED_VALUE"""),"Pacific Biosciences [GENEPIO:0001927]                ")</f>
        <v>Pacific Biosciences [GENEPIO:0001927]                </v>
      </c>
      <c r="C618" s="141" t="str">
        <f>IFERROR(__xludf.DUMMYFUNCTION("""COMPUTED_VALUE"""),"GENEPIO:0001927")</f>
        <v>GENEPIO:0001927</v>
      </c>
      <c r="D618" s="141" t="str">
        <f>IFERROR(__xludf.DUMMYFUNCTION("""COMPUTED_VALUE"""),"A sequencing platform provided by the Pacific Biosciences company.")</f>
        <v>A sequencing platform provided by the Pacific Biosciences company.</v>
      </c>
      <c r="E618" s="141"/>
      <c r="F618" s="141"/>
      <c r="G618" s="141"/>
      <c r="H618" s="141"/>
      <c r="I618" s="141"/>
      <c r="J618" s="141"/>
      <c r="K618" s="141"/>
      <c r="L618" s="141"/>
      <c r="M618" s="141"/>
      <c r="N618" s="141"/>
      <c r="O618" s="141"/>
      <c r="P618" s="141"/>
      <c r="Q618" s="141"/>
      <c r="R618" s="141"/>
      <c r="S618" s="141"/>
      <c r="T618" s="141"/>
      <c r="U618" s="141"/>
      <c r="V618" s="141"/>
      <c r="W618" s="141"/>
      <c r="X618" s="141"/>
      <c r="Y618" s="141"/>
      <c r="Z618" s="141"/>
    </row>
    <row r="619">
      <c r="A619" s="141"/>
      <c r="B619" s="141" t="str">
        <f>IFERROR(__xludf.DUMMYFUNCTION("""COMPUTED_VALUE"""),"Ion Torrent [GENEPIO:0002683]                ")</f>
        <v>Ion Torrent [GENEPIO:0002683]                </v>
      </c>
      <c r="C619" s="141" t="str">
        <f>IFERROR(__xludf.DUMMYFUNCTION("""COMPUTED_VALUE"""),"GENEPIO:0002683")</f>
        <v>GENEPIO:0002683</v>
      </c>
      <c r="D619" s="141" t="str">
        <f>IFERROR(__xludf.DUMMYFUNCTION("""COMPUTED_VALUE"""),"A sequencing platform provided by the Ion Torrent company.")</f>
        <v>A sequencing platform provided by the Ion Torrent company.</v>
      </c>
      <c r="E619" s="141"/>
      <c r="F619" s="141"/>
      <c r="G619" s="141"/>
      <c r="H619" s="141"/>
      <c r="I619" s="141"/>
      <c r="J619" s="141"/>
      <c r="K619" s="141"/>
      <c r="L619" s="141"/>
      <c r="M619" s="141"/>
      <c r="N619" s="141"/>
      <c r="O619" s="141"/>
      <c r="P619" s="141"/>
      <c r="Q619" s="141"/>
      <c r="R619" s="141"/>
      <c r="S619" s="141"/>
      <c r="T619" s="141"/>
      <c r="U619" s="141"/>
      <c r="V619" s="141"/>
      <c r="W619" s="141"/>
      <c r="X619" s="141"/>
      <c r="Y619" s="141"/>
      <c r="Z619" s="141"/>
    </row>
    <row r="620">
      <c r="A620" s="141"/>
      <c r="B620" s="141" t="str">
        <f>IFERROR(__xludf.DUMMYFUNCTION("""COMPUTED_VALUE"""),"Oxford Nanopore Technologies [GENEPIO:0100986]                ")</f>
        <v>Oxford Nanopore Technologies [GENEPIO:0100986]                </v>
      </c>
      <c r="C620" s="141" t="str">
        <f>IFERROR(__xludf.DUMMYFUNCTION("""COMPUTED_VALUE"""),"GENEPIO:0100986")</f>
        <v>GENEPIO:0100986</v>
      </c>
      <c r="D620" s="141" t="str">
        <f>IFERROR(__xludf.DUMMYFUNCTION("""COMPUTED_VALUE"""),"An sequencing platform that is developing and selling nanopore sequencing products and is based in the UK.")</f>
        <v>An sequencing platform that is developing and selling nanopore sequencing products and is based in the UK.</v>
      </c>
      <c r="E620" s="141"/>
      <c r="F620" s="141"/>
      <c r="G620" s="141"/>
      <c r="H620" s="141"/>
      <c r="I620" s="141"/>
      <c r="J620" s="141"/>
      <c r="K620" s="141"/>
      <c r="L620" s="141"/>
      <c r="M620" s="141"/>
      <c r="N620" s="141"/>
      <c r="O620" s="141"/>
      <c r="P620" s="141"/>
      <c r="Q620" s="141"/>
      <c r="R620" s="141"/>
      <c r="S620" s="141"/>
      <c r="T620" s="141"/>
      <c r="U620" s="141"/>
      <c r="V620" s="141"/>
      <c r="W620" s="141"/>
      <c r="X620" s="141"/>
      <c r="Y620" s="141"/>
      <c r="Z620" s="141"/>
    </row>
    <row r="621">
      <c r="A621" s="141"/>
      <c r="B621" s="141" t="str">
        <f>IFERROR(__xludf.DUMMYFUNCTION("""COMPUTED_VALUE"""),"BGI Genomics [GENEPIO:0004324]                ")</f>
        <v>BGI Genomics [GENEPIO:0004324]                </v>
      </c>
      <c r="C621" s="141" t="str">
        <f>IFERROR(__xludf.DUMMYFUNCTION("""COMPUTED_VALUE"""),"GENEPIO:0004324")</f>
        <v>GENEPIO:0004324</v>
      </c>
      <c r="D621" s="141" t="str">
        <f>IFERROR(__xludf.DUMMYFUNCTION("""COMPUTED_VALUE"""),"A sequencing platform provided by the BGI Genomics company.")</f>
        <v>A sequencing platform provided by the BGI Genomics company.</v>
      </c>
      <c r="E621" s="141"/>
      <c r="F621" s="141"/>
      <c r="G621" s="141"/>
      <c r="H621" s="141"/>
      <c r="I621" s="141"/>
      <c r="J621" s="141"/>
      <c r="K621" s="141"/>
      <c r="L621" s="141"/>
      <c r="M621" s="141"/>
      <c r="N621" s="141"/>
      <c r="O621" s="141"/>
      <c r="P621" s="141"/>
      <c r="Q621" s="141"/>
      <c r="R621" s="141"/>
      <c r="S621" s="141"/>
      <c r="T621" s="141"/>
      <c r="U621" s="141"/>
      <c r="V621" s="141"/>
      <c r="W621" s="141"/>
      <c r="X621" s="141"/>
      <c r="Y621" s="141"/>
      <c r="Z621" s="141"/>
    </row>
    <row r="622">
      <c r="A622" s="141"/>
      <c r="B622" s="141" t="str">
        <f>IFERROR(__xludf.DUMMYFUNCTION("""COMPUTED_VALUE"""),"MGI [GENEPIO:0004325]                ")</f>
        <v>MGI [GENEPIO:0004325]                </v>
      </c>
      <c r="C622" s="141" t="str">
        <f>IFERROR(__xludf.DUMMYFUNCTION("""COMPUTED_VALUE"""),"GENEPIO:0004325")</f>
        <v>GENEPIO:0004325</v>
      </c>
      <c r="D622" s="141" t="str">
        <f>IFERROR(__xludf.DUMMYFUNCTION("""COMPUTED_VALUE"""),"A sequencing platform provided by the MGI company.")</f>
        <v>A sequencing platform provided by the MGI company.</v>
      </c>
      <c r="E622" s="141"/>
      <c r="F622" s="141"/>
      <c r="G622" s="141"/>
      <c r="H622" s="141"/>
      <c r="I622" s="141"/>
      <c r="J622" s="141"/>
      <c r="K622" s="141"/>
      <c r="L622" s="141"/>
      <c r="M622" s="141"/>
      <c r="N622" s="141"/>
      <c r="O622" s="141"/>
      <c r="P622" s="141"/>
      <c r="Q622" s="141"/>
      <c r="R622" s="141"/>
      <c r="S622" s="141"/>
      <c r="T622" s="141"/>
      <c r="U622" s="141"/>
      <c r="V622" s="141"/>
      <c r="W622" s="141"/>
      <c r="X622" s="141"/>
      <c r="Y622" s="141"/>
      <c r="Z622" s="141"/>
    </row>
    <row r="623">
      <c r="A623" s="141"/>
      <c r="B623" s="141" t="str">
        <f>IFERROR(__xludf.DUMMYFUNCTION("""COMPUTED_VALUE"""),"Roche LS454 [GENEPIO:0001926]                ")</f>
        <v>Roche LS454 [GENEPIO:0001926]                </v>
      </c>
      <c r="C623" s="141" t="str">
        <f>IFERROR(__xludf.DUMMYFUNCTION("""COMPUTED_VALUE"""),"GENEPIO:0001926")</f>
        <v>GENEPIO:0001926</v>
      </c>
      <c r="D623" s="141" t="str">
        <f>IFERROR(__xludf.DUMMYFUNCTION("""COMPUTED_VALUE"""),"A sequencing platform provided by the 454 Life Sciences company.")</f>
        <v>A sequencing platform provided by the 454 Life Sciences company.</v>
      </c>
      <c r="E623" s="141"/>
      <c r="F623" s="141"/>
      <c r="G623" s="141"/>
      <c r="H623" s="141"/>
      <c r="I623" s="141"/>
      <c r="J623" s="141"/>
      <c r="K623" s="141"/>
      <c r="L623" s="141"/>
      <c r="M623" s="141"/>
      <c r="N623" s="141"/>
      <c r="O623" s="141"/>
      <c r="P623" s="141"/>
      <c r="Q623" s="141"/>
      <c r="R623" s="141"/>
      <c r="S623" s="141"/>
      <c r="T623" s="141"/>
      <c r="U623" s="141"/>
      <c r="V623" s="141"/>
      <c r="W623" s="141"/>
      <c r="X623" s="141"/>
      <c r="Y623" s="141"/>
      <c r="Z623" s="141"/>
    </row>
    <row r="624">
      <c r="A624" s="141"/>
      <c r="B624" s="141" t="str">
        <f>IFERROR(__xludf.DUMMYFUNCTION("""COMPUTED_VALUE"""),"SOLiD sequencing [GENEPIO:0002684]                ")</f>
        <v>SOLiD sequencing [GENEPIO:0002684]                </v>
      </c>
      <c r="C624" s="141" t="str">
        <f>IFERROR(__xludf.DUMMYFUNCTION("""COMPUTED_VALUE"""),"GENEPIO:0002684")</f>
        <v>GENEPIO:0002684</v>
      </c>
      <c r="D624" s="141" t="str">
        <f>IFERROR(__xludf.DUMMYFUNCTION("""COMPUTED_VALUE"""),"A sequencing platform provided by Life Technologies Corporation.")</f>
        <v>A sequencing platform provided by Life Technologies Corporation.</v>
      </c>
      <c r="E624" s="141"/>
      <c r="F624" s="141"/>
      <c r="G624" s="141"/>
      <c r="H624" s="141"/>
      <c r="I624" s="141"/>
      <c r="J624" s="141"/>
      <c r="K624" s="141"/>
      <c r="L624" s="141"/>
      <c r="M624" s="141"/>
      <c r="N624" s="141"/>
      <c r="O624" s="141"/>
      <c r="P624" s="141"/>
      <c r="Q624" s="141"/>
      <c r="R624" s="141"/>
      <c r="S624" s="141"/>
      <c r="T624" s="141"/>
      <c r="U624" s="141"/>
      <c r="V624" s="141"/>
      <c r="W624" s="141"/>
      <c r="X624" s="141"/>
      <c r="Y624" s="141"/>
      <c r="Z624" s="141"/>
    </row>
    <row r="625">
      <c r="A625" s="141"/>
      <c r="B625" s="141" t="str">
        <f>IFERROR(__xludf.DUMMYFUNCTION("""COMPUTED_VALUE"""),"Complete Genomics [GENEPIO:0001924]                ")</f>
        <v>Complete Genomics [GENEPIO:0001924]                </v>
      </c>
      <c r="C625" s="141" t="str">
        <f>IFERROR(__xludf.DUMMYFUNCTION("""COMPUTED_VALUE"""),"GENEPIO:0001924")</f>
        <v>GENEPIO:0001924</v>
      </c>
      <c r="D625" s="141" t="str">
        <f>IFERROR(__xludf.DUMMYFUNCTION("""COMPUTED_VALUE"""),"An in-house sequencing platform provided by Complete Genomics.")</f>
        <v>An in-house sequencing platform provided by Complete Genomics.</v>
      </c>
      <c r="E625" s="141"/>
      <c r="F625" s="141"/>
      <c r="G625" s="141"/>
      <c r="H625" s="141"/>
      <c r="I625" s="141"/>
      <c r="J625" s="141"/>
      <c r="K625" s="141"/>
      <c r="L625" s="141"/>
      <c r="M625" s="141"/>
      <c r="N625" s="141"/>
      <c r="O625" s="141"/>
      <c r="P625" s="141"/>
      <c r="Q625" s="141"/>
      <c r="R625" s="141"/>
      <c r="S625" s="141"/>
      <c r="T625" s="141"/>
      <c r="U625" s="141"/>
      <c r="V625" s="141"/>
      <c r="W625" s="141"/>
      <c r="X625" s="141"/>
      <c r="Y625" s="141"/>
      <c r="Z625" s="141"/>
    </row>
    <row r="626">
      <c r="A626" s="141"/>
      <c r="B626" s="141" t="str">
        <f>IFERROR(__xludf.DUMMYFUNCTION("""COMPUTED_VALUE"""),"Helicos [GENEPIO:0002682]                ")</f>
        <v>Helicos [GENEPIO:0002682]                </v>
      </c>
      <c r="C626" s="141" t="str">
        <f>IFERROR(__xludf.DUMMYFUNCTION("""COMPUTED_VALUE"""),"GENEPIO:0002682")</f>
        <v>GENEPIO:0002682</v>
      </c>
      <c r="D626" s="141" t="str">
        <f>IFERROR(__xludf.DUMMYFUNCTION("""COMPUTED_VALUE"""),"A sequencing platform brand provided by Helicos corporation (now defunct).")</f>
        <v>A sequencing platform brand provided by Helicos corporation (now defunct).</v>
      </c>
      <c r="E626" s="141"/>
      <c r="F626" s="141"/>
      <c r="G626" s="141"/>
      <c r="H626" s="141"/>
      <c r="I626" s="141"/>
      <c r="J626" s="141"/>
      <c r="K626" s="141"/>
      <c r="L626" s="141"/>
      <c r="M626" s="141"/>
      <c r="N626" s="141"/>
      <c r="O626" s="141"/>
      <c r="P626" s="141"/>
      <c r="Q626" s="141"/>
      <c r="R626" s="141"/>
      <c r="S626" s="141"/>
      <c r="T626" s="141"/>
      <c r="U626" s="141"/>
      <c r="V626" s="141"/>
      <c r="W626" s="141"/>
      <c r="X626" s="141"/>
      <c r="Y626" s="141"/>
      <c r="Z626" s="141"/>
    </row>
    <row r="627">
      <c r="A627" s="141"/>
      <c r="B627" s="141" t="str">
        <f>IFERROR(__xludf.DUMMYFUNCTION("""COMPUTED_VALUE"""),"Applied Biosystems [GENEPIO:0100985]                ")</f>
        <v>Applied Biosystems [GENEPIO:0100985]                </v>
      </c>
      <c r="C627" s="141" t="str">
        <f>IFERROR(__xludf.DUMMYFUNCTION("""COMPUTED_VALUE"""),"GENEPIO:0100985")</f>
        <v>GENEPIO:0100985</v>
      </c>
      <c r="D627" s="141" t="str">
        <f>IFERROR(__xludf.DUMMYFUNCTION("""COMPUTED_VALUE"""),"A sequencing platform provided by ThermoFisher.")</f>
        <v>A sequencing platform provided by ThermoFisher.</v>
      </c>
      <c r="E627" s="141"/>
      <c r="F627" s="141"/>
      <c r="G627" s="141"/>
      <c r="H627" s="141"/>
      <c r="I627" s="141"/>
      <c r="J627" s="141"/>
      <c r="K627" s="141"/>
      <c r="L627" s="141"/>
      <c r="M627" s="141"/>
      <c r="N627" s="141"/>
      <c r="O627" s="141"/>
      <c r="P627" s="141"/>
      <c r="Q627" s="141"/>
      <c r="R627" s="141"/>
      <c r="S627" s="141"/>
      <c r="T627" s="141"/>
      <c r="U627" s="141"/>
      <c r="V627" s="141"/>
      <c r="W627" s="141"/>
      <c r="X627" s="141"/>
      <c r="Y627" s="141"/>
      <c r="Z627" s="141"/>
    </row>
    <row r="628">
      <c r="A628" s="141" t="str">
        <f>IFERROR(__xludf.DUMMYFUNCTION("""COMPUTED_VALUE"""),"sequencing instrument menu")</f>
        <v>sequencing instrument menu</v>
      </c>
      <c r="B628" s="141" t="str">
        <f>IFERROR(__xludf.DUMMYFUNCTION("""COMPUTED_VALUE"""),"                ")</f>
        <v>                </v>
      </c>
      <c r="C628" s="141" t="str">
        <f>IFERROR(__xludf.DUMMYFUNCTION("""COMPUTED_VALUE"""),"")</f>
        <v/>
      </c>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c r="Z628" s="141"/>
    </row>
    <row r="629">
      <c r="A629" s="141"/>
      <c r="B629" s="141" t="str">
        <f>IFERROR(__xludf.DUMMYFUNCTION("""COMPUTED_VALUE"""),"Illumina [GENEPIO:0100105]                ")</f>
        <v>Illumina [GENEPIO:0100105]                </v>
      </c>
      <c r="C629" s="141" t="str">
        <f>IFERROR(__xludf.DUMMYFUNCTION("""COMPUTED_VALUE"""),"GENEPIO:0100105")</f>
        <v>GENEPIO:0100105</v>
      </c>
      <c r="D629" s="141" t="str">
        <f>IFERROR(__xludf.DUMMYFUNCTION("""COMPUTED_VALUE"""),"A DNA sequencer manufactured by the Illumina corporation.")</f>
        <v>A DNA sequencer manufactured by the Illumina corporation.</v>
      </c>
      <c r="E629" s="141"/>
      <c r="F629" s="141"/>
      <c r="G629" s="141"/>
      <c r="H629" s="141"/>
      <c r="I629" s="141"/>
      <c r="J629" s="141"/>
      <c r="K629" s="141"/>
      <c r="L629" s="141"/>
      <c r="M629" s="141"/>
      <c r="N629" s="141"/>
      <c r="O629" s="141"/>
      <c r="P629" s="141"/>
      <c r="Q629" s="141"/>
      <c r="R629" s="141"/>
      <c r="S629" s="141"/>
      <c r="T629" s="141"/>
      <c r="U629" s="141"/>
      <c r="V629" s="141"/>
      <c r="W629" s="141"/>
      <c r="X629" s="141"/>
      <c r="Y629" s="141"/>
      <c r="Z629" s="141"/>
    </row>
    <row r="630">
      <c r="A630" s="141"/>
      <c r="B630" s="141" t="str">
        <f>IFERROR(__xludf.DUMMYFUNCTION("""COMPUTED_VALUE"""),"    Illumina Genome Analyzer [GENEPIO:0100106]            ")</f>
        <v>    Illumina Genome Analyzer [GENEPIO:0100106]            </v>
      </c>
      <c r="C630" s="141" t="str">
        <f>IFERROR(__xludf.DUMMYFUNCTION("""COMPUTED_VALUE"""),"GENEPIO:0100106")</f>
        <v>GENEPIO:0100106</v>
      </c>
      <c r="D630" s="141"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E630" s="141"/>
      <c r="F630" s="141"/>
      <c r="G630" s="141"/>
      <c r="H630" s="141"/>
      <c r="I630" s="141"/>
      <c r="J630" s="141"/>
      <c r="K630" s="141"/>
      <c r="L630" s="141"/>
      <c r="M630" s="141"/>
      <c r="N630" s="141"/>
      <c r="O630" s="141"/>
      <c r="P630" s="141"/>
      <c r="Q630" s="141"/>
      <c r="R630" s="141"/>
      <c r="S630" s="141"/>
      <c r="T630" s="141"/>
      <c r="U630" s="141"/>
      <c r="V630" s="141"/>
      <c r="W630" s="141"/>
      <c r="X630" s="141"/>
      <c r="Y630" s="141"/>
      <c r="Z630" s="141"/>
    </row>
    <row r="631">
      <c r="A631" s="141"/>
      <c r="B631" s="141" t="str">
        <f>IFERROR(__xludf.DUMMYFUNCTION("""COMPUTED_VALUE"""),"    Illumina Genome Analyzer II [OBI:0000703]            ")</f>
        <v>    Illumina Genome Analyzer II [OBI:0000703]            </v>
      </c>
      <c r="C631" s="141" t="str">
        <f>IFERROR(__xludf.DUMMYFUNCTION("""COMPUTED_VALUE"""),"OBI:0000703")</f>
        <v>OBI:0000703</v>
      </c>
      <c r="D631" s="141" t="str">
        <f>IFERROR(__xludf.DUMMYFUNCTION("""COMPUTED_VALUE"""),"A DNA sequencer manufactured by the Illumina (Solexa) corporation, which supports sequencing of single or paired end clone libraries relying on sequencing by synthesis technology.")</f>
        <v>A DNA sequencer manufactured by the Illumina (Solexa) corporation, which supports sequencing of single or paired end clone libraries relying on sequencing by synthesis technology.</v>
      </c>
      <c r="E631" s="141"/>
      <c r="F631" s="141"/>
      <c r="G631" s="141"/>
      <c r="H631" s="141"/>
      <c r="I631" s="141"/>
      <c r="J631" s="141"/>
      <c r="K631" s="141"/>
      <c r="L631" s="141"/>
      <c r="M631" s="141"/>
      <c r="N631" s="141"/>
      <c r="O631" s="141"/>
      <c r="P631" s="141"/>
      <c r="Q631" s="141"/>
      <c r="R631" s="141"/>
      <c r="S631" s="141"/>
      <c r="T631" s="141"/>
      <c r="U631" s="141"/>
      <c r="V631" s="141"/>
      <c r="W631" s="141"/>
      <c r="X631" s="141"/>
      <c r="Y631" s="141"/>
      <c r="Z631" s="141"/>
    </row>
    <row r="632">
      <c r="A632" s="141"/>
      <c r="B632" s="141" t="str">
        <f>IFERROR(__xludf.DUMMYFUNCTION("""COMPUTED_VALUE"""),"    Illumina Genome Analyzer IIx [OBI:0002000]            ")</f>
        <v>    Illumina Genome Analyzer IIx [OBI:0002000]            </v>
      </c>
      <c r="C632" s="141" t="str">
        <f>IFERROR(__xludf.DUMMYFUNCTION("""COMPUTED_VALUE"""),"OBI:0002000")</f>
        <v>OBI:0002000</v>
      </c>
      <c r="D632" s="141"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E632" s="141"/>
      <c r="F632" s="141"/>
      <c r="G632" s="141"/>
      <c r="H632" s="141"/>
      <c r="I632" s="141"/>
      <c r="J632" s="141"/>
      <c r="K632" s="141"/>
      <c r="L632" s="141"/>
      <c r="M632" s="141"/>
      <c r="N632" s="141"/>
      <c r="O632" s="141"/>
      <c r="P632" s="141"/>
      <c r="Q632" s="141"/>
      <c r="R632" s="141"/>
      <c r="S632" s="141"/>
      <c r="T632" s="141"/>
      <c r="U632" s="141"/>
      <c r="V632" s="141"/>
      <c r="W632" s="141"/>
      <c r="X632" s="141"/>
      <c r="Y632" s="141"/>
      <c r="Z632" s="141"/>
    </row>
    <row r="633">
      <c r="A633" s="141"/>
      <c r="B633" s="141" t="str">
        <f>IFERROR(__xludf.DUMMYFUNCTION("""COMPUTED_VALUE"""),"    Illumina HiScanSQ [GENEPIO:0100109]            ")</f>
        <v>    Illumina HiScanSQ [GENEPIO:0100109]            </v>
      </c>
      <c r="C633" s="141" t="str">
        <f>IFERROR(__xludf.DUMMYFUNCTION("""COMPUTED_VALUE"""),"GENEPIO:0100109")</f>
        <v>GENEPIO:0100109</v>
      </c>
      <c r="D633" s="141"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E633" s="141"/>
      <c r="F633" s="141"/>
      <c r="G633" s="141"/>
      <c r="H633" s="141"/>
      <c r="I633" s="141"/>
      <c r="J633" s="141"/>
      <c r="K633" s="141"/>
      <c r="L633" s="141"/>
      <c r="M633" s="141"/>
      <c r="N633" s="141"/>
      <c r="O633" s="141"/>
      <c r="P633" s="141"/>
      <c r="Q633" s="141"/>
      <c r="R633" s="141"/>
      <c r="S633" s="141"/>
      <c r="T633" s="141"/>
      <c r="U633" s="141"/>
      <c r="V633" s="141"/>
      <c r="W633" s="141"/>
      <c r="X633" s="141"/>
      <c r="Y633" s="141"/>
      <c r="Z633" s="141"/>
    </row>
    <row r="634">
      <c r="A634" s="141"/>
      <c r="B634" s="141" t="str">
        <f>IFERROR(__xludf.DUMMYFUNCTION("""COMPUTED_VALUE"""),"    Illumina HiSeq [GENEPIO:0100110]            ")</f>
        <v>    Illumina HiSeq [GENEPIO:0100110]            </v>
      </c>
      <c r="C634" s="141" t="str">
        <f>IFERROR(__xludf.DUMMYFUNCTION("""COMPUTED_VALUE"""),"GENEPIO:0100110")</f>
        <v>GENEPIO:0100110</v>
      </c>
      <c r="D634" s="141"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E634" s="141"/>
      <c r="F634" s="141"/>
      <c r="G634" s="141"/>
      <c r="H634" s="141"/>
      <c r="I634" s="141"/>
      <c r="J634" s="141"/>
      <c r="K634" s="141"/>
      <c r="L634" s="141"/>
      <c r="M634" s="141"/>
      <c r="N634" s="141"/>
      <c r="O634" s="141"/>
      <c r="P634" s="141"/>
      <c r="Q634" s="141"/>
      <c r="R634" s="141"/>
      <c r="S634" s="141"/>
      <c r="T634" s="141"/>
      <c r="U634" s="141"/>
      <c r="V634" s="141"/>
      <c r="W634" s="141"/>
      <c r="X634" s="141"/>
      <c r="Y634" s="141"/>
      <c r="Z634" s="141"/>
    </row>
    <row r="635">
      <c r="A635" s="141"/>
      <c r="B635" s="141" t="str">
        <f>IFERROR(__xludf.DUMMYFUNCTION("""COMPUTED_VALUE"""),"        Illumina HiSeq X [GENEPIO:0100111]        ")</f>
        <v>        Illumina HiSeq X [GENEPIO:0100111]        </v>
      </c>
      <c r="C635" s="141" t="str">
        <f>IFERROR(__xludf.DUMMYFUNCTION("""COMPUTED_VALUE"""),"GENEPIO:0100111")</f>
        <v>GENEPIO:0100111</v>
      </c>
      <c r="D635" s="141" t="str">
        <f>IFERROR(__xludf.DUMMYFUNCTION("""COMPUTED_VALUE"""),"A DNA sequencer manufactured by the Illumina corporation using sequence-by-synthesis chemistry that enables sufficient depth and coverage to produce the first 30x human genome for $1000.")</f>
        <v>A DNA sequencer manufactured by the Illumina corporation using sequence-by-synthesis chemistry that enables sufficient depth and coverage to produce the first 30x human genome for $1000.</v>
      </c>
      <c r="E635" s="141"/>
      <c r="F635" s="141"/>
      <c r="G635" s="141"/>
      <c r="H635" s="141"/>
      <c r="I635" s="141"/>
      <c r="J635" s="141"/>
      <c r="K635" s="141"/>
      <c r="L635" s="141"/>
      <c r="M635" s="141"/>
      <c r="N635" s="141"/>
      <c r="O635" s="141"/>
      <c r="P635" s="141"/>
      <c r="Q635" s="141"/>
      <c r="R635" s="141"/>
      <c r="S635" s="141"/>
      <c r="T635" s="141"/>
      <c r="U635" s="141"/>
      <c r="V635" s="141"/>
      <c r="W635" s="141"/>
      <c r="X635" s="141"/>
      <c r="Y635" s="141"/>
      <c r="Z635" s="141"/>
    </row>
    <row r="636">
      <c r="A636" s="141"/>
      <c r="B636" s="141" t="str">
        <f>IFERROR(__xludf.DUMMYFUNCTION("""COMPUTED_VALUE"""),"        Illumina HiSeq X Five  [GENEPIO:0100112]        ")</f>
        <v>        Illumina HiSeq X Five  [GENEPIO:0100112]        </v>
      </c>
      <c r="C636" s="141" t="str">
        <f>IFERROR(__xludf.DUMMYFUNCTION("""COMPUTED_VALUE"""),"GENEPIO:0100112")</f>
        <v>GENEPIO:0100112</v>
      </c>
      <c r="D636" s="141"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E636" s="141"/>
      <c r="F636" s="141"/>
      <c r="G636" s="141"/>
      <c r="H636" s="141"/>
      <c r="I636" s="141"/>
      <c r="J636" s="141"/>
      <c r="K636" s="141"/>
      <c r="L636" s="141"/>
      <c r="M636" s="141"/>
      <c r="N636" s="141"/>
      <c r="O636" s="141"/>
      <c r="P636" s="141"/>
      <c r="Q636" s="141"/>
      <c r="R636" s="141"/>
      <c r="S636" s="141"/>
      <c r="T636" s="141"/>
      <c r="U636" s="141"/>
      <c r="V636" s="141"/>
      <c r="W636" s="141"/>
      <c r="X636" s="141"/>
      <c r="Y636" s="141"/>
      <c r="Z636" s="141"/>
    </row>
    <row r="637">
      <c r="A637" s="141"/>
      <c r="B637" s="141" t="str">
        <f>IFERROR(__xludf.DUMMYFUNCTION("""COMPUTED_VALUE"""),"        Illumina HiSeq X Ten [GENEPIO:0100113]        ")</f>
        <v>        Illumina HiSeq X Ten [GENEPIO:0100113]        </v>
      </c>
      <c r="C637" s="141" t="str">
        <f>IFERROR(__xludf.DUMMYFUNCTION("""COMPUTED_VALUE"""),"GENEPIO:0100113")</f>
        <v>GENEPIO:0100113</v>
      </c>
      <c r="D637" s="141" t="str">
        <f>IFERROR(__xludf.DUMMYFUNCTION("""COMPUTED_VALUE"""),"A DNA sequencer that consists of a set of 10 HiSeq X Sequencing Systems.")</f>
        <v>A DNA sequencer that consists of a set of 10 HiSeq X Sequencing Systems.</v>
      </c>
      <c r="E637" s="141"/>
      <c r="F637" s="141"/>
      <c r="G637" s="141"/>
      <c r="H637" s="141"/>
      <c r="I637" s="141"/>
      <c r="J637" s="141"/>
      <c r="K637" s="141"/>
      <c r="L637" s="141"/>
      <c r="M637" s="141"/>
      <c r="N637" s="141"/>
      <c r="O637" s="141"/>
      <c r="P637" s="141"/>
      <c r="Q637" s="141"/>
      <c r="R637" s="141"/>
      <c r="S637" s="141"/>
      <c r="T637" s="141"/>
      <c r="U637" s="141"/>
      <c r="V637" s="141"/>
      <c r="W637" s="141"/>
      <c r="X637" s="141"/>
      <c r="Y637" s="141"/>
      <c r="Z637" s="141"/>
    </row>
    <row r="638">
      <c r="A638" s="141"/>
      <c r="B638" s="141" t="str">
        <f>IFERROR(__xludf.DUMMYFUNCTION("""COMPUTED_VALUE"""),"        Illumina HiSeq 1000 [OBI:0002022]        ")</f>
        <v>        Illumina HiSeq 1000 [OBI:0002022]        </v>
      </c>
      <c r="C638" s="141" t="str">
        <f>IFERROR(__xludf.DUMMYFUNCTION("""COMPUTED_VALUE"""),"OBI:0002022")</f>
        <v>OBI:0002022</v>
      </c>
      <c r="D638" s="141"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E638" s="141"/>
      <c r="F638" s="141"/>
      <c r="G638" s="141"/>
      <c r="H638" s="141"/>
      <c r="I638" s="141"/>
      <c r="J638" s="141"/>
      <c r="K638" s="141"/>
      <c r="L638" s="141"/>
      <c r="M638" s="141"/>
      <c r="N638" s="141"/>
      <c r="O638" s="141"/>
      <c r="P638" s="141"/>
      <c r="Q638" s="141"/>
      <c r="R638" s="141"/>
      <c r="S638" s="141"/>
      <c r="T638" s="141"/>
      <c r="U638" s="141"/>
      <c r="V638" s="141"/>
      <c r="W638" s="141"/>
      <c r="X638" s="141"/>
      <c r="Y638" s="141"/>
      <c r="Z638" s="141"/>
    </row>
    <row r="639">
      <c r="A639" s="141"/>
      <c r="B639" s="141" t="str">
        <f>IFERROR(__xludf.DUMMYFUNCTION("""COMPUTED_VALUE"""),"        Illumina HiSeq 1500 [GENEPIO:0100115]        ")</f>
        <v>        Illumina HiSeq 1500 [GENEPIO:0100115]        </v>
      </c>
      <c r="C639" s="141" t="str">
        <f>IFERROR(__xludf.DUMMYFUNCTION("""COMPUTED_VALUE"""),"GENEPIO:0100115")</f>
        <v>GENEPIO:0100115</v>
      </c>
      <c r="D639" s="141" t="str">
        <f>IFERROR(__xludf.DUMMYFUNCTION("""COMPUTED_VALUE"""),"A DNA sequencer which is manufactured by the Illumina corporation, with a single flow cell and a throughput of up to 35-50 Gb per day.")</f>
        <v>A DNA sequencer which is manufactured by the Illumina corporation, with a single flow cell and a throughput of up to 35-50 Gb per day.</v>
      </c>
      <c r="E639" s="141"/>
      <c r="F639" s="141"/>
      <c r="G639" s="141"/>
      <c r="H639" s="141"/>
      <c r="I639" s="141"/>
      <c r="J639" s="141"/>
      <c r="K639" s="141"/>
      <c r="L639" s="141"/>
      <c r="M639" s="141"/>
      <c r="N639" s="141"/>
      <c r="O639" s="141"/>
      <c r="P639" s="141"/>
      <c r="Q639" s="141"/>
      <c r="R639" s="141"/>
      <c r="S639" s="141"/>
      <c r="T639" s="141"/>
      <c r="U639" s="141"/>
      <c r="V639" s="141"/>
      <c r="W639" s="141"/>
      <c r="X639" s="141"/>
      <c r="Y639" s="141"/>
      <c r="Z639" s="141"/>
    </row>
    <row r="640">
      <c r="A640" s="141"/>
      <c r="B640" s="141" t="str">
        <f>IFERROR(__xludf.DUMMYFUNCTION("""COMPUTED_VALUE"""),"        Illumina HiSeq 2000    [OBI:0002001]        ")</f>
        <v>        Illumina HiSeq 2000    [OBI:0002001]        </v>
      </c>
      <c r="C640" s="141" t="str">
        <f>IFERROR(__xludf.DUMMYFUNCTION("""COMPUTED_VALUE"""),"OBI:0002001")</f>
        <v>OBI:0002001</v>
      </c>
      <c r="D640" s="141"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E640" s="141"/>
      <c r="F640" s="141"/>
      <c r="G640" s="141"/>
      <c r="H640" s="141"/>
      <c r="I640" s="141"/>
      <c r="J640" s="141"/>
      <c r="K640" s="141"/>
      <c r="L640" s="141"/>
      <c r="M640" s="141"/>
      <c r="N640" s="141"/>
      <c r="O640" s="141"/>
      <c r="P640" s="141"/>
      <c r="Q640" s="141"/>
      <c r="R640" s="141"/>
      <c r="S640" s="141"/>
      <c r="T640" s="141"/>
      <c r="U640" s="141"/>
      <c r="V640" s="141"/>
      <c r="W640" s="141"/>
      <c r="X640" s="141"/>
      <c r="Y640" s="141"/>
      <c r="Z640" s="141"/>
    </row>
    <row r="641">
      <c r="A641" s="141"/>
      <c r="B641" s="141" t="str">
        <f>IFERROR(__xludf.DUMMYFUNCTION("""COMPUTED_VALUE"""),"        Illumina HiSeq 2500 [OBI:0002002]        ")</f>
        <v>        Illumina HiSeq 2500 [OBI:0002002]        </v>
      </c>
      <c r="C641" s="141" t="str">
        <f>IFERROR(__xludf.DUMMYFUNCTION("""COMPUTED_VALUE"""),"OBI:0002002")</f>
        <v>OBI:0002002</v>
      </c>
      <c r="D641" s="141"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E641" s="141"/>
      <c r="F641" s="141"/>
      <c r="G641" s="141"/>
      <c r="H641" s="141"/>
      <c r="I641" s="141"/>
      <c r="J641" s="141"/>
      <c r="K641" s="141"/>
      <c r="L641" s="141"/>
      <c r="M641" s="141"/>
      <c r="N641" s="141"/>
      <c r="O641" s="141"/>
      <c r="P641" s="141"/>
      <c r="Q641" s="141"/>
      <c r="R641" s="141"/>
      <c r="S641" s="141"/>
      <c r="T641" s="141"/>
      <c r="U641" s="141"/>
      <c r="V641" s="141"/>
      <c r="W641" s="141"/>
      <c r="X641" s="141"/>
      <c r="Y641" s="141"/>
      <c r="Z641" s="141"/>
    </row>
    <row r="642">
      <c r="A642" s="141"/>
      <c r="B642" s="141" t="str">
        <f>IFERROR(__xludf.DUMMYFUNCTION("""COMPUTED_VALUE"""),"        Illumina HiSeq 3000 [OBI:0002048]        ")</f>
        <v>        Illumina HiSeq 3000 [OBI:0002048]        </v>
      </c>
      <c r="C642" s="141" t="str">
        <f>IFERROR(__xludf.DUMMYFUNCTION("""COMPUTED_VALUE"""),"OBI:0002048")</f>
        <v>OBI:0002048</v>
      </c>
      <c r="D642" s="141"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E642" s="141"/>
      <c r="F642" s="141"/>
      <c r="G642" s="141"/>
      <c r="H642" s="141"/>
      <c r="I642" s="141"/>
      <c r="J642" s="141"/>
      <c r="K642" s="141"/>
      <c r="L642" s="141"/>
      <c r="M642" s="141"/>
      <c r="N642" s="141"/>
      <c r="O642" s="141"/>
      <c r="P642" s="141"/>
      <c r="Q642" s="141"/>
      <c r="R642" s="141"/>
      <c r="S642" s="141"/>
      <c r="T642" s="141"/>
      <c r="U642" s="141"/>
      <c r="V642" s="141"/>
      <c r="W642" s="141"/>
      <c r="X642" s="141"/>
      <c r="Y642" s="141"/>
      <c r="Z642" s="141"/>
    </row>
    <row r="643">
      <c r="A643" s="141"/>
      <c r="B643" s="141" t="str">
        <f>IFERROR(__xludf.DUMMYFUNCTION("""COMPUTED_VALUE"""),"        Illumina HiSeq 4000 [OBI:0002049]        ")</f>
        <v>        Illumina HiSeq 4000 [OBI:0002049]        </v>
      </c>
      <c r="C643" s="141" t="str">
        <f>IFERROR(__xludf.DUMMYFUNCTION("""COMPUTED_VALUE"""),"OBI:0002049")</f>
        <v>OBI:0002049</v>
      </c>
      <c r="D643" s="141"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E643" s="141"/>
      <c r="F643" s="141"/>
      <c r="G643" s="141"/>
      <c r="H643" s="141"/>
      <c r="I643" s="141"/>
      <c r="J643" s="141"/>
      <c r="K643" s="141"/>
      <c r="L643" s="141"/>
      <c r="M643" s="141"/>
      <c r="N643" s="141"/>
      <c r="O643" s="141"/>
      <c r="P643" s="141"/>
      <c r="Q643" s="141"/>
      <c r="R643" s="141"/>
      <c r="S643" s="141"/>
      <c r="T643" s="141"/>
      <c r="U643" s="141"/>
      <c r="V643" s="141"/>
      <c r="W643" s="141"/>
      <c r="X643" s="141"/>
      <c r="Y643" s="141"/>
      <c r="Z643" s="141"/>
    </row>
    <row r="644">
      <c r="A644" s="141"/>
      <c r="B644" s="141" t="str">
        <f>IFERROR(__xludf.DUMMYFUNCTION("""COMPUTED_VALUE"""),"    Illumina iSeq   [GENEPIO:0100120]            ")</f>
        <v>    Illumina iSeq   [GENEPIO:0100120]            </v>
      </c>
      <c r="C644" s="141" t="str">
        <f>IFERROR(__xludf.DUMMYFUNCTION("""COMPUTED_VALUE"""),"GENEPIO:0100120")</f>
        <v>GENEPIO:0100120</v>
      </c>
      <c r="D644" s="141"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E644" s="141"/>
      <c r="F644" s="141"/>
      <c r="G644" s="141"/>
      <c r="H644" s="141"/>
      <c r="I644" s="141"/>
      <c r="J644" s="141"/>
      <c r="K644" s="141"/>
      <c r="L644" s="141"/>
      <c r="M644" s="141"/>
      <c r="N644" s="141"/>
      <c r="O644" s="141"/>
      <c r="P644" s="141"/>
      <c r="Q644" s="141"/>
      <c r="R644" s="141"/>
      <c r="S644" s="141"/>
      <c r="T644" s="141"/>
      <c r="U644" s="141"/>
      <c r="V644" s="141"/>
      <c r="W644" s="141"/>
      <c r="X644" s="141"/>
      <c r="Y644" s="141"/>
      <c r="Z644" s="141"/>
    </row>
    <row r="645">
      <c r="A645" s="141"/>
      <c r="B645" s="141" t="str">
        <f>IFERROR(__xludf.DUMMYFUNCTION("""COMPUTED_VALUE"""),"        Illumina iSeq 100 [GENEPIO:0100121]        ")</f>
        <v>        Illumina iSeq 100 [GENEPIO:0100121]        </v>
      </c>
      <c r="C645" s="141" t="str">
        <f>IFERROR(__xludf.DUMMYFUNCTION("""COMPUTED_VALUE"""),"GENEPIO:0100121")</f>
        <v>GENEPIO:0100121</v>
      </c>
      <c r="D645" s="141"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645" s="141"/>
      <c r="F645" s="141"/>
      <c r="G645" s="141"/>
      <c r="H645" s="141"/>
      <c r="I645" s="141"/>
      <c r="J645" s="141"/>
      <c r="K645" s="141"/>
      <c r="L645" s="141"/>
      <c r="M645" s="141"/>
      <c r="N645" s="141"/>
      <c r="O645" s="141"/>
      <c r="P645" s="141"/>
      <c r="Q645" s="141"/>
      <c r="R645" s="141"/>
      <c r="S645" s="141"/>
      <c r="T645" s="141"/>
      <c r="U645" s="141"/>
      <c r="V645" s="141"/>
      <c r="W645" s="141"/>
      <c r="X645" s="141"/>
      <c r="Y645" s="141"/>
      <c r="Z645" s="141"/>
    </row>
    <row r="646">
      <c r="A646" s="141"/>
      <c r="B646" s="141" t="str">
        <f>IFERROR(__xludf.DUMMYFUNCTION("""COMPUTED_VALUE"""),"    Illumina NovaSeq   [GENEPIO:0100122]            ")</f>
        <v>    Illumina NovaSeq   [GENEPIO:0100122]            </v>
      </c>
      <c r="C646" s="141" t="str">
        <f>IFERROR(__xludf.DUMMYFUNCTION("""COMPUTED_VALUE"""),"GENEPIO:0100122")</f>
        <v>GENEPIO:0100122</v>
      </c>
      <c r="D646" s="141" t="str">
        <f>IFERROR(__xludf.DUMMYFUNCTION("""COMPUTED_VALUE"""),"A DNA sequencer manufactured by the Illumina corporation using sequence-by-synthesis chemistry that has an output capacity of 6 Tb and 20 billion reads in dual flow cell mode.")</f>
        <v>A DNA sequencer manufactured by the Illumina corporation using sequence-by-synthesis chemistry that has an output capacity of 6 Tb and 20 billion reads in dual flow cell mode.</v>
      </c>
      <c r="E646" s="141"/>
      <c r="F646" s="141"/>
      <c r="G646" s="141"/>
      <c r="H646" s="141"/>
      <c r="I646" s="141"/>
      <c r="J646" s="141"/>
      <c r="K646" s="141"/>
      <c r="L646" s="141"/>
      <c r="M646" s="141"/>
      <c r="N646" s="141"/>
      <c r="O646" s="141"/>
      <c r="P646" s="141"/>
      <c r="Q646" s="141"/>
      <c r="R646" s="141"/>
      <c r="S646" s="141"/>
      <c r="T646" s="141"/>
      <c r="U646" s="141"/>
      <c r="V646" s="141"/>
      <c r="W646" s="141"/>
      <c r="X646" s="141"/>
      <c r="Y646" s="141"/>
      <c r="Z646" s="141"/>
    </row>
    <row r="647">
      <c r="A647" s="141"/>
      <c r="B647" s="141" t="str">
        <f>IFERROR(__xludf.DUMMYFUNCTION("""COMPUTED_VALUE"""),"        Illumina NovaSeq 6000 [GENEPIO:0100123]        ")</f>
        <v>        Illumina NovaSeq 6000 [GENEPIO:0100123]        </v>
      </c>
      <c r="C647" s="141" t="str">
        <f>IFERROR(__xludf.DUMMYFUNCTION("""COMPUTED_VALUE"""),"GENEPIO:0100123")</f>
        <v>GENEPIO:0100123</v>
      </c>
      <c r="D647" s="141"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647" s="141"/>
      <c r="F647" s="141"/>
      <c r="G647" s="141"/>
      <c r="H647" s="141"/>
      <c r="I647" s="141"/>
      <c r="J647" s="141"/>
      <c r="K647" s="141"/>
      <c r="L647" s="141"/>
      <c r="M647" s="141"/>
      <c r="N647" s="141"/>
      <c r="O647" s="141"/>
      <c r="P647" s="141"/>
      <c r="Q647" s="141"/>
      <c r="R647" s="141"/>
      <c r="S647" s="141"/>
      <c r="T647" s="141"/>
      <c r="U647" s="141"/>
      <c r="V647" s="141"/>
      <c r="W647" s="141"/>
      <c r="X647" s="141"/>
      <c r="Y647" s="141"/>
      <c r="Z647" s="141"/>
    </row>
    <row r="648">
      <c r="A648" s="141"/>
      <c r="B648" s="141" t="str">
        <f>IFERROR(__xludf.DUMMYFUNCTION("""COMPUTED_VALUE"""),"    Illumina MiniSeq [GENEPIO:0100124]            ")</f>
        <v>    Illumina MiniSeq [GENEPIO:0100124]            </v>
      </c>
      <c r="C648" s="141" t="str">
        <f>IFERROR(__xludf.DUMMYFUNCTION("""COMPUTED_VALUE"""),"GENEPIO:0100124")</f>
        <v>GENEPIO:0100124</v>
      </c>
      <c r="D648" s="141"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648" s="141"/>
      <c r="F648" s="141"/>
      <c r="G648" s="141"/>
      <c r="H648" s="141"/>
      <c r="I648" s="141"/>
      <c r="J648" s="141"/>
      <c r="K648" s="141"/>
      <c r="L648" s="141"/>
      <c r="M648" s="141"/>
      <c r="N648" s="141"/>
      <c r="O648" s="141"/>
      <c r="P648" s="141"/>
      <c r="Q648" s="141"/>
      <c r="R648" s="141"/>
      <c r="S648" s="141"/>
      <c r="T648" s="141"/>
      <c r="U648" s="141"/>
      <c r="V648" s="141"/>
      <c r="W648" s="141"/>
      <c r="X648" s="141"/>
      <c r="Y648" s="141"/>
      <c r="Z648" s="141"/>
    </row>
    <row r="649">
      <c r="A649" s="141"/>
      <c r="B649" s="141" t="str">
        <f>IFERROR(__xludf.DUMMYFUNCTION("""COMPUTED_VALUE"""),"    Illumina MiSeq [OBI:0002003]            ")</f>
        <v>    Illumina MiSeq [OBI:0002003]            </v>
      </c>
      <c r="C649" s="141" t="str">
        <f>IFERROR(__xludf.DUMMYFUNCTION("""COMPUTED_VALUE"""),"OBI:0002003")</f>
        <v>OBI:0002003</v>
      </c>
      <c r="D649" s="141"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E649" s="141"/>
      <c r="F649" s="141"/>
      <c r="G649" s="141"/>
      <c r="H649" s="141"/>
      <c r="I649" s="141"/>
      <c r="J649" s="141"/>
      <c r="K649" s="141"/>
      <c r="L649" s="141"/>
      <c r="M649" s="141"/>
      <c r="N649" s="141"/>
      <c r="O649" s="141"/>
      <c r="P649" s="141"/>
      <c r="Q649" s="141"/>
      <c r="R649" s="141"/>
      <c r="S649" s="141"/>
      <c r="T649" s="141"/>
      <c r="U649" s="141"/>
      <c r="V649" s="141"/>
      <c r="W649" s="141"/>
      <c r="X649" s="141"/>
      <c r="Y649" s="141"/>
      <c r="Z649" s="141"/>
    </row>
    <row r="650">
      <c r="A650" s="141"/>
      <c r="B650" s="141" t="str">
        <f>IFERROR(__xludf.DUMMYFUNCTION("""COMPUTED_VALUE"""),"    Illumina NextSeq [GENEPIO:0100126]            ")</f>
        <v>    Illumina NextSeq [GENEPIO:0100126]            </v>
      </c>
      <c r="C650" s="141" t="str">
        <f>IFERROR(__xludf.DUMMYFUNCTION("""COMPUTED_VALUE"""),"GENEPIO:0100126")</f>
        <v>GENEPIO:0100126</v>
      </c>
      <c r="D650" s="141"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650" s="141"/>
      <c r="F650" s="141"/>
      <c r="G650" s="141"/>
      <c r="H650" s="141"/>
      <c r="I650" s="141"/>
      <c r="J650" s="141"/>
      <c r="K650" s="141"/>
      <c r="L650" s="141"/>
      <c r="M650" s="141"/>
      <c r="N650" s="141"/>
      <c r="O650" s="141"/>
      <c r="P650" s="141"/>
      <c r="Q650" s="141"/>
      <c r="R650" s="141"/>
      <c r="S650" s="141"/>
      <c r="T650" s="141"/>
      <c r="U650" s="141"/>
      <c r="V650" s="141"/>
      <c r="W650" s="141"/>
      <c r="X650" s="141"/>
      <c r="Y650" s="141"/>
      <c r="Z650" s="141"/>
    </row>
    <row r="651">
      <c r="A651" s="141"/>
      <c r="B651" s="141" t="str">
        <f>IFERROR(__xludf.DUMMYFUNCTION("""COMPUTED_VALUE"""),"        Illumina NextSeq 500 [OBI:0002021]        ")</f>
        <v>        Illumina NextSeq 500 [OBI:0002021]        </v>
      </c>
      <c r="C651" s="141" t="str">
        <f>IFERROR(__xludf.DUMMYFUNCTION("""COMPUTED_VALUE"""),"OBI:0002021")</f>
        <v>OBI:0002021</v>
      </c>
      <c r="D651" s="141"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E651" s="141"/>
      <c r="F651" s="141"/>
      <c r="G651" s="141"/>
      <c r="H651" s="141"/>
      <c r="I651" s="141"/>
      <c r="J651" s="141"/>
      <c r="K651" s="141"/>
      <c r="L651" s="141"/>
      <c r="M651" s="141"/>
      <c r="N651" s="141"/>
      <c r="O651" s="141"/>
      <c r="P651" s="141"/>
      <c r="Q651" s="141"/>
      <c r="R651" s="141"/>
      <c r="S651" s="141"/>
      <c r="T651" s="141"/>
      <c r="U651" s="141"/>
      <c r="V651" s="141"/>
      <c r="W651" s="141"/>
      <c r="X651" s="141"/>
      <c r="Y651" s="141"/>
      <c r="Z651" s="141"/>
    </row>
    <row r="652">
      <c r="A652" s="141"/>
      <c r="B652" s="141" t="str">
        <f>IFERROR(__xludf.DUMMYFUNCTION("""COMPUTED_VALUE"""),"        Illumina NextSeq 550 [GENEPIO:0100128]        ")</f>
        <v>        Illumina NextSeq 550 [GENEPIO:0100128]        </v>
      </c>
      <c r="C652" s="141" t="str">
        <f>IFERROR(__xludf.DUMMYFUNCTION("""COMPUTED_VALUE"""),"GENEPIO:0100128")</f>
        <v>GENEPIO:0100128</v>
      </c>
      <c r="D652" s="141"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E652" s="141"/>
      <c r="F652" s="141"/>
      <c r="G652" s="141"/>
      <c r="H652" s="141"/>
      <c r="I652" s="141"/>
      <c r="J652" s="141"/>
      <c r="K652" s="141"/>
      <c r="L652" s="141"/>
      <c r="M652" s="141"/>
      <c r="N652" s="141"/>
      <c r="O652" s="141"/>
      <c r="P652" s="141"/>
      <c r="Q652" s="141"/>
      <c r="R652" s="141"/>
      <c r="S652" s="141"/>
      <c r="T652" s="141"/>
      <c r="U652" s="141"/>
      <c r="V652" s="141"/>
      <c r="W652" s="141"/>
      <c r="X652" s="141"/>
      <c r="Y652" s="141"/>
      <c r="Z652" s="141"/>
    </row>
    <row r="653">
      <c r="A653" s="141"/>
      <c r="B653" s="141" t="str">
        <f>IFERROR(__xludf.DUMMYFUNCTION("""COMPUTED_VALUE"""),"        Illumina NextSeq 1000 [GENEPIO:0004432]        ")</f>
        <v>        Illumina NextSeq 1000 [GENEPIO:0004432]        </v>
      </c>
      <c r="C653" s="141" t="str">
        <f>IFERROR(__xludf.DUMMYFUNCTION("""COMPUTED_VALUE"""),"GENEPIO:0004432")</f>
        <v>GENEPIO:0004432</v>
      </c>
      <c r="D653" s="141"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E653" s="141"/>
      <c r="F653" s="141"/>
      <c r="G653" s="141"/>
      <c r="H653" s="141"/>
      <c r="I653" s="141"/>
      <c r="J653" s="141"/>
      <c r="K653" s="141"/>
      <c r="L653" s="141"/>
      <c r="M653" s="141"/>
      <c r="N653" s="141"/>
      <c r="O653" s="141"/>
      <c r="P653" s="141"/>
      <c r="Q653" s="141"/>
      <c r="R653" s="141"/>
      <c r="S653" s="141"/>
      <c r="T653" s="141"/>
      <c r="U653" s="141"/>
      <c r="V653" s="141"/>
      <c r="W653" s="141"/>
      <c r="X653" s="141"/>
      <c r="Y653" s="141"/>
      <c r="Z653" s="141"/>
    </row>
    <row r="654">
      <c r="A654" s="141"/>
      <c r="B654" s="141" t="str">
        <f>IFERROR(__xludf.DUMMYFUNCTION("""COMPUTED_VALUE"""),"        Illumina NextSeq 2000 [GENEPIO:0100129]        ")</f>
        <v>        Illumina NextSeq 2000 [GENEPIO:0100129]        </v>
      </c>
      <c r="C654" s="141" t="str">
        <f>IFERROR(__xludf.DUMMYFUNCTION("""COMPUTED_VALUE"""),"GENEPIO:0100129")</f>
        <v>GENEPIO:0100129</v>
      </c>
      <c r="D654" s="141"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654" s="141"/>
      <c r="F654" s="141"/>
      <c r="G654" s="141"/>
      <c r="H654" s="141"/>
      <c r="I654" s="141"/>
      <c r="J654" s="141"/>
      <c r="K654" s="141"/>
      <c r="L654" s="141"/>
      <c r="M654" s="141"/>
      <c r="N654" s="141"/>
      <c r="O654" s="141"/>
      <c r="P654" s="141"/>
      <c r="Q654" s="141"/>
      <c r="R654" s="141"/>
      <c r="S654" s="141"/>
      <c r="T654" s="141"/>
      <c r="U654" s="141"/>
      <c r="V654" s="141"/>
      <c r="W654" s="141"/>
      <c r="X654" s="141"/>
      <c r="Y654" s="141"/>
      <c r="Z654" s="141"/>
    </row>
    <row r="655">
      <c r="A655" s="141"/>
      <c r="B655" s="141" t="str">
        <f>IFERROR(__xludf.DUMMYFUNCTION("""COMPUTED_VALUE"""),"PacBio [GENEPIO:0100130]                ")</f>
        <v>PacBio [GENEPIO:0100130]                </v>
      </c>
      <c r="C655" s="141" t="str">
        <f>IFERROR(__xludf.DUMMYFUNCTION("""COMPUTED_VALUE"""),"GENEPIO:0100130")</f>
        <v>GENEPIO:0100130</v>
      </c>
      <c r="D655" s="141" t="str">
        <f>IFERROR(__xludf.DUMMYFUNCTION("""COMPUTED_VALUE"""),"A DNA sequencer manufactured by the Pacific Biosciences corporation.")</f>
        <v>A DNA sequencer manufactured by the Pacific Biosciences corporation.</v>
      </c>
      <c r="E655" s="141"/>
      <c r="F655" s="141"/>
      <c r="G655" s="141"/>
      <c r="H655" s="141"/>
      <c r="I655" s="141"/>
      <c r="J655" s="141"/>
      <c r="K655" s="141"/>
      <c r="L655" s="141"/>
      <c r="M655" s="141"/>
      <c r="N655" s="141"/>
      <c r="O655" s="141"/>
      <c r="P655" s="141"/>
      <c r="Q655" s="141"/>
      <c r="R655" s="141"/>
      <c r="S655" s="141"/>
      <c r="T655" s="141"/>
      <c r="U655" s="141"/>
      <c r="V655" s="141"/>
      <c r="W655" s="141"/>
      <c r="X655" s="141"/>
      <c r="Y655" s="141"/>
      <c r="Z655" s="141"/>
    </row>
    <row r="656">
      <c r="A656" s="141"/>
      <c r="B656" s="141" t="str">
        <f>IFERROR(__xludf.DUMMYFUNCTION("""COMPUTED_VALUE"""),"    PacBio RS  [GENEPIO:0100131]            ")</f>
        <v>    PacBio RS  [GENEPIO:0100131]            </v>
      </c>
      <c r="C656" s="141" t="str">
        <f>IFERROR(__xludf.DUMMYFUNCTION("""COMPUTED_VALUE"""),"GENEPIO:0100131")</f>
        <v>GENEPIO:0100131</v>
      </c>
      <c r="D656" s="141"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E656" s="141"/>
      <c r="F656" s="141"/>
      <c r="G656" s="141"/>
      <c r="H656" s="141"/>
      <c r="I656" s="141"/>
      <c r="J656" s="141"/>
      <c r="K656" s="141"/>
      <c r="L656" s="141"/>
      <c r="M656" s="141"/>
      <c r="N656" s="141"/>
      <c r="O656" s="141"/>
      <c r="P656" s="141"/>
      <c r="Q656" s="141"/>
      <c r="R656" s="141"/>
      <c r="S656" s="141"/>
      <c r="T656" s="141"/>
      <c r="U656" s="141"/>
      <c r="V656" s="141"/>
      <c r="W656" s="141"/>
      <c r="X656" s="141"/>
      <c r="Y656" s="141"/>
      <c r="Z656" s="141"/>
    </row>
    <row r="657">
      <c r="A657" s="141"/>
      <c r="B657" s="141" t="str">
        <f>IFERROR(__xludf.DUMMYFUNCTION("""COMPUTED_VALUE"""),"    PacBio RS II [OBI:0002012]            ")</f>
        <v>    PacBio RS II [OBI:0002012]            </v>
      </c>
      <c r="C657" s="141" t="str">
        <f>IFERROR(__xludf.DUMMYFUNCTION("""COMPUTED_VALUE"""),"OBI:0002012")</f>
        <v>OBI:0002012</v>
      </c>
      <c r="D657" s="141"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E657" s="141"/>
      <c r="F657" s="141"/>
      <c r="G657" s="141"/>
      <c r="H657" s="141"/>
      <c r="I657" s="141"/>
      <c r="J657" s="141"/>
      <c r="K657" s="141"/>
      <c r="L657" s="141"/>
      <c r="M657" s="141"/>
      <c r="N657" s="141"/>
      <c r="O657" s="141"/>
      <c r="P657" s="141"/>
      <c r="Q657" s="141"/>
      <c r="R657" s="141"/>
      <c r="S657" s="141"/>
      <c r="T657" s="141"/>
      <c r="U657" s="141"/>
      <c r="V657" s="141"/>
      <c r="W657" s="141"/>
      <c r="X657" s="141"/>
      <c r="Y657" s="141"/>
      <c r="Z657" s="141"/>
    </row>
    <row r="658">
      <c r="A658" s="141"/>
      <c r="B658" s="141" t="str">
        <f>IFERROR(__xludf.DUMMYFUNCTION("""COMPUTED_VALUE"""),"    PacBio Sequel [GENEPIO:0100133]            ")</f>
        <v>    PacBio Sequel [GENEPIO:0100133]            </v>
      </c>
      <c r="C658" s="141" t="str">
        <f>IFERROR(__xludf.DUMMYFUNCTION("""COMPUTED_VALUE"""),"GENEPIO:0100133")</f>
        <v>GENEPIO:0100133</v>
      </c>
      <c r="D658" s="141"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E658" s="141"/>
      <c r="F658" s="141"/>
      <c r="G658" s="141"/>
      <c r="H658" s="141"/>
      <c r="I658" s="141"/>
      <c r="J658" s="141"/>
      <c r="K658" s="141"/>
      <c r="L658" s="141"/>
      <c r="M658" s="141"/>
      <c r="N658" s="141"/>
      <c r="O658" s="141"/>
      <c r="P658" s="141"/>
      <c r="Q658" s="141"/>
      <c r="R658" s="141"/>
      <c r="S658" s="141"/>
      <c r="T658" s="141"/>
      <c r="U658" s="141"/>
      <c r="V658" s="141"/>
      <c r="W658" s="141"/>
      <c r="X658" s="141"/>
      <c r="Y658" s="141"/>
      <c r="Z658" s="141"/>
    </row>
    <row r="659">
      <c r="A659" s="141"/>
      <c r="B659" s="141" t="str">
        <f>IFERROR(__xludf.DUMMYFUNCTION("""COMPUTED_VALUE"""),"    PacBio Sequel II [GENEPIO:0100134]            ")</f>
        <v>    PacBio Sequel II [GENEPIO:0100134]            </v>
      </c>
      <c r="C659" s="141" t="str">
        <f>IFERROR(__xludf.DUMMYFUNCTION("""COMPUTED_VALUE"""),"GENEPIO:0100134")</f>
        <v>GENEPIO:0100134</v>
      </c>
      <c r="D659" s="141"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E659" s="141"/>
      <c r="F659" s="141"/>
      <c r="G659" s="141"/>
      <c r="H659" s="141"/>
      <c r="I659" s="141"/>
      <c r="J659" s="141"/>
      <c r="K659" s="141"/>
      <c r="L659" s="141"/>
      <c r="M659" s="141"/>
      <c r="N659" s="141"/>
      <c r="O659" s="141"/>
      <c r="P659" s="141"/>
      <c r="Q659" s="141"/>
      <c r="R659" s="141"/>
      <c r="S659" s="141"/>
      <c r="T659" s="141"/>
      <c r="U659" s="141"/>
      <c r="V659" s="141"/>
      <c r="W659" s="141"/>
      <c r="X659" s="141"/>
      <c r="Y659" s="141"/>
      <c r="Z659" s="141"/>
    </row>
    <row r="660">
      <c r="A660" s="141"/>
      <c r="B660" s="141" t="str">
        <f>IFERROR(__xludf.DUMMYFUNCTION("""COMPUTED_VALUE"""),"Ion Torrent [GENEPIO:0100135]                ")</f>
        <v>Ion Torrent [GENEPIO:0100135]                </v>
      </c>
      <c r="C660" s="141" t="str">
        <f>IFERROR(__xludf.DUMMYFUNCTION("""COMPUTED_VALUE"""),"GENEPIO:0100135")</f>
        <v>GENEPIO:0100135</v>
      </c>
      <c r="D660" s="141" t="str">
        <f>IFERROR(__xludf.DUMMYFUNCTION("""COMPUTED_VALUE"""),"A DNA sequencer manufactured by the Ion Torrent corporation.")</f>
        <v>A DNA sequencer manufactured by the Ion Torrent corporation.</v>
      </c>
      <c r="E660" s="141"/>
      <c r="F660" s="141"/>
      <c r="G660" s="141"/>
      <c r="H660" s="141"/>
      <c r="I660" s="141"/>
      <c r="J660" s="141"/>
      <c r="K660" s="141"/>
      <c r="L660" s="141"/>
      <c r="M660" s="141"/>
      <c r="N660" s="141"/>
      <c r="O660" s="141"/>
      <c r="P660" s="141"/>
      <c r="Q660" s="141"/>
      <c r="R660" s="141"/>
      <c r="S660" s="141"/>
      <c r="T660" s="141"/>
      <c r="U660" s="141"/>
      <c r="V660" s="141"/>
      <c r="W660" s="141"/>
      <c r="X660" s="141"/>
      <c r="Y660" s="141"/>
      <c r="Z660" s="141"/>
    </row>
    <row r="661">
      <c r="A661" s="141"/>
      <c r="B661" s="141" t="str">
        <f>IFERROR(__xludf.DUMMYFUNCTION("""COMPUTED_VALUE"""),"    Ion Torrent PGM [GENEPIO:0100136]            ")</f>
        <v>    Ion Torrent PGM [GENEPIO:0100136]            </v>
      </c>
      <c r="C661" s="141" t="str">
        <f>IFERROR(__xludf.DUMMYFUNCTION("""COMPUTED_VALUE"""),"GENEPIO:0100136")</f>
        <v>GENEPIO:0100136</v>
      </c>
      <c r="D661" s="141"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E661" s="141"/>
      <c r="F661" s="141"/>
      <c r="G661" s="141"/>
      <c r="H661" s="141"/>
      <c r="I661" s="141"/>
      <c r="J661" s="141"/>
      <c r="K661" s="141"/>
      <c r="L661" s="141"/>
      <c r="M661" s="141"/>
      <c r="N661" s="141"/>
      <c r="O661" s="141"/>
      <c r="P661" s="141"/>
      <c r="Q661" s="141"/>
      <c r="R661" s="141"/>
      <c r="S661" s="141"/>
      <c r="T661" s="141"/>
      <c r="U661" s="141"/>
      <c r="V661" s="141"/>
      <c r="W661" s="141"/>
      <c r="X661" s="141"/>
      <c r="Y661" s="141"/>
      <c r="Z661" s="141"/>
    </row>
    <row r="662">
      <c r="A662" s="141"/>
      <c r="B662" s="141" t="str">
        <f>IFERROR(__xludf.DUMMYFUNCTION("""COMPUTED_VALUE"""),"    Ion Torrent Proton [GENEPIO:0100137]            ")</f>
        <v>    Ion Torrent Proton [GENEPIO:0100137]            </v>
      </c>
      <c r="C662" s="141" t="str">
        <f>IFERROR(__xludf.DUMMYFUNCTION("""COMPUTED_VALUE"""),"GENEPIO:0100137")</f>
        <v>GENEPIO:0100137</v>
      </c>
      <c r="D662" s="141"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E662" s="141"/>
      <c r="F662" s="141"/>
      <c r="G662" s="141"/>
      <c r="H662" s="141"/>
      <c r="I662" s="141"/>
      <c r="J662" s="141"/>
      <c r="K662" s="141"/>
      <c r="L662" s="141"/>
      <c r="M662" s="141"/>
      <c r="N662" s="141"/>
      <c r="O662" s="141"/>
      <c r="P662" s="141"/>
      <c r="Q662" s="141"/>
      <c r="R662" s="141"/>
      <c r="S662" s="141"/>
      <c r="T662" s="141"/>
      <c r="U662" s="141"/>
      <c r="V662" s="141"/>
      <c r="W662" s="141"/>
      <c r="X662" s="141"/>
      <c r="Y662" s="141"/>
      <c r="Z662" s="141"/>
    </row>
    <row r="663">
      <c r="A663" s="141"/>
      <c r="B663" s="141" t="str">
        <f>IFERROR(__xludf.DUMMYFUNCTION("""COMPUTED_VALUE"""),"    Ion Torrent S5 XL [GENEPIO:0100138]            ")</f>
        <v>    Ion Torrent S5 XL [GENEPIO:0100138]            </v>
      </c>
      <c r="C663" s="141" t="str">
        <f>IFERROR(__xludf.DUMMYFUNCTION("""COMPUTED_VALUE"""),"GENEPIO:0100138")</f>
        <v>GENEPIO:0100138</v>
      </c>
      <c r="D663" s="141"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E663" s="141"/>
      <c r="F663" s="141"/>
      <c r="G663" s="141"/>
      <c r="H663" s="141"/>
      <c r="I663" s="141"/>
      <c r="J663" s="141"/>
      <c r="K663" s="141"/>
      <c r="L663" s="141"/>
      <c r="M663" s="141"/>
      <c r="N663" s="141"/>
      <c r="O663" s="141"/>
      <c r="P663" s="141"/>
      <c r="Q663" s="141"/>
      <c r="R663" s="141"/>
      <c r="S663" s="141"/>
      <c r="T663" s="141"/>
      <c r="U663" s="141"/>
      <c r="V663" s="141"/>
      <c r="W663" s="141"/>
      <c r="X663" s="141"/>
      <c r="Y663" s="141"/>
      <c r="Z663" s="141"/>
    </row>
    <row r="664">
      <c r="A664" s="141"/>
      <c r="B664" s="141" t="str">
        <f>IFERROR(__xludf.DUMMYFUNCTION("""COMPUTED_VALUE"""),"    Ion Torrent S5 [GENEPIO:0100139]            ")</f>
        <v>    Ion Torrent S5 [GENEPIO:0100139]            </v>
      </c>
      <c r="C664" s="141" t="str">
        <f>IFERROR(__xludf.DUMMYFUNCTION("""COMPUTED_VALUE"""),"GENEPIO:0100139")</f>
        <v>GENEPIO:0100139</v>
      </c>
      <c r="D664" s="141"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664" s="141"/>
      <c r="F664" s="141"/>
      <c r="G664" s="141"/>
      <c r="H664" s="141"/>
      <c r="I664" s="141"/>
      <c r="J664" s="141"/>
      <c r="K664" s="141"/>
      <c r="L664" s="141"/>
      <c r="M664" s="141"/>
      <c r="N664" s="141"/>
      <c r="O664" s="141"/>
      <c r="P664" s="141"/>
      <c r="Q664" s="141"/>
      <c r="R664" s="141"/>
      <c r="S664" s="141"/>
      <c r="T664" s="141"/>
      <c r="U664" s="141"/>
      <c r="V664" s="141"/>
      <c r="W664" s="141"/>
      <c r="X664" s="141"/>
      <c r="Y664" s="141"/>
      <c r="Z664" s="141"/>
    </row>
    <row r="665">
      <c r="A665" s="141"/>
      <c r="B665" s="141" t="str">
        <f>IFERROR(__xludf.DUMMYFUNCTION("""COMPUTED_VALUE"""),"Oxford Nanopore [GENEPIO:0100140]                ")</f>
        <v>Oxford Nanopore [GENEPIO:0100140]                </v>
      </c>
      <c r="C665" s="141" t="str">
        <f>IFERROR(__xludf.DUMMYFUNCTION("""COMPUTED_VALUE"""),"GENEPIO:0100140")</f>
        <v>GENEPIO:0100140</v>
      </c>
      <c r="D665" s="141" t="str">
        <f>IFERROR(__xludf.DUMMYFUNCTION("""COMPUTED_VALUE"""),"A DNA sequencer manufactured by the Oxford Nanopore corporation.")</f>
        <v>A DNA sequencer manufactured by the Oxford Nanopore corporation.</v>
      </c>
      <c r="E665" s="141"/>
      <c r="F665" s="141"/>
      <c r="G665" s="141"/>
      <c r="H665" s="141"/>
      <c r="I665" s="141"/>
      <c r="J665" s="141"/>
      <c r="K665" s="141"/>
      <c r="L665" s="141"/>
      <c r="M665" s="141"/>
      <c r="N665" s="141"/>
      <c r="O665" s="141"/>
      <c r="P665" s="141"/>
      <c r="Q665" s="141"/>
      <c r="R665" s="141"/>
      <c r="S665" s="141"/>
      <c r="T665" s="141"/>
      <c r="U665" s="141"/>
      <c r="V665" s="141"/>
      <c r="W665" s="141"/>
      <c r="X665" s="141"/>
      <c r="Y665" s="141"/>
      <c r="Z665" s="141"/>
    </row>
    <row r="666">
      <c r="A666" s="141"/>
      <c r="B666" s="141" t="str">
        <f>IFERROR(__xludf.DUMMYFUNCTION("""COMPUTED_VALUE"""),"    Oxford Nanopore Flongle [GENEPIO:0004433]            ")</f>
        <v>    Oxford Nanopore Flongle [GENEPIO:0004433]            </v>
      </c>
      <c r="C666" s="141" t="str">
        <f>IFERROR(__xludf.DUMMYFUNCTION("""COMPUTED_VALUE"""),"GENEPIO:0004433")</f>
        <v>GENEPIO:0004433</v>
      </c>
      <c r="D666" s="141"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E666" s="141"/>
      <c r="F666" s="141"/>
      <c r="G666" s="141"/>
      <c r="H666" s="141"/>
      <c r="I666" s="141"/>
      <c r="J666" s="141"/>
      <c r="K666" s="141"/>
      <c r="L666" s="141"/>
      <c r="M666" s="141"/>
      <c r="N666" s="141"/>
      <c r="O666" s="141"/>
      <c r="P666" s="141"/>
      <c r="Q666" s="141"/>
      <c r="R666" s="141"/>
      <c r="S666" s="141"/>
      <c r="T666" s="141"/>
      <c r="U666" s="141"/>
      <c r="V666" s="141"/>
      <c r="W666" s="141"/>
      <c r="X666" s="141"/>
      <c r="Y666" s="141"/>
      <c r="Z666" s="141"/>
    </row>
    <row r="667">
      <c r="A667" s="141"/>
      <c r="B667" s="141" t="str">
        <f>IFERROR(__xludf.DUMMYFUNCTION("""COMPUTED_VALUE"""),"    Oxford Nanopore GridION [GENEPIO:0100141]            ")</f>
        <v>    Oxford Nanopore GridION [GENEPIO:0100141]            </v>
      </c>
      <c r="C667" s="141" t="str">
        <f>IFERROR(__xludf.DUMMYFUNCTION("""COMPUTED_VALUE"""),"GENEPIO:0100141")</f>
        <v>GENEPIO:0100141</v>
      </c>
      <c r="D667" s="141"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E667" s="141"/>
      <c r="F667" s="141"/>
      <c r="G667" s="141"/>
      <c r="H667" s="141"/>
      <c r="I667" s="141"/>
      <c r="J667" s="141"/>
      <c r="K667" s="141"/>
      <c r="L667" s="141"/>
      <c r="M667" s="141"/>
      <c r="N667" s="141"/>
      <c r="O667" s="141"/>
      <c r="P667" s="141"/>
      <c r="Q667" s="141"/>
      <c r="R667" s="141"/>
      <c r="S667" s="141"/>
      <c r="T667" s="141"/>
      <c r="U667" s="141"/>
      <c r="V667" s="141"/>
      <c r="W667" s="141"/>
      <c r="X667" s="141"/>
      <c r="Y667" s="141"/>
      <c r="Z667" s="141"/>
    </row>
    <row r="668">
      <c r="A668" s="141"/>
      <c r="B668" s="141" t="str">
        <f>IFERROR(__xludf.DUMMYFUNCTION("""COMPUTED_VALUE"""),"    Oxford Nanopore MinION [GENEPIO:0100142]            ")</f>
        <v>    Oxford Nanopore MinION [GENEPIO:0100142]            </v>
      </c>
      <c r="C668" s="141" t="str">
        <f>IFERROR(__xludf.DUMMYFUNCTION("""COMPUTED_VALUE"""),"GENEPIO:0100142")</f>
        <v>GENEPIO:0100142</v>
      </c>
      <c r="D668" s="141"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E668" s="141"/>
      <c r="F668" s="141"/>
      <c r="G668" s="141"/>
      <c r="H668" s="141"/>
      <c r="I668" s="141"/>
      <c r="J668" s="141"/>
      <c r="K668" s="141"/>
      <c r="L668" s="141"/>
      <c r="M668" s="141"/>
      <c r="N668" s="141"/>
      <c r="O668" s="141"/>
      <c r="P668" s="141"/>
      <c r="Q668" s="141"/>
      <c r="R668" s="141"/>
      <c r="S668" s="141"/>
      <c r="T668" s="141"/>
      <c r="U668" s="141"/>
      <c r="V668" s="141"/>
      <c r="W668" s="141"/>
      <c r="X668" s="141"/>
      <c r="Y668" s="141"/>
      <c r="Z668" s="141"/>
    </row>
    <row r="669">
      <c r="A669" s="141"/>
      <c r="B669" s="141" t="str">
        <f>IFERROR(__xludf.DUMMYFUNCTION("""COMPUTED_VALUE"""),"    Oxford Nanopore PromethION [GENEPIO:0100143]            ")</f>
        <v>    Oxford Nanopore PromethION [GENEPIO:0100143]            </v>
      </c>
      <c r="C669" s="141" t="str">
        <f>IFERROR(__xludf.DUMMYFUNCTION("""COMPUTED_VALUE"""),"GENEPIO:0100143")</f>
        <v>GENEPIO:0100143</v>
      </c>
      <c r="D669" s="141"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E669" s="141"/>
      <c r="F669" s="141"/>
      <c r="G669" s="141"/>
      <c r="H669" s="141"/>
      <c r="I669" s="141"/>
      <c r="J669" s="141"/>
      <c r="K669" s="141"/>
      <c r="L669" s="141"/>
      <c r="M669" s="141"/>
      <c r="N669" s="141"/>
      <c r="O669" s="141"/>
      <c r="P669" s="141"/>
      <c r="Q669" s="141"/>
      <c r="R669" s="141"/>
      <c r="S669" s="141"/>
      <c r="T669" s="141"/>
      <c r="U669" s="141"/>
      <c r="V669" s="141"/>
      <c r="W669" s="141"/>
      <c r="X669" s="141"/>
      <c r="Y669" s="141"/>
      <c r="Z669" s="141"/>
    </row>
    <row r="670">
      <c r="A670" s="141"/>
      <c r="B670" s="141" t="str">
        <f>IFERROR(__xludf.DUMMYFUNCTION("""COMPUTED_VALUE"""),"BGI Genomics sequencing instrument [GENEPIO:0100144]                ")</f>
        <v>BGI Genomics sequencing instrument [GENEPIO:0100144]                </v>
      </c>
      <c r="C670" s="141" t="str">
        <f>IFERROR(__xludf.DUMMYFUNCTION("""COMPUTED_VALUE"""),"GENEPIO:0100144")</f>
        <v>GENEPIO:0100144</v>
      </c>
      <c r="D670" s="141" t="str">
        <f>IFERROR(__xludf.DUMMYFUNCTION("""COMPUTED_VALUE"""),"A DNA sequencer manufactured by the BGI Genomics corporation.")</f>
        <v>A DNA sequencer manufactured by the BGI Genomics corporation.</v>
      </c>
      <c r="E670" s="141"/>
      <c r="F670" s="141"/>
      <c r="G670" s="141"/>
      <c r="H670" s="141"/>
      <c r="I670" s="141"/>
      <c r="J670" s="141"/>
      <c r="K670" s="141"/>
      <c r="L670" s="141"/>
      <c r="M670" s="141"/>
      <c r="N670" s="141"/>
      <c r="O670" s="141"/>
      <c r="P670" s="141"/>
      <c r="Q670" s="141"/>
      <c r="R670" s="141"/>
      <c r="S670" s="141"/>
      <c r="T670" s="141"/>
      <c r="U670" s="141"/>
      <c r="V670" s="141"/>
      <c r="W670" s="141"/>
      <c r="X670" s="141"/>
      <c r="Y670" s="141"/>
      <c r="Z670" s="141"/>
    </row>
    <row r="671">
      <c r="A671" s="141"/>
      <c r="B671" s="141" t="str">
        <f>IFERROR(__xludf.DUMMYFUNCTION("""COMPUTED_VALUE"""),"    BGISEQ-500 [GENEPIO:0100145]            ")</f>
        <v>    BGISEQ-500 [GENEPIO:0100145]            </v>
      </c>
      <c r="C671" s="141" t="str">
        <f>IFERROR(__xludf.DUMMYFUNCTION("""COMPUTED_VALUE"""),"GENEPIO:0100145")</f>
        <v>GENEPIO:0100145</v>
      </c>
      <c r="D671" s="141"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E671" s="141"/>
      <c r="F671" s="141"/>
      <c r="G671" s="141"/>
      <c r="H671" s="141"/>
      <c r="I671" s="141"/>
      <c r="J671" s="141"/>
      <c r="K671" s="141"/>
      <c r="L671" s="141"/>
      <c r="M671" s="141"/>
      <c r="N671" s="141"/>
      <c r="O671" s="141"/>
      <c r="P671" s="141"/>
      <c r="Q671" s="141"/>
      <c r="R671" s="141"/>
      <c r="S671" s="141"/>
      <c r="T671" s="141"/>
      <c r="U671" s="141"/>
      <c r="V671" s="141"/>
      <c r="W671" s="141"/>
      <c r="X671" s="141"/>
      <c r="Y671" s="141"/>
      <c r="Z671" s="141"/>
    </row>
    <row r="672">
      <c r="A672" s="141"/>
      <c r="B672" s="141" t="str">
        <f>IFERROR(__xludf.DUMMYFUNCTION("""COMPUTED_VALUE"""),"MGI sequencing instrument [GENEPIO:0100146]                ")</f>
        <v>MGI sequencing instrument [GENEPIO:0100146]                </v>
      </c>
      <c r="C672" s="141" t="str">
        <f>IFERROR(__xludf.DUMMYFUNCTION("""COMPUTED_VALUE"""),"GENEPIO:0100146")</f>
        <v>GENEPIO:0100146</v>
      </c>
      <c r="D672" s="141" t="str">
        <f>IFERROR(__xludf.DUMMYFUNCTION("""COMPUTED_VALUE"""),"A DNA sequencer manufactured by the MGI corporation.")</f>
        <v>A DNA sequencer manufactured by the MGI corporation.</v>
      </c>
      <c r="E672" s="141"/>
      <c r="F672" s="141"/>
      <c r="G672" s="141"/>
      <c r="H672" s="141"/>
      <c r="I672" s="141"/>
      <c r="J672" s="141"/>
      <c r="K672" s="141"/>
      <c r="L672" s="141"/>
      <c r="M672" s="141"/>
      <c r="N672" s="141"/>
      <c r="O672" s="141"/>
      <c r="P672" s="141"/>
      <c r="Q672" s="141"/>
      <c r="R672" s="141"/>
      <c r="S672" s="141"/>
      <c r="T672" s="141"/>
      <c r="U672" s="141"/>
      <c r="V672" s="141"/>
      <c r="W672" s="141"/>
      <c r="X672" s="141"/>
      <c r="Y672" s="141"/>
      <c r="Z672" s="141"/>
    </row>
    <row r="673">
      <c r="A673" s="141"/>
      <c r="B673" s="141" t="str">
        <f>IFERROR(__xludf.DUMMYFUNCTION("""COMPUTED_VALUE"""),"    MGISEQ-2000RS [GENEPIO:0100971]            ")</f>
        <v>    MGISEQ-2000RS [GENEPIO:0100971]            </v>
      </c>
      <c r="C673" s="141" t="str">
        <f>IFERROR(__xludf.DUMMYFUNCTION("""COMPUTED_VALUE"""),"GENEPIO:0100971")</f>
        <v>GENEPIO:0100971</v>
      </c>
      <c r="D673" s="141" t="str">
        <f>IFERROR(__xludf.DUMMYFUNCTION("""COMPUTED_VALUE"""),"An MGI sequencing instrument model that utilises DNA nanoball and (DNB) and probe-anchor synthesis (cPAS) for next generation sequencing ad which is capable of medium to high throughput sequencing.")</f>
        <v>An MGI sequencing instrument model that utilises DNA nanoball and (DNB) and probe-anchor synthesis (cPAS) for next generation sequencing ad which is capable of medium to high throughput sequencing.</v>
      </c>
      <c r="E673" s="141"/>
      <c r="F673" s="141"/>
      <c r="G673" s="141"/>
      <c r="H673" s="141"/>
      <c r="I673" s="141"/>
      <c r="J673" s="141"/>
      <c r="K673" s="141"/>
      <c r="L673" s="141"/>
      <c r="M673" s="141"/>
      <c r="N673" s="141"/>
      <c r="O673" s="141"/>
      <c r="P673" s="141"/>
      <c r="Q673" s="141"/>
      <c r="R673" s="141"/>
      <c r="S673" s="141"/>
      <c r="T673" s="141"/>
      <c r="U673" s="141"/>
      <c r="V673" s="141"/>
      <c r="W673" s="141"/>
      <c r="X673" s="141"/>
      <c r="Y673" s="141"/>
      <c r="Z673" s="141"/>
    </row>
    <row r="674">
      <c r="A674" s="141"/>
      <c r="B674" s="141" t="str">
        <f>IFERROR(__xludf.DUMMYFUNCTION("""COMPUTED_VALUE"""),"    MGI DNBSEQ-G99 [GENEPIO:0100972]            ")</f>
        <v>    MGI DNBSEQ-G99 [GENEPIO:0100972]            </v>
      </c>
      <c r="C674" s="141" t="str">
        <f>IFERROR(__xludf.DUMMYFUNCTION("""COMPUTED_VALUE"""),"GENEPIO:0100972")</f>
        <v>GENEPIO:0100972</v>
      </c>
      <c r="D674" s="141" t="str">
        <f>IFERROR(__xludf.DUMMYFUNCTION("""COMPUTED_VALUE"""),"An MGI sequencing instrument model that utilises DNA nanoball and (DNB) and probe-anchor synthesis (cPAS) for next generation sequencing and which adopts triangular matrix signal spots on sequencing flow cell, for low throughput at highspeeds.")</f>
        <v>An MGI sequencing instrument model that utilises DNA nanoball and (DNB) and probe-anchor synthesis (cPAS) for next generation sequencing and which adopts triangular matrix signal spots on sequencing flow cell, for low throughput at highspeeds.</v>
      </c>
      <c r="E674" s="141"/>
      <c r="F674" s="141"/>
      <c r="G674" s="141"/>
      <c r="H674" s="141"/>
      <c r="I674" s="141"/>
      <c r="J674" s="141"/>
      <c r="K674" s="141"/>
      <c r="L674" s="141"/>
      <c r="M674" s="141"/>
      <c r="N674" s="141"/>
      <c r="O674" s="141"/>
      <c r="P674" s="141"/>
      <c r="Q674" s="141"/>
      <c r="R674" s="141"/>
      <c r="S674" s="141"/>
      <c r="T674" s="141"/>
      <c r="U674" s="141"/>
      <c r="V674" s="141"/>
      <c r="W674" s="141"/>
      <c r="X674" s="141"/>
      <c r="Y674" s="141"/>
      <c r="Z674" s="141"/>
    </row>
    <row r="675">
      <c r="A675" s="141"/>
      <c r="B675" s="141" t="str">
        <f>IFERROR(__xludf.DUMMYFUNCTION("""COMPUTED_VALUE"""),"    MGI DNBSEQ-G400 [GENEPIO:0100148]            ")</f>
        <v>    MGI DNBSEQ-G400 [GENEPIO:0100148]            </v>
      </c>
      <c r="C675" s="141" t="str">
        <f>IFERROR(__xludf.DUMMYFUNCTION("""COMPUTED_VALUE"""),"GENEPIO:0100148")</f>
        <v>GENEPIO:0100148</v>
      </c>
      <c r="D675" s="141" t="str">
        <f>IFERROR(__xludf.DUMMYFUNCTION("""COMPUTED_VALUE"""),"A DNA sequencer manufactured by the MGI corporation with an output capacity of 55GB; 1440GB per run.")</f>
        <v>A DNA sequencer manufactured by the MGI corporation with an output capacity of 55GB; 1440GB per run.</v>
      </c>
      <c r="E675" s="141"/>
      <c r="F675" s="141"/>
      <c r="G675" s="141"/>
      <c r="H675" s="141"/>
      <c r="I675" s="141"/>
      <c r="J675" s="141"/>
      <c r="K675" s="141"/>
      <c r="L675" s="141"/>
      <c r="M675" s="141"/>
      <c r="N675" s="141"/>
      <c r="O675" s="141"/>
      <c r="P675" s="141"/>
      <c r="Q675" s="141"/>
      <c r="R675" s="141"/>
      <c r="S675" s="141"/>
      <c r="T675" s="141"/>
      <c r="U675" s="141"/>
      <c r="V675" s="141"/>
      <c r="W675" s="141"/>
      <c r="X675" s="141"/>
      <c r="Y675" s="141"/>
      <c r="Z675" s="141"/>
    </row>
    <row r="676">
      <c r="A676" s="141"/>
      <c r="B676" s="141" t="str">
        <f>IFERROR(__xludf.DUMMYFUNCTION("""COMPUTED_VALUE"""),"        MGI DNBSEQ-G400RS FAST [GENEPIO:0100149]        ")</f>
        <v>        MGI DNBSEQ-G400RS FAST [GENEPIO:0100149]        </v>
      </c>
      <c r="C676" s="141" t="str">
        <f>IFERROR(__xludf.DUMMYFUNCTION("""COMPUTED_VALUE"""),"GENEPIO:0100149")</f>
        <v>GENEPIO:0100149</v>
      </c>
      <c r="D676" s="141" t="str">
        <f>IFERROR(__xludf.DUMMYFUNCTION("""COMPUTED_VALUE"""),"A DNA sequencer manufactured by the MGI corporation with an output capacity of 55GB; 330GB per run, which enables faster sequencing than the DNBSEQ-G400.")</f>
        <v>A DNA sequencer manufactured by the MGI corporation with an output capacity of 55GB; 330GB per run, which enables faster sequencing than the DNBSEQ-G400.</v>
      </c>
      <c r="E676" s="141"/>
      <c r="F676" s="141"/>
      <c r="G676" s="141"/>
      <c r="H676" s="141"/>
      <c r="I676" s="141"/>
      <c r="J676" s="141"/>
      <c r="K676" s="141"/>
      <c r="L676" s="141"/>
      <c r="M676" s="141"/>
      <c r="N676" s="141"/>
      <c r="O676" s="141"/>
      <c r="P676" s="141"/>
      <c r="Q676" s="141"/>
      <c r="R676" s="141"/>
      <c r="S676" s="141"/>
      <c r="T676" s="141"/>
      <c r="U676" s="141"/>
      <c r="V676" s="141"/>
      <c r="W676" s="141"/>
      <c r="X676" s="141"/>
      <c r="Y676" s="141"/>
      <c r="Z676" s="141"/>
    </row>
    <row r="677">
      <c r="A677" s="141"/>
      <c r="B677" s="141" t="str">
        <f>IFERROR(__xludf.DUMMYFUNCTION("""COMPUTED_VALUE"""),"    MGI DNBSEQ-T7 [GENEPIO:0100147]            ")</f>
        <v>    MGI DNBSEQ-T7 [GENEPIO:0100147]            </v>
      </c>
      <c r="C677" s="141" t="str">
        <f>IFERROR(__xludf.DUMMYFUNCTION("""COMPUTED_VALUE"""),"GENEPIO:0100147")</f>
        <v>GENEPIO:0100147</v>
      </c>
      <c r="D677" s="141" t="str">
        <f>IFERROR(__xludf.DUMMYFUNCTION("""COMPUTED_VALUE"""),"A high throughput DNA sequencer manufactured by the MGI corporation with an output capacity of 1; 6TB of data per day.")</f>
        <v>A high throughput DNA sequencer manufactured by the MGI corporation with an output capacity of 1; 6TB of data per day.</v>
      </c>
      <c r="E677" s="141"/>
      <c r="F677" s="141"/>
      <c r="G677" s="141"/>
      <c r="H677" s="141"/>
      <c r="I677" s="141"/>
      <c r="J677" s="141"/>
      <c r="K677" s="141"/>
      <c r="L677" s="141"/>
      <c r="M677" s="141"/>
      <c r="N677" s="141"/>
      <c r="O677" s="141"/>
      <c r="P677" s="141"/>
      <c r="Q677" s="141"/>
      <c r="R677" s="141"/>
      <c r="S677" s="141"/>
      <c r="T677" s="141"/>
      <c r="U677" s="141"/>
      <c r="V677" s="141"/>
      <c r="W677" s="141"/>
      <c r="X677" s="141"/>
      <c r="Y677" s="141"/>
      <c r="Z677" s="141"/>
    </row>
    <row r="678">
      <c r="A678" s="141"/>
      <c r="B678" s="141" t="str">
        <f>IFERROR(__xludf.DUMMYFUNCTION("""COMPUTED_VALUE"""),"    MGI DNBSEQ-E25 [GENEPIO:0100973]            ")</f>
        <v>    MGI DNBSEQ-E25 [GENEPIO:0100973]            </v>
      </c>
      <c r="C678" s="141" t="str">
        <f>IFERROR(__xludf.DUMMYFUNCTION("""COMPUTED_VALUE"""),"GENEPIO:0100973")</f>
        <v>GENEPIO:0100973</v>
      </c>
      <c r="D678" s="141" t="str">
        <f>IFERROR(__xludf.DUMMYFUNCTION("""COMPUTED_VALUE"""),"An MGI sequencing instrument model that is a compact and lightweight standalone system which can bu used inside or outside the lab.")</f>
        <v>An MGI sequencing instrument model that is a compact and lightweight standalone system which can bu used inside or outside the lab.</v>
      </c>
      <c r="E678" s="141"/>
      <c r="F678" s="141"/>
      <c r="G678" s="141"/>
      <c r="H678" s="141"/>
      <c r="I678" s="141"/>
      <c r="J678" s="141"/>
      <c r="K678" s="141"/>
      <c r="L678" s="141"/>
      <c r="M678" s="141"/>
      <c r="N678" s="141"/>
      <c r="O678" s="141"/>
      <c r="P678" s="141"/>
      <c r="Q678" s="141"/>
      <c r="R678" s="141"/>
      <c r="S678" s="141"/>
      <c r="T678" s="141"/>
      <c r="U678" s="141"/>
      <c r="V678" s="141"/>
      <c r="W678" s="141"/>
      <c r="X678" s="141"/>
      <c r="Y678" s="141"/>
      <c r="Z678" s="141"/>
    </row>
    <row r="679">
      <c r="A679" s="141"/>
      <c r="B679" s="141" t="str">
        <f>IFERROR(__xludf.DUMMYFUNCTION("""COMPUTED_VALUE"""),"    MGI DNBSEQ-G50 [GENEPIO:0100150]            ")</f>
        <v>    MGI DNBSEQ-G50 [GENEPIO:0100150]            </v>
      </c>
      <c r="C679" s="141" t="str">
        <f>IFERROR(__xludf.DUMMYFUNCTION("""COMPUTED_VALUE"""),"GENEPIO:0100150")</f>
        <v>GENEPIO:0100150</v>
      </c>
      <c r="D679" s="141"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E679" s="141"/>
      <c r="F679" s="141"/>
      <c r="G679" s="141"/>
      <c r="H679" s="141"/>
      <c r="I679" s="141"/>
      <c r="J679" s="141"/>
      <c r="K679" s="141"/>
      <c r="L679" s="141"/>
      <c r="M679" s="141"/>
      <c r="N679" s="141"/>
      <c r="O679" s="141"/>
      <c r="P679" s="141"/>
      <c r="Q679" s="141"/>
      <c r="R679" s="141"/>
      <c r="S679" s="141"/>
      <c r="T679" s="141"/>
      <c r="U679" s="141"/>
      <c r="V679" s="141"/>
      <c r="W679" s="141"/>
      <c r="X679" s="141"/>
      <c r="Y679" s="141"/>
      <c r="Z679" s="141"/>
    </row>
    <row r="680">
      <c r="A680" s="141"/>
      <c r="B680" s="141" t="str">
        <f>IFERROR(__xludf.DUMMYFUNCTION("""COMPUTED_VALUE"""),"454 Genome Sequencer [GENEPIO:0001937]                ")</f>
        <v>454 Genome Sequencer [GENEPIO:0001937]                </v>
      </c>
      <c r="C680" s="141" t="str">
        <f>IFERROR(__xludf.DUMMYFUNCTION("""COMPUTED_VALUE"""),"GENEPIO:0001937")</f>
        <v>GENEPIO:0001937</v>
      </c>
      <c r="D680" s="141" t="str">
        <f>IFERROR(__xludf.DUMMYFUNCTION("""COMPUTED_VALUE"""),"A DNA sequencer first manufactured by 454 Life Science Corporation that conducts pyrosequencing.")</f>
        <v>A DNA sequencer first manufactured by 454 Life Science Corporation that conducts pyrosequencing.</v>
      </c>
      <c r="E680" s="141"/>
      <c r="F680" s="141"/>
      <c r="G680" s="141"/>
      <c r="H680" s="141"/>
      <c r="I680" s="141"/>
      <c r="J680" s="141"/>
      <c r="K680" s="141"/>
      <c r="L680" s="141"/>
      <c r="M680" s="141"/>
      <c r="N680" s="141"/>
      <c r="O680" s="141"/>
      <c r="P680" s="141"/>
      <c r="Q680" s="141"/>
      <c r="R680" s="141"/>
      <c r="S680" s="141"/>
      <c r="T680" s="141"/>
      <c r="U680" s="141"/>
      <c r="V680" s="141"/>
      <c r="W680" s="141"/>
      <c r="X680" s="141"/>
      <c r="Y680" s="141"/>
      <c r="Z680" s="141"/>
    </row>
    <row r="681">
      <c r="A681" s="141"/>
      <c r="B681" s="141" t="str">
        <f>IFERROR(__xludf.DUMMYFUNCTION("""COMPUTED_VALUE"""),"    454 Genome Sequencer 20 [OBI:0000689]            ")</f>
        <v>    454 Genome Sequencer 20 [OBI:0000689]            </v>
      </c>
      <c r="C681" s="141" t="str">
        <f>IFERROR(__xludf.DUMMYFUNCTION("""COMPUTED_VALUE"""),"OBI:0000689")</f>
        <v>OBI:0000689</v>
      </c>
      <c r="D681" s="141" t="str">
        <f>IFERROR(__xludf.DUMMYFUNCTION("""COMPUTED_VALUE"""),"A DNA sequencer first manufactured by 454 Life Science Corporation in 2005, and enables pyrosequencing to be performed. It comprises both optics and fluidics subsystems, which are controlled by a computer subsystem.")</f>
        <v>A DNA sequencer first manufactured by 454 Life Science Corporation in 2005, and enables pyrosequencing to be performed. It comprises both optics and fluidics subsystems, which are controlled by a computer subsystem.</v>
      </c>
      <c r="E681" s="141"/>
      <c r="F681" s="141"/>
      <c r="G681" s="141"/>
      <c r="H681" s="141"/>
      <c r="I681" s="141"/>
      <c r="J681" s="141"/>
      <c r="K681" s="141"/>
      <c r="L681" s="141"/>
      <c r="M681" s="141"/>
      <c r="N681" s="141"/>
      <c r="O681" s="141"/>
      <c r="P681" s="141"/>
      <c r="Q681" s="141"/>
      <c r="R681" s="141"/>
      <c r="S681" s="141"/>
      <c r="T681" s="141"/>
      <c r="U681" s="141"/>
      <c r="V681" s="141"/>
      <c r="W681" s="141"/>
      <c r="X681" s="141"/>
      <c r="Y681" s="141"/>
      <c r="Z681" s="141"/>
    </row>
    <row r="682">
      <c r="A682" s="141"/>
      <c r="B682" s="141" t="str">
        <f>IFERROR(__xludf.DUMMYFUNCTION("""COMPUTED_VALUE"""),"    454 Genome Sequencer FLX [OBI:0000702]            ")</f>
        <v>    454 Genome Sequencer FLX [OBI:0000702]            </v>
      </c>
      <c r="C682" s="141" t="str">
        <f>IFERROR(__xludf.DUMMYFUNCTION("""COMPUTED_VALUE"""),"OBI:0000702")</f>
        <v>OBI:0000702</v>
      </c>
      <c r="D682" s="141" t="str">
        <f>IFERROR(__xludf.DUMMYFUNCTION("""COMPUTED_VALUE"""),"A DNA sequencer which was first manufactured by 454 Life Science Corporation in 2008 and enables pyrosequencing to be performed. It comprises both optics and fluidics subsystems, which are controlled by a computer subsystem. It has the ability to sequence"&amp;" 400-600 million base pairs per run with 400-500 base pair read lengths.")</f>
        <v>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v>
      </c>
      <c r="E682" s="141"/>
      <c r="F682" s="141"/>
      <c r="G682" s="141"/>
      <c r="H682" s="141"/>
      <c r="I682" s="141"/>
      <c r="J682" s="141"/>
      <c r="K682" s="141"/>
      <c r="L682" s="141"/>
      <c r="M682" s="141"/>
      <c r="N682" s="141"/>
      <c r="O682" s="141"/>
      <c r="P682" s="141"/>
      <c r="Q682" s="141"/>
      <c r="R682" s="141"/>
      <c r="S682" s="141"/>
      <c r="T682" s="141"/>
      <c r="U682" s="141"/>
      <c r="V682" s="141"/>
      <c r="W682" s="141"/>
      <c r="X682" s="141"/>
      <c r="Y682" s="141"/>
      <c r="Z682" s="141"/>
    </row>
    <row r="683">
      <c r="A683" s="141"/>
      <c r="B683" s="141" t="str">
        <f>IFERROR(__xludf.DUMMYFUNCTION("""COMPUTED_VALUE"""),"    454 Genome Sequencer FLX+ [GENEPIO:0100982]            ")</f>
        <v>    454 Genome Sequencer FLX+ [GENEPIO:0100982]            </v>
      </c>
      <c r="C683" s="141" t="str">
        <f>IFERROR(__xludf.DUMMYFUNCTION("""COMPUTED_VALUE"""),"GENEPIO:0100982")</f>
        <v>GENEPIO:0100982</v>
      </c>
      <c r="D683" s="141" t="str">
        <f>IFERROR(__xludf.DUMMYFUNCTION("""COMPUTED_VALUE"""),"A 454 Genome Sequencer that performs pyrosequencing and comprises both optics and fluidics subsystems and can be used for longer reads when used with the long-read Sequencing Kit XL+.")</f>
        <v>A 454 Genome Sequencer that performs pyrosequencing and comprises both optics and fluidics subsystems and can be used for longer reads when used with the long-read Sequencing Kit XL+.</v>
      </c>
      <c r="E683" s="141"/>
      <c r="F683" s="141"/>
      <c r="G683" s="141"/>
      <c r="H683" s="141"/>
      <c r="I683" s="141"/>
      <c r="J683" s="141"/>
      <c r="K683" s="141"/>
      <c r="L683" s="141"/>
      <c r="M683" s="141"/>
      <c r="N683" s="141"/>
      <c r="O683" s="141"/>
      <c r="P683" s="141"/>
      <c r="Q683" s="141"/>
      <c r="R683" s="141"/>
      <c r="S683" s="141"/>
      <c r="T683" s="141"/>
      <c r="U683" s="141"/>
      <c r="V683" s="141"/>
      <c r="W683" s="141"/>
      <c r="X683" s="141"/>
      <c r="Y683" s="141"/>
      <c r="Z683" s="141"/>
    </row>
    <row r="684">
      <c r="A684" s="141"/>
      <c r="B684" s="141" t="str">
        <f>IFERROR(__xludf.DUMMYFUNCTION("""COMPUTED_VALUE"""),"    454 Genome Sequencer FLX Titanium [GENEPIO:0001936]            ")</f>
        <v>    454 Genome Sequencer FLX Titanium [GENEPIO:0001936]            </v>
      </c>
      <c r="C684" s="141" t="str">
        <f>IFERROR(__xludf.DUMMYFUNCTION("""COMPUTED_VALUE"""),"GENEPIO:0001936")</f>
        <v>GENEPIO:0001936</v>
      </c>
      <c r="D684" s="141" t="str">
        <f>IFERROR(__xludf.DUMMYFUNCTION("""COMPUTED_VALUE"""),"A 454 Genome Sequencer that performs pyrosequencing and has enhanced capacity and generates longer reads.")</f>
        <v>A 454 Genome Sequencer that performs pyrosequencing and has enhanced capacity and generates longer reads.</v>
      </c>
      <c r="E684" s="141"/>
      <c r="F684" s="141"/>
      <c r="G684" s="141"/>
      <c r="H684" s="141"/>
      <c r="I684" s="141"/>
      <c r="J684" s="141"/>
      <c r="K684" s="141"/>
      <c r="L684" s="141"/>
      <c r="M684" s="141"/>
      <c r="N684" s="141"/>
      <c r="O684" s="141"/>
      <c r="P684" s="141"/>
      <c r="Q684" s="141"/>
      <c r="R684" s="141"/>
      <c r="S684" s="141"/>
      <c r="T684" s="141"/>
      <c r="U684" s="141"/>
      <c r="V684" s="141"/>
      <c r="W684" s="141"/>
      <c r="X684" s="141"/>
      <c r="Y684" s="141"/>
      <c r="Z684" s="141"/>
    </row>
    <row r="685">
      <c r="A685" s="141"/>
      <c r="B685" s="141" t="str">
        <f>IFERROR(__xludf.DUMMYFUNCTION("""COMPUTED_VALUE"""),"    454 Genome Sequencer Junior [GENEPIO:0001938]            ")</f>
        <v>    454 Genome Sequencer Junior [GENEPIO:0001938]            </v>
      </c>
      <c r="C685" s="141" t="str">
        <f>IFERROR(__xludf.DUMMYFUNCTION("""COMPUTED_VALUE"""),"GENEPIO:0001938")</f>
        <v>GENEPIO:0001938</v>
      </c>
      <c r="D685" s="141" t="str">
        <f>IFERROR(__xludf.DUMMYFUNCTION("""COMPUTED_VALUE"""),"A 454 Genome Sequencer that performs pyrosequencing and is more compact.")</f>
        <v>A 454 Genome Sequencer that performs pyrosequencing and is more compact.</v>
      </c>
      <c r="E685" s="141"/>
      <c r="F685" s="141"/>
      <c r="G685" s="141"/>
      <c r="H685" s="141"/>
      <c r="I685" s="141"/>
      <c r="J685" s="141"/>
      <c r="K685" s="141"/>
      <c r="L685" s="141"/>
      <c r="M685" s="141"/>
      <c r="N685" s="141"/>
      <c r="O685" s="141"/>
      <c r="P685" s="141"/>
      <c r="Q685" s="141"/>
      <c r="R685" s="141"/>
      <c r="S685" s="141"/>
      <c r="T685" s="141"/>
      <c r="U685" s="141"/>
      <c r="V685" s="141"/>
      <c r="W685" s="141"/>
      <c r="X685" s="141"/>
      <c r="Y685" s="141"/>
      <c r="Z685" s="141"/>
    </row>
    <row r="686">
      <c r="A686" s="141"/>
      <c r="B686" s="141" t="str">
        <f>IFERROR(__xludf.DUMMYFUNCTION("""COMPUTED_VALUE"""),"SOLiD System [OBI:0000696]                ")</f>
        <v>SOLiD System [OBI:0000696]                </v>
      </c>
      <c r="C686" s="141" t="str">
        <f>IFERROR(__xludf.DUMMYFUNCTION("""COMPUTED_VALUE"""),"OBI:0000696")</f>
        <v>OBI:0000696</v>
      </c>
      <c r="D686" s="141" t="str">
        <f>IFERROR(__xludf.DUMMYFUNCTION("""COMPUTED_VALUE"""),"A DNA sequencer which is manufactured by Applied Biosystems and which enable DNA sequencing by ligation.")</f>
        <v>A DNA sequencer which is manufactured by Applied Biosystems and which enable DNA sequencing by ligation.</v>
      </c>
      <c r="E686" s="141"/>
      <c r="F686" s="141"/>
      <c r="G686" s="141"/>
      <c r="H686" s="141"/>
      <c r="I686" s="141"/>
      <c r="J686" s="141"/>
      <c r="K686" s="141"/>
      <c r="L686" s="141"/>
      <c r="M686" s="141"/>
      <c r="N686" s="141"/>
      <c r="O686" s="141"/>
      <c r="P686" s="141"/>
      <c r="Q686" s="141"/>
      <c r="R686" s="141"/>
      <c r="S686" s="141"/>
      <c r="T686" s="141"/>
      <c r="U686" s="141"/>
      <c r="V686" s="141"/>
      <c r="W686" s="141"/>
      <c r="X686" s="141"/>
      <c r="Y686" s="141"/>
      <c r="Z686" s="141"/>
    </row>
    <row r="687">
      <c r="A687" s="141"/>
      <c r="B687" s="141" t="str">
        <f>IFERROR(__xludf.DUMMYFUNCTION("""COMPUTED_VALUE"""),"    SOLiD 5500 [GENEPIO:0001929]            ")</f>
        <v>    SOLiD 5500 [GENEPIO:0001929]            </v>
      </c>
      <c r="C687" s="141" t="str">
        <f>IFERROR(__xludf.DUMMYFUNCTION("""COMPUTED_VALUE"""),"GENEPIO:0001929")</f>
        <v>GENEPIO:0001929</v>
      </c>
      <c r="D687" s="141" t="str">
        <f>IFERROR(__xludf.DUMMYFUNCTION("""COMPUTED_VALUE"""),"A DNA sequencer which is manufactured by Applied Biosystems and utillizes sequencing by ligation technology and faster run times than the SOLiD 4 series.")</f>
        <v>A DNA sequencer which is manufactured by Applied Biosystems and utillizes sequencing by ligation technology and faster run times than the SOLiD 4 series.</v>
      </c>
      <c r="E687" s="141"/>
      <c r="F687" s="141"/>
      <c r="G687" s="141"/>
      <c r="H687" s="141"/>
      <c r="I687" s="141"/>
      <c r="J687" s="141"/>
      <c r="K687" s="141"/>
      <c r="L687" s="141"/>
      <c r="M687" s="141"/>
      <c r="N687" s="141"/>
      <c r="O687" s="141"/>
      <c r="P687" s="141"/>
      <c r="Q687" s="141"/>
      <c r="R687" s="141"/>
      <c r="S687" s="141"/>
      <c r="T687" s="141"/>
      <c r="U687" s="141"/>
      <c r="V687" s="141"/>
      <c r="W687" s="141"/>
      <c r="X687" s="141"/>
      <c r="Y687" s="141"/>
      <c r="Z687" s="141"/>
    </row>
    <row r="688">
      <c r="A688" s="141"/>
      <c r="B688" s="141" t="str">
        <f>IFERROR(__xludf.DUMMYFUNCTION("""COMPUTED_VALUE"""),"    SOLiD 5500xl Genetic Analyzer [GENEPIO:0001930]            ")</f>
        <v>    SOLiD 5500xl Genetic Analyzer [GENEPIO:0001930]            </v>
      </c>
      <c r="C688" s="141" t="str">
        <f>IFERROR(__xludf.DUMMYFUNCTION("""COMPUTED_VALUE"""),"GENEPIO:0001930")</f>
        <v>GENEPIO:0001930</v>
      </c>
      <c r="D688" s="141" t="str">
        <f>IFERROR(__xludf.DUMMYFUNCTION("""COMPUTED_VALUE"""),"A DNA sequencer which is manufactured by Applied Biosystems and has two FlowChips for across 12 lanes and with a higher throughput than the 5500 model.")</f>
        <v>A DNA sequencer which is manufactured by Applied Biosystems and has two FlowChips for across 12 lanes and with a higher throughput than the 5500 model.</v>
      </c>
      <c r="E688" s="141"/>
      <c r="F688" s="141"/>
      <c r="G688" s="141"/>
      <c r="H688" s="141"/>
      <c r="I688" s="141"/>
      <c r="J688" s="141"/>
      <c r="K688" s="141"/>
      <c r="L688" s="141"/>
      <c r="M688" s="141"/>
      <c r="N688" s="141"/>
      <c r="O688" s="141"/>
      <c r="P688" s="141"/>
      <c r="Q688" s="141"/>
      <c r="R688" s="141"/>
      <c r="S688" s="141"/>
      <c r="T688" s="141"/>
      <c r="U688" s="141"/>
      <c r="V688" s="141"/>
      <c r="W688" s="141"/>
      <c r="X688" s="141"/>
      <c r="Y688" s="141"/>
      <c r="Z688" s="141"/>
    </row>
    <row r="689">
      <c r="A689" s="141"/>
      <c r="B689" s="141" t="str">
        <f>IFERROR(__xludf.DUMMYFUNCTION("""COMPUTED_VALUE"""),"    SOLiD 5500x-Wl Genetic Analyzer [GENEPIO:0100984]            ")</f>
        <v>    SOLiD 5500x-Wl Genetic Analyzer [GENEPIO:0100984]            </v>
      </c>
      <c r="C689" s="141" t="str">
        <f>IFERROR(__xludf.DUMMYFUNCTION("""COMPUTED_VALUE"""),"GENEPIO:0100984")</f>
        <v>GENEPIO:0100984</v>
      </c>
      <c r="D689" s="141" t="str">
        <f>IFERROR(__xludf.DUMMYFUNCTION("""COMPUTED_VALUE"""),"A DNA sequencer which is manufactured by the Applied Biosystems corporation. Built upon SOLiD sequencing technology and with a higher throughput than  SOLiD 5500xl Genetic Analyzer.")</f>
        <v>A DNA sequencer which is manufactured by the Applied Biosystems corporation. Built upon SOLiD sequencing technology and with a higher throughput than  SOLiD 5500xl Genetic Analyzer.</v>
      </c>
      <c r="E689" s="141"/>
      <c r="F689" s="141"/>
      <c r="G689" s="141"/>
      <c r="H689" s="141"/>
      <c r="I689" s="141"/>
      <c r="J689" s="141"/>
      <c r="K689" s="141"/>
      <c r="L689" s="141"/>
      <c r="M689" s="141"/>
      <c r="N689" s="141"/>
      <c r="O689" s="141"/>
      <c r="P689" s="141"/>
      <c r="Q689" s="141"/>
      <c r="R689" s="141"/>
      <c r="S689" s="141"/>
      <c r="T689" s="141"/>
      <c r="U689" s="141"/>
      <c r="V689" s="141"/>
      <c r="W689" s="141"/>
      <c r="X689" s="141"/>
      <c r="Y689" s="141"/>
      <c r="Z689" s="141"/>
    </row>
    <row r="690">
      <c r="A690" s="141"/>
      <c r="B690" s="141" t="str">
        <f>IFERROR(__xludf.DUMMYFUNCTION("""COMPUTED_VALUE"""),"    SOLiD 3 Plus System [OBI:0002007]            ")</f>
        <v>    SOLiD 3 Plus System [OBI:0002007]            </v>
      </c>
      <c r="C690" s="141" t="str">
        <f>IFERROR(__xludf.DUMMYFUNCTION("""COMPUTED_VALUE"""),"OBI:0002007")</f>
        <v>OBI:0002007</v>
      </c>
      <c r="D690" s="141" t="str">
        <f>IFERROR(__xludf.DUMMYFUNCTION("""COMPUTED_VALUE"""),"A DNA sequencer which is manufactured by the Applied Biosystems corporation. Built upon SOLiD sequencing technology, the machine generates greater than 1 billion mappable reads per run.")</f>
        <v>A DNA sequencer which is manufactured by the Applied Biosystems corporation. Built upon SOLiD sequencing technology, the machine generates greater than 1 billion mappable reads per run.</v>
      </c>
      <c r="E690" s="141"/>
      <c r="F690" s="141"/>
      <c r="G690" s="141"/>
      <c r="H690" s="141"/>
      <c r="I690" s="141"/>
      <c r="J690" s="141"/>
      <c r="K690" s="141"/>
      <c r="L690" s="141"/>
      <c r="M690" s="141"/>
      <c r="N690" s="141"/>
      <c r="O690" s="141"/>
      <c r="P690" s="141"/>
      <c r="Q690" s="141"/>
      <c r="R690" s="141"/>
      <c r="S690" s="141"/>
      <c r="T690" s="141"/>
      <c r="U690" s="141"/>
      <c r="V690" s="141"/>
      <c r="W690" s="141"/>
      <c r="X690" s="141"/>
      <c r="Y690" s="141"/>
      <c r="Z690" s="141"/>
    </row>
    <row r="691">
      <c r="A691" s="141"/>
      <c r="B691" s="141" t="str">
        <f>IFERROR(__xludf.DUMMYFUNCTION("""COMPUTED_VALUE"""),"    SOLiD 4 System [OBI:0002024]            ")</f>
        <v>    SOLiD 4 System [OBI:0002024]            </v>
      </c>
      <c r="C691" s="141" t="str">
        <f>IFERROR(__xludf.DUMMYFUNCTION("""COMPUTED_VALUE"""),"OBI:0002024")</f>
        <v>OBI:0002024</v>
      </c>
      <c r="D691" s="141" t="str">
        <f>IFERROR(__xludf.DUMMYFUNCTION("""COMPUTED_VALUE"""),"A DNA sequencer which is manufactured by the Applied Biosystems corporation. Built upon SOLiD sequencing technology with 100 Gb mappable throughput.")</f>
        <v>A DNA sequencer which is manufactured by the Applied Biosystems corporation. Built upon SOLiD sequencing technology with 100 Gb mappable throughput.</v>
      </c>
      <c r="E691" s="141"/>
      <c r="F691" s="141"/>
      <c r="G691" s="141"/>
      <c r="H691" s="141"/>
      <c r="I691" s="141"/>
      <c r="J691" s="141"/>
      <c r="K691" s="141"/>
      <c r="L691" s="141"/>
      <c r="M691" s="141"/>
      <c r="N691" s="141"/>
      <c r="O691" s="141"/>
      <c r="P691" s="141"/>
      <c r="Q691" s="141"/>
      <c r="R691" s="141"/>
      <c r="S691" s="141"/>
      <c r="T691" s="141"/>
      <c r="U691" s="141"/>
      <c r="V691" s="141"/>
      <c r="W691" s="141"/>
      <c r="X691" s="141"/>
      <c r="Y691" s="141"/>
      <c r="Z691" s="141"/>
    </row>
    <row r="692">
      <c r="A692" s="141"/>
      <c r="B692" s="141" t="str">
        <f>IFERROR(__xludf.DUMMYFUNCTION("""COMPUTED_VALUE"""),"    SOLiD 4hq System [GENEPIO:0001928]            ")</f>
        <v>    SOLiD 4hq System [GENEPIO:0001928]            </v>
      </c>
      <c r="C692" s="141" t="str">
        <f>IFERROR(__xludf.DUMMYFUNCTION("""COMPUTED_VALUE"""),"GENEPIO:0001928")</f>
        <v>GENEPIO:0001928</v>
      </c>
      <c r="D692" s="141" t="str">
        <f>IFERROR(__xludf.DUMMYFUNCTION("""COMPUTED_VALUE"""),"A DNA sequencer which is manufactured by the Applied Biosystems corporation. Built upon SOLiD sequencing technology with 300 Gb mappable throughput.")</f>
        <v>A DNA sequencer which is manufactured by the Applied Biosystems corporation. Built upon SOLiD sequencing technology with 300 Gb mappable throughput.</v>
      </c>
      <c r="E692" s="141"/>
      <c r="F692" s="141"/>
      <c r="G692" s="141"/>
      <c r="H692" s="141"/>
      <c r="I692" s="141"/>
      <c r="J692" s="141"/>
      <c r="K692" s="141"/>
      <c r="L692" s="141"/>
      <c r="M692" s="141"/>
      <c r="N692" s="141"/>
      <c r="O692" s="141"/>
      <c r="P692" s="141"/>
      <c r="Q692" s="141"/>
      <c r="R692" s="141"/>
      <c r="S692" s="141"/>
      <c r="T692" s="141"/>
      <c r="U692" s="141"/>
      <c r="V692" s="141"/>
      <c r="W692" s="141"/>
      <c r="X692" s="141"/>
      <c r="Y692" s="141"/>
      <c r="Z692" s="141"/>
    </row>
    <row r="693">
      <c r="A693" s="141"/>
      <c r="B693" s="141" t="str">
        <f>IFERROR(__xludf.DUMMYFUNCTION("""COMPUTED_VALUE"""),"    SOLiD PI System [GENEPIO:0001931]            ")</f>
        <v>    SOLiD PI System [GENEPIO:0001931]            </v>
      </c>
      <c r="C693" s="141" t="str">
        <f>IFERROR(__xludf.DUMMYFUNCTION("""COMPUTED_VALUE"""),"GENEPIO:0001931")</f>
        <v>GENEPIO:0001931</v>
      </c>
      <c r="D693" s="141" t="str">
        <f>IFERROR(__xludf.DUMMYFUNCTION("""COMPUTED_VALUE"""),"A DNA sequencer which is manufactured by the Applied Biosystems corporation. Built upon SOLiD sequencing technology, the machine offers 50Gb mappable throughput.")</f>
        <v>A DNA sequencer which is manufactured by the Applied Biosystems corporation. Built upon SOLiD sequencing technology, the machine offers 50Gb mappable throughput.</v>
      </c>
      <c r="E693" s="141"/>
      <c r="F693" s="141"/>
      <c r="G693" s="141"/>
      <c r="H693" s="141"/>
      <c r="I693" s="141"/>
      <c r="J693" s="141"/>
      <c r="K693" s="141"/>
      <c r="L693" s="141"/>
      <c r="M693" s="141"/>
      <c r="N693" s="141"/>
      <c r="O693" s="141"/>
      <c r="P693" s="141"/>
      <c r="Q693" s="141"/>
      <c r="R693" s="141"/>
      <c r="S693" s="141"/>
      <c r="T693" s="141"/>
      <c r="U693" s="141"/>
      <c r="V693" s="141"/>
      <c r="W693" s="141"/>
      <c r="X693" s="141"/>
      <c r="Y693" s="141"/>
      <c r="Z693" s="141"/>
    </row>
    <row r="694">
      <c r="A694" s="141"/>
      <c r="B694" s="141" t="str">
        <f>IFERROR(__xludf.DUMMYFUNCTION("""COMPUTED_VALUE"""),"    SOLiD System 2.0 [GENEPIO:0001932]            ")</f>
        <v>    SOLiD System 2.0 [GENEPIO:0001932]            </v>
      </c>
      <c r="C694" s="141" t="str">
        <f>IFERROR(__xludf.DUMMYFUNCTION("""COMPUTED_VALUE"""),"GENEPIO:0001932")</f>
        <v>GENEPIO:0001932</v>
      </c>
      <c r="D694" s="141" t="str">
        <f>IFERROR(__xludf.DUMMYFUNCTION("""COMPUTED_VALUE"""),"A DNA sequencer which is manufactured by the Applied Biosystems corporation. ")</f>
        <v>A DNA sequencer which is manufactured by the Applied Biosystems corporation. </v>
      </c>
      <c r="E694" s="141"/>
      <c r="F694" s="141"/>
      <c r="G694" s="141"/>
      <c r="H694" s="141"/>
      <c r="I694" s="141"/>
      <c r="J694" s="141"/>
      <c r="K694" s="141"/>
      <c r="L694" s="141"/>
      <c r="M694" s="141"/>
      <c r="N694" s="141"/>
      <c r="O694" s="141"/>
      <c r="P694" s="141"/>
      <c r="Q694" s="141"/>
      <c r="R694" s="141"/>
      <c r="S694" s="141"/>
      <c r="T694" s="141"/>
      <c r="U694" s="141"/>
      <c r="V694" s="141"/>
      <c r="W694" s="141"/>
      <c r="X694" s="141"/>
      <c r="Y694" s="141"/>
      <c r="Z694" s="141"/>
    </row>
    <row r="695">
      <c r="A695" s="141"/>
      <c r="B695" s="141" t="str">
        <f>IFERROR(__xludf.DUMMYFUNCTION("""COMPUTED_VALUE"""),"    SOLiD System 3.0 [GENEPIO:0001933]            ")</f>
        <v>    SOLiD System 3.0 [GENEPIO:0001933]            </v>
      </c>
      <c r="C695" s="141" t="str">
        <f>IFERROR(__xludf.DUMMYFUNCTION("""COMPUTED_VALUE"""),"GENEPIO:0001933")</f>
        <v>GENEPIO:0001933</v>
      </c>
      <c r="D695" s="141" t="str">
        <f>IFERROR(__xludf.DUMMYFUNCTION("""COMPUTED_VALUE"""),"A DNA sequencer which is manufactured by the Applied Biosystems corporation. ")</f>
        <v>A DNA sequencer which is manufactured by the Applied Biosystems corporation. </v>
      </c>
      <c r="E695" s="141"/>
      <c r="F695" s="141"/>
      <c r="G695" s="141"/>
      <c r="H695" s="141"/>
      <c r="I695" s="141"/>
      <c r="J695" s="141"/>
      <c r="K695" s="141"/>
      <c r="L695" s="141"/>
      <c r="M695" s="141"/>
      <c r="N695" s="141"/>
      <c r="O695" s="141"/>
      <c r="P695" s="141"/>
      <c r="Q695" s="141"/>
      <c r="R695" s="141"/>
      <c r="S695" s="141"/>
      <c r="T695" s="141"/>
      <c r="U695" s="141"/>
      <c r="V695" s="141"/>
      <c r="W695" s="141"/>
      <c r="X695" s="141"/>
      <c r="Y695" s="141"/>
      <c r="Z695" s="141"/>
    </row>
    <row r="696">
      <c r="A696" s="141"/>
      <c r="B696" s="141" t="str">
        <f>IFERROR(__xludf.DUMMYFUNCTION("""COMPUTED_VALUE"""),"HeliScope Single Molecule Sequencer [OBI:0000717]                ")</f>
        <v>HeliScope Single Molecule Sequencer [OBI:0000717]                </v>
      </c>
      <c r="C696" s="141" t="str">
        <f>IFERROR(__xludf.DUMMYFUNCTION("""COMPUTED_VALUE"""),"OBI:0000717")</f>
        <v>OBI:0000717</v>
      </c>
      <c r="D696" s="141" t="str">
        <f>IFERROR(__xludf.DUMMYFUNCTION("""COMPUTED_VALUE"""),"A DNA sequencer manufacturer by Helicos Corporation to carry out Single Molecule sequencing using reversible termination chemistry.")</f>
        <v>A DNA sequencer manufacturer by Helicos Corporation to carry out Single Molecule sequencing using reversible termination chemistry.</v>
      </c>
      <c r="E696" s="141"/>
      <c r="F696" s="141"/>
      <c r="G696" s="141"/>
      <c r="H696" s="141"/>
      <c r="I696" s="141"/>
      <c r="J696" s="141"/>
      <c r="K696" s="141"/>
      <c r="L696" s="141"/>
      <c r="M696" s="141"/>
      <c r="N696" s="141"/>
      <c r="O696" s="141"/>
      <c r="P696" s="141"/>
      <c r="Q696" s="141"/>
      <c r="R696" s="141"/>
      <c r="S696" s="141"/>
      <c r="T696" s="141"/>
      <c r="U696" s="141"/>
      <c r="V696" s="141"/>
      <c r="W696" s="141"/>
      <c r="X696" s="141"/>
      <c r="Y696" s="141"/>
      <c r="Z696" s="141"/>
    </row>
    <row r="697">
      <c r="A697" s="141"/>
      <c r="B697" s="141" t="str">
        <f>IFERROR(__xludf.DUMMYFUNCTION("""COMPUTED_VALUE"""),"Applied Biosystems sequencing instrument model [GENEPIO:0100974]                ")</f>
        <v>Applied Biosystems sequencing instrument model [GENEPIO:0100974]                </v>
      </c>
      <c r="C697" s="141" t="str">
        <f>IFERROR(__xludf.DUMMYFUNCTION("""COMPUTED_VALUE"""),"GENEPIO:0100974")</f>
        <v>GENEPIO:0100974</v>
      </c>
      <c r="D697" s="141" t="str">
        <f>IFERROR(__xludf.DUMMYFUNCTION("""COMPUTED_VALUE"""),"A sequencing instrument model that is manufactured by Applied Biosystems and which performs Sanger sequencing and fragment analysis by capillary electrophoresis.")</f>
        <v>A sequencing instrument model that is manufactured by Applied Biosystems and which performs Sanger sequencing and fragment analysis by capillary electrophoresis.</v>
      </c>
      <c r="E697" s="141"/>
      <c r="F697" s="141"/>
      <c r="G697" s="141"/>
      <c r="H697" s="141"/>
      <c r="I697" s="141"/>
      <c r="J697" s="141"/>
      <c r="K697" s="141"/>
      <c r="L697" s="141"/>
      <c r="M697" s="141"/>
      <c r="N697" s="141"/>
      <c r="O697" s="141"/>
      <c r="P697" s="141"/>
      <c r="Q697" s="141"/>
      <c r="R697" s="141"/>
      <c r="S697" s="141"/>
      <c r="T697" s="141"/>
      <c r="U697" s="141"/>
      <c r="V697" s="141"/>
      <c r="W697" s="141"/>
      <c r="X697" s="141"/>
      <c r="Y697" s="141"/>
      <c r="Z697" s="141"/>
    </row>
    <row r="698">
      <c r="A698" s="141"/>
      <c r="B698" s="141" t="str">
        <f>IFERROR(__xludf.DUMMYFUNCTION("""COMPUTED_VALUE"""),"    AB 310 Genetic Analyzer [GENEPIO:0100975]            ")</f>
        <v>    AB 310 Genetic Analyzer [GENEPIO:0100975]            </v>
      </c>
      <c r="C698" s="141" t="str">
        <f>IFERROR(__xludf.DUMMYFUNCTION("""COMPUTED_VALUE"""),"GENEPIO:0100975")</f>
        <v>GENEPIO:0100975</v>
      </c>
      <c r="D698" s="141" t="str">
        <f>IFERROR(__xludf.DUMMYFUNCTION("""COMPUTED_VALUE"""),"An Applied Biosystems sequencing instrument model which utilises a single capillary electrophoresis system to perform Sanger sequencing and fragment analysis that is automated.")</f>
        <v>An Applied Biosystems sequencing instrument model which utilises a single capillary electrophoresis system to perform Sanger sequencing and fragment analysis that is automated.</v>
      </c>
      <c r="E698" s="141"/>
      <c r="F698" s="141"/>
      <c r="G698" s="141"/>
      <c r="H698" s="141"/>
      <c r="I698" s="141"/>
      <c r="J698" s="141"/>
      <c r="K698" s="141"/>
      <c r="L698" s="141"/>
      <c r="M698" s="141"/>
      <c r="N698" s="141"/>
      <c r="O698" s="141"/>
      <c r="P698" s="141"/>
      <c r="Q698" s="141"/>
      <c r="R698" s="141"/>
      <c r="S698" s="141"/>
      <c r="T698" s="141"/>
      <c r="U698" s="141"/>
      <c r="V698" s="141"/>
      <c r="W698" s="141"/>
      <c r="X698" s="141"/>
      <c r="Y698" s="141"/>
      <c r="Z698" s="141"/>
    </row>
    <row r="699">
      <c r="A699" s="141"/>
      <c r="B699" s="141" t="str">
        <f>IFERROR(__xludf.DUMMYFUNCTION("""COMPUTED_VALUE"""),"    AB 3130 Genetic Analyzer [GENEPIO:0100976]            ")</f>
        <v>    AB 3130 Genetic Analyzer [GENEPIO:0100976]            </v>
      </c>
      <c r="C699" s="141" t="str">
        <f>IFERROR(__xludf.DUMMYFUNCTION("""COMPUTED_VALUE"""),"GENEPIO:0100976")</f>
        <v>GENEPIO:0100976</v>
      </c>
      <c r="D699" s="141" t="str">
        <f>IFERROR(__xludf.DUMMYFUNCTION("""COMPUTED_VALUE"""),"An Applied Biosystems sequencing instrument model which performs capillary electrophoresis to sequence DNA and has 4 capillaries. ")</f>
        <v>An Applied Biosystems sequencing instrument model which performs capillary electrophoresis to sequence DNA and has 4 capillaries. </v>
      </c>
      <c r="E699" s="141"/>
      <c r="F699" s="141"/>
      <c r="G699" s="141"/>
      <c r="H699" s="141"/>
      <c r="I699" s="141"/>
      <c r="J699" s="141"/>
      <c r="K699" s="141"/>
      <c r="L699" s="141"/>
      <c r="M699" s="141"/>
      <c r="N699" s="141"/>
      <c r="O699" s="141"/>
      <c r="P699" s="141"/>
      <c r="Q699" s="141"/>
      <c r="R699" s="141"/>
      <c r="S699" s="141"/>
      <c r="T699" s="141"/>
      <c r="U699" s="141"/>
      <c r="V699" s="141"/>
      <c r="W699" s="141"/>
      <c r="X699" s="141"/>
      <c r="Y699" s="141"/>
      <c r="Z699" s="141"/>
    </row>
    <row r="700">
      <c r="A700" s="141"/>
      <c r="B700" s="141" t="str">
        <f>IFERROR(__xludf.DUMMYFUNCTION("""COMPUTED_VALUE"""),"    AB 3130xL Genetic Analyzer [GENEPIO:0100977]            ")</f>
        <v>    AB 3130xL Genetic Analyzer [GENEPIO:0100977]            </v>
      </c>
      <c r="C700" s="141" t="str">
        <f>IFERROR(__xludf.DUMMYFUNCTION("""COMPUTED_VALUE"""),"GENEPIO:0100977")</f>
        <v>GENEPIO:0100977</v>
      </c>
      <c r="D700" s="141" t="str">
        <f>IFERROR(__xludf.DUMMYFUNCTION("""COMPUTED_VALUE"""),"An Applied Biosystems sequencing instrument model which performs capillary electrophoresis to sequence DNA and has 16 capillaries. ")</f>
        <v>An Applied Biosystems sequencing instrument model which performs capillary electrophoresis to sequence DNA and has 16 capillaries. </v>
      </c>
      <c r="E700" s="141"/>
      <c r="F700" s="141"/>
      <c r="G700" s="141"/>
      <c r="H700" s="141"/>
      <c r="I700" s="141"/>
      <c r="J700" s="141"/>
      <c r="K700" s="141"/>
      <c r="L700" s="141"/>
      <c r="M700" s="141"/>
      <c r="N700" s="141"/>
      <c r="O700" s="141"/>
      <c r="P700" s="141"/>
      <c r="Q700" s="141"/>
      <c r="R700" s="141"/>
      <c r="S700" s="141"/>
      <c r="T700" s="141"/>
      <c r="U700" s="141"/>
      <c r="V700" s="141"/>
      <c r="W700" s="141"/>
      <c r="X700" s="141"/>
      <c r="Y700" s="141"/>
      <c r="Z700" s="141"/>
    </row>
    <row r="701">
      <c r="A701" s="141"/>
      <c r="B701" s="141" t="str">
        <f>IFERROR(__xludf.DUMMYFUNCTION("""COMPUTED_VALUE"""),"    AB 3500 Genetic Analyzer [GENEPIO:0100978]            ")</f>
        <v>    AB 3500 Genetic Analyzer [GENEPIO:0100978]            </v>
      </c>
      <c r="C701" s="141" t="str">
        <f>IFERROR(__xludf.DUMMYFUNCTION("""COMPUTED_VALUE"""),"GENEPIO:0100978")</f>
        <v>GENEPIO:0100978</v>
      </c>
      <c r="D701" s="141" t="str">
        <f>IFERROR(__xludf.DUMMYFUNCTION("""COMPUTED_VALUE"""),"An Applied Biosystems sequencing instrument model which performs capillary electrophoresis to sequence DNA and has 8 capillaries, which can run 96 well plates.")</f>
        <v>An Applied Biosystems sequencing instrument model which performs capillary electrophoresis to sequence DNA and has 8 capillaries, which can run 96 well plates.</v>
      </c>
      <c r="E701" s="141"/>
      <c r="F701" s="141"/>
      <c r="G701" s="141"/>
      <c r="H701" s="141"/>
      <c r="I701" s="141"/>
      <c r="J701" s="141"/>
      <c r="K701" s="141"/>
      <c r="L701" s="141"/>
      <c r="M701" s="141"/>
      <c r="N701" s="141"/>
      <c r="O701" s="141"/>
      <c r="P701" s="141"/>
      <c r="Q701" s="141"/>
      <c r="R701" s="141"/>
      <c r="S701" s="141"/>
      <c r="T701" s="141"/>
      <c r="U701" s="141"/>
      <c r="V701" s="141"/>
      <c r="W701" s="141"/>
      <c r="X701" s="141"/>
      <c r="Y701" s="141"/>
      <c r="Z701" s="141"/>
    </row>
    <row r="702">
      <c r="A702" s="141"/>
      <c r="B702" s="141" t="str">
        <f>IFERROR(__xludf.DUMMYFUNCTION("""COMPUTED_VALUE"""),"    AB 3500xL Genetic Analyzer [GENEPIO:0100979]            ")</f>
        <v>    AB 3500xL Genetic Analyzer [GENEPIO:0100979]            </v>
      </c>
      <c r="C702" s="141" t="str">
        <f>IFERROR(__xludf.DUMMYFUNCTION("""COMPUTED_VALUE"""),"GENEPIO:0100979")</f>
        <v>GENEPIO:0100979</v>
      </c>
      <c r="D702" s="141" t="str">
        <f>IFERROR(__xludf.DUMMYFUNCTION("""COMPUTED_VALUE"""),"An Applied Biosystems sequencing instrument model which performs capillary electrophoresis to sequence DNA and has 24 capillaries, which can run 384 well plates.")</f>
        <v>An Applied Biosystems sequencing instrument model which performs capillary electrophoresis to sequence DNA and has 24 capillaries, which can run 384 well plates.</v>
      </c>
      <c r="E702" s="141"/>
      <c r="F702" s="141"/>
      <c r="G702" s="141"/>
      <c r="H702" s="141"/>
      <c r="I702" s="141"/>
      <c r="J702" s="141"/>
      <c r="K702" s="141"/>
      <c r="L702" s="141"/>
      <c r="M702" s="141"/>
      <c r="N702" s="141"/>
      <c r="O702" s="141"/>
      <c r="P702" s="141"/>
      <c r="Q702" s="141"/>
      <c r="R702" s="141"/>
      <c r="S702" s="141"/>
      <c r="T702" s="141"/>
      <c r="U702" s="141"/>
      <c r="V702" s="141"/>
      <c r="W702" s="141"/>
      <c r="X702" s="141"/>
      <c r="Y702" s="141"/>
      <c r="Z702" s="141"/>
    </row>
    <row r="703">
      <c r="A703" s="141"/>
      <c r="B703" s="141" t="str">
        <f>IFERROR(__xludf.DUMMYFUNCTION("""COMPUTED_VALUE"""),"    AB 3730 Genetic Analyzer [GENEPIO:0100980]            ")</f>
        <v>    AB 3730 Genetic Analyzer [GENEPIO:0100980]            </v>
      </c>
      <c r="C703" s="141" t="str">
        <f>IFERROR(__xludf.DUMMYFUNCTION("""COMPUTED_VALUE"""),"GENEPIO:0100980")</f>
        <v>GENEPIO:0100980</v>
      </c>
      <c r="D703" s="141" t="str">
        <f>IFERROR(__xludf.DUMMYFUNCTION("""COMPUTED_VALUE"""),"An Applied Biosystems sequencing instrument model which utilises an 48 capillary array electrophoresis system for sequencing.")</f>
        <v>An Applied Biosystems sequencing instrument model which utilises an 48 capillary array electrophoresis system for sequencing.</v>
      </c>
      <c r="E703" s="141"/>
      <c r="F703" s="141"/>
      <c r="G703" s="141"/>
      <c r="H703" s="141"/>
      <c r="I703" s="141"/>
      <c r="J703" s="141"/>
      <c r="K703" s="141"/>
      <c r="L703" s="141"/>
      <c r="M703" s="141"/>
      <c r="N703" s="141"/>
      <c r="O703" s="141"/>
      <c r="P703" s="141"/>
      <c r="Q703" s="141"/>
      <c r="R703" s="141"/>
      <c r="S703" s="141"/>
      <c r="T703" s="141"/>
      <c r="U703" s="141"/>
      <c r="V703" s="141"/>
      <c r="W703" s="141"/>
      <c r="X703" s="141"/>
      <c r="Y703" s="141"/>
      <c r="Z703" s="141"/>
    </row>
    <row r="704">
      <c r="A704" s="141"/>
      <c r="B704" s="141" t="str">
        <f>IFERROR(__xludf.DUMMYFUNCTION("""COMPUTED_VALUE"""),"    AB 3730xL Genetic Analyzer [GENEPIO:0100981]            ")</f>
        <v>    AB 3730xL Genetic Analyzer [GENEPIO:0100981]            </v>
      </c>
      <c r="C704" s="141" t="str">
        <f>IFERROR(__xludf.DUMMYFUNCTION("""COMPUTED_VALUE"""),"GENEPIO:0100981")</f>
        <v>GENEPIO:0100981</v>
      </c>
      <c r="D704" s="141" t="str">
        <f>IFERROR(__xludf.DUMMYFUNCTION("""COMPUTED_VALUE"""),"An Applied Biosystems sequencing instrument model which utilises an 96 capillary array electrophoresis system for sequencing.")</f>
        <v>An Applied Biosystems sequencing instrument model which utilises an 96 capillary array electrophoresis system for sequencing.</v>
      </c>
      <c r="E704" s="141"/>
      <c r="F704" s="141"/>
      <c r="G704" s="141"/>
      <c r="H704" s="141"/>
      <c r="I704" s="141"/>
      <c r="J704" s="141"/>
      <c r="K704" s="141"/>
      <c r="L704" s="141"/>
      <c r="M704" s="141"/>
      <c r="N704" s="141"/>
      <c r="O704" s="141"/>
      <c r="P704" s="141"/>
      <c r="Q704" s="141"/>
      <c r="R704" s="141"/>
      <c r="S704" s="141"/>
      <c r="T704" s="141"/>
      <c r="U704" s="141"/>
      <c r="V704" s="141"/>
      <c r="W704" s="141"/>
      <c r="X704" s="141"/>
      <c r="Y704" s="141"/>
      <c r="Z704" s="141"/>
    </row>
    <row r="705">
      <c r="A705" s="141" t="str">
        <f>IFERROR(__xludf.DUMMYFUNCTION("""COMPUTED_VALUE"""),"sequencing assay type menu")</f>
        <v>sequencing assay type menu</v>
      </c>
      <c r="B705" s="141" t="str">
        <f>IFERROR(__xludf.DUMMYFUNCTION("""COMPUTED_VALUE"""),"                ")</f>
        <v>                </v>
      </c>
      <c r="C705" s="141" t="str">
        <f>IFERROR(__xludf.DUMMYFUNCTION("""COMPUTED_VALUE"""),"")</f>
        <v/>
      </c>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c r="Z705" s="141"/>
    </row>
    <row r="706">
      <c r="A706" s="141"/>
      <c r="B706" s="141" t="str">
        <f>IFERROR(__xludf.DUMMYFUNCTION("""COMPUTED_VALUE"""),"Amplicon sequencing assay [OBI:0002767]                ")</f>
        <v>Amplicon sequencing assay [OBI:0002767]                </v>
      </c>
      <c r="C706" s="141" t="str">
        <f>IFERROR(__xludf.DUMMYFUNCTION("""COMPUTED_VALUE"""),"OBI:0002767")</f>
        <v>OBI:0002767</v>
      </c>
      <c r="D706" s="141" t="str">
        <f>IFERROR(__xludf.DUMMYFUNCTION("""COMPUTED_VALUE"""),"A sequencing assay in which a DNA or RNA input molecule is amplified by PCR and the product sequenced.")</f>
        <v>A sequencing assay in which a DNA or RNA input molecule is amplified by PCR and the product sequenced.</v>
      </c>
      <c r="E706" s="141"/>
      <c r="F706" s="141"/>
      <c r="G706" s="141"/>
      <c r="H706" s="141"/>
      <c r="I706" s="141"/>
      <c r="J706" s="141"/>
      <c r="K706" s="141"/>
      <c r="L706" s="141"/>
      <c r="M706" s="141"/>
      <c r="N706" s="141"/>
      <c r="O706" s="141"/>
      <c r="P706" s="141"/>
      <c r="Q706" s="141"/>
      <c r="R706" s="141"/>
      <c r="S706" s="141"/>
      <c r="T706" s="141"/>
      <c r="U706" s="141"/>
      <c r="V706" s="141"/>
      <c r="W706" s="141"/>
      <c r="X706" s="141"/>
      <c r="Y706" s="141"/>
      <c r="Z706" s="141"/>
    </row>
    <row r="707">
      <c r="A707" s="141"/>
      <c r="B707" s="141" t="str">
        <f>IFERROR(__xludf.DUMMYFUNCTION("""COMPUTED_VALUE"""),"    16S ribosomal gene sequencing assay [OBI:0002763]            ")</f>
        <v>    16S ribosomal gene sequencing assay [OBI:0002763]            </v>
      </c>
      <c r="C707" s="141" t="str">
        <f>IFERROR(__xludf.DUMMYFUNCTION("""COMPUTED_VALUE"""),"OBI:0002763")</f>
        <v>OBI:0002763</v>
      </c>
      <c r="D707" s="141" t="str">
        <f>IFERROR(__xludf.DUMMYFUNCTION("""COMPUTED_VALUE"""),"An amplicon sequencing assay in which the amplicon is derived from universal primers used to amplify the 16S ribosomal RNA gene from isolate bacterial genomic DNA or metagenomic DNA from a microbioal community. Resulting sequences are compared to referenc"&amp;"e 16S sequence databases to identify or classify bacteria present within a given sample.")</f>
        <v>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v>
      </c>
      <c r="E707" s="141"/>
      <c r="F707" s="141"/>
      <c r="G707" s="141"/>
      <c r="H707" s="141"/>
      <c r="I707" s="141"/>
      <c r="J707" s="141"/>
      <c r="K707" s="141"/>
      <c r="L707" s="141"/>
      <c r="M707" s="141"/>
      <c r="N707" s="141"/>
      <c r="O707" s="141"/>
      <c r="P707" s="141"/>
      <c r="Q707" s="141"/>
      <c r="R707" s="141"/>
      <c r="S707" s="141"/>
      <c r="T707" s="141"/>
      <c r="U707" s="141"/>
      <c r="V707" s="141"/>
      <c r="W707" s="141"/>
      <c r="X707" s="141"/>
      <c r="Y707" s="141"/>
      <c r="Z707" s="141"/>
    </row>
    <row r="708">
      <c r="A708" s="141"/>
      <c r="B708" s="141" t="str">
        <f>IFERROR(__xludf.DUMMYFUNCTION("""COMPUTED_VALUE"""),"Whole genome sequencing assay [OBI:0002117]                ")</f>
        <v>Whole genome sequencing assay [OBI:0002117]                </v>
      </c>
      <c r="C708" s="141" t="str">
        <f>IFERROR(__xludf.DUMMYFUNCTION("""COMPUTED_VALUE"""),"OBI:0002117")</f>
        <v>OBI:0002117</v>
      </c>
      <c r="D708" s="141"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E708" s="141"/>
      <c r="F708" s="141"/>
      <c r="G708" s="141"/>
      <c r="H708" s="141"/>
      <c r="I708" s="141"/>
      <c r="J708" s="141"/>
      <c r="K708" s="141"/>
      <c r="L708" s="141"/>
      <c r="M708" s="141"/>
      <c r="N708" s="141"/>
      <c r="O708" s="141"/>
      <c r="P708" s="141"/>
      <c r="Q708" s="141"/>
      <c r="R708" s="141"/>
      <c r="S708" s="141"/>
      <c r="T708" s="141"/>
      <c r="U708" s="141"/>
      <c r="V708" s="141"/>
      <c r="W708" s="141"/>
      <c r="X708" s="141"/>
      <c r="Y708" s="141"/>
      <c r="Z708" s="141"/>
    </row>
    <row r="709">
      <c r="A709" s="141"/>
      <c r="B709" s="141" t="str">
        <f>IFERROR(__xludf.DUMMYFUNCTION("""COMPUTED_VALUE"""),"Whole metagenome sequencing assay [OBI:0002623]                ")</f>
        <v>Whole metagenome sequencing assay [OBI:0002623]                </v>
      </c>
      <c r="C709" s="141" t="str">
        <f>IFERROR(__xludf.DUMMYFUNCTION("""COMPUTED_VALUE"""),"OBI:0002623")</f>
        <v>OBI:0002623</v>
      </c>
      <c r="D709" s="141"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E709" s="141"/>
      <c r="F709" s="141"/>
      <c r="G709" s="141"/>
      <c r="H709" s="141"/>
      <c r="I709" s="141"/>
      <c r="J709" s="141"/>
      <c r="K709" s="141"/>
      <c r="L709" s="141"/>
      <c r="M709" s="141"/>
      <c r="N709" s="141"/>
      <c r="O709" s="141"/>
      <c r="P709" s="141"/>
      <c r="Q709" s="141"/>
      <c r="R709" s="141"/>
      <c r="S709" s="141"/>
      <c r="T709" s="141"/>
      <c r="U709" s="141"/>
      <c r="V709" s="141"/>
      <c r="W709" s="141"/>
      <c r="X709" s="141"/>
      <c r="Y709" s="141"/>
      <c r="Z709" s="141"/>
    </row>
    <row r="710">
      <c r="A710" s="141"/>
      <c r="B710" s="141" t="str">
        <f>IFERROR(__xludf.DUMMYFUNCTION("""COMPUTED_VALUE"""),"    Whole virome sequencing assay [OBI:0002768]            ")</f>
        <v>    Whole virome sequencing assay [OBI:0002768]            </v>
      </c>
      <c r="C710" s="141" t="str">
        <f>IFERROR(__xludf.DUMMYFUNCTION("""COMPUTED_VALUE"""),"OBI:0002768")</f>
        <v>OBI:0002768</v>
      </c>
      <c r="D710" s="141"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E710" s="141"/>
      <c r="F710" s="141"/>
      <c r="G710" s="141"/>
      <c r="H710" s="141"/>
      <c r="I710" s="141"/>
      <c r="J710" s="141"/>
      <c r="K710" s="141"/>
      <c r="L710" s="141"/>
      <c r="M710" s="141"/>
      <c r="N710" s="141"/>
      <c r="O710" s="141"/>
      <c r="P710" s="141"/>
      <c r="Q710" s="141"/>
      <c r="R710" s="141"/>
      <c r="S710" s="141"/>
      <c r="T710" s="141"/>
      <c r="U710" s="141"/>
      <c r="V710" s="141"/>
      <c r="W710" s="141"/>
      <c r="X710" s="141"/>
      <c r="Y710" s="141"/>
      <c r="Z710" s="141"/>
    </row>
    <row r="711">
      <c r="A711" s="141" t="str">
        <f>IFERROR(__xludf.DUMMYFUNCTION("""COMPUTED_VALUE"""),"amplicon pcr primer scheme menu")</f>
        <v>amplicon pcr primer scheme menu</v>
      </c>
      <c r="B711" s="141" t="str">
        <f>IFERROR(__xludf.DUMMYFUNCTION("""COMPUTED_VALUE"""),"                ")</f>
        <v>                </v>
      </c>
      <c r="C711" s="141" t="str">
        <f>IFERROR(__xludf.DUMMYFUNCTION("""COMPUTED_VALUE"""),"")</f>
        <v/>
      </c>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c r="Z711" s="141"/>
    </row>
    <row r="712">
      <c r="A712" s="141"/>
      <c r="B712" s="141" t="str">
        <f>IFERROR(__xludf.DUMMYFUNCTION("""COMPUTED_VALUE"""),"artic-v1 [GENEPIO:0100847]                ")</f>
        <v>artic-v1 [GENEPIO:0100847]                </v>
      </c>
      <c r="C712" s="141" t="str">
        <f>IFERROR(__xludf.DUMMYFUNCTION("""COMPUTED_VALUE"""),"GENEPIO:0100847")</f>
        <v>GENEPIO:0100847</v>
      </c>
      <c r="D712" s="141" t="str">
        <f>IFERROR(__xludf.DUMMYFUNCTION("""COMPUTED_VALUE"""),"An amplicon strategy which was developed by the ARTIC consortium for SARS-CoV-2 with the attributes of version 1.0.0.")</f>
        <v>An amplicon strategy which was developed by the ARTIC consortium for SARS-CoV-2 with the attributes of version 1.0.0.</v>
      </c>
      <c r="E712" s="141"/>
      <c r="F712" s="141"/>
      <c r="G712" s="141"/>
      <c r="H712" s="141"/>
      <c r="I712" s="141"/>
      <c r="J712" s="141"/>
      <c r="K712" s="141"/>
      <c r="L712" s="141"/>
      <c r="M712" s="141"/>
      <c r="N712" s="141"/>
      <c r="O712" s="141"/>
      <c r="P712" s="141"/>
      <c r="Q712" s="141"/>
      <c r="R712" s="141"/>
      <c r="S712" s="141"/>
      <c r="T712" s="141"/>
      <c r="U712" s="141"/>
      <c r="V712" s="141"/>
      <c r="W712" s="141"/>
      <c r="X712" s="141"/>
      <c r="Y712" s="141"/>
      <c r="Z712" s="141"/>
    </row>
    <row r="713">
      <c r="A713" s="141"/>
      <c r="B713" s="141" t="str">
        <f>IFERROR(__xludf.DUMMYFUNCTION("""COMPUTED_VALUE"""),"artic-v2 [GENEPIO:0100848]                ")</f>
        <v>artic-v2 [GENEPIO:0100848]                </v>
      </c>
      <c r="C713" s="141" t="str">
        <f>IFERROR(__xludf.DUMMYFUNCTION("""COMPUTED_VALUE"""),"GENEPIO:0100848")</f>
        <v>GENEPIO:0100848</v>
      </c>
      <c r="D713" s="141" t="str">
        <f>IFERROR(__xludf.DUMMYFUNCTION("""COMPUTED_VALUE"""),"An amplicon strategy which was developed by the ARTIC consortium for SARS-CoV-2 with the attributes of version 2.0.0.")</f>
        <v>An amplicon strategy which was developed by the ARTIC consortium for SARS-CoV-2 with the attributes of version 2.0.0.</v>
      </c>
      <c r="E713" s="141"/>
      <c r="F713" s="141"/>
      <c r="G713" s="141"/>
      <c r="H713" s="141"/>
      <c r="I713" s="141"/>
      <c r="J713" s="141"/>
      <c r="K713" s="141"/>
      <c r="L713" s="141"/>
      <c r="M713" s="141"/>
      <c r="N713" s="141"/>
      <c r="O713" s="141"/>
      <c r="P713" s="141"/>
      <c r="Q713" s="141"/>
      <c r="R713" s="141"/>
      <c r="S713" s="141"/>
      <c r="T713" s="141"/>
      <c r="U713" s="141"/>
      <c r="V713" s="141"/>
      <c r="W713" s="141"/>
      <c r="X713" s="141"/>
      <c r="Y713" s="141"/>
      <c r="Z713" s="141"/>
    </row>
    <row r="714">
      <c r="A714" s="141"/>
      <c r="B714" s="141" t="str">
        <f>IFERROR(__xludf.DUMMYFUNCTION("""COMPUTED_VALUE"""),"artic-v3 [GENEPIO:0100849]                ")</f>
        <v>artic-v3 [GENEPIO:0100849]                </v>
      </c>
      <c r="C714" s="141" t="str">
        <f>IFERROR(__xludf.DUMMYFUNCTION("""COMPUTED_VALUE"""),"GENEPIO:0100849")</f>
        <v>GENEPIO:0100849</v>
      </c>
      <c r="D714" s="141" t="str">
        <f>IFERROR(__xludf.DUMMYFUNCTION("""COMPUTED_VALUE"""),"An amplicon strategy which was developed by the ARTIC consortium for SARS-CoV-2 with the attributes of version 3.0.0.")</f>
        <v>An amplicon strategy which was developed by the ARTIC consortium for SARS-CoV-2 with the attributes of version 3.0.0.</v>
      </c>
      <c r="E714" s="141"/>
      <c r="F714" s="141"/>
      <c r="G714" s="141"/>
      <c r="H714" s="141"/>
      <c r="I714" s="141"/>
      <c r="J714" s="141"/>
      <c r="K714" s="141"/>
      <c r="L714" s="141"/>
      <c r="M714" s="141"/>
      <c r="N714" s="141"/>
      <c r="O714" s="141"/>
      <c r="P714" s="141"/>
      <c r="Q714" s="141"/>
      <c r="R714" s="141"/>
      <c r="S714" s="141"/>
      <c r="T714" s="141"/>
      <c r="U714" s="141"/>
      <c r="V714" s="141"/>
      <c r="W714" s="141"/>
      <c r="X714" s="141"/>
      <c r="Y714" s="141"/>
      <c r="Z714" s="141"/>
    </row>
    <row r="715">
      <c r="A715" s="141"/>
      <c r="B715" s="141" t="str">
        <f>IFERROR(__xludf.DUMMYFUNCTION("""COMPUTED_VALUE"""),"artic-v4 [GENEPIO:0100850]                ")</f>
        <v>artic-v4 [GENEPIO:0100850]                </v>
      </c>
      <c r="C715" s="141" t="str">
        <f>IFERROR(__xludf.DUMMYFUNCTION("""COMPUTED_VALUE"""),"GENEPIO:0100850")</f>
        <v>GENEPIO:0100850</v>
      </c>
      <c r="D715" s="141" t="str">
        <f>IFERROR(__xludf.DUMMYFUNCTION("""COMPUTED_VALUE"""),"An amplicon strategy which was developed by the ARTIC consortium for SARS-CoV-2 with the attributes of version 4.0.0.")</f>
        <v>An amplicon strategy which was developed by the ARTIC consortium for SARS-CoV-2 with the attributes of version 4.0.0.</v>
      </c>
      <c r="E715" s="141"/>
      <c r="F715" s="141"/>
      <c r="G715" s="141"/>
      <c r="H715" s="141"/>
      <c r="I715" s="141"/>
      <c r="J715" s="141"/>
      <c r="K715" s="141"/>
      <c r="L715" s="141"/>
      <c r="M715" s="141"/>
      <c r="N715" s="141"/>
      <c r="O715" s="141"/>
      <c r="P715" s="141"/>
      <c r="Q715" s="141"/>
      <c r="R715" s="141"/>
      <c r="S715" s="141"/>
      <c r="T715" s="141"/>
      <c r="U715" s="141"/>
      <c r="V715" s="141"/>
      <c r="W715" s="141"/>
      <c r="X715" s="141"/>
      <c r="Y715" s="141"/>
      <c r="Z715" s="141"/>
    </row>
    <row r="716">
      <c r="A716" s="141"/>
      <c r="B716" s="141" t="str">
        <f>IFERROR(__xludf.DUMMYFUNCTION("""COMPUTED_VALUE"""),"artic-v4.1 [GENEPIO:0100851]                ")</f>
        <v>artic-v4.1 [GENEPIO:0100851]                </v>
      </c>
      <c r="C716" s="141" t="str">
        <f>IFERROR(__xludf.DUMMYFUNCTION("""COMPUTED_VALUE"""),"GENEPIO:0100851")</f>
        <v>GENEPIO:0100851</v>
      </c>
      <c r="D716" s="141" t="str">
        <f>IFERROR(__xludf.DUMMYFUNCTION("""COMPUTED_VALUE"""),"An amplicon strategy which was developed by the ARTIC consortium for SARS-CoV-2 with the attributes of version 4.1.0.")</f>
        <v>An amplicon strategy which was developed by the ARTIC consortium for SARS-CoV-2 with the attributes of version 4.1.0.</v>
      </c>
      <c r="E716" s="141"/>
      <c r="F716" s="141"/>
      <c r="G716" s="141"/>
      <c r="H716" s="141"/>
      <c r="I716" s="141"/>
      <c r="J716" s="141"/>
      <c r="K716" s="141"/>
      <c r="L716" s="141"/>
      <c r="M716" s="141"/>
      <c r="N716" s="141"/>
      <c r="O716" s="141"/>
      <c r="P716" s="141"/>
      <c r="Q716" s="141"/>
      <c r="R716" s="141"/>
      <c r="S716" s="141"/>
      <c r="T716" s="141"/>
      <c r="U716" s="141"/>
      <c r="V716" s="141"/>
      <c r="W716" s="141"/>
      <c r="X716" s="141"/>
      <c r="Y716" s="141"/>
      <c r="Z716" s="141"/>
    </row>
    <row r="717">
      <c r="A717" s="141"/>
      <c r="B717" s="141" t="str">
        <f>IFERROR(__xludf.DUMMYFUNCTION("""COMPUTED_VALUE"""),"artic-v5.0.0_400 [GENEPIO:0100852]                ")</f>
        <v>artic-v5.0.0_400 [GENEPIO:0100852]                </v>
      </c>
      <c r="C717" s="141" t="str">
        <f>IFERROR(__xludf.DUMMYFUNCTION("""COMPUTED_VALUE"""),"GENEPIO:0100852")</f>
        <v>GENEPIO:0100852</v>
      </c>
      <c r="D717" s="141" t="str">
        <f>IFERROR(__xludf.DUMMYFUNCTION("""COMPUTED_VALUE"""),"An amplicon strategy which was developed by the ARTIC consortium for SARS-CoV-2 with the attributes of version 5.0.0 which produces amplicons approximately 400bp in length.")</f>
        <v>An amplicon strategy which was developed by the ARTIC consortium for SARS-CoV-2 with the attributes of version 5.0.0 which produces amplicons approximately 400bp in length.</v>
      </c>
      <c r="E717" s="141"/>
      <c r="F717" s="141"/>
      <c r="G717" s="141"/>
      <c r="H717" s="141"/>
      <c r="I717" s="141"/>
      <c r="J717" s="141"/>
      <c r="K717" s="141"/>
      <c r="L717" s="141"/>
      <c r="M717" s="141"/>
      <c r="N717" s="141"/>
      <c r="O717" s="141"/>
      <c r="P717" s="141"/>
      <c r="Q717" s="141"/>
      <c r="R717" s="141"/>
      <c r="S717" s="141"/>
      <c r="T717" s="141"/>
      <c r="U717" s="141"/>
      <c r="V717" s="141"/>
      <c r="W717" s="141"/>
      <c r="X717" s="141"/>
      <c r="Y717" s="141"/>
      <c r="Z717" s="141"/>
    </row>
    <row r="718">
      <c r="A718" s="141"/>
      <c r="B718" s="141" t="str">
        <f>IFERROR(__xludf.DUMMYFUNCTION("""COMPUTED_VALUE"""),"artic-v5.1.0_400 [GENEPIO:0100853]                ")</f>
        <v>artic-v5.1.0_400 [GENEPIO:0100853]                </v>
      </c>
      <c r="C718" s="141" t="str">
        <f>IFERROR(__xludf.DUMMYFUNCTION("""COMPUTED_VALUE"""),"GENEPIO:0100853")</f>
        <v>GENEPIO:0100853</v>
      </c>
      <c r="D718" s="141" t="str">
        <f>IFERROR(__xludf.DUMMYFUNCTION("""COMPUTED_VALUE"""),"An amplicon strategy which was developed by the ARTIC consortium for SARS-CoV-2with the attributes of version 5.1.0 which produces amplicons approximately 400bp in length.")</f>
        <v>An amplicon strategy which was developed by the ARTIC consortium for SARS-CoV-2with the attributes of version 5.1.0 which produces amplicons approximately 400bp in length.</v>
      </c>
      <c r="E718" s="141"/>
      <c r="F718" s="141"/>
      <c r="G718" s="141"/>
      <c r="H718" s="141"/>
      <c r="I718" s="141"/>
      <c r="J718" s="141"/>
      <c r="K718" s="141"/>
      <c r="L718" s="141"/>
      <c r="M718" s="141"/>
      <c r="N718" s="141"/>
      <c r="O718" s="141"/>
      <c r="P718" s="141"/>
      <c r="Q718" s="141"/>
      <c r="R718" s="141"/>
      <c r="S718" s="141"/>
      <c r="T718" s="141"/>
      <c r="U718" s="141"/>
      <c r="V718" s="141"/>
      <c r="W718" s="141"/>
      <c r="X718" s="141"/>
      <c r="Y718" s="141"/>
      <c r="Z718" s="141"/>
    </row>
    <row r="719">
      <c r="A719" s="141"/>
      <c r="B719" s="141" t="str">
        <f>IFERROR(__xludf.DUMMYFUNCTION("""COMPUTED_VALUE"""),"artic-v5.2.0_1200 [GENEPIO:0100854]                ")</f>
        <v>artic-v5.2.0_1200 [GENEPIO:0100854]                </v>
      </c>
      <c r="C719" s="141" t="str">
        <f>IFERROR(__xludf.DUMMYFUNCTION("""COMPUTED_VALUE"""),"GENEPIO:0100854")</f>
        <v>GENEPIO:0100854</v>
      </c>
      <c r="D719" s="141" t="str">
        <f>IFERROR(__xludf.DUMMYFUNCTION("""COMPUTED_VALUE"""),"An amplicon strategy which was developed by the ARTIC consortium for SARS-CoV-2 with the attributes of version 5.2.0 which produces amplicons approximately 1200bp in length.")</f>
        <v>An amplicon strategy which was developed by the ARTIC consortium for SARS-CoV-2 with the attributes of version 5.2.0 which produces amplicons approximately 1200bp in length.</v>
      </c>
      <c r="E719" s="141"/>
      <c r="F719" s="141"/>
      <c r="G719" s="141"/>
      <c r="H719" s="141"/>
      <c r="I719" s="141"/>
      <c r="J719" s="141"/>
      <c r="K719" s="141"/>
      <c r="L719" s="141"/>
      <c r="M719" s="141"/>
      <c r="N719" s="141"/>
      <c r="O719" s="141"/>
      <c r="P719" s="141"/>
      <c r="Q719" s="141"/>
      <c r="R719" s="141"/>
      <c r="S719" s="141"/>
      <c r="T719" s="141"/>
      <c r="U719" s="141"/>
      <c r="V719" s="141"/>
      <c r="W719" s="141"/>
      <c r="X719" s="141"/>
      <c r="Y719" s="141"/>
      <c r="Z719" s="141"/>
    </row>
    <row r="720">
      <c r="A720" s="141"/>
      <c r="B720" s="141" t="str">
        <f>IFERROR(__xludf.DUMMYFUNCTION("""COMPUTED_VALUE"""),"artic-v5.2.0_400 [GENEPIO:0100855]                ")</f>
        <v>artic-v5.2.0_400 [GENEPIO:0100855]                </v>
      </c>
      <c r="C720" s="141" t="str">
        <f>IFERROR(__xludf.DUMMYFUNCTION("""COMPUTED_VALUE"""),"GENEPIO:0100855")</f>
        <v>GENEPIO:0100855</v>
      </c>
      <c r="D720" s="141" t="str">
        <f>IFERROR(__xludf.DUMMYFUNCTION("""COMPUTED_VALUE"""),"An amplicon strategy which was developed by the ARTIC consortium for SARS-CoV-2 with the attributes of version 5.2.0 which produces amplicons approximately 400bp in length.")</f>
        <v>An amplicon strategy which was developed by the ARTIC consortium for SARS-CoV-2 with the attributes of version 5.2.0 which produces amplicons approximately 400bp in length.</v>
      </c>
      <c r="E720" s="141"/>
      <c r="F720" s="141"/>
      <c r="G720" s="141"/>
      <c r="H720" s="141"/>
      <c r="I720" s="141"/>
      <c r="J720" s="141"/>
      <c r="K720" s="141"/>
      <c r="L720" s="141"/>
      <c r="M720" s="141"/>
      <c r="N720" s="141"/>
      <c r="O720" s="141"/>
      <c r="P720" s="141"/>
      <c r="Q720" s="141"/>
      <c r="R720" s="141"/>
      <c r="S720" s="141"/>
      <c r="T720" s="141"/>
      <c r="U720" s="141"/>
      <c r="V720" s="141"/>
      <c r="W720" s="141"/>
      <c r="X720" s="141"/>
      <c r="Y720" s="141"/>
      <c r="Z720" s="141"/>
    </row>
    <row r="721">
      <c r="A721" s="141"/>
      <c r="B721" s="141" t="str">
        <f>IFERROR(__xludf.DUMMYFUNCTION("""COMPUTED_VALUE"""),"artic-v5.3.2_400 [GENEPIO:0100856]                ")</f>
        <v>artic-v5.3.2_400 [GENEPIO:0100856]                </v>
      </c>
      <c r="C721" s="141" t="str">
        <f>IFERROR(__xludf.DUMMYFUNCTION("""COMPUTED_VALUE"""),"GENEPIO:0100856")</f>
        <v>GENEPIO:0100856</v>
      </c>
      <c r="D721" s="141" t="str">
        <f>IFERROR(__xludf.DUMMYFUNCTION("""COMPUTED_VALUE"""),"An amplicon strategy which was developed by the ARTIC consortium for SARS-CoV-2 with the attributes of version 5.3.2 which produces amplicons approximately 400bp in length.")</f>
        <v>An amplicon strategy which was developed by the ARTIC consortium for SARS-CoV-2 with the attributes of version 5.3.2 which produces amplicons approximately 400bp in length.</v>
      </c>
      <c r="E721" s="141"/>
      <c r="F721" s="141"/>
      <c r="G721" s="141"/>
      <c r="H721" s="141"/>
      <c r="I721" s="141"/>
      <c r="J721" s="141"/>
      <c r="K721" s="141"/>
      <c r="L721" s="141"/>
      <c r="M721" s="141"/>
      <c r="N721" s="141"/>
      <c r="O721" s="141"/>
      <c r="P721" s="141"/>
      <c r="Q721" s="141"/>
      <c r="R721" s="141"/>
      <c r="S721" s="141"/>
      <c r="T721" s="141"/>
      <c r="U721" s="141"/>
      <c r="V721" s="141"/>
      <c r="W721" s="141"/>
      <c r="X721" s="141"/>
      <c r="Y721" s="141"/>
      <c r="Z721" s="141"/>
    </row>
    <row r="722">
      <c r="A722" s="141"/>
      <c r="B722" s="141" t="str">
        <f>IFERROR(__xludf.DUMMYFUNCTION("""COMPUTED_VALUE"""),"eden-v1 [GENEPIO:0100857]                ")</f>
        <v>eden-v1 [GENEPIO:0100857]                </v>
      </c>
      <c r="C722" s="141" t="str">
        <f>IFERROR(__xludf.DUMMYFUNCTION("""COMPUTED_VALUE"""),"GENEPIO:0100857")</f>
        <v>GENEPIO:0100857</v>
      </c>
      <c r="D722" s="141" t="str">
        <f>IFERROR(__xludf.DUMMYFUNCTION("""COMPUTED_VALUE"""),"An amplicon strategy which was developed by John-Sebastian Eden with primers for SARS-CoV-2 and attributes of version 1.0.0 which produces amplicons approximately 2500bp in length.")</f>
        <v>An amplicon strategy which was developed by John-Sebastian Eden with primers for SARS-CoV-2 and attributes of version 1.0.0 which produces amplicons approximately 2500bp in length.</v>
      </c>
      <c r="E722" s="141"/>
      <c r="F722" s="141"/>
      <c r="G722" s="141"/>
      <c r="H722" s="141"/>
      <c r="I722" s="141"/>
      <c r="J722" s="141"/>
      <c r="K722" s="141"/>
      <c r="L722" s="141"/>
      <c r="M722" s="141"/>
      <c r="N722" s="141"/>
      <c r="O722" s="141"/>
      <c r="P722" s="141"/>
      <c r="Q722" s="141"/>
      <c r="R722" s="141"/>
      <c r="S722" s="141"/>
      <c r="T722" s="141"/>
      <c r="U722" s="141"/>
      <c r="V722" s="141"/>
      <c r="W722" s="141"/>
      <c r="X722" s="141"/>
      <c r="Y722" s="141"/>
      <c r="Z722" s="141"/>
    </row>
    <row r="723">
      <c r="A723" s="141"/>
      <c r="B723" s="141" t="str">
        <f>IFERROR(__xludf.DUMMYFUNCTION("""COMPUTED_VALUE"""),"midnight-bccdc-v1 [GENEPIO:0100858]                ")</f>
        <v>midnight-bccdc-v1 [GENEPIO:0100858]                </v>
      </c>
      <c r="C723" s="141" t="str">
        <f>IFERROR(__xludf.DUMMYFUNCTION("""COMPUTED_VALUE"""),"GENEPIO:0100858")</f>
        <v>GENEPIO:0100858</v>
      </c>
      <c r="D723" s="141" t="str">
        <f>IFERROR(__xludf.DUMMYFUNCTION("""COMPUTED_VALUE"""),"An amplicon strategy which is for SARS-CoV-2 and based on the original Midnight scheme developed by Oxford Nanopore Technologies, and adapted by the BCCDC Public Health Lab with the attributes of version 1.0.0 which produces amplicons approximately 1200bp"&amp;" in length.")</f>
        <v>An amplicon strategy which is for SARS-CoV-2 and based on the original Midnight scheme developed by Oxford Nanopore Technologies, and adapted by the BCCDC Public Health Lab with the attributes of version 1.0.0 which produces amplicons approximately 1200bp in length.</v>
      </c>
      <c r="E723" s="141"/>
      <c r="F723" s="141"/>
      <c r="G723" s="141"/>
      <c r="H723" s="141"/>
      <c r="I723" s="141"/>
      <c r="J723" s="141"/>
      <c r="K723" s="141"/>
      <c r="L723" s="141"/>
      <c r="M723" s="141"/>
      <c r="N723" s="141"/>
      <c r="O723" s="141"/>
      <c r="P723" s="141"/>
      <c r="Q723" s="141"/>
      <c r="R723" s="141"/>
      <c r="S723" s="141"/>
      <c r="T723" s="141"/>
      <c r="U723" s="141"/>
      <c r="V723" s="141"/>
      <c r="W723" s="141"/>
      <c r="X723" s="141"/>
      <c r="Y723" s="141"/>
      <c r="Z723" s="141"/>
    </row>
    <row r="724">
      <c r="A724" s="141"/>
      <c r="B724" s="141" t="str">
        <f>IFERROR(__xludf.DUMMYFUNCTION("""COMPUTED_VALUE"""),"midnight-bccdc-v2 [GENEPIO:0100859]                ")</f>
        <v>midnight-bccdc-v2 [GENEPIO:0100859]                </v>
      </c>
      <c r="C724" s="141" t="str">
        <f>IFERROR(__xludf.DUMMYFUNCTION("""COMPUTED_VALUE"""),"GENEPIO:0100859")</f>
        <v>GENEPIO:0100859</v>
      </c>
      <c r="D724" s="141" t="str">
        <f>IFERROR(__xludf.DUMMYFUNCTION("""COMPUTED_VALUE"""),"An amplicon strategy which targets SARS-CoV-2 and is based on the original Midnight scheme developed by Oxford Nanopore Technologies, and adapted by the BCCDC Public Health Lab with the attributes of version 2.0.0 which produces amplicons approximately 12"&amp;"00bp in length.")</f>
        <v>An amplicon strategy which targets SARS-CoV-2 and is based on the original Midnight scheme developed by Oxford Nanopore Technologies, and adapted by the BCCDC Public Health Lab with the attributes of version 2.0.0 which produces amplicons approximately 1200bp in length.</v>
      </c>
      <c r="E724" s="141"/>
      <c r="F724" s="141"/>
      <c r="G724" s="141"/>
      <c r="H724" s="141"/>
      <c r="I724" s="141"/>
      <c r="J724" s="141"/>
      <c r="K724" s="141"/>
      <c r="L724" s="141"/>
      <c r="M724" s="141"/>
      <c r="N724" s="141"/>
      <c r="O724" s="141"/>
      <c r="P724" s="141"/>
      <c r="Q724" s="141"/>
      <c r="R724" s="141"/>
      <c r="S724" s="141"/>
      <c r="T724" s="141"/>
      <c r="U724" s="141"/>
      <c r="V724" s="141"/>
      <c r="W724" s="141"/>
      <c r="X724" s="141"/>
      <c r="Y724" s="141"/>
      <c r="Z724" s="141"/>
    </row>
    <row r="725">
      <c r="A725" s="141"/>
      <c r="B725" s="141" t="str">
        <f>IFERROR(__xludf.DUMMYFUNCTION("""COMPUTED_VALUE"""),"midnight-bccdc-v3 [GENEPIO:0100860]                ")</f>
        <v>midnight-bccdc-v3 [GENEPIO:0100860]                </v>
      </c>
      <c r="C725" s="141" t="str">
        <f>IFERROR(__xludf.DUMMYFUNCTION("""COMPUTED_VALUE"""),"GENEPIO:0100860")</f>
        <v>GENEPIO:0100860</v>
      </c>
      <c r="D725" s="141" t="str">
        <f>IFERROR(__xludf.DUMMYFUNCTION("""COMPUTED_VALUE"""),"An amplicon strategy which targets SARS-CoV-2 and is based on the original Midnight scheme developed by Oxford Nanopore Technologies, and adapted by the BCCDC Public Health Lab with the attributes of version 3.0.0 which produces amplicons approximately 12"&amp;"00bp in length.")</f>
        <v>An amplicon strategy which targets SARS-CoV-2 and is based on the original Midnight scheme developed by Oxford Nanopore Technologies, and adapted by the BCCDC Public Health Lab with the attributes of version 3.0.0 which produces amplicons approximately 1200bp in length.</v>
      </c>
      <c r="E725" s="141"/>
      <c r="F725" s="141"/>
      <c r="G725" s="141"/>
      <c r="H725" s="141"/>
      <c r="I725" s="141"/>
      <c r="J725" s="141"/>
      <c r="K725" s="141"/>
      <c r="L725" s="141"/>
      <c r="M725" s="141"/>
      <c r="N725" s="141"/>
      <c r="O725" s="141"/>
      <c r="P725" s="141"/>
      <c r="Q725" s="141"/>
      <c r="R725" s="141"/>
      <c r="S725" s="141"/>
      <c r="T725" s="141"/>
      <c r="U725" s="141"/>
      <c r="V725" s="141"/>
      <c r="W725" s="141"/>
      <c r="X725" s="141"/>
      <c r="Y725" s="141"/>
      <c r="Z725" s="141"/>
    </row>
    <row r="726">
      <c r="A726" s="141"/>
      <c r="B726" s="141" t="str">
        <f>IFERROR(__xludf.DUMMYFUNCTION("""COMPUTED_VALUE"""),"midnight-bccdc-v4 [GENEPIO:0100861]                ")</f>
        <v>midnight-bccdc-v4 [GENEPIO:0100861]                </v>
      </c>
      <c r="C726" s="141" t="str">
        <f>IFERROR(__xludf.DUMMYFUNCTION("""COMPUTED_VALUE"""),"GENEPIO:0100861")</f>
        <v>GENEPIO:0100861</v>
      </c>
      <c r="D726" s="141" t="str">
        <f>IFERROR(__xludf.DUMMYFUNCTION("""COMPUTED_VALUE"""),"An amplicon strategy which targets SARS-CoV-2 and is based on the original Midnight scheme developed by Oxford Nanopore Technologies, and adapted by the BCCDC Public Health Lab with the attributes of version 4.0.0 which produces amplicons approximately 12"&amp;"00bp in length.")</f>
        <v>An amplicon strategy which targets SARS-CoV-2 and is based on the original Midnight scheme developed by Oxford Nanopore Technologies, and adapted by the BCCDC Public Health Lab with the attributes of version 4.0.0 which produces amplicons approximately 1200bp in length.</v>
      </c>
      <c r="E726" s="141"/>
      <c r="F726" s="141"/>
      <c r="G726" s="141"/>
      <c r="H726" s="141"/>
      <c r="I726" s="141"/>
      <c r="J726" s="141"/>
      <c r="K726" s="141"/>
      <c r="L726" s="141"/>
      <c r="M726" s="141"/>
      <c r="N726" s="141"/>
      <c r="O726" s="141"/>
      <c r="P726" s="141"/>
      <c r="Q726" s="141"/>
      <c r="R726" s="141"/>
      <c r="S726" s="141"/>
      <c r="T726" s="141"/>
      <c r="U726" s="141"/>
      <c r="V726" s="141"/>
      <c r="W726" s="141"/>
      <c r="X726" s="141"/>
      <c r="Y726" s="141"/>
      <c r="Z726" s="141"/>
    </row>
    <row r="727">
      <c r="A727" s="141"/>
      <c r="B727" s="141" t="str">
        <f>IFERROR(__xludf.DUMMYFUNCTION("""COMPUTED_VALUE"""),"midnight-ont-v3 [GENEPIO:0100862]                ")</f>
        <v>midnight-ont-v3 [GENEPIO:0100862]                </v>
      </c>
      <c r="C727" s="141" t="str">
        <f>IFERROR(__xludf.DUMMYFUNCTION("""COMPUTED_VALUE"""),"GENEPIO:0100862")</f>
        <v>GENEPIO:0100862</v>
      </c>
      <c r="D727" s="141" t="str">
        <f>IFERROR(__xludf.DUMMYFUNCTION("""COMPUTED_VALUE"""),"An amplicon strategy which targets SARS-CoV-2 and was developed by Oxford Nanopore Technologies with the attributes of version 2.0.0 which produces amplicons approximately 1200bp in length.")</f>
        <v>An amplicon strategy which targets SARS-CoV-2 and was developed by Oxford Nanopore Technologies with the attributes of version 2.0.0 which produces amplicons approximately 1200bp in length.</v>
      </c>
      <c r="E727" s="141"/>
      <c r="F727" s="141"/>
      <c r="G727" s="141"/>
      <c r="H727" s="141"/>
      <c r="I727" s="141"/>
      <c r="J727" s="141"/>
      <c r="K727" s="141"/>
      <c r="L727" s="141"/>
      <c r="M727" s="141"/>
      <c r="N727" s="141"/>
      <c r="O727" s="141"/>
      <c r="P727" s="141"/>
      <c r="Q727" s="141"/>
      <c r="R727" s="141"/>
      <c r="S727" s="141"/>
      <c r="T727" s="141"/>
      <c r="U727" s="141"/>
      <c r="V727" s="141"/>
      <c r="W727" s="141"/>
      <c r="X727" s="141"/>
      <c r="Y727" s="141"/>
      <c r="Z727" s="141"/>
    </row>
    <row r="728">
      <c r="A728" s="141"/>
      <c r="B728" s="141" t="str">
        <f>IFERROR(__xludf.DUMMYFUNCTION("""COMPUTED_VALUE"""),"midnight-v1 [GENEPIO:0100863]                ")</f>
        <v>midnight-v1 [GENEPIO:0100863]                </v>
      </c>
      <c r="C728" s="141" t="str">
        <f>IFERROR(__xludf.DUMMYFUNCTION("""COMPUTED_VALUE"""),"GENEPIO:0100863")</f>
        <v>GENEPIO:0100863</v>
      </c>
      <c r="D728" s="141" t="str">
        <f>IFERROR(__xludf.DUMMYFUNCTION("""COMPUTED_VALUE"""),"An amplicon strategy which targets SARS-CoV-2 and was developed by Oxford Nanopore Technologies with the attributes of version 1.0.0 which produces amplicons approximately 1200bp in length.")</f>
        <v>An amplicon strategy which targets SARS-CoV-2 and was developed by Oxford Nanopore Technologies with the attributes of version 1.0.0 which produces amplicons approximately 1200bp in length.</v>
      </c>
      <c r="E728" s="141"/>
      <c r="F728" s="141"/>
      <c r="G728" s="141"/>
      <c r="H728" s="141"/>
      <c r="I728" s="141"/>
      <c r="J728" s="141"/>
      <c r="K728" s="141"/>
      <c r="L728" s="141"/>
      <c r="M728" s="141"/>
      <c r="N728" s="141"/>
      <c r="O728" s="141"/>
      <c r="P728" s="141"/>
      <c r="Q728" s="141"/>
      <c r="R728" s="141"/>
      <c r="S728" s="141"/>
      <c r="T728" s="141"/>
      <c r="U728" s="141"/>
      <c r="V728" s="141"/>
      <c r="W728" s="141"/>
      <c r="X728" s="141"/>
      <c r="Y728" s="141"/>
      <c r="Z728" s="141"/>
    </row>
    <row r="729">
      <c r="A729" s="141"/>
      <c r="B729" s="141" t="str">
        <f>IFERROR(__xludf.DUMMYFUNCTION("""COMPUTED_VALUE"""),"midnight-v2 [GENEPIO:0100864]                ")</f>
        <v>midnight-v2 [GENEPIO:0100864]                </v>
      </c>
      <c r="C729" s="141" t="str">
        <f>IFERROR(__xludf.DUMMYFUNCTION("""COMPUTED_VALUE"""),"GENEPIO:0100864")</f>
        <v>GENEPIO:0100864</v>
      </c>
      <c r="D729" s="141" t="str">
        <f>IFERROR(__xludf.DUMMYFUNCTION("""COMPUTED_VALUE"""),"An amplicon strategy which targets SARS-CoV-2 and was developed by Oxford Nanopore Technologies with the attributes of version 2.0.0 which produces amplicons approximately 1200bp in length.")</f>
        <v>An amplicon strategy which targets SARS-CoV-2 and was developed by Oxford Nanopore Technologies with the attributes of version 2.0.0 which produces amplicons approximately 1200bp in length.</v>
      </c>
      <c r="E729" s="141"/>
      <c r="F729" s="141"/>
      <c r="G729" s="141"/>
      <c r="H729" s="141"/>
      <c r="I729" s="141"/>
      <c r="J729" s="141"/>
      <c r="K729" s="141"/>
      <c r="L729" s="141"/>
      <c r="M729" s="141"/>
      <c r="N729" s="141"/>
      <c r="O729" s="141"/>
      <c r="P729" s="141"/>
      <c r="Q729" s="141"/>
      <c r="R729" s="141"/>
      <c r="S729" s="141"/>
      <c r="T729" s="141"/>
      <c r="U729" s="141"/>
      <c r="V729" s="141"/>
      <c r="W729" s="141"/>
      <c r="X729" s="141"/>
      <c r="Y729" s="141"/>
      <c r="Z729" s="141"/>
    </row>
    <row r="730">
      <c r="A730" s="141"/>
      <c r="B730" s="141" t="str">
        <f>IFERROR(__xludf.DUMMYFUNCTION("""COMPUTED_VALUE"""),"varskip-vsl1a [GENEPIO:0100865]                ")</f>
        <v>varskip-vsl1a [GENEPIO:0100865]                </v>
      </c>
      <c r="C730" s="141" t="str">
        <f>IFERROR(__xludf.DUMMYFUNCTION("""COMPUTED_VALUE"""),"GENEPIO:0100865")</f>
        <v>GENEPIO:0100865</v>
      </c>
      <c r="D730" s="141" t="str">
        <f>IFERROR(__xludf.DUMMYFUNCTION("""COMPUTED_VALUE"""),"An amplicon strategy which targets SARS-CoV-2 and was developed by New England BioLabs using  PrimalSeq to reduce effects of variants with the attributes of version 1a long.")</f>
        <v>An amplicon strategy which targets SARS-CoV-2 and was developed by New England BioLabs using  PrimalSeq to reduce effects of variants with the attributes of version 1a long.</v>
      </c>
      <c r="E730" s="141"/>
      <c r="F730" s="141"/>
      <c r="G730" s="141"/>
      <c r="H730" s="141"/>
      <c r="I730" s="141"/>
      <c r="J730" s="141"/>
      <c r="K730" s="141"/>
      <c r="L730" s="141"/>
      <c r="M730" s="141"/>
      <c r="N730" s="141"/>
      <c r="O730" s="141"/>
      <c r="P730" s="141"/>
      <c r="Q730" s="141"/>
      <c r="R730" s="141"/>
      <c r="S730" s="141"/>
      <c r="T730" s="141"/>
      <c r="U730" s="141"/>
      <c r="V730" s="141"/>
      <c r="W730" s="141"/>
      <c r="X730" s="141"/>
      <c r="Y730" s="141"/>
      <c r="Z730" s="141"/>
    </row>
    <row r="731">
      <c r="A731" s="141"/>
      <c r="B731" s="141" t="str">
        <f>IFERROR(__xludf.DUMMYFUNCTION("""COMPUTED_VALUE"""),"varskip-vss1a [GENEPIO:0100866]                ")</f>
        <v>varskip-vss1a [GENEPIO:0100866]                </v>
      </c>
      <c r="C731" s="141" t="str">
        <f>IFERROR(__xludf.DUMMYFUNCTION("""COMPUTED_VALUE"""),"GENEPIO:0100866")</f>
        <v>GENEPIO:0100866</v>
      </c>
      <c r="D731" s="141" t="str">
        <f>IFERROR(__xludf.DUMMYFUNCTION("""COMPUTED_VALUE"""),"An amplicon strategy which targets SARS-CoV-2 and was developed by New England BioLabs using  PrimalSeq to reduce effects of variants with the attributes of version 1a short.")</f>
        <v>An amplicon strategy which targets SARS-CoV-2 and was developed by New England BioLabs using  PrimalSeq to reduce effects of variants with the attributes of version 1a short.</v>
      </c>
      <c r="E731" s="141"/>
      <c r="F731" s="141"/>
      <c r="G731" s="141"/>
      <c r="H731" s="141"/>
      <c r="I731" s="141"/>
      <c r="J731" s="141"/>
      <c r="K731" s="141"/>
      <c r="L731" s="141"/>
      <c r="M731" s="141"/>
      <c r="N731" s="141"/>
      <c r="O731" s="141"/>
      <c r="P731" s="141"/>
      <c r="Q731" s="141"/>
      <c r="R731" s="141"/>
      <c r="S731" s="141"/>
      <c r="T731" s="141"/>
      <c r="U731" s="141"/>
      <c r="V731" s="141"/>
      <c r="W731" s="141"/>
      <c r="X731" s="141"/>
      <c r="Y731" s="141"/>
      <c r="Z731" s="141"/>
    </row>
    <row r="732">
      <c r="A732" s="141"/>
      <c r="B732" s="141" t="str">
        <f>IFERROR(__xludf.DUMMYFUNCTION("""COMPUTED_VALUE"""),"varskip-vss2a [GENEPIO:0100867]                ")</f>
        <v>varskip-vss2a [GENEPIO:0100867]                </v>
      </c>
      <c r="C732" s="141" t="str">
        <f>IFERROR(__xludf.DUMMYFUNCTION("""COMPUTED_VALUE"""),"GENEPIO:0100867")</f>
        <v>GENEPIO:0100867</v>
      </c>
      <c r="D732" s="141" t="str">
        <f>IFERROR(__xludf.DUMMYFUNCTION("""COMPUTED_VALUE"""),"An amplicon strategy which targets SARS-CoV-2 and was developed by New England BioLabs using  PrimalSeq to reduce effects of variants with the attributes of version 2a.")</f>
        <v>An amplicon strategy which targets SARS-CoV-2 and was developed by New England BioLabs using  PrimalSeq to reduce effects of variants with the attributes of version 2a.</v>
      </c>
      <c r="E732" s="141"/>
      <c r="F732" s="141"/>
      <c r="G732" s="141"/>
      <c r="H732" s="141"/>
      <c r="I732" s="141"/>
      <c r="J732" s="141"/>
      <c r="K732" s="141"/>
      <c r="L732" s="141"/>
      <c r="M732" s="141"/>
      <c r="N732" s="141"/>
      <c r="O732" s="141"/>
      <c r="P732" s="141"/>
      <c r="Q732" s="141"/>
      <c r="R732" s="141"/>
      <c r="S732" s="141"/>
      <c r="T732" s="141"/>
      <c r="U732" s="141"/>
      <c r="V732" s="141"/>
      <c r="W732" s="141"/>
      <c r="X732" s="141"/>
      <c r="Y732" s="141"/>
      <c r="Z732" s="141"/>
    </row>
    <row r="733">
      <c r="A733" s="141"/>
      <c r="B733" s="141" t="str">
        <f>IFERROR(__xludf.DUMMYFUNCTION("""COMPUTED_VALUE"""),"varskip-vss2b [GENEPIO:0100868]                ")</f>
        <v>varskip-vss2b [GENEPIO:0100868]                </v>
      </c>
      <c r="C733" s="141" t="str">
        <f>IFERROR(__xludf.DUMMYFUNCTION("""COMPUTED_VALUE"""),"GENEPIO:0100868")</f>
        <v>GENEPIO:0100868</v>
      </c>
      <c r="D733" s="141" t="str">
        <f>IFERROR(__xludf.DUMMYFUNCTION("""COMPUTED_VALUE"""),"An amplicon strategy which targets SARS-CoV-2 and was developed by New England BioLabs using  PrimalSeq to reduce effects of variants with the attributes of version 2b.")</f>
        <v>An amplicon strategy which targets SARS-CoV-2 and was developed by New England BioLabs using  PrimalSeq to reduce effects of variants with the attributes of version 2b.</v>
      </c>
      <c r="E733" s="141"/>
      <c r="F733" s="141"/>
      <c r="G733" s="141"/>
      <c r="H733" s="141"/>
      <c r="I733" s="141"/>
      <c r="J733" s="141"/>
      <c r="K733" s="141"/>
      <c r="L733" s="141"/>
      <c r="M733" s="141"/>
      <c r="N733" s="141"/>
      <c r="O733" s="141"/>
      <c r="P733" s="141"/>
      <c r="Q733" s="141"/>
      <c r="R733" s="141"/>
      <c r="S733" s="141"/>
      <c r="T733" s="141"/>
      <c r="U733" s="141"/>
      <c r="V733" s="141"/>
      <c r="W733" s="141"/>
      <c r="X733" s="141"/>
      <c r="Y733" s="141"/>
      <c r="Z733" s="141"/>
    </row>
    <row r="734">
      <c r="A734" s="141" t="str">
        <f>IFERROR(__xludf.DUMMYFUNCTION("""COMPUTED_VALUE"""),"genomic target enrichment method menu")</f>
        <v>genomic target enrichment method menu</v>
      </c>
      <c r="B734" s="141" t="str">
        <f>IFERROR(__xludf.DUMMYFUNCTION("""COMPUTED_VALUE"""),"                ")</f>
        <v>                </v>
      </c>
      <c r="C734" s="141" t="str">
        <f>IFERROR(__xludf.DUMMYFUNCTION("""COMPUTED_VALUE"""),"")</f>
        <v/>
      </c>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c r="Z734" s="141"/>
    </row>
    <row r="735">
      <c r="A735" s="141"/>
      <c r="B735" s="141" t="str">
        <f>IFERROR(__xludf.DUMMYFUNCTION("""COMPUTED_VALUE"""),"Hybridization capture [GENEPIO:0001950]                ")</f>
        <v>Hybridization capture [GENEPIO:0001950]                </v>
      </c>
      <c r="C735" s="141" t="str">
        <f>IFERROR(__xludf.DUMMYFUNCTION("""COMPUTED_VALUE"""),"GENEPIO:0001950")</f>
        <v>GENEPIO:0001950</v>
      </c>
      <c r="D735" s="141" t="str">
        <f>IFERROR(__xludf.DUMMYFUNCTION("""COMPUTED_VALUE"""),"Selection by hybridization in array or solution.")</f>
        <v>Selection by hybridization in array or solution.</v>
      </c>
      <c r="E735" s="141"/>
      <c r="F735" s="141"/>
      <c r="G735" s="141"/>
      <c r="H735" s="141"/>
      <c r="I735" s="141"/>
      <c r="J735" s="141"/>
      <c r="K735" s="141"/>
      <c r="L735" s="141"/>
      <c r="M735" s="141"/>
      <c r="N735" s="141"/>
      <c r="O735" s="141"/>
      <c r="P735" s="141"/>
      <c r="Q735" s="141"/>
      <c r="R735" s="141"/>
      <c r="S735" s="141"/>
      <c r="T735" s="141"/>
      <c r="U735" s="141"/>
      <c r="V735" s="141"/>
      <c r="W735" s="141"/>
      <c r="X735" s="141"/>
      <c r="Y735" s="141"/>
      <c r="Z735" s="141"/>
    </row>
    <row r="736">
      <c r="A736" s="141"/>
      <c r="B736" s="141" t="str">
        <f>IFERROR(__xludf.DUMMYFUNCTION("""COMPUTED_VALUE"""),"rRNA depletion method [GENEPIO:0101020]                ")</f>
        <v>rRNA depletion method [GENEPIO:0101020]                </v>
      </c>
      <c r="C736" s="141" t="str">
        <f>IFERROR(__xludf.DUMMYFUNCTION("""COMPUTED_VALUE"""),"GENEPIO:0101020")</f>
        <v>GENEPIO:0101020</v>
      </c>
      <c r="D736" s="141" t="str">
        <f>IFERROR(__xludf.DUMMYFUNCTION("""COMPUTED_VALUE"""),"Removal of background RNA for the purposes of enriching the genomic target.")</f>
        <v>Removal of background RNA for the purposes of enriching the genomic target.</v>
      </c>
      <c r="E736" s="141"/>
      <c r="F736" s="141"/>
      <c r="G736" s="141"/>
      <c r="H736" s="141"/>
      <c r="I736" s="141"/>
      <c r="J736" s="141"/>
      <c r="K736" s="141"/>
      <c r="L736" s="141"/>
      <c r="M736" s="141"/>
      <c r="N736" s="141"/>
      <c r="O736" s="141"/>
      <c r="P736" s="141"/>
      <c r="Q736" s="141"/>
      <c r="R736" s="141"/>
      <c r="S736" s="141"/>
      <c r="T736" s="141"/>
      <c r="U736" s="141"/>
      <c r="V736" s="141"/>
      <c r="W736" s="141"/>
      <c r="X736" s="141"/>
      <c r="Y736" s="141"/>
      <c r="Z736" s="141"/>
    </row>
    <row r="737">
      <c r="A737" s="141" t="str">
        <f>IFERROR(__xludf.DUMMYFUNCTION("""COMPUTED_VALUE"""),"quality control determination menu")</f>
        <v>quality control determination menu</v>
      </c>
      <c r="B737" s="141" t="str">
        <f>IFERROR(__xludf.DUMMYFUNCTION("""COMPUTED_VALUE"""),"                ")</f>
        <v>                </v>
      </c>
      <c r="C737" s="141" t="str">
        <f>IFERROR(__xludf.DUMMYFUNCTION("""COMPUTED_VALUE"""),"")</f>
        <v/>
      </c>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c r="Z737" s="141"/>
    </row>
    <row r="738">
      <c r="A738" s="141"/>
      <c r="B738" s="141" t="str">
        <f>IFERROR(__xludf.DUMMYFUNCTION("""COMPUTED_VALUE"""),"No quality control issues identified [GENEPIO:0100562]                ")</f>
        <v>No quality control issues identified [GENEPIO:0100562]                </v>
      </c>
      <c r="C738" s="141" t="str">
        <f>IFERROR(__xludf.DUMMYFUNCTION("""COMPUTED_VALUE"""),"GENEPIO:0100562")</f>
        <v>GENEPIO:0100562</v>
      </c>
      <c r="D738" s="141" t="str">
        <f>IFERROR(__xludf.DUMMYFUNCTION("""COMPUTED_VALUE"""),"A statement confirming that quality control processes were carried out and no quality issues were detected.")</f>
        <v>A statement confirming that quality control processes were carried out and no quality issues were detected.</v>
      </c>
      <c r="E738" s="141"/>
      <c r="F738" s="141"/>
      <c r="G738" s="141"/>
      <c r="H738" s="141"/>
      <c r="I738" s="141"/>
      <c r="J738" s="141"/>
      <c r="K738" s="141"/>
      <c r="L738" s="141"/>
      <c r="M738" s="141"/>
      <c r="N738" s="141"/>
      <c r="O738" s="141"/>
      <c r="P738" s="141"/>
      <c r="Q738" s="141"/>
      <c r="R738" s="141"/>
      <c r="S738" s="141"/>
      <c r="T738" s="141"/>
      <c r="U738" s="141"/>
      <c r="V738" s="141"/>
      <c r="W738" s="141"/>
      <c r="X738" s="141"/>
      <c r="Y738" s="141"/>
      <c r="Z738" s="141"/>
    </row>
    <row r="739">
      <c r="A739" s="141"/>
      <c r="B739" s="141" t="str">
        <f>IFERROR(__xludf.DUMMYFUNCTION("""COMPUTED_VALUE"""),"Sequence passed quality control [GENEPIO:0100563]                ")</f>
        <v>Sequence passed quality control [GENEPIO:0100563]                </v>
      </c>
      <c r="C739" s="141" t="str">
        <f>IFERROR(__xludf.DUMMYFUNCTION("""COMPUTED_VALUE"""),"GENEPIO:0100563")</f>
        <v>GENEPIO:0100563</v>
      </c>
      <c r="D739" s="141" t="str">
        <f>IFERROR(__xludf.DUMMYFUNCTION("""COMPUTED_VALUE"""),"A statement confirming that quality control processes were carried out and that the sequence met the assessment criteria.")</f>
        <v>A statement confirming that quality control processes were carried out and that the sequence met the assessment criteria.</v>
      </c>
      <c r="E739" s="141"/>
      <c r="F739" s="141"/>
      <c r="G739" s="141"/>
      <c r="H739" s="141"/>
      <c r="I739" s="141"/>
      <c r="J739" s="141"/>
      <c r="K739" s="141"/>
      <c r="L739" s="141"/>
      <c r="M739" s="141"/>
      <c r="N739" s="141"/>
      <c r="O739" s="141"/>
      <c r="P739" s="141"/>
      <c r="Q739" s="141"/>
      <c r="R739" s="141"/>
      <c r="S739" s="141"/>
      <c r="T739" s="141"/>
      <c r="U739" s="141"/>
      <c r="V739" s="141"/>
      <c r="W739" s="141"/>
      <c r="X739" s="141"/>
      <c r="Y739" s="141"/>
      <c r="Z739" s="141"/>
    </row>
    <row r="740">
      <c r="A740" s="141"/>
      <c r="B740" s="141" t="str">
        <f>IFERROR(__xludf.DUMMYFUNCTION("""COMPUTED_VALUE"""),"Sequence failed quality control [GENEPIO:0100564]                ")</f>
        <v>Sequence failed quality control [GENEPIO:0100564]                </v>
      </c>
      <c r="C740" s="141" t="str">
        <f>IFERROR(__xludf.DUMMYFUNCTION("""COMPUTED_VALUE"""),"GENEPIO:0100564")</f>
        <v>GENEPIO:0100564</v>
      </c>
      <c r="D740" s="141" t="str">
        <f>IFERROR(__xludf.DUMMYFUNCTION("""COMPUTED_VALUE"""),"A statement confirming that quality control processes were carried out and that the sequence did not meet the assessment criteria.")</f>
        <v>A statement confirming that quality control processes were carried out and that the sequence did not meet the assessment criteria.</v>
      </c>
      <c r="E740" s="141"/>
      <c r="F740" s="141"/>
      <c r="G740" s="141"/>
      <c r="H740" s="141"/>
      <c r="I740" s="141"/>
      <c r="J740" s="141"/>
      <c r="K740" s="141"/>
      <c r="L740" s="141"/>
      <c r="M740" s="141"/>
      <c r="N740" s="141"/>
      <c r="O740" s="141"/>
      <c r="P740" s="141"/>
      <c r="Q740" s="141"/>
      <c r="R740" s="141"/>
      <c r="S740" s="141"/>
      <c r="T740" s="141"/>
      <c r="U740" s="141"/>
      <c r="V740" s="141"/>
      <c r="W740" s="141"/>
      <c r="X740" s="141"/>
      <c r="Y740" s="141"/>
      <c r="Z740" s="141"/>
    </row>
    <row r="741">
      <c r="A741" s="141"/>
      <c r="B741" s="141" t="str">
        <f>IFERROR(__xludf.DUMMYFUNCTION("""COMPUTED_VALUE"""),"Minor quality control issues identified [GENEPIO:0100565]                ")</f>
        <v>Minor quality control issues identified [GENEPIO:0100565]                </v>
      </c>
      <c r="C741" s="141" t="str">
        <f>IFERROR(__xludf.DUMMYFUNCTION("""COMPUTED_VALUE"""),"GENEPIO:0100565")</f>
        <v>GENEPIO:0100565</v>
      </c>
      <c r="D741" s="141" t="str">
        <f>IFERROR(__xludf.DUMMYFUNCTION("""COMPUTED_VALUE"""),"A statement confirming that quality control processes were carried out and that the sequence did not meet the assessment criteria, however the issues detected were minor.")</f>
        <v>A statement confirming that quality control processes were carried out and that the sequence did not meet the assessment criteria, however the issues detected were minor.</v>
      </c>
      <c r="E741" s="141"/>
      <c r="F741" s="141"/>
      <c r="G741" s="141"/>
      <c r="H741" s="141"/>
      <c r="I741" s="141"/>
      <c r="J741" s="141"/>
      <c r="K741" s="141"/>
      <c r="L741" s="141"/>
      <c r="M741" s="141"/>
      <c r="N741" s="141"/>
      <c r="O741" s="141"/>
      <c r="P741" s="141"/>
      <c r="Q741" s="141"/>
      <c r="R741" s="141"/>
      <c r="S741" s="141"/>
      <c r="T741" s="141"/>
      <c r="U741" s="141"/>
      <c r="V741" s="141"/>
      <c r="W741" s="141"/>
      <c r="X741" s="141"/>
      <c r="Y741" s="141"/>
      <c r="Z741" s="141"/>
    </row>
    <row r="742">
      <c r="A742" s="141"/>
      <c r="B742" s="141" t="str">
        <f>IFERROR(__xludf.DUMMYFUNCTION("""COMPUTED_VALUE"""),"Sequence flagged for potential quality control issues [GENEPIO:0100566]                ")</f>
        <v>Sequence flagged for potential quality control issues [GENEPIO:0100566]                </v>
      </c>
      <c r="C742" s="141" t="str">
        <f>IFERROR(__xludf.DUMMYFUNCTION("""COMPUTED_VALUE"""),"GENEPIO:0100566")</f>
        <v>GENEPIO:0100566</v>
      </c>
      <c r="D742" s="141" t="str">
        <f>IFERROR(__xludf.DUMMYFUNCTION("""COMPUTED_VALUE"""),"A statement confirming that quality control processes were carried out however it is unclear whether the sequence meets the assessment criteria and the assessment requires review.")</f>
        <v>A statement confirming that quality control processes were carried out however it is unclear whether the sequence meets the assessment criteria and the assessment requires review.</v>
      </c>
      <c r="E742" s="141"/>
      <c r="F742" s="141"/>
      <c r="G742" s="141"/>
      <c r="H742" s="141"/>
      <c r="I742" s="141"/>
      <c r="J742" s="141"/>
      <c r="K742" s="141"/>
      <c r="L742" s="141"/>
      <c r="M742" s="141"/>
      <c r="N742" s="141"/>
      <c r="O742" s="141"/>
      <c r="P742" s="141"/>
      <c r="Q742" s="141"/>
      <c r="R742" s="141"/>
      <c r="S742" s="141"/>
      <c r="T742" s="141"/>
      <c r="U742" s="141"/>
      <c r="V742" s="141"/>
      <c r="W742" s="141"/>
      <c r="X742" s="141"/>
      <c r="Y742" s="141"/>
      <c r="Z742" s="141"/>
    </row>
    <row r="743">
      <c r="A743" s="141"/>
      <c r="B743" s="141" t="str">
        <f>IFERROR(__xludf.DUMMYFUNCTION("""COMPUTED_VALUE"""),"Quality control not performed [GENEPIO:0100567]                ")</f>
        <v>Quality control not performed [GENEPIO:0100567]                </v>
      </c>
      <c r="C743" s="141" t="str">
        <f>IFERROR(__xludf.DUMMYFUNCTION("""COMPUTED_VALUE"""),"GENEPIO:0100567")</f>
        <v>GENEPIO:0100567</v>
      </c>
      <c r="D743" s="141" t="str">
        <f>IFERROR(__xludf.DUMMYFUNCTION("""COMPUTED_VALUE"""),"A statement confirming that quality control processes have not been carried out.")</f>
        <v>A statement confirming that quality control processes have not been carried out.</v>
      </c>
      <c r="E743" s="141"/>
      <c r="F743" s="141"/>
      <c r="G743" s="141"/>
      <c r="H743" s="141"/>
      <c r="I743" s="141"/>
      <c r="J743" s="141"/>
      <c r="K743" s="141"/>
      <c r="L743" s="141"/>
      <c r="M743" s="141"/>
      <c r="N743" s="141"/>
      <c r="O743" s="141"/>
      <c r="P743" s="141"/>
      <c r="Q743" s="141"/>
      <c r="R743" s="141"/>
      <c r="S743" s="141"/>
      <c r="T743" s="141"/>
      <c r="U743" s="141"/>
      <c r="V743" s="141"/>
      <c r="W743" s="141"/>
      <c r="X743" s="141"/>
      <c r="Y743" s="141"/>
      <c r="Z743" s="141"/>
    </row>
    <row r="744">
      <c r="A744" s="141" t="str">
        <f>IFERROR(__xludf.DUMMYFUNCTION("""COMPUTED_VALUE"""),"quality control issues menu")</f>
        <v>quality control issues menu</v>
      </c>
      <c r="B744" s="141" t="str">
        <f>IFERROR(__xludf.DUMMYFUNCTION("""COMPUTED_VALUE"""),"                ")</f>
        <v>                </v>
      </c>
      <c r="C744" s="141" t="str">
        <f>IFERROR(__xludf.DUMMYFUNCTION("""COMPUTED_VALUE"""),"")</f>
        <v/>
      </c>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c r="Z744" s="141"/>
    </row>
    <row r="745">
      <c r="A745" s="141"/>
      <c r="B745" s="141" t="str">
        <f>IFERROR(__xludf.DUMMYFUNCTION("""COMPUTED_VALUE"""),"Low quality sequence [GENEPIO:0100568]                ")</f>
        <v>Low quality sequence [GENEPIO:0100568]                </v>
      </c>
      <c r="C745" s="141" t="str">
        <f>IFERROR(__xludf.DUMMYFUNCTION("""COMPUTED_VALUE"""),"GENEPIO:0100568")</f>
        <v>GENEPIO:0100568</v>
      </c>
      <c r="D745" s="141" t="str">
        <f>IFERROR(__xludf.DUMMYFUNCTION("""COMPUTED_VALUE"""),"Sequence data that does not meet quality control thresholds.")</f>
        <v>Sequence data that does not meet quality control thresholds.</v>
      </c>
      <c r="E745" s="141"/>
      <c r="F745" s="141"/>
      <c r="G745" s="141"/>
      <c r="H745" s="141"/>
      <c r="I745" s="141"/>
      <c r="J745" s="141"/>
      <c r="K745" s="141"/>
      <c r="L745" s="141"/>
      <c r="M745" s="141"/>
      <c r="N745" s="141"/>
      <c r="O745" s="141"/>
      <c r="P745" s="141"/>
      <c r="Q745" s="141"/>
      <c r="R745" s="141"/>
      <c r="S745" s="141"/>
      <c r="T745" s="141"/>
      <c r="U745" s="141"/>
      <c r="V745" s="141"/>
      <c r="W745" s="141"/>
      <c r="X745" s="141"/>
      <c r="Y745" s="141"/>
      <c r="Z745" s="141"/>
    </row>
    <row r="746">
      <c r="A746" s="141"/>
      <c r="B746" s="141" t="str">
        <f>IFERROR(__xludf.DUMMYFUNCTION("""COMPUTED_VALUE"""),"Sequence contaminated [GENEPIO:0100569]                ")</f>
        <v>Sequence contaminated [GENEPIO:0100569]                </v>
      </c>
      <c r="C746" s="141" t="str">
        <f>IFERROR(__xludf.DUMMYFUNCTION("""COMPUTED_VALUE"""),"GENEPIO:0100569")</f>
        <v>GENEPIO:0100569</v>
      </c>
      <c r="D746" s="141" t="str">
        <f>IFERROR(__xludf.DUMMYFUNCTION("""COMPUTED_VALUE"""),"Sequence data that contains reads from unintended targets (e.g. other organisms, other samples) due to contamination so that it does not faithfully represent the genetic information from the biological source.")</f>
        <v>Sequence data that contains reads from unintended targets (e.g. other organisms, other samples) due to contamination so that it does not faithfully represent the genetic information from the biological source.</v>
      </c>
      <c r="E746" s="141"/>
      <c r="F746" s="141"/>
      <c r="G746" s="141"/>
      <c r="H746" s="141"/>
      <c r="I746" s="141"/>
      <c r="J746" s="141"/>
      <c r="K746" s="141"/>
      <c r="L746" s="141"/>
      <c r="M746" s="141"/>
      <c r="N746" s="141"/>
      <c r="O746" s="141"/>
      <c r="P746" s="141"/>
      <c r="Q746" s="141"/>
      <c r="R746" s="141"/>
      <c r="S746" s="141"/>
      <c r="T746" s="141"/>
      <c r="U746" s="141"/>
      <c r="V746" s="141"/>
      <c r="W746" s="141"/>
      <c r="X746" s="141"/>
      <c r="Y746" s="141"/>
      <c r="Z746" s="141"/>
    </row>
    <row r="747">
      <c r="A747" s="141"/>
      <c r="B747" s="141" t="str">
        <f>IFERROR(__xludf.DUMMYFUNCTION("""COMPUTED_VALUE"""),"Low average genome coverage [GENEPIO:0100570]                ")</f>
        <v>Low average genome coverage [GENEPIO:0100570]                </v>
      </c>
      <c r="C747" s="141" t="str">
        <f>IFERROR(__xludf.DUMMYFUNCTION("""COMPUTED_VALUE"""),"GENEPIO:0100570")</f>
        <v>GENEPIO:0100570</v>
      </c>
      <c r="D747" s="141" t="str">
        <f>IFERROR(__xludf.DUMMYFUNCTION("""COMPUTED_VALUE"""),"Sequence data in which the entire length of the genome is not sufficiently sequenced (low breadth of coverage), or particular positions of the genome are not sequenced a prescribed number of times (low depth of coverage).")</f>
        <v>Sequence data in which the entire length of the genome is not sufficiently sequenced (low breadth of coverage), or particular positions of the genome are not sequenced a prescribed number of times (low depth of coverage).</v>
      </c>
      <c r="E747" s="141"/>
      <c r="F747" s="141"/>
      <c r="G747" s="141"/>
      <c r="H747" s="141"/>
      <c r="I747" s="141"/>
      <c r="J747" s="141"/>
      <c r="K747" s="141"/>
      <c r="L747" s="141"/>
      <c r="M747" s="141"/>
      <c r="N747" s="141"/>
      <c r="O747" s="141"/>
      <c r="P747" s="141"/>
      <c r="Q747" s="141"/>
      <c r="R747" s="141"/>
      <c r="S747" s="141"/>
      <c r="T747" s="141"/>
      <c r="U747" s="141"/>
      <c r="V747" s="141"/>
      <c r="W747" s="141"/>
      <c r="X747" s="141"/>
      <c r="Y747" s="141"/>
      <c r="Z747" s="141"/>
    </row>
    <row r="748">
      <c r="A748" s="141"/>
      <c r="B748" s="141" t="str">
        <f>IFERROR(__xludf.DUMMYFUNCTION("""COMPUTED_VALUE"""),"Low percent genome captured [GENEPIO:0100571]                ")</f>
        <v>Low percent genome captured [GENEPIO:0100571]                </v>
      </c>
      <c r="C748" s="141" t="str">
        <f>IFERROR(__xludf.DUMMYFUNCTION("""COMPUTED_VALUE"""),"GENEPIO:0100571")</f>
        <v>GENEPIO:0100571</v>
      </c>
      <c r="D748" s="141" t="str">
        <f>IFERROR(__xludf.DUMMYFUNCTION("""COMPUTED_VALUE"""),"Sequence data in which the entire length of the genome is not sufficiently sequenced (low breadth of coverage).")</f>
        <v>Sequence data in which the entire length of the genome is not sufficiently sequenced (low breadth of coverage).</v>
      </c>
      <c r="E748" s="141"/>
      <c r="F748" s="141"/>
      <c r="G748" s="141"/>
      <c r="H748" s="141"/>
      <c r="I748" s="141"/>
      <c r="J748" s="141"/>
      <c r="K748" s="141"/>
      <c r="L748" s="141"/>
      <c r="M748" s="141"/>
      <c r="N748" s="141"/>
      <c r="O748" s="141"/>
      <c r="P748" s="141"/>
      <c r="Q748" s="141"/>
      <c r="R748" s="141"/>
      <c r="S748" s="141"/>
      <c r="T748" s="141"/>
      <c r="U748" s="141"/>
      <c r="V748" s="141"/>
      <c r="W748" s="141"/>
      <c r="X748" s="141"/>
      <c r="Y748" s="141"/>
      <c r="Z748" s="141"/>
    </row>
    <row r="749">
      <c r="A749" s="141"/>
      <c r="B749" s="141" t="str">
        <f>IFERROR(__xludf.DUMMYFUNCTION("""COMPUTED_VALUE"""),"Read lengths shorter than expected [GENEPIO:0100572]                ")</f>
        <v>Read lengths shorter than expected [GENEPIO:0100572]                </v>
      </c>
      <c r="C749" s="141" t="str">
        <f>IFERROR(__xludf.DUMMYFUNCTION("""COMPUTED_VALUE"""),"GENEPIO:0100572")</f>
        <v>GENEPIO:0100572</v>
      </c>
      <c r="D749" s="141" t="str">
        <f>IFERROR(__xludf.DUMMYFUNCTION("""COMPUTED_VALUE"""),"Average sequence read lengths that are below the expected size range given a particular sequencing instrument, reagents and conditions.")</f>
        <v>Average sequence read lengths that are below the expected size range given a particular sequencing instrument, reagents and conditions.</v>
      </c>
      <c r="E749" s="141"/>
      <c r="F749" s="141"/>
      <c r="G749" s="141"/>
      <c r="H749" s="141"/>
      <c r="I749" s="141"/>
      <c r="J749" s="141"/>
      <c r="K749" s="141"/>
      <c r="L749" s="141"/>
      <c r="M749" s="141"/>
      <c r="N749" s="141"/>
      <c r="O749" s="141"/>
      <c r="P749" s="141"/>
      <c r="Q749" s="141"/>
      <c r="R749" s="141"/>
      <c r="S749" s="141"/>
      <c r="T749" s="141"/>
      <c r="U749" s="141"/>
      <c r="V749" s="141"/>
      <c r="W749" s="141"/>
      <c r="X749" s="141"/>
      <c r="Y749" s="141"/>
      <c r="Z749" s="141"/>
    </row>
    <row r="750">
      <c r="A750" s="141"/>
      <c r="B750" s="141" t="str">
        <f>IFERROR(__xludf.DUMMYFUNCTION("""COMPUTED_VALUE"""),"Sequence amplification artifacts [GENEPIO:0100573]                ")</f>
        <v>Sequence amplification artifacts [GENEPIO:0100573]                </v>
      </c>
      <c r="C750" s="141" t="str">
        <f>IFERROR(__xludf.DUMMYFUNCTION("""COMPUTED_VALUE"""),"GENEPIO:0100573")</f>
        <v>GENEPIO:0100573</v>
      </c>
      <c r="D750" s="141" t="str">
        <f>IFERROR(__xludf.DUMMYFUNCTION("""COMPUTED_VALUE"""),"Sequence data containing errors generated during the PCR amplification process during library generation (e.g. mutations, altered read distribution, amplicon dropouts).")</f>
        <v>Sequence data containing errors generated during the PCR amplification process during library generation (e.g. mutations, altered read distribution, amplicon dropouts).</v>
      </c>
      <c r="E750" s="141"/>
      <c r="F750" s="141"/>
      <c r="G750" s="141"/>
      <c r="H750" s="141"/>
      <c r="I750" s="141"/>
      <c r="J750" s="141"/>
      <c r="K750" s="141"/>
      <c r="L750" s="141"/>
      <c r="M750" s="141"/>
      <c r="N750" s="141"/>
      <c r="O750" s="141"/>
      <c r="P750" s="141"/>
      <c r="Q750" s="141"/>
      <c r="R750" s="141"/>
      <c r="S750" s="141"/>
      <c r="T750" s="141"/>
      <c r="U750" s="141"/>
      <c r="V750" s="141"/>
      <c r="W750" s="141"/>
      <c r="X750" s="141"/>
      <c r="Y750" s="141"/>
      <c r="Z750" s="141"/>
    </row>
    <row r="751">
      <c r="A751" s="141"/>
      <c r="B751" s="141" t="str">
        <f>IFERROR(__xludf.DUMMYFUNCTION("""COMPUTED_VALUE"""),"Low signal to noise ratio [GENEPIO:0100574]                ")</f>
        <v>Low signal to noise ratio [GENEPIO:0100574]                </v>
      </c>
      <c r="C751" s="141" t="str">
        <f>IFERROR(__xludf.DUMMYFUNCTION("""COMPUTED_VALUE"""),"GENEPIO:0100574")</f>
        <v>GENEPIO:0100574</v>
      </c>
      <c r="D751" s="141" t="str">
        <f>IFERROR(__xludf.DUMMYFUNCTION("""COMPUTED_VALUE"""),"Sequence data containing more errors or undetermined bases (noise) than sequence representing the biological source (signal).")</f>
        <v>Sequence data containing more errors or undetermined bases (noise) than sequence representing the biological source (signal).</v>
      </c>
      <c r="E751" s="141"/>
      <c r="F751" s="141"/>
      <c r="G751" s="141"/>
      <c r="H751" s="141"/>
      <c r="I751" s="141"/>
      <c r="J751" s="141"/>
      <c r="K751" s="141"/>
      <c r="L751" s="141"/>
      <c r="M751" s="141"/>
      <c r="N751" s="141"/>
      <c r="O751" s="141"/>
      <c r="P751" s="141"/>
      <c r="Q751" s="141"/>
      <c r="R751" s="141"/>
      <c r="S751" s="141"/>
      <c r="T751" s="141"/>
      <c r="U751" s="141"/>
      <c r="V751" s="141"/>
      <c r="W751" s="141"/>
      <c r="X751" s="141"/>
      <c r="Y751" s="141"/>
      <c r="Z751" s="141"/>
    </row>
    <row r="752">
      <c r="A752" s="141"/>
      <c r="B752" s="141" t="str">
        <f>IFERROR(__xludf.DUMMYFUNCTION("""COMPUTED_VALUE"""),"Low coverage of characteristic mutations [GENEPIO:0100575]                ")</f>
        <v>Low coverage of characteristic mutations [GENEPIO:0100575]                </v>
      </c>
      <c r="C752" s="141" t="str">
        <f>IFERROR(__xludf.DUMMYFUNCTION("""COMPUTED_VALUE"""),"GENEPIO:0100575")</f>
        <v>GENEPIO:0100575</v>
      </c>
      <c r="D752" s="141" t="str">
        <f>IFERROR(__xludf.DUMMYFUNCTION("""COMPUTED_VALUE"""),"Sequence data that contains a lower than expected number of mutations that are usually observed in the reference sequence.")</f>
        <v>Sequence data that contains a lower than expected number of mutations that are usually observed in the reference sequence.</v>
      </c>
      <c r="E752" s="141"/>
      <c r="F752" s="141"/>
      <c r="G752" s="141"/>
      <c r="H752" s="141"/>
      <c r="I752" s="141"/>
      <c r="J752" s="141"/>
      <c r="K752" s="141"/>
      <c r="L752" s="141"/>
      <c r="M752" s="141"/>
      <c r="N752" s="141"/>
      <c r="O752" s="141"/>
      <c r="P752" s="141"/>
      <c r="Q752" s="141"/>
      <c r="R752" s="141"/>
      <c r="S752" s="141"/>
      <c r="T752" s="141"/>
      <c r="U752" s="141"/>
      <c r="V752" s="141"/>
      <c r="W752" s="141"/>
      <c r="X752" s="141"/>
      <c r="Y752" s="141"/>
      <c r="Z752" s="141"/>
    </row>
    <row r="753">
      <c r="A753" s="141" t="str">
        <f>IFERROR(__xludf.DUMMYFUNCTION("""COMPUTED_VALUE"""),"gene symbol menu")</f>
        <v>gene symbol menu</v>
      </c>
      <c r="B753" s="141" t="str">
        <f>IFERROR(__xludf.DUMMYFUNCTION("""COMPUTED_VALUE"""),"                ")</f>
        <v>                </v>
      </c>
      <c r="C753" s="141" t="str">
        <f>IFERROR(__xludf.DUMMYFUNCTION("""COMPUTED_VALUE"""),"")</f>
        <v/>
      </c>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c r="Z753" s="141"/>
    </row>
    <row r="754">
      <c r="A754" s="141"/>
      <c r="B754" s="141" t="str">
        <f>IFERROR(__xludf.DUMMYFUNCTION("""COMPUTED_VALUE"""),"E gene (orf4) [GENEPIO:0100151]                ")</f>
        <v>E gene (orf4) [GENEPIO:0100151]                </v>
      </c>
      <c r="C754" s="141" t="str">
        <f>IFERROR(__xludf.DUMMYFUNCTION("""COMPUTED_VALUE"""),"GENEPIO:0100151")</f>
        <v>GENEPIO:0100151</v>
      </c>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c r="Z754" s="141"/>
    </row>
    <row r="755">
      <c r="A755" s="141"/>
      <c r="B755" s="141" t="str">
        <f>IFERROR(__xludf.DUMMYFUNCTION("""COMPUTED_VALUE"""),"M gene (orf5) [GENEPIO:0100152]                ")</f>
        <v>M gene (orf5) [GENEPIO:0100152]                </v>
      </c>
      <c r="C755" s="141" t="str">
        <f>IFERROR(__xludf.DUMMYFUNCTION("""COMPUTED_VALUE"""),"GENEPIO:0100152")</f>
        <v>GENEPIO:0100152</v>
      </c>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c r="Z755" s="141"/>
    </row>
    <row r="756">
      <c r="A756" s="141"/>
      <c r="B756" s="141" t="str">
        <f>IFERROR(__xludf.DUMMYFUNCTION("""COMPUTED_VALUE"""),"N gene (orf9) [GENEPIO:0100153]                ")</f>
        <v>N gene (orf9) [GENEPIO:0100153]                </v>
      </c>
      <c r="C756" s="141" t="str">
        <f>IFERROR(__xludf.DUMMYFUNCTION("""COMPUTED_VALUE"""),"GENEPIO:0100153")</f>
        <v>GENEPIO:0100153</v>
      </c>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c r="Z756" s="141"/>
    </row>
    <row r="757">
      <c r="A757" s="141"/>
      <c r="B757" s="141" t="str">
        <f>IFERROR(__xludf.DUMMYFUNCTION("""COMPUTED_VALUE"""),"Spike gene (orf2) [GENEPIO:0100154]                ")</f>
        <v>Spike gene (orf2) [GENEPIO:0100154]                </v>
      </c>
      <c r="C757" s="141" t="str">
        <f>IFERROR(__xludf.DUMMYFUNCTION("""COMPUTED_VALUE"""),"GENEPIO:0100154")</f>
        <v>GENEPIO:0100154</v>
      </c>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c r="Z757" s="141"/>
    </row>
    <row r="758">
      <c r="A758" s="141"/>
      <c r="B758" s="141" t="str">
        <f>IFERROR(__xludf.DUMMYFUNCTION("""COMPUTED_VALUE"""),"orf1ab (rep) [GENEPIO:0100155]                ")</f>
        <v>orf1ab (rep) [GENEPIO:0100155]                </v>
      </c>
      <c r="C758" s="141" t="str">
        <f>IFERROR(__xludf.DUMMYFUNCTION("""COMPUTED_VALUE"""),"GENEPIO:0100155")</f>
        <v>GENEPIO:0100155</v>
      </c>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c r="Z758" s="141"/>
    </row>
    <row r="759">
      <c r="A759" s="141"/>
      <c r="B759" s="141" t="str">
        <f>IFERROR(__xludf.DUMMYFUNCTION("""COMPUTED_VALUE"""),"    orf1a (pp1a) [GENEPIO:0100156]            ")</f>
        <v>    orf1a (pp1a) [GENEPIO:0100156]            </v>
      </c>
      <c r="C759" s="141" t="str">
        <f>IFERROR(__xludf.DUMMYFUNCTION("""COMPUTED_VALUE"""),"GENEPIO:0100156")</f>
        <v>GENEPIO:0100156</v>
      </c>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c r="Z759" s="141"/>
    </row>
    <row r="760">
      <c r="A760" s="141"/>
      <c r="B760" s="141" t="str">
        <f>IFERROR(__xludf.DUMMYFUNCTION("""COMPUTED_VALUE"""),"        nsp11 [GENEPIO:0100157]        ")</f>
        <v>        nsp11 [GENEPIO:0100157]        </v>
      </c>
      <c r="C760" s="141" t="str">
        <f>IFERROR(__xludf.DUMMYFUNCTION("""COMPUTED_VALUE"""),"GENEPIO:0100157")</f>
        <v>GENEPIO:0100157</v>
      </c>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c r="Z760" s="141"/>
    </row>
    <row r="761">
      <c r="A761" s="141"/>
      <c r="B761" s="141" t="str">
        <f>IFERROR(__xludf.DUMMYFUNCTION("""COMPUTED_VALUE"""),"    nsp1  [GENEPIO:0100158]            ")</f>
        <v>    nsp1  [GENEPIO:0100158]            </v>
      </c>
      <c r="C761" s="141" t="str">
        <f>IFERROR(__xludf.DUMMYFUNCTION("""COMPUTED_VALUE"""),"GENEPIO:0100158")</f>
        <v>GENEPIO:0100158</v>
      </c>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c r="Z761" s="141"/>
    </row>
    <row r="762">
      <c r="A762" s="141"/>
      <c r="B762" s="141" t="str">
        <f>IFERROR(__xludf.DUMMYFUNCTION("""COMPUTED_VALUE"""),"    nsp2  [GENEPIO:0100159]            ")</f>
        <v>    nsp2  [GENEPIO:0100159]            </v>
      </c>
      <c r="C762" s="141" t="str">
        <f>IFERROR(__xludf.DUMMYFUNCTION("""COMPUTED_VALUE"""),"GENEPIO:0100159")</f>
        <v>GENEPIO:0100159</v>
      </c>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c r="Z762" s="141"/>
    </row>
    <row r="763">
      <c r="A763" s="141"/>
      <c r="B763" s="141" t="str">
        <f>IFERROR(__xludf.DUMMYFUNCTION("""COMPUTED_VALUE"""),"    nsp3  [GENEPIO:0100160]            ")</f>
        <v>    nsp3  [GENEPIO:0100160]            </v>
      </c>
      <c r="C763" s="141" t="str">
        <f>IFERROR(__xludf.DUMMYFUNCTION("""COMPUTED_VALUE"""),"GENEPIO:0100160")</f>
        <v>GENEPIO:0100160</v>
      </c>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c r="Z763" s="141"/>
    </row>
    <row r="764">
      <c r="A764" s="141"/>
      <c r="B764" s="141" t="str">
        <f>IFERROR(__xludf.DUMMYFUNCTION("""COMPUTED_VALUE"""),"    nsp4  [GENEPIO:0100161]            ")</f>
        <v>    nsp4  [GENEPIO:0100161]            </v>
      </c>
      <c r="C764" s="141" t="str">
        <f>IFERROR(__xludf.DUMMYFUNCTION("""COMPUTED_VALUE"""),"GENEPIO:0100161")</f>
        <v>GENEPIO:0100161</v>
      </c>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c r="Z764" s="141"/>
    </row>
    <row r="765">
      <c r="A765" s="141"/>
      <c r="B765" s="141" t="str">
        <f>IFERROR(__xludf.DUMMYFUNCTION("""COMPUTED_VALUE"""),"    nsp5  [GENEPIO:0100162]            ")</f>
        <v>    nsp5  [GENEPIO:0100162]            </v>
      </c>
      <c r="C765" s="141" t="str">
        <f>IFERROR(__xludf.DUMMYFUNCTION("""COMPUTED_VALUE"""),"GENEPIO:0100162")</f>
        <v>GENEPIO:0100162</v>
      </c>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c r="Z765" s="141"/>
    </row>
    <row r="766">
      <c r="A766" s="141"/>
      <c r="B766" s="141" t="str">
        <f>IFERROR(__xludf.DUMMYFUNCTION("""COMPUTED_VALUE"""),"    nsp6  [GENEPIO:0100163]            ")</f>
        <v>    nsp6  [GENEPIO:0100163]            </v>
      </c>
      <c r="C766" s="141" t="str">
        <f>IFERROR(__xludf.DUMMYFUNCTION("""COMPUTED_VALUE"""),"GENEPIO:0100163")</f>
        <v>GENEPIO:0100163</v>
      </c>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c r="Z766" s="141"/>
    </row>
    <row r="767">
      <c r="A767" s="141"/>
      <c r="B767" s="141" t="str">
        <f>IFERROR(__xludf.DUMMYFUNCTION("""COMPUTED_VALUE"""),"    nsp7  [GENEPIO:0100164]            ")</f>
        <v>    nsp7  [GENEPIO:0100164]            </v>
      </c>
      <c r="C767" s="141" t="str">
        <f>IFERROR(__xludf.DUMMYFUNCTION("""COMPUTED_VALUE"""),"GENEPIO:0100164")</f>
        <v>GENEPIO:0100164</v>
      </c>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c r="Z767" s="141"/>
    </row>
    <row r="768">
      <c r="A768" s="141"/>
      <c r="B768" s="141" t="str">
        <f>IFERROR(__xludf.DUMMYFUNCTION("""COMPUTED_VALUE"""),"    nsp8  [GENEPIO:0100165]            ")</f>
        <v>    nsp8  [GENEPIO:0100165]            </v>
      </c>
      <c r="C768" s="141" t="str">
        <f>IFERROR(__xludf.DUMMYFUNCTION("""COMPUTED_VALUE"""),"GENEPIO:0100165")</f>
        <v>GENEPIO:0100165</v>
      </c>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c r="Z768" s="141"/>
    </row>
    <row r="769">
      <c r="A769" s="141"/>
      <c r="B769" s="141" t="str">
        <f>IFERROR(__xludf.DUMMYFUNCTION("""COMPUTED_VALUE"""),"    nsp9  [GENEPIO:0100166]            ")</f>
        <v>    nsp9  [GENEPIO:0100166]            </v>
      </c>
      <c r="C769" s="141" t="str">
        <f>IFERROR(__xludf.DUMMYFUNCTION("""COMPUTED_VALUE"""),"GENEPIO:0100166")</f>
        <v>GENEPIO:0100166</v>
      </c>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c r="Z769" s="141"/>
    </row>
    <row r="770">
      <c r="A770" s="141"/>
      <c r="B770" s="141" t="str">
        <f>IFERROR(__xludf.DUMMYFUNCTION("""COMPUTED_VALUE"""),"    nsp10  [GENEPIO:0100167]            ")</f>
        <v>    nsp10  [GENEPIO:0100167]            </v>
      </c>
      <c r="C770" s="141" t="str">
        <f>IFERROR(__xludf.DUMMYFUNCTION("""COMPUTED_VALUE"""),"GENEPIO:0100167")</f>
        <v>GENEPIO:0100167</v>
      </c>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c r="Z770" s="141"/>
    </row>
    <row r="771">
      <c r="A771" s="141"/>
      <c r="B771" s="141" t="str">
        <f>IFERROR(__xludf.DUMMYFUNCTION("""COMPUTED_VALUE"""),"    RdRp gene (nsp12) [GENEPIO:0100168]            ")</f>
        <v>    RdRp gene (nsp12) [GENEPIO:0100168]            </v>
      </c>
      <c r="C771" s="141" t="str">
        <f>IFERROR(__xludf.DUMMYFUNCTION("""COMPUTED_VALUE"""),"GENEPIO:0100168")</f>
        <v>GENEPIO:0100168</v>
      </c>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c r="Z771" s="141"/>
    </row>
    <row r="772">
      <c r="A772" s="141"/>
      <c r="B772" s="141" t="str">
        <f>IFERROR(__xludf.DUMMYFUNCTION("""COMPUTED_VALUE"""),"    hel gene (nsp13) [GENEPIO:0100169]            ")</f>
        <v>    hel gene (nsp13) [GENEPIO:0100169]            </v>
      </c>
      <c r="C772" s="141" t="str">
        <f>IFERROR(__xludf.DUMMYFUNCTION("""COMPUTED_VALUE"""),"GENEPIO:0100169")</f>
        <v>GENEPIO:0100169</v>
      </c>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c r="Z772" s="141"/>
    </row>
    <row r="773">
      <c r="A773" s="141"/>
      <c r="B773" s="141" t="str">
        <f>IFERROR(__xludf.DUMMYFUNCTION("""COMPUTED_VALUE"""),"    exoN gene (nsp14) [GENEPIO:0100170]            ")</f>
        <v>    exoN gene (nsp14) [GENEPIO:0100170]            </v>
      </c>
      <c r="C773" s="141" t="str">
        <f>IFERROR(__xludf.DUMMYFUNCTION("""COMPUTED_VALUE"""),"GENEPIO:0100170")</f>
        <v>GENEPIO:0100170</v>
      </c>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c r="Z773" s="141"/>
    </row>
    <row r="774">
      <c r="A774" s="141"/>
      <c r="B774" s="141" t="str">
        <f>IFERROR(__xludf.DUMMYFUNCTION("""COMPUTED_VALUE"""),"    nsp15 [GENEPIO:0100171]            ")</f>
        <v>    nsp15 [GENEPIO:0100171]            </v>
      </c>
      <c r="C774" s="141" t="str">
        <f>IFERROR(__xludf.DUMMYFUNCTION("""COMPUTED_VALUE"""),"GENEPIO:0100171")</f>
        <v>GENEPIO:0100171</v>
      </c>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c r="Z774" s="141"/>
    </row>
    <row r="775">
      <c r="A775" s="141"/>
      <c r="B775" s="141" t="str">
        <f>IFERROR(__xludf.DUMMYFUNCTION("""COMPUTED_VALUE"""),"    nsp16 [GENEPIO:0100172]            ")</f>
        <v>    nsp16 [GENEPIO:0100172]            </v>
      </c>
      <c r="C775" s="141" t="str">
        <f>IFERROR(__xludf.DUMMYFUNCTION("""COMPUTED_VALUE"""),"GENEPIO:0100172")</f>
        <v>GENEPIO:0100172</v>
      </c>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c r="Z775" s="141"/>
    </row>
    <row r="776">
      <c r="A776" s="141"/>
      <c r="B776" s="141" t="str">
        <f>IFERROR(__xludf.DUMMYFUNCTION("""COMPUTED_VALUE"""),"orf3a [GENEPIO:0100173]                ")</f>
        <v>orf3a [GENEPIO:0100173]                </v>
      </c>
      <c r="C776" s="141" t="str">
        <f>IFERROR(__xludf.DUMMYFUNCTION("""COMPUTED_VALUE"""),"GENEPIO:0100173")</f>
        <v>GENEPIO:0100173</v>
      </c>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c r="Z776" s="141"/>
    </row>
    <row r="777">
      <c r="A777" s="141"/>
      <c r="B777" s="141" t="str">
        <f>IFERROR(__xludf.DUMMYFUNCTION("""COMPUTED_VALUE"""),"orf3b [GENEPIO:0100174]                ")</f>
        <v>orf3b [GENEPIO:0100174]                </v>
      </c>
      <c r="C777" s="141" t="str">
        <f>IFERROR(__xludf.DUMMYFUNCTION("""COMPUTED_VALUE"""),"GENEPIO:0100174")</f>
        <v>GENEPIO:0100174</v>
      </c>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c r="Z777" s="141"/>
    </row>
    <row r="778">
      <c r="A778" s="141"/>
      <c r="B778" s="141" t="str">
        <f>IFERROR(__xludf.DUMMYFUNCTION("""COMPUTED_VALUE"""),"orf6 (ns6) [GENEPIO:0100175]                ")</f>
        <v>orf6 (ns6) [GENEPIO:0100175]                </v>
      </c>
      <c r="C778" s="141" t="str">
        <f>IFERROR(__xludf.DUMMYFUNCTION("""COMPUTED_VALUE"""),"GENEPIO:0100175")</f>
        <v>GENEPIO:0100175</v>
      </c>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c r="Z778" s="141"/>
    </row>
    <row r="779">
      <c r="A779" s="141"/>
      <c r="B779" s="141" t="str">
        <f>IFERROR(__xludf.DUMMYFUNCTION("""COMPUTED_VALUE"""),"orf7a [GENEPIO:0100176]                ")</f>
        <v>orf7a [GENEPIO:0100176]                </v>
      </c>
      <c r="C779" s="141" t="str">
        <f>IFERROR(__xludf.DUMMYFUNCTION("""COMPUTED_VALUE"""),"GENEPIO:0100176")</f>
        <v>GENEPIO:0100176</v>
      </c>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c r="Z779" s="141"/>
    </row>
    <row r="780">
      <c r="A780" s="141"/>
      <c r="B780" s="141" t="str">
        <f>IFERROR(__xludf.DUMMYFUNCTION("""COMPUTED_VALUE"""),"orf7b (ns7b) [GENEPIO:0100177]                ")</f>
        <v>orf7b (ns7b) [GENEPIO:0100177]                </v>
      </c>
      <c r="C780" s="141" t="str">
        <f>IFERROR(__xludf.DUMMYFUNCTION("""COMPUTED_VALUE"""),"GENEPIO:0100177")</f>
        <v>GENEPIO:0100177</v>
      </c>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c r="Z780" s="141"/>
    </row>
    <row r="781">
      <c r="A781" s="141"/>
      <c r="B781" s="141" t="str">
        <f>IFERROR(__xludf.DUMMYFUNCTION("""COMPUTED_VALUE"""),"orf8 (ns8) [GENEPIO:0100178]                ")</f>
        <v>orf8 (ns8) [GENEPIO:0100178]                </v>
      </c>
      <c r="C781" s="141" t="str">
        <f>IFERROR(__xludf.DUMMYFUNCTION("""COMPUTED_VALUE"""),"GENEPIO:0100178")</f>
        <v>GENEPIO:0100178</v>
      </c>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c r="Z781" s="141"/>
    </row>
    <row r="782">
      <c r="A782" s="141"/>
      <c r="B782" s="141" t="str">
        <f>IFERROR(__xludf.DUMMYFUNCTION("""COMPUTED_VALUE"""),"orf9b [GENEPIO:0100179]                ")</f>
        <v>orf9b [GENEPIO:0100179]                </v>
      </c>
      <c r="C782" s="141" t="str">
        <f>IFERROR(__xludf.DUMMYFUNCTION("""COMPUTED_VALUE"""),"GENEPIO:0100179")</f>
        <v>GENEPIO:0100179</v>
      </c>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c r="Z782" s="141"/>
    </row>
    <row r="783">
      <c r="A783" s="141"/>
      <c r="B783" s="141" t="str">
        <f>IFERROR(__xludf.DUMMYFUNCTION("""COMPUTED_VALUE"""),"orf9c [GENEPIO:0100180]                ")</f>
        <v>orf9c [GENEPIO:0100180]                </v>
      </c>
      <c r="C783" s="141" t="str">
        <f>IFERROR(__xludf.DUMMYFUNCTION("""COMPUTED_VALUE"""),"GENEPIO:0100180")</f>
        <v>GENEPIO:0100180</v>
      </c>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c r="Z783" s="141"/>
    </row>
    <row r="784">
      <c r="A784" s="141"/>
      <c r="B784" s="141" t="str">
        <f>IFERROR(__xludf.DUMMYFUNCTION("""COMPUTED_VALUE"""),"orf10 [GENEPIO:0100181]                ")</f>
        <v>orf10 [GENEPIO:0100181]                </v>
      </c>
      <c r="C784" s="141" t="str">
        <f>IFERROR(__xludf.DUMMYFUNCTION("""COMPUTED_VALUE"""),"GENEPIO:0100181")</f>
        <v>GENEPIO:0100181</v>
      </c>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c r="Z784" s="141"/>
    </row>
    <row r="785">
      <c r="A785" s="141"/>
      <c r="B785" s="141" t="str">
        <f>IFERROR(__xludf.DUMMYFUNCTION("""COMPUTED_VALUE"""),"orf14 [GENEPIO:0100182]                ")</f>
        <v>orf14 [GENEPIO:0100182]                </v>
      </c>
      <c r="C785" s="141" t="str">
        <f>IFERROR(__xludf.DUMMYFUNCTION("""COMPUTED_VALUE"""),"GENEPIO:0100182")</f>
        <v>GENEPIO:0100182</v>
      </c>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c r="Z785" s="141"/>
    </row>
    <row r="786">
      <c r="A786" s="141"/>
      <c r="B786" s="141" t="str">
        <f>IFERROR(__xludf.DUMMYFUNCTION("""COMPUTED_VALUE"""),"SARS-COV-2 5' UTR [GENEPIO:0100183]                ")</f>
        <v>SARS-COV-2 5' UTR [GENEPIO:0100183]                </v>
      </c>
      <c r="C786" s="141" t="str">
        <f>IFERROR(__xludf.DUMMYFUNCTION("""COMPUTED_VALUE"""),"GENEPIO:0100183")</f>
        <v>GENEPIO:0100183</v>
      </c>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c r="Z786" s="141"/>
    </row>
    <row r="787">
      <c r="A787" s="141" t="str">
        <f>IFERROR(__xludf.DUMMYFUNCTION("""COMPUTED_VALUE"""),"diagnostic target presence menu")</f>
        <v>diagnostic target presence menu</v>
      </c>
      <c r="B787" s="141" t="str">
        <f>IFERROR(__xludf.DUMMYFUNCTION("""COMPUTED_VALUE"""),"                ")</f>
        <v>                </v>
      </c>
      <c r="C787" s="141" t="str">
        <f>IFERROR(__xludf.DUMMYFUNCTION("""COMPUTED_VALUE"""),"")</f>
        <v/>
      </c>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c r="Z787" s="141"/>
    </row>
    <row r="788">
      <c r="A788" s="141"/>
      <c r="B788" s="141" t="str">
        <f>IFERROR(__xludf.DUMMYFUNCTION("""COMPUTED_VALUE"""),"diagnostic target present [GENEPIO:0100987]                ")</f>
        <v>diagnostic target present [GENEPIO:0100987]                </v>
      </c>
      <c r="C788" s="141" t="str">
        <f>IFERROR(__xludf.DUMMYFUNCTION("""COMPUTED_VALUE"""),"GENEPIO:0100987")</f>
        <v>GENEPIO:0100987</v>
      </c>
      <c r="D788" s="141" t="str">
        <f>IFERROR(__xludf.DUMMYFUNCTION("""COMPUTED_VALUE"""),"A quality inhering in a bearer by virtue of the bearer's existence.")</f>
        <v>A quality inhering in a bearer by virtue of the bearer's existence.</v>
      </c>
      <c r="E788" s="141"/>
      <c r="F788" s="141"/>
      <c r="G788" s="141"/>
      <c r="H788" s="141"/>
      <c r="I788" s="141"/>
      <c r="J788" s="141"/>
      <c r="K788" s="141"/>
      <c r="L788" s="141"/>
      <c r="M788" s="141"/>
      <c r="N788" s="141"/>
      <c r="O788" s="141"/>
      <c r="P788" s="141"/>
      <c r="Q788" s="141"/>
      <c r="R788" s="141"/>
      <c r="S788" s="141"/>
      <c r="T788" s="141"/>
      <c r="U788" s="141"/>
      <c r="V788" s="141"/>
      <c r="W788" s="141"/>
      <c r="X788" s="141"/>
      <c r="Y788" s="141"/>
      <c r="Z788" s="141"/>
    </row>
    <row r="789">
      <c r="A789" s="141"/>
      <c r="B789" s="141" t="str">
        <f>IFERROR(__xludf.DUMMYFUNCTION("""COMPUTED_VALUE"""),"diagnostic target absent [GENEPIO:0100988]                ")</f>
        <v>diagnostic target absent [GENEPIO:0100988]                </v>
      </c>
      <c r="C789" s="141" t="str">
        <f>IFERROR(__xludf.DUMMYFUNCTION("""COMPUTED_VALUE"""),"GENEPIO:0100988")</f>
        <v>GENEPIO:0100988</v>
      </c>
      <c r="D789" s="141" t="str">
        <f>IFERROR(__xludf.DUMMYFUNCTION("""COMPUTED_VALUE"""),"Aquality denoting the lack of an entity.")</f>
        <v>Aquality denoting the lack of an entity.</v>
      </c>
      <c r="E789" s="141"/>
      <c r="F789" s="141"/>
      <c r="G789" s="141"/>
      <c r="H789" s="141"/>
      <c r="I789" s="141"/>
      <c r="J789" s="141"/>
      <c r="K789" s="141"/>
      <c r="L789" s="141"/>
      <c r="M789" s="141"/>
      <c r="N789" s="141"/>
      <c r="O789" s="141"/>
      <c r="P789" s="141"/>
      <c r="Q789" s="141"/>
      <c r="R789" s="141"/>
      <c r="S789" s="141"/>
      <c r="T789" s="141"/>
      <c r="U789" s="141"/>
      <c r="V789" s="141"/>
      <c r="W789" s="141"/>
      <c r="X789" s="141"/>
      <c r="Y789" s="141"/>
      <c r="Z789" s="141"/>
    </row>
    <row r="790">
      <c r="A790" s="141" t="str">
        <f>IFERROR(__xludf.DUMMYFUNCTION("""COMPUTED_VALUE"""),"diagnostic measurement unit menu")</f>
        <v>diagnostic measurement unit menu</v>
      </c>
      <c r="B790" s="141" t="str">
        <f>IFERROR(__xludf.DUMMYFUNCTION("""COMPUTED_VALUE"""),"                ")</f>
        <v>                </v>
      </c>
      <c r="C790" s="141" t="str">
        <f>IFERROR(__xludf.DUMMYFUNCTION("""COMPUTED_VALUE"""),"")</f>
        <v/>
      </c>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c r="Z790" s="141"/>
    </row>
    <row r="791">
      <c r="A791" s="141"/>
      <c r="B791" s="141" t="str">
        <f>IFERROR(__xludf.DUMMYFUNCTION("""COMPUTED_VALUE"""),"gene copies per liter (GC/L)                ")</f>
        <v>gene copies per liter (GC/L)                </v>
      </c>
      <c r="C791" s="141" t="str">
        <f>IFERROR(__xludf.DUMMYFUNCTION("""COMPUTED_VALUE"""),"")</f>
        <v/>
      </c>
      <c r="D791" s="141" t="str">
        <f>IFERROR(__xludf.DUMMYFUNCTION("""COMPUTED_VALUE"""),"A unit that measures the number of copies of a given gene within a liter of a biological material.")</f>
        <v>A unit that measures the number of copies of a given gene within a liter of a biological material.</v>
      </c>
      <c r="E791" s="141"/>
      <c r="F791" s="141"/>
      <c r="G791" s="141"/>
      <c r="H791" s="141"/>
      <c r="I791" s="141"/>
      <c r="J791" s="141"/>
      <c r="K791" s="141"/>
      <c r="L791" s="141"/>
      <c r="M791" s="141"/>
      <c r="N791" s="141"/>
      <c r="O791" s="141"/>
      <c r="P791" s="141"/>
      <c r="Q791" s="141"/>
      <c r="R791" s="141"/>
      <c r="S791" s="141"/>
      <c r="T791" s="141"/>
      <c r="U791" s="141"/>
      <c r="V791" s="141"/>
      <c r="W791" s="141"/>
      <c r="X791" s="141"/>
      <c r="Y791" s="141"/>
      <c r="Z791" s="141"/>
    </row>
    <row r="792">
      <c r="A792" s="141"/>
      <c r="B792" s="141" t="str">
        <f>IFERROR(__xludf.DUMMYFUNCTION("""COMPUTED_VALUE"""),"cycle threshold (Ct)  [GENEPIO:0100657]                ")</f>
        <v>cycle threshold (Ct)  [GENEPIO:0100657]                </v>
      </c>
      <c r="C792" s="141" t="str">
        <f>IFERROR(__xludf.DUMMYFUNCTION("""COMPUTED_VALUE"""),"GENEPIO:0100657")</f>
        <v>GENEPIO:0100657</v>
      </c>
      <c r="D792" s="141" t="str">
        <f>IFERROR(__xludf.DUMMYFUNCTION("""COMPUTED_VALUE"""),"A data field which describes the cycle threshold (Ct) value result from a diagnostic reverse transcription polymerase chain reaction (RT-PCR) test.")</f>
        <v>A data field which describes the cycle threshold (Ct) value result from a diagnostic reverse transcription polymerase chain reaction (RT-PCR) test.</v>
      </c>
      <c r="E792" s="141"/>
      <c r="F792" s="141"/>
      <c r="G792" s="141"/>
      <c r="H792" s="141"/>
      <c r="I792" s="141"/>
      <c r="J792" s="141"/>
      <c r="K792" s="141"/>
      <c r="L792" s="141"/>
      <c r="M792" s="141"/>
      <c r="N792" s="141"/>
      <c r="O792" s="141"/>
      <c r="P792" s="141"/>
      <c r="Q792" s="141"/>
      <c r="R792" s="141"/>
      <c r="S792" s="141"/>
      <c r="T792" s="141"/>
      <c r="U792" s="141"/>
      <c r="V792" s="141"/>
      <c r="W792" s="141"/>
      <c r="X792" s="141"/>
      <c r="Y792" s="141"/>
      <c r="Z792" s="141"/>
    </row>
    <row r="793">
      <c r="A793" s="141"/>
      <c r="B793" s="141" t="str">
        <f>IFERROR(__xludf.DUMMYFUNCTION("""COMPUTED_VALUE"""),"colony forming units per milliliter (CFU/mL) [UO:0000213]                ")</f>
        <v>colony forming units per milliliter (CFU/mL) [UO:0000213]                </v>
      </c>
      <c r="C793" s="141" t="str">
        <f>IFERROR(__xludf.DUMMYFUNCTION("""COMPUTED_VALUE"""),"UO:0000213")</f>
        <v>UO:0000213</v>
      </c>
      <c r="D793" s="141" t="str">
        <f>IFERROR(__xludf.DUMMYFUNCTION("""COMPUTED_VALUE"""),"A unit of microbial density that describes the number of colony forming units within a milliliter of material.")</f>
        <v>A unit of microbial density that describes the number of colony forming units within a milliliter of material.</v>
      </c>
      <c r="E793" s="141"/>
      <c r="F793" s="141"/>
      <c r="G793" s="141"/>
      <c r="H793" s="141"/>
      <c r="I793" s="141"/>
      <c r="J793" s="141"/>
      <c r="K793" s="141"/>
      <c r="L793" s="141"/>
      <c r="M793" s="141"/>
      <c r="N793" s="141"/>
      <c r="O793" s="141"/>
      <c r="P793" s="141"/>
      <c r="Q793" s="141"/>
      <c r="R793" s="141"/>
      <c r="S793" s="141"/>
      <c r="T793" s="141"/>
      <c r="U793" s="141"/>
      <c r="V793" s="141"/>
      <c r="W793" s="141"/>
      <c r="X793" s="141"/>
      <c r="Y793" s="141"/>
      <c r="Z793" s="141"/>
    </row>
    <row r="794">
      <c r="A794" s="141"/>
      <c r="B794" s="141" t="str">
        <f>IFERROR(__xludf.DUMMYFUNCTION("""COMPUTED_VALUE"""),"colony forming units per 100 milliliter (CFU/100 mL)                ")</f>
        <v>colony forming units per 100 milliliter (CFU/100 mL)                </v>
      </c>
      <c r="C794" s="141" t="str">
        <f>IFERROR(__xludf.DUMMYFUNCTION("""COMPUTED_VALUE"""),"")</f>
        <v/>
      </c>
      <c r="D794" s="141" t="str">
        <f>IFERROR(__xludf.DUMMYFUNCTION("""COMPUTED_VALUE"""),"A unit of microbial density that describes the number of colony forming units within 100 milliliters of material.")</f>
        <v>A unit of microbial density that describes the number of colony forming units within 100 milliliters of material.</v>
      </c>
      <c r="E794" s="141"/>
      <c r="F794" s="141"/>
      <c r="G794" s="141"/>
      <c r="H794" s="141"/>
      <c r="I794" s="141"/>
      <c r="J794" s="141"/>
      <c r="K794" s="141"/>
      <c r="L794" s="141"/>
      <c r="M794" s="141"/>
      <c r="N794" s="141"/>
      <c r="O794" s="141"/>
      <c r="P794" s="141"/>
      <c r="Q794" s="141"/>
      <c r="R794" s="141"/>
      <c r="S794" s="141"/>
      <c r="T794" s="141"/>
      <c r="U794" s="141"/>
      <c r="V794" s="141"/>
      <c r="W794" s="141"/>
      <c r="X794" s="141"/>
      <c r="Y794" s="141"/>
      <c r="Z794" s="141"/>
    </row>
    <row r="795">
      <c r="A795" s="141"/>
      <c r="B795" s="141" t="str">
        <f>IFERROR(__xludf.DUMMYFUNCTION("""COMPUTED_VALUE"""),"colony forming units per grams total solids (CFU/gTS)                ")</f>
        <v>colony forming units per grams total solids (CFU/gTS)                </v>
      </c>
      <c r="C795" s="141" t="str">
        <f>IFERROR(__xludf.DUMMYFUNCTION("""COMPUTED_VALUE"""),"")</f>
        <v/>
      </c>
      <c r="D795" s="141" t="str">
        <f>IFERROR(__xludf.DUMMYFUNCTION("""COMPUTED_VALUE"""),"A unit of microbial density that describes the number of colony forming units within a gram of total solids in waste material.")</f>
        <v>A unit of microbial density that describes the number of colony forming units within a gram of total solids in waste material.</v>
      </c>
      <c r="E795" s="141"/>
      <c r="F795" s="141"/>
      <c r="G795" s="141"/>
      <c r="H795" s="141"/>
      <c r="I795" s="141"/>
      <c r="J795" s="141"/>
      <c r="K795" s="141"/>
      <c r="L795" s="141"/>
      <c r="M795" s="141"/>
      <c r="N795" s="141"/>
      <c r="O795" s="141"/>
      <c r="P795" s="141"/>
      <c r="Q795" s="141"/>
      <c r="R795" s="141"/>
      <c r="S795" s="141"/>
      <c r="T795" s="141"/>
      <c r="U795" s="141"/>
      <c r="V795" s="141"/>
      <c r="W795" s="141"/>
      <c r="X795" s="141"/>
      <c r="Y795" s="141"/>
      <c r="Z795" s="141"/>
    </row>
    <row r="796">
      <c r="A796" s="141"/>
      <c r="B796" s="141" t="str">
        <f>IFERROR(__xludf.DUMMYFUNCTION("""COMPUTED_VALUE"""),"most probable number per milliliter (MPN/mL)                ")</f>
        <v>most probable number per milliliter (MPN/mL)                </v>
      </c>
      <c r="C796" s="141" t="str">
        <f>IFERROR(__xludf.DUMMYFUNCTION("""COMPUTED_VALUE"""),"")</f>
        <v/>
      </c>
      <c r="D796" s="141" t="str">
        <f>IFERROR(__xludf.DUMMYFUNCTION("""COMPUTED_VALUE"""),"A unit of microbial density that describes the most probable number of microbes within one milliliter of material.")</f>
        <v>A unit of microbial density that describes the most probable number of microbes within one milliliter of material.</v>
      </c>
      <c r="E796" s="141"/>
      <c r="F796" s="141"/>
      <c r="G796" s="141"/>
      <c r="H796" s="141"/>
      <c r="I796" s="141"/>
      <c r="J796" s="141"/>
      <c r="K796" s="141"/>
      <c r="L796" s="141"/>
      <c r="M796" s="141"/>
      <c r="N796" s="141"/>
      <c r="O796" s="141"/>
      <c r="P796" s="141"/>
      <c r="Q796" s="141"/>
      <c r="R796" s="141"/>
      <c r="S796" s="141"/>
      <c r="T796" s="141"/>
      <c r="U796" s="141"/>
      <c r="V796" s="141"/>
      <c r="W796" s="141"/>
      <c r="X796" s="141"/>
      <c r="Y796" s="141"/>
      <c r="Z796" s="141"/>
    </row>
    <row r="797">
      <c r="A797" s="141"/>
      <c r="B797" s="141" t="str">
        <f>IFERROR(__xludf.DUMMYFUNCTION("""COMPUTED_VALUE"""),"most probable number per 100 milliliter (MPN/100 mL)                ")</f>
        <v>most probable number per 100 milliliter (MPN/100 mL)                </v>
      </c>
      <c r="C797" s="141" t="str">
        <f>IFERROR(__xludf.DUMMYFUNCTION("""COMPUTED_VALUE"""),"")</f>
        <v/>
      </c>
      <c r="D797" s="141" t="str">
        <f>IFERROR(__xludf.DUMMYFUNCTION("""COMPUTED_VALUE"""),"A unit of microbial density that describes the most probable number of microbes within 100 milliliters of material.")</f>
        <v>A unit of microbial density that describes the most probable number of microbes within 100 milliliters of material.</v>
      </c>
      <c r="E797" s="141"/>
      <c r="F797" s="141"/>
      <c r="G797" s="141"/>
      <c r="H797" s="141"/>
      <c r="I797" s="141"/>
      <c r="J797" s="141"/>
      <c r="K797" s="141"/>
      <c r="L797" s="141"/>
      <c r="M797" s="141"/>
      <c r="N797" s="141"/>
      <c r="O797" s="141"/>
      <c r="P797" s="141"/>
      <c r="Q797" s="141"/>
      <c r="R797" s="141"/>
      <c r="S797" s="141"/>
      <c r="T797" s="141"/>
      <c r="U797" s="141"/>
      <c r="V797" s="141"/>
      <c r="W797" s="141"/>
      <c r="X797" s="141"/>
      <c r="Y797" s="141"/>
      <c r="Z797" s="141"/>
    </row>
    <row r="798">
      <c r="A798" s="141" t="str">
        <f>IFERROR(__xludf.DUMMYFUNCTION("""COMPUTED_VALUE"""),"diagnostic measurement method menu")</f>
        <v>diagnostic measurement method menu</v>
      </c>
      <c r="B798" s="141" t="str">
        <f>IFERROR(__xludf.DUMMYFUNCTION("""COMPUTED_VALUE"""),"                ")</f>
        <v>                </v>
      </c>
      <c r="C798" s="141" t="str">
        <f>IFERROR(__xludf.DUMMYFUNCTION("""COMPUTED_VALUE"""),"")</f>
        <v/>
      </c>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c r="Z798" s="141"/>
    </row>
    <row r="799">
      <c r="A799" s="141"/>
      <c r="B799" s="141" t="str">
        <f>IFERROR(__xludf.DUMMYFUNCTION("""COMPUTED_VALUE"""),"Quantitative real time polymerase chain reaction (qPCR) [OBI:0000893]                ")</f>
        <v>Quantitative real time polymerase chain reaction (qPCR) [OBI:0000893]                </v>
      </c>
      <c r="C799" s="141" t="str">
        <f>IFERROR(__xludf.DUMMYFUNCTION("""COMPUTED_VALUE"""),"OBI:0000893")</f>
        <v>OBI:0000893</v>
      </c>
      <c r="D799" s="141" t="str">
        <f>IFERROR(__xludf.DUMMYFUNCTION("""COMPUTED_VALUE"""),"An assay, based on the PCR, that amplifies and simultaneously quantifies a specific DNA molecule based on the use of complementary probes/primers. It enables both detection and quantification (as absolute number of copies or relative amount when normalize"&amp;"d to DNA input or additional normalizing genes) of one or more specific sequences in a DNA sample.")</f>
        <v>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v>
      </c>
      <c r="E799" s="141"/>
      <c r="F799" s="141"/>
      <c r="G799" s="141"/>
      <c r="H799" s="141"/>
      <c r="I799" s="141"/>
      <c r="J799" s="141"/>
      <c r="K799" s="141"/>
      <c r="L799" s="141"/>
      <c r="M799" s="141"/>
      <c r="N799" s="141"/>
      <c r="O799" s="141"/>
      <c r="P799" s="141"/>
      <c r="Q799" s="141"/>
      <c r="R799" s="141"/>
      <c r="S799" s="141"/>
      <c r="T799" s="141"/>
      <c r="U799" s="141"/>
      <c r="V799" s="141"/>
      <c r="W799" s="141"/>
      <c r="X799" s="141"/>
      <c r="Y799" s="141"/>
      <c r="Z799" s="141"/>
    </row>
    <row r="800">
      <c r="A800" s="141"/>
      <c r="B800" s="141" t="str">
        <f>IFERROR(__xludf.DUMMYFUNCTION("""COMPUTED_VALUE"""),"Digital real time polymerase chain reaction (dPCR)                ")</f>
        <v>Digital real time polymerase chain reaction (dPCR)                </v>
      </c>
      <c r="C800" s="141" t="str">
        <f>IFERROR(__xludf.DUMMYFUNCTION("""COMPUTED_VALUE"""),"")</f>
        <v/>
      </c>
      <c r="D800" s="141" t="str">
        <f>IFERROR(__xludf.DUMMYFUNCTION("""COMPUTED_VALUE"""),"A type of polymerase chain reaction technique in which the sample is fractionated, within which individual PCR reactions occur in each fraction")</f>
        <v>A type of polymerase chain reaction technique in which the sample is fractionated, within which individual PCR reactions occur in each fraction</v>
      </c>
      <c r="E800" s="141"/>
      <c r="F800" s="141"/>
      <c r="G800" s="141"/>
      <c r="H800" s="141"/>
      <c r="I800" s="141"/>
      <c r="J800" s="141"/>
      <c r="K800" s="141"/>
      <c r="L800" s="141"/>
      <c r="M800" s="141"/>
      <c r="N800" s="141"/>
      <c r="O800" s="141"/>
      <c r="P800" s="141"/>
      <c r="Q800" s="141"/>
      <c r="R800" s="141"/>
      <c r="S800" s="141"/>
      <c r="T800" s="141"/>
      <c r="U800" s="141"/>
      <c r="V800" s="141"/>
      <c r="W800" s="141"/>
      <c r="X800" s="141"/>
      <c r="Y800" s="141"/>
      <c r="Z800" s="141"/>
    </row>
    <row r="801">
      <c r="A801" s="141"/>
      <c r="B801" s="141" t="str">
        <f>IFERROR(__xludf.DUMMYFUNCTION("""COMPUTED_VALUE"""),"Bacteria culture test                ")</f>
        <v>Bacteria culture test                </v>
      </c>
      <c r="C801" s="141" t="str">
        <f>IFERROR(__xludf.DUMMYFUNCTION("""COMPUTED_VALUE"""),"")</f>
        <v/>
      </c>
      <c r="D801" s="141" t="str">
        <f>IFERROR(__xludf.DUMMYFUNCTION("""COMPUTED_VALUE"""),"An assay to identify the presence of bacteria")</f>
        <v>An assay to identify the presence of bacteria</v>
      </c>
      <c r="E801" s="141"/>
      <c r="F801" s="141"/>
      <c r="G801" s="141"/>
      <c r="H801" s="141"/>
      <c r="I801" s="141"/>
      <c r="J801" s="141"/>
      <c r="K801" s="141"/>
      <c r="L801" s="141"/>
      <c r="M801" s="141"/>
      <c r="N801" s="141"/>
      <c r="O801" s="141"/>
      <c r="P801" s="141"/>
      <c r="Q801" s="141"/>
      <c r="R801" s="141"/>
      <c r="S801" s="141"/>
      <c r="T801" s="141"/>
      <c r="U801" s="141"/>
      <c r="V801" s="141"/>
      <c r="W801" s="141"/>
      <c r="X801" s="141"/>
      <c r="Y801" s="141"/>
      <c r="Z801" s="141"/>
    </row>
    <row r="802">
      <c r="A802" s="141"/>
      <c r="B802" s="141" t="str">
        <f>IFERROR(__xludf.DUMMYFUNCTION("""COMPUTED_VALUE"""),"                ")</f>
        <v>                </v>
      </c>
      <c r="C802" s="141" t="str">
        <f>IFERROR(__xludf.DUMMYFUNCTION("""COMPUTED_VALUE"""),"")</f>
        <v/>
      </c>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c r="Z802" s="141"/>
    </row>
    <row r="803">
      <c r="A803" s="141"/>
      <c r="B803" s="141"/>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c r="Z803" s="141"/>
    </row>
    <row r="804">
      <c r="A804" s="141"/>
      <c r="B804" s="141"/>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c r="Z804" s="141"/>
    </row>
    <row r="805">
      <c r="A805" s="141"/>
      <c r="B805" s="141"/>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c r="Z805" s="141"/>
    </row>
    <row r="806">
      <c r="A806" s="141"/>
      <c r="B806" s="141"/>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c r="Z806" s="141"/>
    </row>
    <row r="807">
      <c r="A807" s="141"/>
      <c r="B807" s="141"/>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c r="Z807" s="141"/>
    </row>
    <row r="808">
      <c r="A808" s="141"/>
      <c r="B808" s="141"/>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c r="Z808" s="141"/>
    </row>
    <row r="809">
      <c r="A809" s="141"/>
      <c r="B809" s="141"/>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c r="Z809" s="141"/>
    </row>
    <row r="810">
      <c r="A810" s="141"/>
      <c r="B810" s="141"/>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c r="Z810" s="141"/>
    </row>
    <row r="811">
      <c r="A811" s="141"/>
      <c r="B811" s="141"/>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c r="Z811" s="141"/>
    </row>
    <row r="812">
      <c r="A812" s="141"/>
      <c r="B812" s="141"/>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c r="Z812" s="141"/>
    </row>
    <row r="813">
      <c r="A813" s="141"/>
      <c r="B813" s="141"/>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c r="Z813" s="141"/>
    </row>
    <row r="814">
      <c r="A814" s="141"/>
      <c r="B814" s="141"/>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c r="Z814" s="141"/>
    </row>
    <row r="815">
      <c r="A815" s="141"/>
      <c r="B815" s="141"/>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c r="Z815" s="141"/>
    </row>
    <row r="816">
      <c r="A816" s="141"/>
      <c r="B816" s="141"/>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c r="Z816" s="141"/>
    </row>
    <row r="817">
      <c r="A817" s="141"/>
      <c r="B817" s="141"/>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c r="Z817" s="141"/>
    </row>
    <row r="818">
      <c r="A818" s="141"/>
      <c r="B818" s="141"/>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c r="Z818" s="141"/>
    </row>
    <row r="819">
      <c r="A819" s="141"/>
      <c r="B819" s="141"/>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c r="Z819" s="141"/>
    </row>
    <row r="820">
      <c r="A820" s="141"/>
      <c r="B820" s="141"/>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c r="Z820" s="141"/>
    </row>
    <row r="821">
      <c r="A821" s="141"/>
      <c r="B821" s="141"/>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c r="Z821" s="141"/>
    </row>
    <row r="822">
      <c r="A822" s="141"/>
      <c r="B822" s="141"/>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c r="Z822" s="141"/>
    </row>
    <row r="823">
      <c r="A823" s="141"/>
      <c r="B823" s="141"/>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c r="Z823" s="141"/>
    </row>
    <row r="824">
      <c r="A824" s="141"/>
      <c r="B824" s="141"/>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c r="Z824" s="141"/>
    </row>
    <row r="825">
      <c r="A825" s="141"/>
      <c r="B825" s="141"/>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c r="Z825" s="141"/>
    </row>
    <row r="826">
      <c r="A826" s="141"/>
      <c r="B826" s="141"/>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c r="Z826" s="141"/>
    </row>
    <row r="827">
      <c r="A827" s="141"/>
      <c r="B827" s="141"/>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c r="Z827" s="141"/>
    </row>
    <row r="828">
      <c r="A828" s="141"/>
      <c r="B828" s="141"/>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c r="Z828" s="141"/>
    </row>
    <row r="829">
      <c r="A829" s="141"/>
      <c r="B829" s="141"/>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c r="Z829" s="141"/>
    </row>
    <row r="830">
      <c r="A830" s="141"/>
      <c r="B830" s="141"/>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c r="Z830" s="141"/>
    </row>
    <row r="831">
      <c r="A831" s="141"/>
      <c r="B831" s="141"/>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c r="Z831" s="141"/>
    </row>
    <row r="832">
      <c r="A832" s="141"/>
      <c r="B832" s="141"/>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c r="Z832" s="141"/>
    </row>
    <row r="833">
      <c r="A833" s="141"/>
      <c r="B833" s="141"/>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c r="Z833" s="141"/>
    </row>
    <row r="834">
      <c r="A834" s="141"/>
      <c r="B834" s="141"/>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c r="Z834" s="141"/>
    </row>
    <row r="835">
      <c r="A835" s="141"/>
      <c r="B835" s="141"/>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c r="Z835" s="141"/>
    </row>
    <row r="836">
      <c r="A836" s="141"/>
      <c r="B836" s="141"/>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c r="Z836" s="141"/>
    </row>
    <row r="837">
      <c r="A837" s="141"/>
      <c r="B837" s="141"/>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c r="Z837" s="141"/>
    </row>
    <row r="838">
      <c r="A838" s="141"/>
      <c r="B838" s="141"/>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c r="Z838" s="141"/>
    </row>
    <row r="839">
      <c r="A839" s="141"/>
      <c r="B839" s="141"/>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c r="Z839" s="141"/>
    </row>
    <row r="840">
      <c r="A840" s="141"/>
      <c r="B840" s="141"/>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c r="Z840" s="141"/>
    </row>
    <row r="841">
      <c r="A841" s="141"/>
      <c r="B841" s="141"/>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c r="Z841" s="141"/>
    </row>
    <row r="842">
      <c r="A842" s="141"/>
      <c r="B842" s="141"/>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c r="Z842" s="141"/>
    </row>
    <row r="843">
      <c r="A843" s="141"/>
      <c r="B843" s="141"/>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c r="Z843" s="141"/>
    </row>
    <row r="844">
      <c r="A844" s="141"/>
      <c r="B844" s="141"/>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c r="Z844" s="141"/>
    </row>
    <row r="845">
      <c r="A845" s="141"/>
      <c r="B845" s="141"/>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c r="Z845" s="141"/>
    </row>
    <row r="846">
      <c r="A846" s="141"/>
      <c r="B846" s="141"/>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c r="Z846" s="141"/>
    </row>
    <row r="847">
      <c r="A847" s="141"/>
      <c r="B847" s="141"/>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c r="Z847" s="141"/>
    </row>
    <row r="848">
      <c r="A848" s="141"/>
      <c r="B848" s="141"/>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c r="Z848" s="141"/>
    </row>
    <row r="849">
      <c r="A849" s="141"/>
      <c r="B849" s="141"/>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c r="Z849" s="141"/>
    </row>
    <row r="850">
      <c r="A850" s="141"/>
      <c r="B850" s="141"/>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c r="Z850" s="141"/>
    </row>
    <row r="851">
      <c r="A851" s="141"/>
      <c r="B851" s="141"/>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c r="Z851" s="141"/>
    </row>
    <row r="852">
      <c r="A852" s="141"/>
      <c r="B852" s="141"/>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c r="Z852" s="141"/>
    </row>
    <row r="853">
      <c r="A853" s="141"/>
      <c r="B853" s="141"/>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c r="Z853" s="141"/>
    </row>
    <row r="854">
      <c r="A854" s="141"/>
      <c r="B854" s="141"/>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c r="Z854" s="141"/>
    </row>
    <row r="855">
      <c r="A855" s="141"/>
      <c r="B855" s="141"/>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c r="Z855" s="141"/>
    </row>
    <row r="856">
      <c r="A856" s="141"/>
      <c r="B856" s="141"/>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c r="Z856" s="141"/>
    </row>
    <row r="857">
      <c r="A857" s="141"/>
      <c r="B857" s="141"/>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c r="Z857" s="141"/>
    </row>
    <row r="858">
      <c r="A858" s="141"/>
      <c r="B858" s="141"/>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c r="Z858" s="141"/>
    </row>
    <row r="859">
      <c r="A859" s="141"/>
      <c r="B859" s="141"/>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c r="Z859" s="141"/>
    </row>
    <row r="860">
      <c r="A860" s="141"/>
      <c r="B860" s="141"/>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c r="Z860" s="141"/>
    </row>
    <row r="861">
      <c r="A861" s="141"/>
      <c r="B861" s="141"/>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c r="Z861" s="141"/>
    </row>
    <row r="862">
      <c r="A862" s="141"/>
      <c r="B862" s="141"/>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c r="Z862" s="141"/>
    </row>
    <row r="863">
      <c r="A863" s="141"/>
      <c r="B863" s="141"/>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c r="Z863" s="141"/>
    </row>
    <row r="864">
      <c r="A864" s="141"/>
      <c r="B864" s="141"/>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c r="Z864" s="141"/>
    </row>
    <row r="865">
      <c r="A865" s="141"/>
      <c r="B865" s="141"/>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c r="Z865" s="141"/>
    </row>
    <row r="866">
      <c r="A866" s="141"/>
      <c r="B866" s="141"/>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c r="Z866" s="141"/>
    </row>
    <row r="867">
      <c r="A867" s="141"/>
      <c r="B867" s="141"/>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c r="Z867" s="141"/>
    </row>
    <row r="868">
      <c r="A868" s="141"/>
      <c r="B868" s="141"/>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c r="Z868" s="141"/>
    </row>
    <row r="869">
      <c r="A869" s="141"/>
      <c r="B869" s="141"/>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c r="Z869" s="141"/>
    </row>
    <row r="870">
      <c r="A870" s="141"/>
      <c r="B870" s="141"/>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c r="Z870" s="141"/>
    </row>
    <row r="871">
      <c r="A871" s="141"/>
      <c r="B871" s="141"/>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c r="Z871" s="141"/>
    </row>
    <row r="872">
      <c r="A872" s="141"/>
      <c r="B872" s="141"/>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c r="Z872" s="141"/>
    </row>
    <row r="873">
      <c r="A873" s="141"/>
      <c r="B873" s="141"/>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c r="Z873" s="141"/>
    </row>
    <row r="874">
      <c r="A874" s="141"/>
      <c r="B874" s="141"/>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c r="Z874" s="141"/>
    </row>
    <row r="875">
      <c r="A875" s="141"/>
      <c r="B875" s="141"/>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c r="Z875" s="141"/>
    </row>
    <row r="876">
      <c r="A876" s="141"/>
      <c r="B876" s="141"/>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c r="Z876" s="141"/>
    </row>
    <row r="877">
      <c r="A877" s="141"/>
      <c r="B877" s="141"/>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c r="Z877" s="141"/>
    </row>
    <row r="878">
      <c r="A878" s="141"/>
      <c r="B878" s="141"/>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c r="Z878" s="141"/>
    </row>
    <row r="879">
      <c r="A879" s="141"/>
      <c r="B879" s="141"/>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c r="Z879" s="141"/>
    </row>
    <row r="880">
      <c r="A880" s="141"/>
      <c r="B880" s="141"/>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c r="Z880" s="141"/>
    </row>
    <row r="881">
      <c r="A881" s="141"/>
      <c r="B881" s="141"/>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c r="Z881" s="141"/>
    </row>
    <row r="882">
      <c r="A882" s="141"/>
      <c r="B882" s="141"/>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c r="Z882" s="141"/>
    </row>
    <row r="883">
      <c r="A883" s="141"/>
      <c r="B883" s="141"/>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c r="Z883" s="141"/>
    </row>
    <row r="884">
      <c r="A884" s="141"/>
      <c r="B884" s="141"/>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c r="Z884" s="141"/>
    </row>
    <row r="885">
      <c r="A885" s="141"/>
      <c r="B885" s="141"/>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c r="Z885" s="141"/>
    </row>
    <row r="886">
      <c r="A886" s="141"/>
      <c r="B886" s="141"/>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c r="Z886" s="141"/>
    </row>
    <row r="887">
      <c r="A887" s="141"/>
      <c r="B887" s="141"/>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c r="Z887" s="141"/>
    </row>
    <row r="888">
      <c r="A888" s="141"/>
      <c r="B888" s="141"/>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c r="Z888" s="141"/>
    </row>
    <row r="889">
      <c r="A889" s="141"/>
      <c r="B889" s="141"/>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c r="Z889" s="141"/>
    </row>
    <row r="890">
      <c r="A890" s="141"/>
      <c r="B890" s="141"/>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c r="Z890" s="141"/>
    </row>
    <row r="891">
      <c r="A891" s="141"/>
      <c r="B891" s="141"/>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c r="Z891" s="141"/>
    </row>
    <row r="892">
      <c r="A892" s="141"/>
      <c r="B892" s="141"/>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c r="Z892" s="141"/>
    </row>
    <row r="893">
      <c r="A893" s="141"/>
      <c r="B893" s="141"/>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c r="Z893" s="141"/>
    </row>
    <row r="894">
      <c r="A894" s="141"/>
      <c r="B894" s="141"/>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c r="Z894" s="141"/>
    </row>
    <row r="895">
      <c r="A895" s="141"/>
      <c r="B895" s="141"/>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c r="Z895" s="141"/>
    </row>
    <row r="896">
      <c r="A896" s="141"/>
      <c r="B896" s="141"/>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c r="Z896" s="141"/>
    </row>
    <row r="897">
      <c r="A897" s="141"/>
      <c r="B897" s="141"/>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c r="Z897" s="141"/>
    </row>
    <row r="898">
      <c r="A898" s="141"/>
      <c r="B898" s="141"/>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c r="Z898" s="141"/>
    </row>
    <row r="899">
      <c r="A899" s="141"/>
      <c r="B899" s="141"/>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c r="Z899" s="141"/>
    </row>
    <row r="900">
      <c r="A900" s="141"/>
      <c r="B900" s="141"/>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c r="Z900" s="141"/>
    </row>
    <row r="901">
      <c r="A901" s="141"/>
      <c r="B901" s="141"/>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c r="Z901" s="141"/>
    </row>
    <row r="902">
      <c r="A902" s="141"/>
      <c r="B902" s="141"/>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c r="Z902" s="141"/>
    </row>
    <row r="903">
      <c r="A903" s="141"/>
      <c r="B903" s="141"/>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c r="Z903" s="141"/>
    </row>
    <row r="904">
      <c r="A904" s="141"/>
      <c r="B904" s="141"/>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c r="Z904" s="141"/>
    </row>
    <row r="905">
      <c r="A905" s="141"/>
      <c r="B905" s="141"/>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c r="Z905" s="141"/>
    </row>
    <row r="906">
      <c r="A906" s="141"/>
      <c r="B906" s="141"/>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c r="Z906" s="141"/>
    </row>
    <row r="907">
      <c r="A907" s="141"/>
      <c r="B907" s="141"/>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c r="Z907" s="141"/>
    </row>
    <row r="908">
      <c r="A908" s="141"/>
      <c r="B908" s="141"/>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c r="Z908" s="141"/>
    </row>
    <row r="909">
      <c r="A909" s="141"/>
      <c r="B909" s="141"/>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c r="Z909" s="141"/>
    </row>
    <row r="910">
      <c r="A910" s="141"/>
      <c r="B910" s="141"/>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c r="Z910" s="141"/>
    </row>
    <row r="911">
      <c r="A911" s="141"/>
      <c r="B911" s="141"/>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c r="Z911" s="141"/>
    </row>
    <row r="912">
      <c r="A912" s="141"/>
      <c r="B912" s="141"/>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c r="Z912" s="141"/>
    </row>
    <row r="913">
      <c r="A913" s="141"/>
      <c r="B913" s="141"/>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c r="Z913" s="141"/>
    </row>
    <row r="914">
      <c r="A914" s="141"/>
      <c r="B914" s="141"/>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c r="Z914" s="141"/>
    </row>
    <row r="915">
      <c r="A915" s="141"/>
      <c r="B915" s="141"/>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c r="Z915" s="141"/>
    </row>
    <row r="916">
      <c r="A916" s="141"/>
      <c r="B916" s="141"/>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c r="Z916" s="141"/>
    </row>
    <row r="917">
      <c r="A917" s="141"/>
      <c r="B917" s="141"/>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c r="Z917" s="141"/>
    </row>
    <row r="918">
      <c r="A918" s="141"/>
      <c r="B918" s="141"/>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c r="Z918" s="141"/>
    </row>
    <row r="919">
      <c r="A919" s="141"/>
      <c r="B919" s="141"/>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c r="Z919" s="141"/>
    </row>
    <row r="920">
      <c r="A920" s="141"/>
      <c r="B920" s="141"/>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c r="Z920" s="141"/>
    </row>
    <row r="921">
      <c r="A921" s="141"/>
      <c r="B921" s="141"/>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c r="Z921" s="141"/>
    </row>
    <row r="922">
      <c r="A922" s="141"/>
      <c r="B922" s="141"/>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c r="Z922" s="141"/>
    </row>
    <row r="923">
      <c r="A923" s="141"/>
      <c r="B923" s="141"/>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c r="Z923" s="141"/>
    </row>
    <row r="924">
      <c r="A924" s="141"/>
      <c r="B924" s="141"/>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c r="Z924" s="141"/>
    </row>
    <row r="925">
      <c r="A925" s="141"/>
      <c r="B925" s="141"/>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c r="Z925" s="141"/>
    </row>
    <row r="926">
      <c r="A926" s="141"/>
      <c r="B926" s="141"/>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c r="Z926" s="141"/>
    </row>
    <row r="927">
      <c r="A927" s="141"/>
      <c r="B927" s="141"/>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c r="Z927" s="141"/>
    </row>
    <row r="928">
      <c r="A928" s="141"/>
      <c r="B928" s="141"/>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c r="Z928" s="141"/>
    </row>
    <row r="929">
      <c r="A929" s="141"/>
      <c r="B929" s="141"/>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c r="Z929" s="141"/>
    </row>
    <row r="930">
      <c r="A930" s="141"/>
      <c r="B930" s="141"/>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c r="Z930" s="141"/>
    </row>
    <row r="931">
      <c r="A931" s="141"/>
      <c r="B931" s="141"/>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c r="Z931" s="141"/>
    </row>
    <row r="932">
      <c r="A932" s="141"/>
      <c r="B932" s="141"/>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c r="Z932" s="141"/>
    </row>
    <row r="933">
      <c r="A933" s="141"/>
      <c r="B933" s="141"/>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c r="Z933" s="141"/>
    </row>
    <row r="934">
      <c r="A934" s="141"/>
      <c r="B934" s="141"/>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c r="Z934" s="141"/>
    </row>
    <row r="935">
      <c r="A935" s="141"/>
      <c r="B935" s="141"/>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c r="Z935" s="141"/>
    </row>
    <row r="936">
      <c r="A936" s="141"/>
      <c r="B936" s="141"/>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c r="Z936" s="141"/>
    </row>
    <row r="937">
      <c r="A937" s="141"/>
      <c r="B937" s="141"/>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c r="Z937" s="141"/>
    </row>
    <row r="938">
      <c r="A938" s="141"/>
      <c r="B938" s="141"/>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c r="Z938" s="141"/>
    </row>
    <row r="939">
      <c r="A939" s="141"/>
      <c r="B939" s="141"/>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c r="Z939" s="141"/>
    </row>
    <row r="940">
      <c r="A940" s="141"/>
      <c r="B940" s="141"/>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c r="Z940" s="141"/>
    </row>
    <row r="941">
      <c r="A941" s="141"/>
      <c r="B941" s="141"/>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c r="Z941" s="141"/>
    </row>
    <row r="942">
      <c r="A942" s="141"/>
      <c r="B942" s="141"/>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c r="Z942" s="141"/>
    </row>
    <row r="943">
      <c r="A943" s="141"/>
      <c r="B943" s="141"/>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c r="Z943" s="141"/>
    </row>
    <row r="944">
      <c r="A944" s="141"/>
      <c r="B944" s="141"/>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c r="Z944" s="141"/>
    </row>
    <row r="945">
      <c r="A945" s="141"/>
      <c r="B945" s="141"/>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c r="Z945" s="141"/>
    </row>
    <row r="946">
      <c r="A946" s="141"/>
      <c r="B946" s="141"/>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c r="Z946" s="141"/>
    </row>
    <row r="947">
      <c r="A947" s="141"/>
      <c r="B947" s="141"/>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c r="Z947" s="141"/>
    </row>
    <row r="948">
      <c r="A948" s="141"/>
      <c r="B948" s="141"/>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c r="Z948" s="141"/>
    </row>
    <row r="949">
      <c r="A949" s="141"/>
      <c r="B949" s="141"/>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c r="Z949" s="141"/>
    </row>
    <row r="950">
      <c r="A950" s="141"/>
      <c r="B950" s="141"/>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c r="Z950" s="141"/>
    </row>
    <row r="951">
      <c r="A951" s="141"/>
      <c r="B951" s="141"/>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c r="Z951" s="141"/>
    </row>
    <row r="952">
      <c r="A952" s="141"/>
      <c r="B952" s="141"/>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c r="Z952" s="141"/>
    </row>
    <row r="953">
      <c r="A953" s="141"/>
      <c r="B953" s="141"/>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c r="Z953" s="141"/>
    </row>
    <row r="954">
      <c r="A954" s="141"/>
      <c r="B954" s="141"/>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c r="Z954" s="141"/>
    </row>
    <row r="955">
      <c r="A955" s="141"/>
      <c r="B955" s="141"/>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c r="Z955" s="141"/>
    </row>
    <row r="956">
      <c r="A956" s="141"/>
      <c r="B956" s="141"/>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c r="Z956" s="141"/>
    </row>
    <row r="957">
      <c r="A957" s="141"/>
      <c r="B957" s="141"/>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c r="Z957" s="141"/>
    </row>
    <row r="958">
      <c r="A958" s="141"/>
      <c r="B958" s="141"/>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c r="Z958" s="141"/>
    </row>
    <row r="959">
      <c r="A959" s="141"/>
      <c r="B959" s="141"/>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c r="Z959" s="141"/>
    </row>
    <row r="960">
      <c r="A960" s="141"/>
      <c r="B960" s="141"/>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c r="Z960" s="141"/>
    </row>
    <row r="961">
      <c r="A961" s="141"/>
      <c r="B961" s="141"/>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c r="Z961" s="141"/>
    </row>
    <row r="962">
      <c r="A962" s="141"/>
      <c r="B962" s="141"/>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c r="Z962" s="141"/>
    </row>
    <row r="963">
      <c r="A963" s="141"/>
      <c r="B963" s="141"/>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c r="Z963" s="141"/>
    </row>
    <row r="964">
      <c r="A964" s="141"/>
      <c r="B964" s="141"/>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c r="Z964" s="141"/>
    </row>
    <row r="965">
      <c r="A965" s="141"/>
      <c r="B965" s="141"/>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c r="Z965" s="141"/>
    </row>
    <row r="966">
      <c r="A966" s="141"/>
      <c r="B966" s="141"/>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c r="Z966" s="141"/>
    </row>
    <row r="967">
      <c r="A967" s="141"/>
      <c r="B967" s="141"/>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c r="Z967" s="141"/>
    </row>
    <row r="968">
      <c r="A968" s="141"/>
      <c r="B968" s="141"/>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c r="Z968" s="141"/>
    </row>
    <row r="969">
      <c r="A969" s="141"/>
      <c r="B969" s="141"/>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c r="Z969" s="141"/>
    </row>
    <row r="970">
      <c r="A970" s="141"/>
      <c r="B970" s="141"/>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c r="Z970" s="141"/>
    </row>
    <row r="971">
      <c r="A971" s="141"/>
      <c r="B971" s="141"/>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c r="Z971" s="141"/>
    </row>
    <row r="972">
      <c r="A972" s="141"/>
      <c r="B972" s="141"/>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c r="Z972" s="141"/>
    </row>
    <row r="973">
      <c r="A973" s="141"/>
      <c r="B973" s="141"/>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c r="Z973" s="141"/>
    </row>
    <row r="974">
      <c r="A974" s="141"/>
      <c r="B974" s="141"/>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c r="Z974" s="141"/>
    </row>
    <row r="975">
      <c r="A975" s="141"/>
      <c r="B975" s="141"/>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c r="Z975" s="141"/>
    </row>
    <row r="976">
      <c r="A976" s="141"/>
      <c r="B976" s="141"/>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c r="Z976" s="141"/>
    </row>
    <row r="977">
      <c r="A977" s="141"/>
      <c r="B977" s="141"/>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c r="Z977" s="141"/>
    </row>
    <row r="978">
      <c r="A978" s="141"/>
      <c r="B978" s="141"/>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1"/>
    </row>
    <row r="979">
      <c r="A979" s="141"/>
      <c r="B979" s="141"/>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1"/>
    </row>
    <row r="980">
      <c r="A980" s="141"/>
      <c r="B980" s="141"/>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1"/>
    </row>
    <row r="981">
      <c r="A981" s="141"/>
      <c r="B981" s="141"/>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1"/>
    </row>
    <row r="982">
      <c r="A982" s="141"/>
      <c r="B982" s="141"/>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1"/>
    </row>
    <row r="983">
      <c r="A983" s="141"/>
      <c r="B983" s="141"/>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1"/>
    </row>
    <row r="984">
      <c r="A984" s="141"/>
      <c r="B984" s="141"/>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1"/>
    </row>
    <row r="985">
      <c r="A985" s="141"/>
      <c r="B985" s="141"/>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1"/>
    </row>
    <row r="986">
      <c r="A986" s="141"/>
      <c r="B986" s="141"/>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1"/>
    </row>
    <row r="987">
      <c r="A987" s="141"/>
      <c r="B987" s="141"/>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c r="Z987" s="141"/>
    </row>
    <row r="988">
      <c r="A988" s="141"/>
      <c r="B988" s="141"/>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c r="Z988" s="141"/>
    </row>
    <row r="989">
      <c r="A989" s="141"/>
      <c r="B989" s="141"/>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c r="Z989" s="141"/>
    </row>
    <row r="990">
      <c r="A990" s="141"/>
      <c r="B990" s="141"/>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c r="Z990" s="141"/>
    </row>
    <row r="991">
      <c r="A991" s="141"/>
      <c r="B991" s="141"/>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c r="Z991" s="141"/>
    </row>
    <row r="992">
      <c r="A992" s="141"/>
      <c r="B992" s="141"/>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c r="Z992" s="141"/>
    </row>
    <row r="993">
      <c r="A993" s="141"/>
      <c r="B993" s="141"/>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c r="Z993" s="141"/>
    </row>
    <row r="994">
      <c r="A994" s="141"/>
      <c r="B994" s="141"/>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c r="Z994" s="141"/>
    </row>
    <row r="995">
      <c r="A995" s="141"/>
      <c r="B995" s="141"/>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c r="Z995" s="141"/>
    </row>
    <row r="996">
      <c r="A996" s="141"/>
      <c r="B996" s="141"/>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c r="Z996" s="141"/>
    </row>
    <row r="997">
      <c r="A997" s="141"/>
      <c r="B997" s="141"/>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c r="Z997" s="141"/>
    </row>
    <row r="998">
      <c r="A998" s="141"/>
      <c r="B998" s="141"/>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c r="Z998" s="141"/>
    </row>
    <row r="999">
      <c r="A999" s="141"/>
      <c r="B999" s="141"/>
      <c r="C999" s="141"/>
      <c r="D999" s="141"/>
      <c r="E999" s="141"/>
      <c r="F999" s="141"/>
      <c r="G999" s="141"/>
      <c r="H999" s="141"/>
      <c r="I999" s="141"/>
      <c r="J999" s="141"/>
      <c r="K999" s="141"/>
      <c r="L999" s="141"/>
      <c r="M999" s="141"/>
      <c r="N999" s="141"/>
      <c r="O999" s="141"/>
      <c r="P999" s="141"/>
      <c r="Q999" s="141"/>
      <c r="R999" s="141"/>
      <c r="S999" s="141"/>
      <c r="T999" s="141"/>
      <c r="U999" s="141"/>
      <c r="V999" s="141"/>
      <c r="W999" s="141"/>
      <c r="X999" s="141"/>
      <c r="Y999" s="141"/>
      <c r="Z999" s="141"/>
    </row>
    <row r="1000">
      <c r="A1000" s="141"/>
      <c r="B1000" s="141"/>
      <c r="C1000" s="141"/>
      <c r="D1000" s="141"/>
      <c r="E1000" s="141"/>
      <c r="F1000" s="141"/>
      <c r="G1000" s="141"/>
      <c r="H1000" s="141"/>
      <c r="I1000" s="141"/>
      <c r="J1000" s="141"/>
      <c r="K1000" s="141"/>
      <c r="L1000" s="141"/>
      <c r="M1000" s="141"/>
      <c r="N1000" s="141"/>
      <c r="O1000" s="141"/>
      <c r="P1000" s="141"/>
      <c r="Q1000" s="141"/>
      <c r="R1000" s="141"/>
      <c r="S1000" s="141"/>
      <c r="T1000" s="141"/>
      <c r="U1000" s="141"/>
      <c r="V1000" s="141"/>
      <c r="W1000" s="141"/>
      <c r="X1000" s="141"/>
      <c r="Y1000" s="141"/>
      <c r="Z1000" s="141"/>
    </row>
    <row r="1001">
      <c r="A1001" s="141"/>
      <c r="B1001" s="141"/>
      <c r="C1001" s="141"/>
      <c r="D1001" s="141"/>
      <c r="E1001" s="141"/>
      <c r="F1001" s="141"/>
      <c r="G1001" s="141"/>
      <c r="H1001" s="141"/>
      <c r="I1001" s="141"/>
      <c r="J1001" s="141"/>
      <c r="K1001" s="141"/>
      <c r="L1001" s="141"/>
      <c r="M1001" s="141"/>
      <c r="N1001" s="141"/>
      <c r="O1001" s="141"/>
      <c r="P1001" s="141"/>
      <c r="Q1001" s="141"/>
      <c r="R1001" s="141"/>
      <c r="S1001" s="141"/>
      <c r="T1001" s="141"/>
      <c r="U1001" s="141"/>
      <c r="V1001" s="141"/>
      <c r="W1001" s="141"/>
      <c r="X1001" s="141"/>
      <c r="Y1001" s="141"/>
      <c r="Z1001" s="141"/>
    </row>
    <row r="1002">
      <c r="A1002" s="141"/>
      <c r="B1002" s="141"/>
      <c r="C1002" s="141"/>
      <c r="D1002" s="141"/>
      <c r="E1002" s="141"/>
      <c r="F1002" s="141"/>
      <c r="G1002" s="141"/>
      <c r="H1002" s="141"/>
      <c r="I1002" s="141"/>
      <c r="J1002" s="141"/>
      <c r="K1002" s="141"/>
      <c r="L1002" s="141"/>
      <c r="M1002" s="141"/>
      <c r="N1002" s="141"/>
      <c r="O1002" s="141"/>
      <c r="P1002" s="141"/>
      <c r="Q1002" s="141"/>
      <c r="R1002" s="141"/>
      <c r="S1002" s="141"/>
      <c r="T1002" s="141"/>
      <c r="U1002" s="141"/>
      <c r="V1002" s="141"/>
      <c r="W1002" s="141"/>
      <c r="X1002" s="141"/>
      <c r="Y1002" s="141"/>
      <c r="Z1002" s="141"/>
    </row>
    <row r="1003">
      <c r="A1003" s="141"/>
      <c r="B1003" s="141"/>
      <c r="C1003" s="141"/>
      <c r="D1003" s="141"/>
      <c r="E1003" s="141"/>
      <c r="F1003" s="141"/>
      <c r="G1003" s="141"/>
      <c r="H1003" s="141"/>
      <c r="I1003" s="141"/>
      <c r="J1003" s="141"/>
      <c r="K1003" s="141"/>
      <c r="L1003" s="141"/>
      <c r="M1003" s="141"/>
      <c r="N1003" s="141"/>
      <c r="O1003" s="141"/>
      <c r="P1003" s="141"/>
      <c r="Q1003" s="141"/>
      <c r="R1003" s="141"/>
      <c r="S1003" s="141"/>
      <c r="T1003" s="141"/>
      <c r="U1003" s="141"/>
      <c r="V1003" s="141"/>
      <c r="W1003" s="141"/>
      <c r="X1003" s="141"/>
      <c r="Y1003" s="141"/>
      <c r="Z1003" s="141"/>
    </row>
    <row r="1004">
      <c r="A1004" s="141"/>
      <c r="B1004" s="141"/>
      <c r="C1004" s="141"/>
      <c r="D1004" s="141"/>
      <c r="E1004" s="141"/>
      <c r="F1004" s="141"/>
      <c r="G1004" s="141"/>
      <c r="H1004" s="141"/>
      <c r="I1004" s="141"/>
      <c r="J1004" s="141"/>
      <c r="K1004" s="141"/>
      <c r="L1004" s="141"/>
      <c r="M1004" s="141"/>
      <c r="N1004" s="141"/>
      <c r="O1004" s="141"/>
      <c r="P1004" s="141"/>
      <c r="Q1004" s="141"/>
      <c r="R1004" s="141"/>
      <c r="S1004" s="141"/>
      <c r="T1004" s="141"/>
      <c r="U1004" s="141"/>
      <c r="V1004" s="141"/>
      <c r="W1004" s="141"/>
      <c r="X1004" s="141"/>
      <c r="Y1004" s="141"/>
      <c r="Z1004" s="141"/>
    </row>
    <row r="1005">
      <c r="A1005" s="141"/>
      <c r="B1005" s="141"/>
      <c r="C1005" s="141"/>
      <c r="D1005" s="141"/>
      <c r="E1005" s="141"/>
      <c r="F1005" s="141"/>
      <c r="G1005" s="141"/>
      <c r="H1005" s="141"/>
      <c r="I1005" s="141"/>
      <c r="J1005" s="141"/>
      <c r="K1005" s="141"/>
      <c r="L1005" s="141"/>
      <c r="M1005" s="141"/>
      <c r="N1005" s="141"/>
      <c r="O1005" s="141"/>
      <c r="P1005" s="141"/>
      <c r="Q1005" s="141"/>
      <c r="R1005" s="141"/>
      <c r="S1005" s="141"/>
      <c r="T1005" s="141"/>
      <c r="U1005" s="141"/>
      <c r="V1005" s="141"/>
      <c r="W1005" s="141"/>
      <c r="X1005" s="141"/>
      <c r="Y1005" s="141"/>
      <c r="Z1005" s="141"/>
    </row>
    <row r="1006">
      <c r="A1006" s="141"/>
      <c r="B1006" s="141"/>
      <c r="C1006" s="141"/>
      <c r="D1006" s="141"/>
      <c r="E1006" s="141"/>
      <c r="F1006" s="141"/>
      <c r="G1006" s="141"/>
      <c r="H1006" s="141"/>
      <c r="I1006" s="141"/>
      <c r="J1006" s="141"/>
      <c r="K1006" s="141"/>
      <c r="L1006" s="141"/>
      <c r="M1006" s="141"/>
      <c r="N1006" s="141"/>
      <c r="O1006" s="141"/>
      <c r="P1006" s="141"/>
      <c r="Q1006" s="141"/>
      <c r="R1006" s="141"/>
      <c r="S1006" s="141"/>
      <c r="T1006" s="141"/>
      <c r="U1006" s="141"/>
      <c r="V1006" s="141"/>
      <c r="W1006" s="141"/>
      <c r="X1006" s="141"/>
      <c r="Y1006" s="141"/>
      <c r="Z1006" s="141"/>
    </row>
    <row r="1007">
      <c r="A1007" s="141"/>
      <c r="B1007" s="141"/>
      <c r="C1007" s="141"/>
      <c r="D1007" s="141"/>
      <c r="E1007" s="141"/>
      <c r="F1007" s="141"/>
      <c r="G1007" s="141"/>
      <c r="H1007" s="141"/>
      <c r="I1007" s="141"/>
      <c r="J1007" s="141"/>
      <c r="K1007" s="141"/>
      <c r="L1007" s="141"/>
      <c r="M1007" s="141"/>
      <c r="N1007" s="141"/>
      <c r="O1007" s="141"/>
      <c r="P1007" s="141"/>
      <c r="Q1007" s="141"/>
      <c r="R1007" s="141"/>
      <c r="S1007" s="141"/>
      <c r="T1007" s="141"/>
      <c r="U1007" s="141"/>
      <c r="V1007" s="141"/>
      <c r="W1007" s="141"/>
      <c r="X1007" s="141"/>
      <c r="Y1007" s="141"/>
      <c r="Z1007" s="141"/>
    </row>
    <row r="1008">
      <c r="A1008" s="141"/>
      <c r="B1008" s="141"/>
      <c r="C1008" s="141"/>
      <c r="D1008" s="141"/>
      <c r="E1008" s="141"/>
      <c r="F1008" s="141"/>
      <c r="G1008" s="141"/>
      <c r="H1008" s="141"/>
      <c r="I1008" s="141"/>
      <c r="J1008" s="141"/>
      <c r="K1008" s="141"/>
      <c r="L1008" s="141"/>
      <c r="M1008" s="141"/>
      <c r="N1008" s="141"/>
      <c r="O1008" s="141"/>
      <c r="P1008" s="141"/>
      <c r="Q1008" s="141"/>
      <c r="R1008" s="141"/>
      <c r="S1008" s="141"/>
      <c r="T1008" s="141"/>
      <c r="U1008" s="141"/>
      <c r="V1008" s="141"/>
      <c r="W1008" s="141"/>
      <c r="X1008" s="141"/>
      <c r="Y1008" s="141"/>
      <c r="Z1008" s="141"/>
    </row>
    <row r="1009">
      <c r="A1009" s="141"/>
      <c r="B1009" s="141"/>
      <c r="C1009" s="141"/>
      <c r="D1009" s="141"/>
      <c r="E1009" s="141"/>
      <c r="F1009" s="141"/>
      <c r="G1009" s="141"/>
      <c r="H1009" s="141"/>
      <c r="I1009" s="141"/>
      <c r="J1009" s="141"/>
      <c r="K1009" s="141"/>
      <c r="L1009" s="141"/>
      <c r="M1009" s="141"/>
      <c r="N1009" s="141"/>
      <c r="O1009" s="141"/>
      <c r="P1009" s="141"/>
      <c r="Q1009" s="141"/>
      <c r="R1009" s="141"/>
      <c r="S1009" s="141"/>
      <c r="T1009" s="141"/>
      <c r="U1009" s="141"/>
      <c r="V1009" s="141"/>
      <c r="W1009" s="141"/>
      <c r="X1009" s="141"/>
      <c r="Y1009" s="141"/>
      <c r="Z1009" s="141"/>
    </row>
    <row r="1010">
      <c r="A1010" s="141"/>
      <c r="B1010" s="141"/>
      <c r="C1010" s="141"/>
      <c r="D1010" s="141"/>
      <c r="E1010" s="141"/>
      <c r="F1010" s="141"/>
      <c r="G1010" s="141"/>
      <c r="H1010" s="141"/>
      <c r="I1010" s="141"/>
      <c r="J1010" s="141"/>
      <c r="K1010" s="141"/>
      <c r="L1010" s="141"/>
      <c r="M1010" s="141"/>
      <c r="N1010" s="141"/>
      <c r="O1010" s="141"/>
      <c r="P1010" s="141"/>
      <c r="Q1010" s="141"/>
      <c r="R1010" s="141"/>
      <c r="S1010" s="141"/>
      <c r="T1010" s="141"/>
      <c r="U1010" s="141"/>
      <c r="V1010" s="141"/>
      <c r="W1010" s="141"/>
      <c r="X1010" s="141"/>
      <c r="Y1010" s="141"/>
      <c r="Z1010" s="141"/>
    </row>
    <row r="1011">
      <c r="A1011" s="141"/>
      <c r="B1011" s="141"/>
      <c r="C1011" s="141"/>
      <c r="D1011" s="141"/>
      <c r="E1011" s="141"/>
      <c r="F1011" s="141"/>
      <c r="G1011" s="141"/>
      <c r="H1011" s="141"/>
      <c r="I1011" s="141"/>
      <c r="J1011" s="141"/>
      <c r="K1011" s="141"/>
      <c r="L1011" s="141"/>
      <c r="M1011" s="141"/>
      <c r="N1011" s="141"/>
      <c r="O1011" s="141"/>
      <c r="P1011" s="141"/>
      <c r="Q1011" s="141"/>
      <c r="R1011" s="141"/>
      <c r="S1011" s="141"/>
      <c r="T1011" s="141"/>
      <c r="U1011" s="141"/>
      <c r="V1011" s="141"/>
      <c r="W1011" s="141"/>
      <c r="X1011" s="141"/>
      <c r="Y1011" s="141"/>
      <c r="Z1011" s="141"/>
    </row>
    <row r="1012">
      <c r="A1012" s="141"/>
      <c r="B1012" s="141"/>
      <c r="C1012" s="141"/>
      <c r="D1012" s="141"/>
      <c r="E1012" s="141"/>
      <c r="F1012" s="141"/>
      <c r="G1012" s="141"/>
      <c r="H1012" s="141"/>
      <c r="I1012" s="141"/>
      <c r="J1012" s="141"/>
      <c r="K1012" s="141"/>
      <c r="L1012" s="141"/>
      <c r="M1012" s="141"/>
      <c r="N1012" s="141"/>
      <c r="O1012" s="141"/>
      <c r="P1012" s="141"/>
      <c r="Q1012" s="141"/>
      <c r="R1012" s="141"/>
      <c r="S1012" s="141"/>
      <c r="T1012" s="141"/>
      <c r="U1012" s="141"/>
      <c r="V1012" s="141"/>
      <c r="W1012" s="141"/>
      <c r="X1012" s="141"/>
      <c r="Y1012" s="141"/>
      <c r="Z1012" s="141"/>
    </row>
    <row r="1013">
      <c r="A1013" s="141"/>
      <c r="B1013" s="141"/>
      <c r="C1013" s="141"/>
      <c r="D1013" s="141"/>
      <c r="E1013" s="141"/>
      <c r="F1013" s="141"/>
      <c r="G1013" s="141"/>
      <c r="H1013" s="141"/>
      <c r="I1013" s="141"/>
      <c r="J1013" s="141"/>
      <c r="K1013" s="141"/>
      <c r="L1013" s="141"/>
      <c r="M1013" s="141"/>
      <c r="N1013" s="141"/>
      <c r="O1013" s="141"/>
      <c r="P1013" s="141"/>
      <c r="Q1013" s="141"/>
      <c r="R1013" s="141"/>
      <c r="S1013" s="141"/>
      <c r="T1013" s="141"/>
      <c r="U1013" s="141"/>
      <c r="V1013" s="141"/>
      <c r="W1013" s="141"/>
      <c r="X1013" s="141"/>
      <c r="Y1013" s="141"/>
      <c r="Z1013" s="141"/>
    </row>
    <row r="1014">
      <c r="A1014" s="141"/>
      <c r="B1014" s="141"/>
      <c r="C1014" s="141"/>
      <c r="D1014" s="141"/>
      <c r="E1014" s="141"/>
      <c r="F1014" s="141"/>
      <c r="G1014" s="141"/>
      <c r="H1014" s="141"/>
      <c r="I1014" s="141"/>
      <c r="J1014" s="141"/>
      <c r="K1014" s="141"/>
      <c r="L1014" s="141"/>
      <c r="M1014" s="141"/>
      <c r="N1014" s="141"/>
      <c r="O1014" s="141"/>
      <c r="P1014" s="141"/>
      <c r="Q1014" s="141"/>
      <c r="R1014" s="141"/>
      <c r="S1014" s="141"/>
      <c r="T1014" s="141"/>
      <c r="U1014" s="141"/>
      <c r="V1014" s="141"/>
      <c r="W1014" s="141"/>
      <c r="X1014" s="141"/>
      <c r="Y1014" s="141"/>
      <c r="Z1014" s="141"/>
    </row>
    <row r="1015">
      <c r="A1015" s="141"/>
      <c r="B1015" s="141"/>
      <c r="C1015" s="141"/>
      <c r="D1015" s="141"/>
      <c r="E1015" s="141"/>
      <c r="F1015" s="141"/>
      <c r="G1015" s="141"/>
      <c r="H1015" s="141"/>
      <c r="I1015" s="141"/>
      <c r="J1015" s="141"/>
      <c r="K1015" s="141"/>
      <c r="L1015" s="141"/>
      <c r="M1015" s="141"/>
      <c r="N1015" s="141"/>
      <c r="O1015" s="141"/>
      <c r="P1015" s="141"/>
      <c r="Q1015" s="141"/>
      <c r="R1015" s="141"/>
      <c r="S1015" s="141"/>
      <c r="T1015" s="141"/>
      <c r="U1015" s="141"/>
      <c r="V1015" s="141"/>
      <c r="W1015" s="141"/>
      <c r="X1015" s="141"/>
      <c r="Y1015" s="141"/>
      <c r="Z1015" s="141"/>
    </row>
    <row r="1016">
      <c r="A1016" s="141"/>
      <c r="B1016" s="141"/>
      <c r="C1016" s="141"/>
      <c r="D1016" s="141"/>
      <c r="E1016" s="141"/>
      <c r="F1016" s="141"/>
      <c r="G1016" s="141"/>
      <c r="H1016" s="141"/>
      <c r="I1016" s="141"/>
      <c r="J1016" s="141"/>
      <c r="K1016" s="141"/>
      <c r="L1016" s="141"/>
      <c r="M1016" s="141"/>
      <c r="N1016" s="141"/>
      <c r="O1016" s="141"/>
      <c r="P1016" s="141"/>
      <c r="Q1016" s="141"/>
      <c r="R1016" s="141"/>
      <c r="S1016" s="141"/>
      <c r="T1016" s="141"/>
      <c r="U1016" s="141"/>
      <c r="V1016" s="141"/>
      <c r="W1016" s="141"/>
      <c r="X1016" s="141"/>
      <c r="Y1016" s="141"/>
      <c r="Z1016" s="141"/>
    </row>
    <row r="1017">
      <c r="A1017" s="141"/>
      <c r="B1017" s="141"/>
      <c r="C1017" s="141"/>
      <c r="D1017" s="141"/>
      <c r="E1017" s="141"/>
      <c r="F1017" s="141"/>
      <c r="G1017" s="141"/>
      <c r="H1017" s="141"/>
      <c r="I1017" s="141"/>
      <c r="J1017" s="141"/>
      <c r="K1017" s="141"/>
      <c r="L1017" s="141"/>
      <c r="M1017" s="141"/>
      <c r="N1017" s="141"/>
      <c r="O1017" s="141"/>
      <c r="P1017" s="141"/>
      <c r="Q1017" s="141"/>
      <c r="R1017" s="141"/>
      <c r="S1017" s="141"/>
      <c r="T1017" s="141"/>
      <c r="U1017" s="141"/>
      <c r="V1017" s="141"/>
      <c r="W1017" s="141"/>
      <c r="X1017" s="141"/>
      <c r="Y1017" s="141"/>
      <c r="Z1017" s="141"/>
    </row>
    <row r="1018">
      <c r="A1018" s="141"/>
      <c r="B1018" s="141"/>
      <c r="C1018" s="141"/>
      <c r="D1018" s="141"/>
      <c r="E1018" s="141"/>
      <c r="F1018" s="141"/>
      <c r="G1018" s="141"/>
      <c r="H1018" s="141"/>
      <c r="I1018" s="141"/>
      <c r="J1018" s="141"/>
      <c r="K1018" s="141"/>
      <c r="L1018" s="141"/>
      <c r="M1018" s="141"/>
      <c r="N1018" s="141"/>
      <c r="O1018" s="141"/>
      <c r="P1018" s="141"/>
      <c r="Q1018" s="141"/>
      <c r="R1018" s="141"/>
      <c r="S1018" s="141"/>
      <c r="T1018" s="141"/>
      <c r="U1018" s="141"/>
      <c r="V1018" s="141"/>
      <c r="W1018" s="141"/>
      <c r="X1018" s="141"/>
      <c r="Y1018" s="141"/>
      <c r="Z1018" s="141"/>
    </row>
    <row r="1019">
      <c r="A1019" s="141"/>
      <c r="B1019" s="141"/>
      <c r="C1019" s="141"/>
      <c r="D1019" s="141"/>
      <c r="E1019" s="141"/>
      <c r="F1019" s="141"/>
      <c r="G1019" s="141"/>
      <c r="H1019" s="141"/>
      <c r="I1019" s="141"/>
      <c r="J1019" s="141"/>
      <c r="K1019" s="141"/>
      <c r="L1019" s="141"/>
      <c r="M1019" s="141"/>
      <c r="N1019" s="141"/>
      <c r="O1019" s="141"/>
      <c r="P1019" s="141"/>
      <c r="Q1019" s="141"/>
      <c r="R1019" s="141"/>
      <c r="S1019" s="141"/>
      <c r="T1019" s="141"/>
      <c r="U1019" s="141"/>
      <c r="V1019" s="141"/>
      <c r="W1019" s="141"/>
      <c r="X1019" s="141"/>
      <c r="Y1019" s="141"/>
      <c r="Z1019" s="141"/>
    </row>
    <row r="1020">
      <c r="A1020" s="141"/>
      <c r="B1020" s="141"/>
      <c r="C1020" s="141"/>
      <c r="D1020" s="141"/>
      <c r="E1020" s="141"/>
      <c r="F1020" s="141"/>
      <c r="G1020" s="141"/>
      <c r="H1020" s="141"/>
      <c r="I1020" s="141"/>
      <c r="J1020" s="141"/>
      <c r="K1020" s="141"/>
      <c r="L1020" s="141"/>
      <c r="M1020" s="141"/>
      <c r="N1020" s="141"/>
      <c r="O1020" s="141"/>
      <c r="P1020" s="141"/>
      <c r="Q1020" s="141"/>
      <c r="R1020" s="141"/>
      <c r="S1020" s="141"/>
      <c r="T1020" s="141"/>
      <c r="U1020" s="141"/>
      <c r="V1020" s="141"/>
      <c r="W1020" s="141"/>
      <c r="X1020" s="141"/>
      <c r="Y1020" s="141"/>
      <c r="Z1020" s="141"/>
    </row>
    <row r="1021">
      <c r="A1021" s="141"/>
      <c r="B1021" s="141"/>
      <c r="C1021" s="141"/>
      <c r="D1021" s="141"/>
      <c r="E1021" s="141"/>
      <c r="F1021" s="141"/>
      <c r="G1021" s="141"/>
      <c r="H1021" s="141"/>
      <c r="I1021" s="141"/>
      <c r="J1021" s="141"/>
      <c r="K1021" s="141"/>
      <c r="L1021" s="141"/>
      <c r="M1021" s="141"/>
      <c r="N1021" s="141"/>
      <c r="O1021" s="141"/>
      <c r="P1021" s="141"/>
      <c r="Q1021" s="141"/>
      <c r="R1021" s="141"/>
      <c r="S1021" s="141"/>
      <c r="T1021" s="141"/>
      <c r="U1021" s="141"/>
      <c r="V1021" s="141"/>
      <c r="W1021" s="141"/>
      <c r="X1021" s="141"/>
      <c r="Y1021" s="141"/>
      <c r="Z1021" s="141"/>
    </row>
    <row r="1022">
      <c r="A1022" s="141"/>
      <c r="B1022" s="141"/>
      <c r="C1022" s="141"/>
      <c r="D1022" s="141"/>
      <c r="E1022" s="141"/>
      <c r="F1022" s="141"/>
      <c r="G1022" s="141"/>
      <c r="H1022" s="141"/>
      <c r="I1022" s="141"/>
      <c r="J1022" s="141"/>
      <c r="K1022" s="141"/>
      <c r="L1022" s="141"/>
      <c r="M1022" s="141"/>
      <c r="N1022" s="141"/>
      <c r="O1022" s="141"/>
      <c r="P1022" s="141"/>
      <c r="Q1022" s="141"/>
      <c r="R1022" s="141"/>
      <c r="S1022" s="141"/>
      <c r="T1022" s="141"/>
      <c r="U1022" s="141"/>
      <c r="V1022" s="141"/>
      <c r="W1022" s="141"/>
      <c r="X1022" s="141"/>
      <c r="Y1022" s="141"/>
      <c r="Z1022" s="141"/>
    </row>
    <row r="1023">
      <c r="A1023" s="141"/>
      <c r="B1023" s="141"/>
      <c r="C1023" s="141"/>
      <c r="D1023" s="141"/>
      <c r="E1023" s="141"/>
      <c r="F1023" s="141"/>
      <c r="G1023" s="141"/>
      <c r="H1023" s="141"/>
      <c r="I1023" s="141"/>
      <c r="J1023" s="141"/>
      <c r="K1023" s="141"/>
      <c r="L1023" s="141"/>
      <c r="M1023" s="141"/>
      <c r="N1023" s="141"/>
      <c r="O1023" s="141"/>
      <c r="P1023" s="141"/>
      <c r="Q1023" s="141"/>
      <c r="R1023" s="141"/>
      <c r="S1023" s="141"/>
      <c r="T1023" s="141"/>
      <c r="U1023" s="141"/>
      <c r="V1023" s="141"/>
      <c r="W1023" s="141"/>
      <c r="X1023" s="141"/>
      <c r="Y1023" s="141"/>
      <c r="Z1023" s="141"/>
    </row>
    <row r="1024">
      <c r="A1024" s="141"/>
      <c r="B1024" s="141"/>
      <c r="C1024" s="141"/>
      <c r="D1024" s="141"/>
      <c r="E1024" s="141"/>
      <c r="F1024" s="141"/>
      <c r="G1024" s="141"/>
      <c r="H1024" s="141"/>
      <c r="I1024" s="141"/>
      <c r="J1024" s="141"/>
      <c r="K1024" s="141"/>
      <c r="L1024" s="141"/>
      <c r="M1024" s="141"/>
      <c r="N1024" s="141"/>
      <c r="O1024" s="141"/>
      <c r="P1024" s="141"/>
      <c r="Q1024" s="141"/>
      <c r="R1024" s="141"/>
      <c r="S1024" s="141"/>
      <c r="T1024" s="141"/>
      <c r="U1024" s="141"/>
      <c r="V1024" s="141"/>
      <c r="W1024" s="141"/>
      <c r="X1024" s="141"/>
      <c r="Y1024" s="141"/>
      <c r="Z1024" s="141"/>
    </row>
    <row r="1025">
      <c r="A1025" s="141"/>
      <c r="B1025" s="141"/>
      <c r="C1025" s="141"/>
      <c r="D1025" s="141"/>
      <c r="E1025" s="141"/>
      <c r="F1025" s="141"/>
      <c r="G1025" s="141"/>
      <c r="H1025" s="141"/>
      <c r="I1025" s="141"/>
      <c r="J1025" s="141"/>
      <c r="K1025" s="141"/>
      <c r="L1025" s="141"/>
      <c r="M1025" s="141"/>
      <c r="N1025" s="141"/>
      <c r="O1025" s="141"/>
      <c r="P1025" s="141"/>
      <c r="Q1025" s="141"/>
      <c r="R1025" s="141"/>
      <c r="S1025" s="141"/>
      <c r="T1025" s="141"/>
      <c r="U1025" s="141"/>
      <c r="V1025" s="141"/>
      <c r="W1025" s="141"/>
      <c r="X1025" s="141"/>
      <c r="Y1025" s="141"/>
      <c r="Z1025" s="141"/>
    </row>
    <row r="1026">
      <c r="A1026" s="141"/>
      <c r="B1026" s="141"/>
      <c r="C1026" s="141"/>
      <c r="D1026" s="141"/>
      <c r="E1026" s="141"/>
      <c r="F1026" s="141"/>
      <c r="G1026" s="141"/>
      <c r="H1026" s="141"/>
      <c r="I1026" s="141"/>
      <c r="J1026" s="141"/>
      <c r="K1026" s="141"/>
      <c r="L1026" s="141"/>
      <c r="M1026" s="141"/>
      <c r="N1026" s="141"/>
      <c r="O1026" s="141"/>
      <c r="P1026" s="141"/>
      <c r="Q1026" s="141"/>
      <c r="R1026" s="141"/>
      <c r="S1026" s="141"/>
      <c r="T1026" s="141"/>
      <c r="U1026" s="141"/>
      <c r="V1026" s="141"/>
      <c r="W1026" s="141"/>
      <c r="X1026" s="141"/>
      <c r="Y1026" s="141"/>
      <c r="Z1026" s="141"/>
    </row>
    <row r="1027">
      <c r="A1027" s="141"/>
      <c r="B1027" s="141"/>
      <c r="C1027" s="141"/>
      <c r="D1027" s="141"/>
      <c r="E1027" s="141"/>
      <c r="F1027" s="141"/>
      <c r="G1027" s="141"/>
      <c r="H1027" s="141"/>
      <c r="I1027" s="141"/>
      <c r="J1027" s="141"/>
      <c r="K1027" s="141"/>
      <c r="L1027" s="141"/>
      <c r="M1027" s="141"/>
      <c r="N1027" s="141"/>
      <c r="O1027" s="141"/>
      <c r="P1027" s="141"/>
      <c r="Q1027" s="141"/>
      <c r="R1027" s="141"/>
      <c r="S1027" s="141"/>
      <c r="T1027" s="141"/>
      <c r="U1027" s="141"/>
      <c r="V1027" s="141"/>
      <c r="W1027" s="141"/>
      <c r="X1027" s="141"/>
      <c r="Y1027" s="141"/>
      <c r="Z1027" s="141"/>
    </row>
    <row r="1028">
      <c r="A1028" s="141"/>
      <c r="B1028" s="141"/>
      <c r="C1028" s="141"/>
      <c r="D1028" s="141"/>
      <c r="E1028" s="141"/>
      <c r="F1028" s="141"/>
      <c r="G1028" s="141"/>
      <c r="H1028" s="141"/>
      <c r="I1028" s="141"/>
      <c r="J1028" s="141"/>
      <c r="K1028" s="141"/>
      <c r="L1028" s="141"/>
      <c r="M1028" s="141"/>
      <c r="N1028" s="141"/>
      <c r="O1028" s="141"/>
      <c r="P1028" s="141"/>
      <c r="Q1028" s="141"/>
      <c r="R1028" s="141"/>
      <c r="S1028" s="141"/>
      <c r="T1028" s="141"/>
      <c r="U1028" s="141"/>
      <c r="V1028" s="141"/>
      <c r="W1028" s="141"/>
      <c r="X1028" s="141"/>
      <c r="Y1028" s="141"/>
      <c r="Z1028" s="141"/>
    </row>
    <row r="1029">
      <c r="A1029" s="141"/>
      <c r="B1029" s="141"/>
      <c r="C1029" s="141"/>
      <c r="D1029" s="141"/>
      <c r="E1029" s="141"/>
      <c r="F1029" s="141"/>
      <c r="G1029" s="141"/>
      <c r="H1029" s="141"/>
      <c r="I1029" s="141"/>
      <c r="J1029" s="141"/>
      <c r="K1029" s="141"/>
      <c r="L1029" s="141"/>
      <c r="M1029" s="141"/>
      <c r="N1029" s="141"/>
      <c r="O1029" s="141"/>
      <c r="P1029" s="141"/>
      <c r="Q1029" s="141"/>
      <c r="R1029" s="141"/>
      <c r="S1029" s="141"/>
      <c r="T1029" s="141"/>
      <c r="U1029" s="141"/>
      <c r="V1029" s="141"/>
      <c r="W1029" s="141"/>
      <c r="X1029" s="141"/>
      <c r="Y1029" s="141"/>
      <c r="Z1029" s="141"/>
    </row>
    <row r="1030">
      <c r="A1030" s="141"/>
      <c r="B1030" s="141"/>
      <c r="C1030" s="141"/>
      <c r="D1030" s="141"/>
      <c r="E1030" s="141"/>
      <c r="F1030" s="141"/>
      <c r="G1030" s="141"/>
      <c r="H1030" s="141"/>
      <c r="I1030" s="141"/>
      <c r="J1030" s="141"/>
      <c r="K1030" s="141"/>
      <c r="L1030" s="141"/>
      <c r="M1030" s="141"/>
      <c r="N1030" s="141"/>
      <c r="O1030" s="141"/>
      <c r="P1030" s="141"/>
      <c r="Q1030" s="141"/>
      <c r="R1030" s="141"/>
      <c r="S1030" s="141"/>
      <c r="T1030" s="141"/>
      <c r="U1030" s="141"/>
      <c r="V1030" s="141"/>
      <c r="W1030" s="141"/>
      <c r="X1030" s="141"/>
      <c r="Y1030" s="141"/>
      <c r="Z1030" s="141"/>
    </row>
    <row r="1031">
      <c r="A1031" s="141"/>
      <c r="B1031" s="141"/>
      <c r="C1031" s="141"/>
      <c r="D1031" s="141"/>
      <c r="E1031" s="141"/>
      <c r="F1031" s="141"/>
      <c r="G1031" s="141"/>
      <c r="H1031" s="141"/>
      <c r="I1031" s="141"/>
      <c r="J1031" s="141"/>
      <c r="K1031" s="141"/>
      <c r="L1031" s="141"/>
      <c r="M1031" s="141"/>
      <c r="N1031" s="141"/>
      <c r="O1031" s="141"/>
      <c r="P1031" s="141"/>
      <c r="Q1031" s="141"/>
      <c r="R1031" s="141"/>
      <c r="S1031" s="141"/>
      <c r="T1031" s="141"/>
      <c r="U1031" s="141"/>
      <c r="V1031" s="141"/>
      <c r="W1031" s="141"/>
      <c r="X1031" s="141"/>
      <c r="Y1031" s="141"/>
      <c r="Z1031" s="141"/>
    </row>
    <row r="1032">
      <c r="A1032" s="141"/>
      <c r="B1032" s="141"/>
      <c r="C1032" s="141"/>
      <c r="D1032" s="141"/>
      <c r="E1032" s="141"/>
      <c r="F1032" s="141"/>
      <c r="G1032" s="141"/>
      <c r="H1032" s="141"/>
      <c r="I1032" s="141"/>
      <c r="J1032" s="141"/>
      <c r="K1032" s="141"/>
      <c r="L1032" s="141"/>
      <c r="M1032" s="141"/>
      <c r="N1032" s="141"/>
      <c r="O1032" s="141"/>
      <c r="P1032" s="141"/>
      <c r="Q1032" s="141"/>
      <c r="R1032" s="141"/>
      <c r="S1032" s="141"/>
      <c r="T1032" s="141"/>
      <c r="U1032" s="141"/>
      <c r="V1032" s="141"/>
      <c r="W1032" s="141"/>
      <c r="X1032" s="141"/>
      <c r="Y1032" s="141"/>
      <c r="Z1032" s="141"/>
    </row>
    <row r="1033">
      <c r="A1033" s="141"/>
      <c r="B1033" s="141"/>
      <c r="C1033" s="141"/>
      <c r="D1033" s="141"/>
      <c r="E1033" s="141"/>
      <c r="F1033" s="141"/>
      <c r="G1033" s="141"/>
      <c r="H1033" s="141"/>
      <c r="I1033" s="141"/>
      <c r="J1033" s="141"/>
      <c r="K1033" s="141"/>
      <c r="L1033" s="141"/>
      <c r="M1033" s="141"/>
      <c r="N1033" s="141"/>
      <c r="O1033" s="141"/>
      <c r="P1033" s="141"/>
      <c r="Q1033" s="141"/>
      <c r="R1033" s="141"/>
      <c r="S1033" s="141"/>
      <c r="T1033" s="141"/>
      <c r="U1033" s="141"/>
      <c r="V1033" s="141"/>
      <c r="W1033" s="141"/>
      <c r="X1033" s="141"/>
      <c r="Y1033" s="141"/>
      <c r="Z1033" s="141"/>
    </row>
    <row r="1034">
      <c r="A1034" s="141"/>
      <c r="B1034" s="141"/>
      <c r="C1034" s="141"/>
      <c r="D1034" s="141"/>
      <c r="E1034" s="141"/>
      <c r="F1034" s="141"/>
      <c r="G1034" s="141"/>
      <c r="H1034" s="141"/>
      <c r="I1034" s="141"/>
      <c r="J1034" s="141"/>
      <c r="K1034" s="141"/>
      <c r="L1034" s="141"/>
      <c r="M1034" s="141"/>
      <c r="N1034" s="141"/>
      <c r="O1034" s="141"/>
      <c r="P1034" s="141"/>
      <c r="Q1034" s="141"/>
      <c r="R1034" s="141"/>
      <c r="S1034" s="141"/>
      <c r="T1034" s="141"/>
      <c r="U1034" s="141"/>
      <c r="V1034" s="141"/>
      <c r="W1034" s="141"/>
      <c r="X1034" s="141"/>
      <c r="Y1034" s="141"/>
      <c r="Z1034" s="141"/>
    </row>
    <row r="1035">
      <c r="A1035" s="141"/>
      <c r="B1035" s="141"/>
      <c r="C1035" s="141"/>
      <c r="D1035" s="141"/>
      <c r="E1035" s="141"/>
      <c r="F1035" s="141"/>
      <c r="G1035" s="141"/>
      <c r="H1035" s="141"/>
      <c r="I1035" s="141"/>
      <c r="J1035" s="141"/>
      <c r="K1035" s="141"/>
      <c r="L1035" s="141"/>
      <c r="M1035" s="141"/>
      <c r="N1035" s="141"/>
      <c r="O1035" s="141"/>
      <c r="P1035" s="141"/>
      <c r="Q1035" s="141"/>
      <c r="R1035" s="141"/>
      <c r="S1035" s="141"/>
      <c r="T1035" s="141"/>
      <c r="U1035" s="141"/>
      <c r="V1035" s="141"/>
      <c r="W1035" s="141"/>
      <c r="X1035" s="141"/>
      <c r="Y1035" s="141"/>
      <c r="Z1035" s="141"/>
    </row>
    <row r="1036">
      <c r="A1036" s="141"/>
      <c r="B1036" s="141"/>
      <c r="C1036" s="141"/>
      <c r="D1036" s="141"/>
      <c r="E1036" s="141"/>
      <c r="F1036" s="141"/>
      <c r="G1036" s="141"/>
      <c r="H1036" s="141"/>
      <c r="I1036" s="141"/>
      <c r="J1036" s="141"/>
      <c r="K1036" s="141"/>
      <c r="L1036" s="141"/>
      <c r="M1036" s="141"/>
      <c r="N1036" s="141"/>
      <c r="O1036" s="141"/>
      <c r="P1036" s="141"/>
      <c r="Q1036" s="141"/>
      <c r="R1036" s="141"/>
      <c r="S1036" s="141"/>
      <c r="T1036" s="141"/>
      <c r="U1036" s="141"/>
      <c r="V1036" s="141"/>
      <c r="W1036" s="141"/>
      <c r="X1036" s="141"/>
      <c r="Y1036" s="141"/>
      <c r="Z1036" s="141"/>
    </row>
    <row r="1037">
      <c r="A1037" s="141"/>
      <c r="B1037" s="141"/>
      <c r="C1037" s="141"/>
      <c r="D1037" s="141"/>
      <c r="E1037" s="141"/>
      <c r="F1037" s="141"/>
      <c r="G1037" s="141"/>
      <c r="H1037" s="141"/>
      <c r="I1037" s="141"/>
      <c r="J1037" s="141"/>
      <c r="K1037" s="141"/>
      <c r="L1037" s="141"/>
      <c r="M1037" s="141"/>
      <c r="N1037" s="141"/>
      <c r="O1037" s="141"/>
      <c r="P1037" s="141"/>
      <c r="Q1037" s="141"/>
      <c r="R1037" s="141"/>
      <c r="S1037" s="141"/>
      <c r="T1037" s="141"/>
      <c r="U1037" s="141"/>
      <c r="V1037" s="141"/>
      <c r="W1037" s="141"/>
      <c r="X1037" s="141"/>
      <c r="Y1037" s="141"/>
      <c r="Z1037" s="141"/>
    </row>
    <row r="1038">
      <c r="A1038" s="141"/>
      <c r="B1038" s="141"/>
      <c r="C1038" s="141"/>
      <c r="D1038" s="141"/>
      <c r="E1038" s="141"/>
      <c r="F1038" s="141"/>
      <c r="G1038" s="141"/>
      <c r="H1038" s="141"/>
      <c r="I1038" s="141"/>
      <c r="J1038" s="141"/>
      <c r="K1038" s="141"/>
      <c r="L1038" s="141"/>
      <c r="M1038" s="141"/>
      <c r="N1038" s="141"/>
      <c r="O1038" s="141"/>
      <c r="P1038" s="141"/>
      <c r="Q1038" s="141"/>
      <c r="R1038" s="141"/>
      <c r="S1038" s="141"/>
      <c r="T1038" s="141"/>
      <c r="U1038" s="141"/>
      <c r="V1038" s="141"/>
      <c r="W1038" s="141"/>
      <c r="X1038" s="141"/>
      <c r="Y1038" s="141"/>
      <c r="Z1038" s="141"/>
    </row>
    <row r="1039">
      <c r="A1039" s="141"/>
      <c r="B1039" s="141"/>
      <c r="C1039" s="141"/>
      <c r="D1039" s="141"/>
      <c r="E1039" s="141"/>
      <c r="F1039" s="141"/>
      <c r="G1039" s="141"/>
      <c r="H1039" s="141"/>
      <c r="I1039" s="141"/>
      <c r="J1039" s="141"/>
      <c r="K1039" s="141"/>
      <c r="L1039" s="141"/>
      <c r="M1039" s="141"/>
      <c r="N1039" s="141"/>
      <c r="O1039" s="141"/>
      <c r="P1039" s="141"/>
      <c r="Q1039" s="141"/>
      <c r="R1039" s="141"/>
      <c r="S1039" s="141"/>
      <c r="T1039" s="141"/>
      <c r="U1039" s="141"/>
      <c r="V1039" s="141"/>
      <c r="W1039" s="141"/>
      <c r="X1039" s="141"/>
      <c r="Y1039" s="141"/>
      <c r="Z1039" s="141"/>
    </row>
    <row r="1040">
      <c r="A1040" s="141"/>
      <c r="B1040" s="141"/>
      <c r="C1040" s="141"/>
      <c r="D1040" s="141"/>
      <c r="E1040" s="141"/>
      <c r="F1040" s="141"/>
      <c r="G1040" s="141"/>
      <c r="H1040" s="141"/>
      <c r="I1040" s="141"/>
      <c r="J1040" s="141"/>
      <c r="K1040" s="141"/>
      <c r="L1040" s="141"/>
      <c r="M1040" s="141"/>
      <c r="N1040" s="141"/>
      <c r="O1040" s="141"/>
      <c r="P1040" s="141"/>
      <c r="Q1040" s="141"/>
      <c r="R1040" s="141"/>
      <c r="S1040" s="141"/>
      <c r="T1040" s="141"/>
      <c r="U1040" s="141"/>
      <c r="V1040" s="141"/>
      <c r="W1040" s="141"/>
      <c r="X1040" s="141"/>
      <c r="Y1040" s="141"/>
      <c r="Z1040" s="141"/>
    </row>
    <row r="1041">
      <c r="A1041" s="141"/>
      <c r="B1041" s="141"/>
      <c r="C1041" s="141"/>
      <c r="D1041" s="141"/>
      <c r="E1041" s="141"/>
      <c r="F1041" s="141"/>
      <c r="G1041" s="141"/>
      <c r="H1041" s="141"/>
      <c r="I1041" s="141"/>
      <c r="J1041" s="141"/>
      <c r="K1041" s="141"/>
      <c r="L1041" s="141"/>
      <c r="M1041" s="141"/>
      <c r="N1041" s="141"/>
      <c r="O1041" s="141"/>
      <c r="P1041" s="141"/>
      <c r="Q1041" s="141"/>
      <c r="R1041" s="141"/>
      <c r="S1041" s="141"/>
      <c r="T1041" s="141"/>
      <c r="U1041" s="141"/>
      <c r="V1041" s="141"/>
      <c r="W1041" s="141"/>
      <c r="X1041" s="141"/>
      <c r="Y1041" s="141"/>
      <c r="Z1041" s="141"/>
    </row>
    <row r="1042">
      <c r="A1042" s="141"/>
      <c r="B1042" s="141"/>
      <c r="C1042" s="141"/>
      <c r="D1042" s="141"/>
      <c r="E1042" s="141"/>
      <c r="F1042" s="141"/>
      <c r="G1042" s="141"/>
      <c r="H1042" s="141"/>
      <c r="I1042" s="141"/>
      <c r="J1042" s="141"/>
      <c r="K1042" s="141"/>
      <c r="L1042" s="141"/>
      <c r="M1042" s="141"/>
      <c r="N1042" s="141"/>
      <c r="O1042" s="141"/>
      <c r="P1042" s="141"/>
      <c r="Q1042" s="141"/>
      <c r="R1042" s="141"/>
      <c r="S1042" s="141"/>
      <c r="T1042" s="141"/>
      <c r="U1042" s="141"/>
      <c r="V1042" s="141"/>
      <c r="W1042" s="141"/>
      <c r="X1042" s="141"/>
      <c r="Y1042" s="141"/>
      <c r="Z1042" s="141"/>
    </row>
    <row r="1043">
      <c r="A1043" s="141"/>
      <c r="B1043" s="141"/>
      <c r="C1043" s="141"/>
      <c r="D1043" s="141"/>
      <c r="E1043" s="141"/>
      <c r="F1043" s="141"/>
      <c r="G1043" s="141"/>
      <c r="H1043" s="141"/>
      <c r="I1043" s="141"/>
      <c r="J1043" s="141"/>
      <c r="K1043" s="141"/>
      <c r="L1043" s="141"/>
      <c r="M1043" s="141"/>
      <c r="N1043" s="141"/>
      <c r="O1043" s="141"/>
      <c r="P1043" s="141"/>
      <c r="Q1043" s="141"/>
      <c r="R1043" s="141"/>
      <c r="S1043" s="141"/>
      <c r="T1043" s="141"/>
      <c r="U1043" s="141"/>
      <c r="V1043" s="141"/>
      <c r="W1043" s="141"/>
      <c r="X1043" s="141"/>
      <c r="Y1043" s="141"/>
      <c r="Z1043" s="141"/>
    </row>
    <row r="1044">
      <c r="A1044" s="141"/>
      <c r="B1044" s="141"/>
      <c r="C1044" s="141"/>
      <c r="D1044" s="141"/>
      <c r="E1044" s="141"/>
      <c r="F1044" s="141"/>
      <c r="G1044" s="141"/>
      <c r="H1044" s="141"/>
      <c r="I1044" s="141"/>
      <c r="J1044" s="141"/>
      <c r="K1044" s="141"/>
      <c r="L1044" s="141"/>
      <c r="M1044" s="141"/>
      <c r="N1044" s="141"/>
      <c r="O1044" s="141"/>
      <c r="P1044" s="141"/>
      <c r="Q1044" s="141"/>
      <c r="R1044" s="141"/>
      <c r="S1044" s="141"/>
      <c r="T1044" s="141"/>
      <c r="U1044" s="141"/>
      <c r="V1044" s="141"/>
      <c r="W1044" s="141"/>
      <c r="X1044" s="141"/>
      <c r="Y1044" s="141"/>
      <c r="Z1044" s="141"/>
    </row>
    <row r="1045">
      <c r="A1045" s="141"/>
      <c r="B1045" s="141"/>
      <c r="C1045" s="141"/>
      <c r="D1045" s="141"/>
      <c r="E1045" s="141"/>
      <c r="F1045" s="141"/>
      <c r="G1045" s="141"/>
      <c r="H1045" s="141"/>
      <c r="I1045" s="141"/>
      <c r="J1045" s="141"/>
      <c r="K1045" s="141"/>
      <c r="L1045" s="141"/>
      <c r="M1045" s="141"/>
      <c r="N1045" s="141"/>
      <c r="O1045" s="141"/>
      <c r="P1045" s="141"/>
      <c r="Q1045" s="141"/>
      <c r="R1045" s="141"/>
      <c r="S1045" s="141"/>
      <c r="T1045" s="141"/>
      <c r="U1045" s="141"/>
      <c r="V1045" s="141"/>
      <c r="W1045" s="141"/>
      <c r="X1045" s="141"/>
      <c r="Y1045" s="141"/>
      <c r="Z1045" s="141"/>
    </row>
    <row r="1046">
      <c r="A1046" s="141"/>
      <c r="B1046" s="141"/>
      <c r="C1046" s="141"/>
      <c r="D1046" s="141"/>
      <c r="E1046" s="141"/>
      <c r="F1046" s="141"/>
      <c r="G1046" s="141"/>
      <c r="H1046" s="141"/>
      <c r="I1046" s="141"/>
      <c r="J1046" s="141"/>
      <c r="K1046" s="141"/>
      <c r="L1046" s="141"/>
      <c r="M1046" s="141"/>
      <c r="N1046" s="141"/>
      <c r="O1046" s="141"/>
      <c r="P1046" s="141"/>
      <c r="Q1046" s="141"/>
      <c r="R1046" s="141"/>
      <c r="S1046" s="141"/>
      <c r="T1046" s="141"/>
      <c r="U1046" s="141"/>
      <c r="V1046" s="141"/>
      <c r="W1046" s="141"/>
      <c r="X1046" s="141"/>
      <c r="Y1046" s="141"/>
      <c r="Z1046" s="141"/>
    </row>
    <row r="1047">
      <c r="A1047" s="141"/>
      <c r="B1047" s="141"/>
      <c r="C1047" s="141"/>
      <c r="D1047" s="141"/>
      <c r="E1047" s="141"/>
      <c r="F1047" s="141"/>
      <c r="G1047" s="141"/>
      <c r="H1047" s="141"/>
      <c r="I1047" s="141"/>
      <c r="J1047" s="141"/>
      <c r="K1047" s="141"/>
      <c r="L1047" s="141"/>
      <c r="M1047" s="141"/>
      <c r="N1047" s="141"/>
      <c r="O1047" s="141"/>
      <c r="P1047" s="141"/>
      <c r="Q1047" s="141"/>
      <c r="R1047" s="141"/>
      <c r="S1047" s="141"/>
      <c r="T1047" s="141"/>
      <c r="U1047" s="141"/>
      <c r="V1047" s="141"/>
      <c r="W1047" s="141"/>
      <c r="X1047" s="141"/>
      <c r="Y1047" s="141"/>
      <c r="Z1047" s="141"/>
    </row>
    <row r="1048">
      <c r="A1048" s="141"/>
      <c r="B1048" s="141"/>
      <c r="C1048" s="141"/>
      <c r="D1048" s="141"/>
      <c r="E1048" s="141"/>
      <c r="F1048" s="141"/>
      <c r="G1048" s="141"/>
      <c r="H1048" s="141"/>
      <c r="I1048" s="141"/>
      <c r="J1048" s="141"/>
      <c r="K1048" s="141"/>
      <c r="L1048" s="141"/>
      <c r="M1048" s="141"/>
      <c r="N1048" s="141"/>
      <c r="O1048" s="141"/>
      <c r="P1048" s="141"/>
      <c r="Q1048" s="141"/>
      <c r="R1048" s="141"/>
      <c r="S1048" s="141"/>
      <c r="T1048" s="141"/>
      <c r="U1048" s="141"/>
      <c r="V1048" s="141"/>
      <c r="W1048" s="141"/>
      <c r="X1048" s="141"/>
      <c r="Y1048" s="141"/>
      <c r="Z1048" s="141"/>
    </row>
    <row r="1049">
      <c r="A1049" s="141"/>
      <c r="B1049" s="141"/>
      <c r="C1049" s="141"/>
      <c r="D1049" s="141"/>
      <c r="E1049" s="141"/>
      <c r="F1049" s="141"/>
      <c r="G1049" s="141"/>
      <c r="H1049" s="141"/>
      <c r="I1049" s="141"/>
      <c r="J1049" s="141"/>
      <c r="K1049" s="141"/>
      <c r="L1049" s="141"/>
      <c r="M1049" s="141"/>
      <c r="N1049" s="141"/>
      <c r="O1049" s="141"/>
      <c r="P1049" s="141"/>
      <c r="Q1049" s="141"/>
      <c r="R1049" s="141"/>
      <c r="S1049" s="141"/>
      <c r="T1049" s="141"/>
      <c r="U1049" s="141"/>
      <c r="V1049" s="141"/>
      <c r="W1049" s="141"/>
      <c r="X1049" s="141"/>
      <c r="Y1049" s="141"/>
      <c r="Z1049" s="141"/>
    </row>
    <row r="1050">
      <c r="A1050" s="141"/>
      <c r="B1050" s="141"/>
      <c r="C1050" s="141"/>
      <c r="D1050" s="141"/>
      <c r="E1050" s="141"/>
      <c r="F1050" s="141"/>
      <c r="G1050" s="141"/>
      <c r="H1050" s="141"/>
      <c r="I1050" s="141"/>
      <c r="J1050" s="141"/>
      <c r="K1050" s="141"/>
      <c r="L1050" s="141"/>
      <c r="M1050" s="141"/>
      <c r="N1050" s="141"/>
      <c r="O1050" s="141"/>
      <c r="P1050" s="141"/>
      <c r="Q1050" s="141"/>
      <c r="R1050" s="141"/>
      <c r="S1050" s="141"/>
      <c r="T1050" s="141"/>
      <c r="U1050" s="141"/>
      <c r="V1050" s="141"/>
      <c r="W1050" s="141"/>
      <c r="X1050" s="141"/>
      <c r="Y1050" s="141"/>
      <c r="Z1050" s="141"/>
    </row>
    <row r="1051">
      <c r="A1051" s="141"/>
      <c r="B1051" s="141"/>
      <c r="C1051" s="141"/>
      <c r="D1051" s="141"/>
      <c r="E1051" s="141"/>
      <c r="F1051" s="141"/>
      <c r="G1051" s="141"/>
      <c r="H1051" s="141"/>
      <c r="I1051" s="141"/>
      <c r="J1051" s="141"/>
      <c r="K1051" s="141"/>
      <c r="L1051" s="141"/>
      <c r="M1051" s="141"/>
      <c r="N1051" s="141"/>
      <c r="O1051" s="141"/>
      <c r="P1051" s="141"/>
      <c r="Q1051" s="141"/>
      <c r="R1051" s="141"/>
      <c r="S1051" s="141"/>
      <c r="T1051" s="141"/>
      <c r="U1051" s="141"/>
      <c r="V1051" s="141"/>
      <c r="W1051" s="141"/>
      <c r="X1051" s="141"/>
      <c r="Y1051" s="141"/>
      <c r="Z1051" s="141"/>
    </row>
    <row r="1052">
      <c r="A1052" s="141"/>
      <c r="B1052" s="141"/>
      <c r="C1052" s="141"/>
      <c r="D1052" s="141"/>
      <c r="E1052" s="141"/>
      <c r="F1052" s="141"/>
      <c r="G1052" s="141"/>
      <c r="H1052" s="141"/>
      <c r="I1052" s="141"/>
      <c r="J1052" s="141"/>
      <c r="K1052" s="141"/>
      <c r="L1052" s="141"/>
      <c r="M1052" s="141"/>
      <c r="N1052" s="141"/>
      <c r="O1052" s="141"/>
      <c r="P1052" s="141"/>
      <c r="Q1052" s="141"/>
      <c r="R1052" s="141"/>
      <c r="S1052" s="141"/>
      <c r="T1052" s="141"/>
      <c r="U1052" s="141"/>
      <c r="V1052" s="141"/>
      <c r="W1052" s="141"/>
      <c r="X1052" s="141"/>
      <c r="Y1052" s="141"/>
      <c r="Z1052" s="141"/>
    </row>
    <row r="1053">
      <c r="A1053" s="141"/>
      <c r="B1053" s="141"/>
      <c r="C1053" s="141"/>
      <c r="D1053" s="141"/>
      <c r="E1053" s="141"/>
      <c r="F1053" s="141"/>
      <c r="G1053" s="141"/>
      <c r="H1053" s="141"/>
      <c r="I1053" s="141"/>
      <c r="J1053" s="141"/>
      <c r="K1053" s="141"/>
      <c r="L1053" s="141"/>
      <c r="M1053" s="141"/>
      <c r="N1053" s="141"/>
      <c r="O1053" s="141"/>
      <c r="P1053" s="141"/>
      <c r="Q1053" s="141"/>
      <c r="R1053" s="141"/>
      <c r="S1053" s="141"/>
      <c r="T1053" s="141"/>
      <c r="U1053" s="141"/>
      <c r="V1053" s="141"/>
      <c r="W1053" s="141"/>
      <c r="X1053" s="141"/>
      <c r="Y1053" s="141"/>
      <c r="Z1053" s="141"/>
    </row>
    <row r="1054">
      <c r="A1054" s="141"/>
      <c r="B1054" s="141"/>
      <c r="C1054" s="141"/>
      <c r="D1054" s="141"/>
      <c r="E1054" s="141"/>
      <c r="F1054" s="141"/>
      <c r="G1054" s="141"/>
      <c r="H1054" s="141"/>
      <c r="I1054" s="141"/>
      <c r="J1054" s="141"/>
      <c r="K1054" s="141"/>
      <c r="L1054" s="141"/>
      <c r="M1054" s="141"/>
      <c r="N1054" s="141"/>
      <c r="O1054" s="141"/>
      <c r="P1054" s="141"/>
      <c r="Q1054" s="141"/>
      <c r="R1054" s="141"/>
      <c r="S1054" s="141"/>
      <c r="T1054" s="141"/>
      <c r="U1054" s="141"/>
      <c r="V1054" s="141"/>
      <c r="W1054" s="141"/>
      <c r="X1054" s="141"/>
      <c r="Y1054" s="141"/>
      <c r="Z1054" s="141"/>
    </row>
    <row r="1055">
      <c r="A1055" s="141"/>
      <c r="B1055" s="141"/>
      <c r="C1055" s="141"/>
      <c r="D1055" s="141"/>
      <c r="E1055" s="141"/>
      <c r="F1055" s="141"/>
      <c r="G1055" s="141"/>
      <c r="H1055" s="141"/>
      <c r="I1055" s="141"/>
      <c r="J1055" s="141"/>
      <c r="K1055" s="141"/>
      <c r="L1055" s="141"/>
      <c r="M1055" s="141"/>
      <c r="N1055" s="141"/>
      <c r="O1055" s="141"/>
      <c r="P1055" s="141"/>
      <c r="Q1055" s="141"/>
      <c r="R1055" s="141"/>
      <c r="S1055" s="141"/>
      <c r="T1055" s="141"/>
      <c r="U1055" s="141"/>
      <c r="V1055" s="141"/>
      <c r="W1055" s="141"/>
      <c r="X1055" s="141"/>
      <c r="Y1055" s="141"/>
      <c r="Z1055" s="141"/>
    </row>
    <row r="1056">
      <c r="A1056" s="141"/>
      <c r="B1056" s="141"/>
      <c r="C1056" s="141"/>
      <c r="D1056" s="141"/>
      <c r="E1056" s="141"/>
      <c r="F1056" s="141"/>
      <c r="G1056" s="141"/>
      <c r="H1056" s="141"/>
      <c r="I1056" s="141"/>
      <c r="J1056" s="141"/>
      <c r="K1056" s="141"/>
      <c r="L1056" s="141"/>
      <c r="M1056" s="141"/>
      <c r="N1056" s="141"/>
      <c r="O1056" s="141"/>
      <c r="P1056" s="141"/>
      <c r="Q1056" s="141"/>
      <c r="R1056" s="141"/>
      <c r="S1056" s="141"/>
      <c r="T1056" s="141"/>
      <c r="U1056" s="141"/>
      <c r="V1056" s="141"/>
      <c r="W1056" s="141"/>
      <c r="X1056" s="141"/>
      <c r="Y1056" s="141"/>
      <c r="Z1056" s="141"/>
    </row>
    <row r="1057">
      <c r="A1057" s="141"/>
      <c r="B1057" s="141"/>
      <c r="C1057" s="141"/>
      <c r="D1057" s="141"/>
      <c r="E1057" s="141"/>
      <c r="F1057" s="141"/>
      <c r="G1057" s="141"/>
      <c r="H1057" s="141"/>
      <c r="I1057" s="141"/>
      <c r="J1057" s="141"/>
      <c r="K1057" s="141"/>
      <c r="L1057" s="141"/>
      <c r="M1057" s="141"/>
      <c r="N1057" s="141"/>
      <c r="O1057" s="141"/>
      <c r="P1057" s="141"/>
      <c r="Q1057" s="141"/>
      <c r="R1057" s="141"/>
      <c r="S1057" s="141"/>
      <c r="T1057" s="141"/>
      <c r="U1057" s="141"/>
      <c r="V1057" s="141"/>
      <c r="W1057" s="141"/>
      <c r="X1057" s="141"/>
      <c r="Y1057" s="141"/>
      <c r="Z1057" s="141"/>
    </row>
    <row r="1058">
      <c r="A1058" s="141"/>
      <c r="B1058" s="141"/>
      <c r="C1058" s="141"/>
      <c r="D1058" s="141"/>
      <c r="E1058" s="141"/>
      <c r="F1058" s="141"/>
      <c r="G1058" s="141"/>
      <c r="H1058" s="141"/>
      <c r="I1058" s="141"/>
      <c r="J1058" s="141"/>
      <c r="K1058" s="141"/>
      <c r="L1058" s="141"/>
      <c r="M1058" s="141"/>
      <c r="N1058" s="141"/>
      <c r="O1058" s="141"/>
      <c r="P1058" s="141"/>
      <c r="Q1058" s="141"/>
      <c r="R1058" s="141"/>
      <c r="S1058" s="141"/>
      <c r="T1058" s="141"/>
      <c r="U1058" s="141"/>
      <c r="V1058" s="141"/>
      <c r="W1058" s="141"/>
      <c r="X1058" s="141"/>
      <c r="Y1058" s="141"/>
      <c r="Z1058" s="141"/>
    </row>
    <row r="1059">
      <c r="A1059" s="141"/>
      <c r="B1059" s="141"/>
      <c r="C1059" s="141"/>
      <c r="D1059" s="141"/>
      <c r="E1059" s="141"/>
      <c r="F1059" s="141"/>
      <c r="G1059" s="141"/>
      <c r="H1059" s="141"/>
      <c r="I1059" s="141"/>
      <c r="J1059" s="141"/>
      <c r="K1059" s="141"/>
      <c r="L1059" s="141"/>
      <c r="M1059" s="141"/>
      <c r="N1059" s="141"/>
      <c r="O1059" s="141"/>
      <c r="P1059" s="141"/>
      <c r="Q1059" s="141"/>
      <c r="R1059" s="141"/>
      <c r="S1059" s="141"/>
      <c r="T1059" s="141"/>
      <c r="U1059" s="141"/>
      <c r="V1059" s="141"/>
      <c r="W1059" s="141"/>
      <c r="X1059" s="141"/>
      <c r="Y1059" s="141"/>
      <c r="Z1059" s="141"/>
    </row>
    <row r="1060">
      <c r="A1060" s="141"/>
      <c r="B1060" s="141"/>
      <c r="C1060" s="141"/>
      <c r="D1060" s="141"/>
      <c r="E1060" s="141"/>
      <c r="F1060" s="141"/>
      <c r="G1060" s="141"/>
      <c r="H1060" s="141"/>
      <c r="I1060" s="141"/>
      <c r="J1060" s="141"/>
      <c r="K1060" s="141"/>
      <c r="L1060" s="141"/>
      <c r="M1060" s="141"/>
      <c r="N1060" s="141"/>
      <c r="O1060" s="141"/>
      <c r="P1060" s="141"/>
      <c r="Q1060" s="141"/>
      <c r="R1060" s="141"/>
      <c r="S1060" s="141"/>
      <c r="T1060" s="141"/>
      <c r="U1060" s="141"/>
      <c r="V1060" s="141"/>
      <c r="W1060" s="141"/>
      <c r="X1060" s="141"/>
      <c r="Y1060" s="141"/>
      <c r="Z1060" s="141"/>
    </row>
    <row r="1061">
      <c r="A1061" s="141"/>
      <c r="B1061" s="141"/>
      <c r="C1061" s="141"/>
      <c r="D1061" s="141"/>
      <c r="E1061" s="141"/>
      <c r="F1061" s="141"/>
      <c r="G1061" s="141"/>
      <c r="H1061" s="141"/>
      <c r="I1061" s="141"/>
      <c r="J1061" s="141"/>
      <c r="K1061" s="141"/>
      <c r="L1061" s="141"/>
      <c r="M1061" s="141"/>
      <c r="N1061" s="141"/>
      <c r="O1061" s="141"/>
      <c r="P1061" s="141"/>
      <c r="Q1061" s="141"/>
      <c r="R1061" s="141"/>
      <c r="S1061" s="141"/>
      <c r="T1061" s="141"/>
      <c r="U1061" s="141"/>
      <c r="V1061" s="141"/>
      <c r="W1061" s="141"/>
      <c r="X1061" s="141"/>
      <c r="Y1061" s="141"/>
      <c r="Z1061" s="141"/>
    </row>
    <row r="1062">
      <c r="A1062" s="141"/>
      <c r="B1062" s="141"/>
      <c r="C1062" s="141"/>
      <c r="D1062" s="141"/>
      <c r="E1062" s="141"/>
      <c r="F1062" s="141"/>
      <c r="G1062" s="141"/>
      <c r="H1062" s="141"/>
      <c r="I1062" s="141"/>
      <c r="J1062" s="141"/>
      <c r="K1062" s="141"/>
      <c r="L1062" s="141"/>
      <c r="M1062" s="141"/>
      <c r="N1062" s="141"/>
      <c r="O1062" s="141"/>
      <c r="P1062" s="141"/>
      <c r="Q1062" s="141"/>
      <c r="R1062" s="141"/>
      <c r="S1062" s="141"/>
      <c r="T1062" s="141"/>
      <c r="U1062" s="141"/>
      <c r="V1062" s="141"/>
      <c r="W1062" s="141"/>
      <c r="X1062" s="141"/>
      <c r="Y1062" s="141"/>
      <c r="Z1062" s="141"/>
    </row>
    <row r="1063">
      <c r="A1063" s="141"/>
      <c r="B1063" s="141"/>
      <c r="C1063" s="141"/>
      <c r="D1063" s="141"/>
      <c r="E1063" s="141"/>
      <c r="F1063" s="141"/>
      <c r="G1063" s="141"/>
      <c r="H1063" s="141"/>
      <c r="I1063" s="141"/>
      <c r="J1063" s="141"/>
      <c r="K1063" s="141"/>
      <c r="L1063" s="141"/>
      <c r="M1063" s="141"/>
      <c r="N1063" s="141"/>
      <c r="O1063" s="141"/>
      <c r="P1063" s="141"/>
      <c r="Q1063" s="141"/>
      <c r="R1063" s="141"/>
      <c r="S1063" s="141"/>
      <c r="T1063" s="141"/>
      <c r="U1063" s="141"/>
      <c r="V1063" s="141"/>
      <c r="W1063" s="141"/>
      <c r="X1063" s="141"/>
      <c r="Y1063" s="141"/>
      <c r="Z1063" s="141"/>
    </row>
    <row r="1064">
      <c r="A1064" s="141"/>
      <c r="B1064" s="141"/>
      <c r="C1064" s="141"/>
      <c r="D1064" s="141"/>
      <c r="E1064" s="141"/>
      <c r="F1064" s="141"/>
      <c r="G1064" s="141"/>
      <c r="H1064" s="141"/>
      <c r="I1064" s="141"/>
      <c r="J1064" s="141"/>
      <c r="K1064" s="141"/>
      <c r="L1064" s="141"/>
      <c r="M1064" s="141"/>
      <c r="N1064" s="141"/>
      <c r="O1064" s="141"/>
      <c r="P1064" s="141"/>
      <c r="Q1064" s="141"/>
      <c r="R1064" s="141"/>
      <c r="S1064" s="141"/>
      <c r="T1064" s="141"/>
      <c r="U1064" s="141"/>
      <c r="V1064" s="141"/>
      <c r="W1064" s="141"/>
      <c r="X1064" s="141"/>
      <c r="Y1064" s="141"/>
      <c r="Z1064" s="141"/>
    </row>
    <row r="1065">
      <c r="A1065" s="141"/>
      <c r="B1065" s="141"/>
      <c r="C1065" s="141"/>
      <c r="D1065" s="141"/>
      <c r="E1065" s="141"/>
      <c r="F1065" s="141"/>
      <c r="G1065" s="141"/>
      <c r="H1065" s="141"/>
      <c r="I1065" s="141"/>
      <c r="J1065" s="141"/>
      <c r="K1065" s="141"/>
      <c r="L1065" s="141"/>
      <c r="M1065" s="141"/>
      <c r="N1065" s="141"/>
      <c r="O1065" s="141"/>
      <c r="P1065" s="141"/>
      <c r="Q1065" s="141"/>
      <c r="R1065" s="141"/>
      <c r="S1065" s="141"/>
      <c r="T1065" s="141"/>
      <c r="U1065" s="141"/>
      <c r="V1065" s="141"/>
      <c r="W1065" s="141"/>
      <c r="X1065" s="141"/>
      <c r="Y1065" s="141"/>
      <c r="Z1065" s="141"/>
    </row>
    <row r="1066">
      <c r="A1066" s="141"/>
      <c r="B1066" s="141"/>
      <c r="C1066" s="141"/>
      <c r="D1066" s="141"/>
      <c r="E1066" s="141"/>
      <c r="F1066" s="141"/>
      <c r="G1066" s="141"/>
      <c r="H1066" s="141"/>
      <c r="I1066" s="141"/>
      <c r="J1066" s="141"/>
      <c r="K1066" s="141"/>
      <c r="L1066" s="141"/>
      <c r="M1066" s="141"/>
      <c r="N1066" s="141"/>
      <c r="O1066" s="141"/>
      <c r="P1066" s="141"/>
      <c r="Q1066" s="141"/>
      <c r="R1066" s="141"/>
      <c r="S1066" s="141"/>
      <c r="T1066" s="141"/>
      <c r="U1066" s="141"/>
      <c r="V1066" s="141"/>
      <c r="W1066" s="141"/>
      <c r="X1066" s="141"/>
      <c r="Y1066" s="141"/>
      <c r="Z1066" s="141"/>
    </row>
    <row r="1067">
      <c r="A1067" s="141"/>
      <c r="B1067" s="141"/>
      <c r="C1067" s="141"/>
      <c r="D1067" s="141"/>
      <c r="E1067" s="141"/>
      <c r="F1067" s="141"/>
      <c r="G1067" s="141"/>
      <c r="H1067" s="141"/>
      <c r="I1067" s="141"/>
      <c r="J1067" s="141"/>
      <c r="K1067" s="141"/>
      <c r="L1067" s="141"/>
      <c r="M1067" s="141"/>
      <c r="N1067" s="141"/>
      <c r="O1067" s="141"/>
      <c r="P1067" s="141"/>
      <c r="Q1067" s="141"/>
      <c r="R1067" s="141"/>
      <c r="S1067" s="141"/>
      <c r="T1067" s="141"/>
      <c r="U1067" s="141"/>
      <c r="V1067" s="141"/>
      <c r="W1067" s="141"/>
      <c r="X1067" s="141"/>
      <c r="Y1067" s="141"/>
      <c r="Z1067" s="141"/>
    </row>
    <row r="1068">
      <c r="A1068" s="141"/>
      <c r="B1068" s="141"/>
      <c r="C1068" s="141"/>
      <c r="D1068" s="141"/>
      <c r="E1068" s="141"/>
      <c r="F1068" s="141"/>
      <c r="G1068" s="141"/>
      <c r="H1068" s="141"/>
      <c r="I1068" s="141"/>
      <c r="J1068" s="141"/>
      <c r="K1068" s="141"/>
      <c r="L1068" s="141"/>
      <c r="M1068" s="141"/>
      <c r="N1068" s="141"/>
      <c r="O1068" s="141"/>
      <c r="P1068" s="141"/>
      <c r="Q1068" s="141"/>
      <c r="R1068" s="141"/>
      <c r="S1068" s="141"/>
      <c r="T1068" s="141"/>
      <c r="U1068" s="141"/>
      <c r="V1068" s="141"/>
      <c r="W1068" s="141"/>
      <c r="X1068" s="141"/>
      <c r="Y1068" s="141"/>
      <c r="Z1068" s="141"/>
    </row>
    <row r="1069">
      <c r="A1069" s="141"/>
      <c r="B1069" s="141"/>
      <c r="C1069" s="141"/>
      <c r="D1069" s="141"/>
      <c r="E1069" s="141"/>
      <c r="F1069" s="141"/>
      <c r="G1069" s="141"/>
      <c r="H1069" s="141"/>
      <c r="I1069" s="141"/>
      <c r="J1069" s="141"/>
      <c r="K1069" s="141"/>
      <c r="L1069" s="141"/>
      <c r="M1069" s="141"/>
      <c r="N1069" s="141"/>
      <c r="O1069" s="141"/>
      <c r="P1069" s="141"/>
      <c r="Q1069" s="141"/>
      <c r="R1069" s="141"/>
      <c r="S1069" s="141"/>
      <c r="T1069" s="141"/>
      <c r="U1069" s="141"/>
      <c r="V1069" s="141"/>
      <c r="W1069" s="141"/>
      <c r="X1069" s="141"/>
      <c r="Y1069" s="141"/>
      <c r="Z1069" s="141"/>
    </row>
    <row r="1070">
      <c r="A1070" s="141"/>
      <c r="B1070" s="141"/>
      <c r="C1070" s="141"/>
      <c r="D1070" s="141"/>
      <c r="E1070" s="141"/>
      <c r="F1070" s="141"/>
      <c r="G1070" s="141"/>
      <c r="H1070" s="141"/>
      <c r="I1070" s="141"/>
      <c r="J1070" s="141"/>
      <c r="K1070" s="141"/>
      <c r="L1070" s="141"/>
      <c r="M1070" s="141"/>
      <c r="N1070" s="141"/>
      <c r="O1070" s="141"/>
      <c r="P1070" s="141"/>
      <c r="Q1070" s="141"/>
      <c r="R1070" s="141"/>
      <c r="S1070" s="141"/>
      <c r="T1070" s="141"/>
      <c r="U1070" s="141"/>
      <c r="V1070" s="141"/>
      <c r="W1070" s="141"/>
      <c r="X1070" s="141"/>
      <c r="Y1070" s="141"/>
      <c r="Z1070" s="141"/>
    </row>
    <row r="1071">
      <c r="A1071" s="141"/>
      <c r="B1071" s="141"/>
      <c r="C1071" s="141"/>
      <c r="D1071" s="141"/>
      <c r="E1071" s="141"/>
      <c r="F1071" s="141"/>
      <c r="G1071" s="141"/>
      <c r="H1071" s="141"/>
      <c r="I1071" s="141"/>
      <c r="J1071" s="141"/>
      <c r="K1071" s="141"/>
      <c r="L1071" s="141"/>
      <c r="M1071" s="141"/>
      <c r="N1071" s="141"/>
      <c r="O1071" s="141"/>
      <c r="P1071" s="141"/>
      <c r="Q1071" s="141"/>
      <c r="R1071" s="141"/>
      <c r="S1071" s="141"/>
      <c r="T1071" s="141"/>
      <c r="U1071" s="141"/>
      <c r="V1071" s="141"/>
      <c r="W1071" s="141"/>
      <c r="X1071" s="141"/>
      <c r="Y1071" s="141"/>
      <c r="Z1071" s="141"/>
    </row>
    <row r="1072">
      <c r="A1072" s="141"/>
      <c r="B1072" s="141"/>
      <c r="C1072" s="141"/>
      <c r="D1072" s="141"/>
      <c r="E1072" s="141"/>
      <c r="F1072" s="141"/>
      <c r="G1072" s="141"/>
      <c r="H1072" s="141"/>
      <c r="I1072" s="141"/>
      <c r="J1072" s="141"/>
      <c r="K1072" s="141"/>
      <c r="L1072" s="141"/>
      <c r="M1072" s="141"/>
      <c r="N1072" s="141"/>
      <c r="O1072" s="141"/>
      <c r="P1072" s="141"/>
      <c r="Q1072" s="141"/>
      <c r="R1072" s="141"/>
      <c r="S1072" s="141"/>
      <c r="T1072" s="141"/>
      <c r="U1072" s="141"/>
      <c r="V1072" s="141"/>
      <c r="W1072" s="141"/>
      <c r="X1072" s="141"/>
      <c r="Y1072" s="141"/>
      <c r="Z1072" s="141"/>
    </row>
    <row r="1073">
      <c r="A1073" s="141"/>
      <c r="B1073" s="141"/>
      <c r="C1073" s="141"/>
      <c r="D1073" s="141"/>
      <c r="E1073" s="141"/>
      <c r="F1073" s="141"/>
      <c r="G1073" s="141"/>
      <c r="H1073" s="141"/>
      <c r="I1073" s="141"/>
      <c r="J1073" s="141"/>
      <c r="K1073" s="141"/>
      <c r="L1073" s="141"/>
      <c r="M1073" s="141"/>
      <c r="N1073" s="141"/>
      <c r="O1073" s="141"/>
      <c r="P1073" s="141"/>
      <c r="Q1073" s="141"/>
      <c r="R1073" s="141"/>
      <c r="S1073" s="141"/>
      <c r="T1073" s="141"/>
      <c r="U1073" s="141"/>
      <c r="V1073" s="141"/>
      <c r="W1073" s="141"/>
      <c r="X1073" s="141"/>
      <c r="Y1073" s="141"/>
      <c r="Z1073" s="141"/>
    </row>
    <row r="1074">
      <c r="A1074" s="141"/>
      <c r="B1074" s="141"/>
      <c r="C1074" s="141"/>
      <c r="D1074" s="141"/>
      <c r="E1074" s="141"/>
      <c r="F1074" s="141"/>
      <c r="G1074" s="141"/>
      <c r="H1074" s="141"/>
      <c r="I1074" s="141"/>
      <c r="J1074" s="141"/>
      <c r="K1074" s="141"/>
      <c r="L1074" s="141"/>
      <c r="M1074" s="141"/>
      <c r="N1074" s="141"/>
      <c r="O1074" s="141"/>
      <c r="P1074" s="141"/>
      <c r="Q1074" s="141"/>
      <c r="R1074" s="141"/>
      <c r="S1074" s="141"/>
      <c r="T1074" s="141"/>
      <c r="U1074" s="141"/>
      <c r="V1074" s="141"/>
      <c r="W1074" s="141"/>
      <c r="X1074" s="141"/>
      <c r="Y1074" s="141"/>
      <c r="Z1074" s="141"/>
    </row>
    <row r="1075">
      <c r="A1075" s="141"/>
      <c r="B1075" s="141"/>
      <c r="C1075" s="141"/>
      <c r="D1075" s="141"/>
      <c r="E1075" s="141"/>
      <c r="F1075" s="141"/>
      <c r="G1075" s="141"/>
      <c r="H1075" s="141"/>
      <c r="I1075" s="141"/>
      <c r="J1075" s="141"/>
      <c r="K1075" s="141"/>
      <c r="L1075" s="141"/>
      <c r="M1075" s="141"/>
      <c r="N1075" s="141"/>
      <c r="O1075" s="141"/>
      <c r="P1075" s="141"/>
      <c r="Q1075" s="141"/>
      <c r="R1075" s="141"/>
      <c r="S1075" s="141"/>
      <c r="T1075" s="141"/>
      <c r="U1075" s="141"/>
      <c r="V1075" s="141"/>
      <c r="W1075" s="141"/>
      <c r="X1075" s="141"/>
      <c r="Y1075" s="141"/>
      <c r="Z1075" s="141"/>
    </row>
    <row r="1076">
      <c r="A1076" s="141"/>
      <c r="B1076" s="141"/>
      <c r="C1076" s="141"/>
      <c r="D1076" s="141"/>
      <c r="E1076" s="141"/>
      <c r="F1076" s="141"/>
      <c r="G1076" s="141"/>
      <c r="H1076" s="141"/>
      <c r="I1076" s="141"/>
      <c r="J1076" s="141"/>
      <c r="K1076" s="141"/>
      <c r="L1076" s="141"/>
      <c r="M1076" s="141"/>
      <c r="N1076" s="141"/>
      <c r="O1076" s="141"/>
      <c r="P1076" s="141"/>
      <c r="Q1076" s="141"/>
      <c r="R1076" s="141"/>
      <c r="S1076" s="141"/>
      <c r="T1076" s="141"/>
      <c r="U1076" s="141"/>
      <c r="V1076" s="141"/>
      <c r="W1076" s="141"/>
      <c r="X1076" s="141"/>
      <c r="Y1076" s="141"/>
      <c r="Z1076" s="141"/>
    </row>
    <row r="1077">
      <c r="A1077" s="141"/>
      <c r="B1077" s="141"/>
      <c r="C1077" s="141"/>
      <c r="D1077" s="141"/>
      <c r="E1077" s="141"/>
      <c r="F1077" s="141"/>
      <c r="G1077" s="141"/>
      <c r="H1077" s="141"/>
      <c r="I1077" s="141"/>
      <c r="J1077" s="141"/>
      <c r="K1077" s="141"/>
      <c r="L1077" s="141"/>
      <c r="M1077" s="141"/>
      <c r="N1077" s="141"/>
      <c r="O1077" s="141"/>
      <c r="P1077" s="141"/>
      <c r="Q1077" s="141"/>
      <c r="R1077" s="141"/>
      <c r="S1077" s="141"/>
      <c r="T1077" s="141"/>
      <c r="U1077" s="141"/>
      <c r="V1077" s="141"/>
      <c r="W1077" s="141"/>
      <c r="X1077" s="141"/>
      <c r="Y1077" s="141"/>
      <c r="Z1077" s="141"/>
    </row>
    <row r="1078">
      <c r="A1078" s="141"/>
      <c r="B1078" s="141"/>
      <c r="C1078" s="141"/>
      <c r="D1078" s="141"/>
      <c r="E1078" s="141"/>
      <c r="F1078" s="141"/>
      <c r="G1078" s="141"/>
      <c r="H1078" s="141"/>
      <c r="I1078" s="141"/>
      <c r="J1078" s="141"/>
      <c r="K1078" s="141"/>
      <c r="L1078" s="141"/>
      <c r="M1078" s="141"/>
      <c r="N1078" s="141"/>
      <c r="O1078" s="141"/>
      <c r="P1078" s="141"/>
      <c r="Q1078" s="141"/>
      <c r="R1078" s="141"/>
      <c r="S1078" s="141"/>
      <c r="T1078" s="141"/>
      <c r="U1078" s="141"/>
      <c r="V1078" s="141"/>
      <c r="W1078" s="141"/>
      <c r="X1078" s="141"/>
      <c r="Y1078" s="141"/>
      <c r="Z1078" s="141"/>
    </row>
    <row r="1079">
      <c r="A1079" s="141"/>
      <c r="B1079" s="141"/>
      <c r="C1079" s="141"/>
      <c r="D1079" s="141"/>
      <c r="E1079" s="141"/>
      <c r="F1079" s="141"/>
      <c r="G1079" s="141"/>
      <c r="H1079" s="141"/>
      <c r="I1079" s="141"/>
      <c r="J1079" s="141"/>
      <c r="K1079" s="141"/>
      <c r="L1079" s="141"/>
      <c r="M1079" s="141"/>
      <c r="N1079" s="141"/>
      <c r="O1079" s="141"/>
      <c r="P1079" s="141"/>
      <c r="Q1079" s="141"/>
      <c r="R1079" s="141"/>
      <c r="S1079" s="141"/>
      <c r="T1079" s="141"/>
      <c r="U1079" s="141"/>
      <c r="V1079" s="141"/>
      <c r="W1079" s="141"/>
      <c r="X1079" s="141"/>
      <c r="Y1079" s="141"/>
      <c r="Z1079" s="141"/>
    </row>
    <row r="1080">
      <c r="A1080" s="141"/>
      <c r="B1080" s="141"/>
      <c r="C1080" s="141"/>
      <c r="D1080" s="141"/>
      <c r="E1080" s="141"/>
      <c r="F1080" s="141"/>
      <c r="G1080" s="141"/>
      <c r="H1080" s="141"/>
      <c r="I1080" s="141"/>
      <c r="J1080" s="141"/>
      <c r="K1080" s="141"/>
      <c r="L1080" s="141"/>
      <c r="M1080" s="141"/>
      <c r="N1080" s="141"/>
      <c r="O1080" s="141"/>
      <c r="P1080" s="141"/>
      <c r="Q1080" s="141"/>
      <c r="R1080" s="141"/>
      <c r="S1080" s="141"/>
      <c r="T1080" s="141"/>
      <c r="U1080" s="141"/>
      <c r="V1080" s="141"/>
      <c r="W1080" s="141"/>
      <c r="X1080" s="141"/>
      <c r="Y1080" s="141"/>
      <c r="Z1080" s="141"/>
    </row>
    <row r="1081">
      <c r="A1081" s="141"/>
      <c r="B1081" s="141"/>
      <c r="C1081" s="141"/>
      <c r="D1081" s="141"/>
      <c r="E1081" s="141"/>
      <c r="F1081" s="141"/>
      <c r="G1081" s="141"/>
      <c r="H1081" s="141"/>
      <c r="I1081" s="141"/>
      <c r="J1081" s="141"/>
      <c r="K1081" s="141"/>
      <c r="L1081" s="141"/>
      <c r="M1081" s="141"/>
      <c r="N1081" s="141"/>
      <c r="O1081" s="141"/>
      <c r="P1081" s="141"/>
      <c r="Q1081" s="141"/>
      <c r="R1081" s="141"/>
      <c r="S1081" s="141"/>
      <c r="T1081" s="141"/>
      <c r="U1081" s="141"/>
      <c r="V1081" s="141"/>
      <c r="W1081" s="141"/>
      <c r="X1081" s="141"/>
      <c r="Y1081" s="141"/>
      <c r="Z1081" s="141"/>
    </row>
    <row r="1082">
      <c r="A1082" s="141"/>
      <c r="B1082" s="141"/>
      <c r="C1082" s="141"/>
      <c r="D1082" s="141"/>
      <c r="E1082" s="141"/>
      <c r="F1082" s="141"/>
      <c r="G1082" s="141"/>
      <c r="H1082" s="141"/>
      <c r="I1082" s="141"/>
      <c r="J1082" s="141"/>
      <c r="K1082" s="141"/>
      <c r="L1082" s="141"/>
      <c r="M1082" s="141"/>
      <c r="N1082" s="141"/>
      <c r="O1082" s="141"/>
      <c r="P1082" s="141"/>
      <c r="Q1082" s="141"/>
      <c r="R1082" s="141"/>
      <c r="S1082" s="141"/>
      <c r="T1082" s="141"/>
      <c r="U1082" s="141"/>
      <c r="V1082" s="141"/>
      <c r="W1082" s="141"/>
      <c r="X1082" s="141"/>
      <c r="Y1082" s="141"/>
      <c r="Z1082" s="141"/>
    </row>
    <row r="1083">
      <c r="A1083" s="141"/>
      <c r="B1083" s="141"/>
      <c r="C1083" s="141"/>
      <c r="D1083" s="141"/>
      <c r="E1083" s="141"/>
      <c r="F1083" s="141"/>
      <c r="G1083" s="141"/>
      <c r="H1083" s="141"/>
      <c r="I1083" s="141"/>
      <c r="J1083" s="141"/>
      <c r="K1083" s="141"/>
      <c r="L1083" s="141"/>
      <c r="M1083" s="141"/>
      <c r="N1083" s="141"/>
      <c r="O1083" s="141"/>
      <c r="P1083" s="141"/>
      <c r="Q1083" s="141"/>
      <c r="R1083" s="141"/>
      <c r="S1083" s="141"/>
      <c r="T1083" s="141"/>
      <c r="U1083" s="141"/>
      <c r="V1083" s="141"/>
      <c r="W1083" s="141"/>
      <c r="X1083" s="141"/>
      <c r="Y1083" s="141"/>
      <c r="Z1083" s="141"/>
    </row>
    <row r="1084">
      <c r="A1084" s="141"/>
      <c r="B1084" s="141"/>
      <c r="C1084" s="141"/>
      <c r="D1084" s="141"/>
      <c r="E1084" s="141"/>
      <c r="F1084" s="141"/>
      <c r="G1084" s="141"/>
      <c r="H1084" s="141"/>
      <c r="I1084" s="141"/>
      <c r="J1084" s="141"/>
      <c r="K1084" s="141"/>
      <c r="L1084" s="141"/>
      <c r="M1084" s="141"/>
      <c r="N1084" s="141"/>
      <c r="O1084" s="141"/>
      <c r="P1084" s="141"/>
      <c r="Q1084" s="141"/>
      <c r="R1084" s="141"/>
      <c r="S1084" s="141"/>
      <c r="T1084" s="141"/>
      <c r="U1084" s="141"/>
      <c r="V1084" s="141"/>
      <c r="W1084" s="141"/>
      <c r="X1084" s="141"/>
      <c r="Y1084" s="141"/>
      <c r="Z1084" s="141"/>
    </row>
    <row r="1085">
      <c r="A1085" s="141"/>
      <c r="B1085" s="141"/>
      <c r="C1085" s="141"/>
      <c r="D1085" s="141"/>
      <c r="E1085" s="141"/>
      <c r="F1085" s="141"/>
      <c r="G1085" s="141"/>
      <c r="H1085" s="141"/>
      <c r="I1085" s="141"/>
      <c r="J1085" s="141"/>
      <c r="K1085" s="141"/>
      <c r="L1085" s="141"/>
      <c r="M1085" s="141"/>
      <c r="N1085" s="141"/>
      <c r="O1085" s="141"/>
      <c r="P1085" s="141"/>
      <c r="Q1085" s="141"/>
      <c r="R1085" s="141"/>
      <c r="S1085" s="141"/>
      <c r="T1085" s="141"/>
      <c r="U1085" s="141"/>
      <c r="V1085" s="141"/>
      <c r="W1085" s="141"/>
      <c r="X1085" s="141"/>
      <c r="Y1085" s="141"/>
      <c r="Z1085" s="141"/>
    </row>
    <row r="1086">
      <c r="A1086" s="141"/>
      <c r="B1086" s="141"/>
      <c r="C1086" s="141"/>
      <c r="D1086" s="141"/>
      <c r="E1086" s="141"/>
      <c r="F1086" s="141"/>
      <c r="G1086" s="141"/>
      <c r="H1086" s="141"/>
      <c r="I1086" s="141"/>
      <c r="J1086" s="141"/>
      <c r="K1086" s="141"/>
      <c r="L1086" s="141"/>
      <c r="M1086" s="141"/>
      <c r="N1086" s="141"/>
      <c r="O1086" s="141"/>
      <c r="P1086" s="141"/>
      <c r="Q1086" s="141"/>
      <c r="R1086" s="141"/>
      <c r="S1086" s="141"/>
      <c r="T1086" s="141"/>
      <c r="U1086" s="141"/>
      <c r="V1086" s="141"/>
      <c r="W1086" s="141"/>
      <c r="X1086" s="141"/>
      <c r="Y1086" s="141"/>
      <c r="Z1086" s="141"/>
    </row>
    <row r="1087">
      <c r="A1087" s="141"/>
      <c r="B1087" s="141"/>
      <c r="C1087" s="141"/>
      <c r="D1087" s="141"/>
      <c r="E1087" s="141"/>
      <c r="F1087" s="141"/>
      <c r="G1087" s="141"/>
      <c r="H1087" s="141"/>
      <c r="I1087" s="141"/>
      <c r="J1087" s="141"/>
      <c r="K1087" s="141"/>
      <c r="L1087" s="141"/>
      <c r="M1087" s="141"/>
      <c r="N1087" s="141"/>
      <c r="O1087" s="141"/>
      <c r="P1087" s="141"/>
      <c r="Q1087" s="141"/>
      <c r="R1087" s="141"/>
      <c r="S1087" s="141"/>
      <c r="T1087" s="141"/>
      <c r="U1087" s="141"/>
      <c r="V1087" s="141"/>
      <c r="W1087" s="141"/>
      <c r="X1087" s="141"/>
      <c r="Y1087" s="141"/>
      <c r="Z1087" s="141"/>
    </row>
    <row r="1088">
      <c r="A1088" s="141"/>
      <c r="B1088" s="141"/>
      <c r="C1088" s="141"/>
      <c r="D1088" s="141"/>
      <c r="E1088" s="141"/>
      <c r="F1088" s="141"/>
      <c r="G1088" s="141"/>
      <c r="H1088" s="141"/>
      <c r="I1088" s="141"/>
      <c r="J1088" s="141"/>
      <c r="K1088" s="141"/>
      <c r="L1088" s="141"/>
      <c r="M1088" s="141"/>
      <c r="N1088" s="141"/>
      <c r="O1088" s="141"/>
      <c r="P1088" s="141"/>
      <c r="Q1088" s="141"/>
      <c r="R1088" s="141"/>
      <c r="S1088" s="141"/>
      <c r="T1088" s="141"/>
      <c r="U1088" s="141"/>
      <c r="V1088" s="141"/>
      <c r="W1088" s="141"/>
      <c r="X1088" s="141"/>
      <c r="Y1088" s="141"/>
      <c r="Z1088" s="141"/>
    </row>
    <row r="1089">
      <c r="A1089" s="141"/>
      <c r="B1089" s="141"/>
      <c r="C1089" s="141"/>
      <c r="D1089" s="141"/>
      <c r="E1089" s="141"/>
      <c r="F1089" s="141"/>
      <c r="G1089" s="141"/>
      <c r="H1089" s="141"/>
      <c r="I1089" s="141"/>
      <c r="J1089" s="141"/>
      <c r="K1089" s="141"/>
      <c r="L1089" s="141"/>
      <c r="M1089" s="141"/>
      <c r="N1089" s="141"/>
      <c r="O1089" s="141"/>
      <c r="P1089" s="141"/>
      <c r="Q1089" s="141"/>
      <c r="R1089" s="141"/>
      <c r="S1089" s="141"/>
      <c r="T1089" s="141"/>
      <c r="U1089" s="141"/>
      <c r="V1089" s="141"/>
      <c r="W1089" s="141"/>
      <c r="X1089" s="141"/>
      <c r="Y1089" s="141"/>
      <c r="Z1089" s="141"/>
    </row>
    <row r="1090">
      <c r="A1090" s="141"/>
      <c r="B1090" s="141"/>
      <c r="C1090" s="141"/>
      <c r="D1090" s="141"/>
      <c r="E1090" s="141"/>
      <c r="F1090" s="141"/>
      <c r="G1090" s="141"/>
      <c r="H1090" s="141"/>
      <c r="I1090" s="141"/>
      <c r="J1090" s="141"/>
      <c r="K1090" s="141"/>
      <c r="L1090" s="141"/>
      <c r="M1090" s="141"/>
      <c r="N1090" s="141"/>
      <c r="O1090" s="141"/>
      <c r="P1090" s="141"/>
      <c r="Q1090" s="141"/>
      <c r="R1090" s="141"/>
      <c r="S1090" s="141"/>
      <c r="T1090" s="141"/>
      <c r="U1090" s="141"/>
      <c r="V1090" s="141"/>
      <c r="W1090" s="141"/>
      <c r="X1090" s="141"/>
      <c r="Y1090" s="141"/>
      <c r="Z1090" s="141"/>
    </row>
    <row r="1091">
      <c r="A1091" s="141"/>
      <c r="B1091" s="141"/>
      <c r="C1091" s="141"/>
      <c r="D1091" s="141"/>
      <c r="E1091" s="141"/>
      <c r="F1091" s="141"/>
      <c r="G1091" s="141"/>
      <c r="H1091" s="141"/>
      <c r="I1091" s="141"/>
      <c r="J1091" s="141"/>
      <c r="K1091" s="141"/>
      <c r="L1091" s="141"/>
      <c r="M1091" s="141"/>
      <c r="N1091" s="141"/>
      <c r="O1091" s="141"/>
      <c r="P1091" s="141"/>
      <c r="Q1091" s="141"/>
      <c r="R1091" s="141"/>
      <c r="S1091" s="141"/>
      <c r="T1091" s="141"/>
      <c r="U1091" s="141"/>
      <c r="V1091" s="141"/>
      <c r="W1091" s="141"/>
      <c r="X1091" s="141"/>
      <c r="Y1091" s="141"/>
      <c r="Z1091" s="141"/>
    </row>
    <row r="1092">
      <c r="A1092" s="141"/>
      <c r="B1092" s="141"/>
      <c r="C1092" s="141"/>
      <c r="D1092" s="141"/>
      <c r="E1092" s="141"/>
      <c r="F1092" s="141"/>
      <c r="G1092" s="141"/>
      <c r="H1092" s="141"/>
      <c r="I1092" s="141"/>
      <c r="J1092" s="141"/>
      <c r="K1092" s="141"/>
      <c r="L1092" s="141"/>
      <c r="M1092" s="141"/>
      <c r="N1092" s="141"/>
      <c r="O1092" s="141"/>
      <c r="P1092" s="141"/>
      <c r="Q1092" s="141"/>
      <c r="R1092" s="141"/>
      <c r="S1092" s="141"/>
      <c r="T1092" s="141"/>
      <c r="U1092" s="141"/>
      <c r="V1092" s="141"/>
      <c r="W1092" s="141"/>
      <c r="X1092" s="141"/>
      <c r="Y1092" s="141"/>
      <c r="Z1092" s="141"/>
    </row>
    <row r="1093">
      <c r="A1093" s="141"/>
      <c r="B1093" s="141"/>
      <c r="C1093" s="141"/>
      <c r="D1093" s="141"/>
      <c r="E1093" s="141"/>
      <c r="F1093" s="141"/>
      <c r="G1093" s="141"/>
      <c r="H1093" s="141"/>
      <c r="I1093" s="141"/>
      <c r="J1093" s="141"/>
      <c r="K1093" s="141"/>
      <c r="L1093" s="141"/>
      <c r="M1093" s="141"/>
      <c r="N1093" s="141"/>
      <c r="O1093" s="141"/>
      <c r="P1093" s="141"/>
      <c r="Q1093" s="141"/>
      <c r="R1093" s="141"/>
      <c r="S1093" s="141"/>
      <c r="T1093" s="141"/>
      <c r="U1093" s="141"/>
      <c r="V1093" s="141"/>
      <c r="W1093" s="141"/>
      <c r="X1093" s="141"/>
      <c r="Y1093" s="141"/>
      <c r="Z1093" s="141"/>
    </row>
    <row r="1094">
      <c r="A1094" s="141"/>
      <c r="B1094" s="141"/>
      <c r="C1094" s="141"/>
      <c r="D1094" s="141"/>
      <c r="E1094" s="141"/>
      <c r="F1094" s="141"/>
      <c r="G1094" s="141"/>
      <c r="H1094" s="141"/>
      <c r="I1094" s="141"/>
      <c r="J1094" s="141"/>
      <c r="K1094" s="141"/>
      <c r="L1094" s="141"/>
      <c r="M1094" s="141"/>
      <c r="N1094" s="141"/>
      <c r="O1094" s="141"/>
      <c r="P1094" s="141"/>
      <c r="Q1094" s="141"/>
      <c r="R1094" s="141"/>
      <c r="S1094" s="141"/>
      <c r="T1094" s="141"/>
      <c r="U1094" s="141"/>
      <c r="V1094" s="141"/>
      <c r="W1094" s="141"/>
      <c r="X1094" s="141"/>
      <c r="Y1094" s="141"/>
      <c r="Z1094" s="141"/>
    </row>
    <row r="1095">
      <c r="A1095" s="141"/>
      <c r="B1095" s="141"/>
      <c r="C1095" s="141"/>
      <c r="D1095" s="141"/>
      <c r="E1095" s="141"/>
      <c r="F1095" s="141"/>
      <c r="G1095" s="141"/>
      <c r="H1095" s="141"/>
      <c r="I1095" s="141"/>
      <c r="J1095" s="141"/>
      <c r="K1095" s="141"/>
      <c r="L1095" s="141"/>
      <c r="M1095" s="141"/>
      <c r="N1095" s="141"/>
      <c r="O1095" s="141"/>
      <c r="P1095" s="141"/>
      <c r="Q1095" s="141"/>
      <c r="R1095" s="141"/>
      <c r="S1095" s="141"/>
      <c r="T1095" s="141"/>
      <c r="U1095" s="141"/>
      <c r="V1095" s="141"/>
      <c r="W1095" s="141"/>
      <c r="X1095" s="141"/>
      <c r="Y1095" s="141"/>
      <c r="Z1095" s="141"/>
    </row>
    <row r="1096">
      <c r="A1096" s="141"/>
      <c r="B1096" s="141"/>
      <c r="C1096" s="141"/>
      <c r="D1096" s="141"/>
      <c r="E1096" s="141"/>
      <c r="F1096" s="141"/>
      <c r="G1096" s="141"/>
      <c r="H1096" s="141"/>
      <c r="I1096" s="141"/>
      <c r="J1096" s="141"/>
      <c r="K1096" s="141"/>
      <c r="L1096" s="141"/>
      <c r="M1096" s="141"/>
      <c r="N1096" s="141"/>
      <c r="O1096" s="141"/>
      <c r="P1096" s="141"/>
      <c r="Q1096" s="141"/>
      <c r="R1096" s="141"/>
      <c r="S1096" s="141"/>
      <c r="T1096" s="141"/>
      <c r="U1096" s="141"/>
      <c r="V1096" s="141"/>
      <c r="W1096" s="141"/>
      <c r="X1096" s="141"/>
      <c r="Y1096" s="141"/>
      <c r="Z1096" s="141"/>
    </row>
    <row r="1097">
      <c r="A1097" s="141"/>
      <c r="B1097" s="141"/>
      <c r="C1097" s="141"/>
      <c r="D1097" s="141"/>
      <c r="E1097" s="141"/>
      <c r="F1097" s="141"/>
      <c r="G1097" s="141"/>
      <c r="H1097" s="141"/>
      <c r="I1097" s="141"/>
      <c r="J1097" s="141"/>
      <c r="K1097" s="141"/>
      <c r="L1097" s="141"/>
      <c r="M1097" s="141"/>
      <c r="N1097" s="141"/>
      <c r="O1097" s="141"/>
      <c r="P1097" s="141"/>
      <c r="Q1097" s="141"/>
      <c r="R1097" s="141"/>
      <c r="S1097" s="141"/>
      <c r="T1097" s="141"/>
      <c r="U1097" s="141"/>
      <c r="V1097" s="141"/>
      <c r="W1097" s="141"/>
      <c r="X1097" s="141"/>
      <c r="Y1097" s="141"/>
      <c r="Z1097" s="141"/>
    </row>
    <row r="1098">
      <c r="A1098" s="141"/>
      <c r="B1098" s="141"/>
      <c r="C1098" s="141"/>
      <c r="D1098" s="141"/>
      <c r="E1098" s="141"/>
      <c r="F1098" s="141"/>
      <c r="G1098" s="141"/>
      <c r="H1098" s="141"/>
      <c r="I1098" s="141"/>
      <c r="J1098" s="141"/>
      <c r="K1098" s="141"/>
      <c r="L1098" s="141"/>
      <c r="M1098" s="141"/>
      <c r="N1098" s="141"/>
      <c r="O1098" s="141"/>
      <c r="P1098" s="141"/>
      <c r="Q1098" s="141"/>
      <c r="R1098" s="141"/>
      <c r="S1098" s="141"/>
      <c r="T1098" s="141"/>
      <c r="U1098" s="141"/>
      <c r="V1098" s="141"/>
      <c r="W1098" s="141"/>
      <c r="X1098" s="141"/>
      <c r="Y1098" s="141"/>
      <c r="Z1098" s="141"/>
    </row>
    <row r="1099">
      <c r="A1099" s="141"/>
      <c r="B1099" s="141"/>
      <c r="C1099" s="141"/>
      <c r="D1099" s="141"/>
      <c r="E1099" s="141"/>
      <c r="F1099" s="141"/>
      <c r="G1099" s="141"/>
      <c r="H1099" s="141"/>
      <c r="I1099" s="141"/>
      <c r="J1099" s="141"/>
      <c r="K1099" s="141"/>
      <c r="L1099" s="141"/>
      <c r="M1099" s="141"/>
      <c r="N1099" s="141"/>
      <c r="O1099" s="141"/>
      <c r="P1099" s="141"/>
      <c r="Q1099" s="141"/>
      <c r="R1099" s="141"/>
      <c r="S1099" s="141"/>
      <c r="T1099" s="141"/>
      <c r="U1099" s="141"/>
      <c r="V1099" s="141"/>
      <c r="W1099" s="141"/>
      <c r="X1099" s="141"/>
      <c r="Y1099" s="141"/>
      <c r="Z1099" s="141"/>
    </row>
    <row r="1100">
      <c r="A1100" s="141"/>
      <c r="B1100" s="141"/>
      <c r="C1100" s="141"/>
      <c r="D1100" s="141"/>
      <c r="E1100" s="141"/>
      <c r="F1100" s="141"/>
      <c r="G1100" s="141"/>
      <c r="H1100" s="141"/>
      <c r="I1100" s="141"/>
      <c r="J1100" s="141"/>
      <c r="K1100" s="141"/>
      <c r="L1100" s="141"/>
      <c r="M1100" s="141"/>
      <c r="N1100" s="141"/>
      <c r="O1100" s="141"/>
      <c r="P1100" s="141"/>
      <c r="Q1100" s="141"/>
      <c r="R1100" s="141"/>
      <c r="S1100" s="141"/>
      <c r="T1100" s="141"/>
      <c r="U1100" s="141"/>
      <c r="V1100" s="141"/>
      <c r="W1100" s="141"/>
      <c r="X1100" s="141"/>
      <c r="Y1100" s="141"/>
      <c r="Z1100" s="141"/>
    </row>
    <row r="1101">
      <c r="A1101" s="141"/>
      <c r="B1101" s="141"/>
      <c r="C1101" s="141"/>
      <c r="D1101" s="141"/>
      <c r="E1101" s="141"/>
      <c r="F1101" s="141"/>
      <c r="G1101" s="141"/>
      <c r="H1101" s="141"/>
      <c r="I1101" s="141"/>
      <c r="J1101" s="141"/>
      <c r="K1101" s="141"/>
      <c r="L1101" s="141"/>
      <c r="M1101" s="141"/>
      <c r="N1101" s="141"/>
      <c r="O1101" s="141"/>
      <c r="P1101" s="141"/>
      <c r="Q1101" s="141"/>
      <c r="R1101" s="141"/>
      <c r="S1101" s="141"/>
      <c r="T1101" s="141"/>
      <c r="U1101" s="141"/>
      <c r="V1101" s="141"/>
      <c r="W1101" s="141"/>
      <c r="X1101" s="141"/>
      <c r="Y1101" s="141"/>
      <c r="Z1101" s="141"/>
    </row>
    <row r="1102">
      <c r="A1102" s="141"/>
      <c r="B1102" s="141"/>
      <c r="C1102" s="141"/>
      <c r="D1102" s="141"/>
      <c r="E1102" s="141"/>
      <c r="F1102" s="141"/>
      <c r="G1102" s="141"/>
      <c r="H1102" s="141"/>
      <c r="I1102" s="141"/>
      <c r="J1102" s="141"/>
      <c r="K1102" s="141"/>
      <c r="L1102" s="141"/>
      <c r="M1102" s="141"/>
      <c r="N1102" s="141"/>
      <c r="O1102" s="141"/>
      <c r="P1102" s="141"/>
      <c r="Q1102" s="141"/>
      <c r="R1102" s="141"/>
      <c r="S1102" s="141"/>
      <c r="T1102" s="141"/>
      <c r="U1102" s="141"/>
      <c r="V1102" s="141"/>
      <c r="W1102" s="141"/>
      <c r="X1102" s="141"/>
      <c r="Y1102" s="141"/>
      <c r="Z1102" s="141"/>
    </row>
    <row r="1103">
      <c r="A1103" s="141"/>
      <c r="B1103" s="141"/>
      <c r="C1103" s="141"/>
      <c r="D1103" s="141"/>
      <c r="E1103" s="141"/>
      <c r="F1103" s="141"/>
      <c r="G1103" s="141"/>
      <c r="H1103" s="141"/>
      <c r="I1103" s="141"/>
      <c r="J1103" s="141"/>
      <c r="K1103" s="141"/>
      <c r="L1103" s="141"/>
      <c r="M1103" s="141"/>
      <c r="N1103" s="141"/>
      <c r="O1103" s="141"/>
      <c r="P1103" s="141"/>
      <c r="Q1103" s="141"/>
      <c r="R1103" s="141"/>
      <c r="S1103" s="141"/>
      <c r="T1103" s="141"/>
      <c r="U1103" s="141"/>
      <c r="V1103" s="141"/>
      <c r="W1103" s="141"/>
      <c r="X1103" s="141"/>
      <c r="Y1103" s="141"/>
      <c r="Z1103" s="141"/>
    </row>
    <row r="1104">
      <c r="A1104" s="141"/>
      <c r="B1104" s="141"/>
      <c r="C1104" s="141"/>
      <c r="D1104" s="141"/>
      <c r="E1104" s="141"/>
      <c r="F1104" s="141"/>
      <c r="G1104" s="141"/>
      <c r="H1104" s="141"/>
      <c r="I1104" s="141"/>
      <c r="J1104" s="141"/>
      <c r="K1104" s="141"/>
      <c r="L1104" s="141"/>
      <c r="M1104" s="141"/>
      <c r="N1104" s="141"/>
      <c r="O1104" s="141"/>
      <c r="P1104" s="141"/>
      <c r="Q1104" s="141"/>
      <c r="R1104" s="141"/>
      <c r="S1104" s="141"/>
      <c r="T1104" s="141"/>
      <c r="U1104" s="141"/>
      <c r="V1104" s="141"/>
      <c r="W1104" s="141"/>
      <c r="X1104" s="141"/>
      <c r="Y1104" s="141"/>
      <c r="Z1104" s="141"/>
    </row>
    <row r="1105">
      <c r="A1105" s="141"/>
      <c r="B1105" s="141"/>
      <c r="C1105" s="141"/>
      <c r="D1105" s="141"/>
      <c r="E1105" s="141"/>
      <c r="F1105" s="141"/>
      <c r="G1105" s="141"/>
      <c r="H1105" s="141"/>
      <c r="I1105" s="141"/>
      <c r="J1105" s="141"/>
      <c r="K1105" s="141"/>
      <c r="L1105" s="141"/>
      <c r="M1105" s="141"/>
      <c r="N1105" s="141"/>
      <c r="O1105" s="141"/>
      <c r="P1105" s="141"/>
      <c r="Q1105" s="141"/>
      <c r="R1105" s="141"/>
      <c r="S1105" s="141"/>
      <c r="T1105" s="141"/>
      <c r="U1105" s="141"/>
      <c r="V1105" s="141"/>
      <c r="W1105" s="141"/>
      <c r="X1105" s="141"/>
      <c r="Y1105" s="141"/>
      <c r="Z1105" s="141"/>
    </row>
    <row r="1106">
      <c r="A1106" s="141"/>
      <c r="B1106" s="141"/>
      <c r="C1106" s="141"/>
      <c r="D1106" s="141"/>
      <c r="E1106" s="141"/>
      <c r="F1106" s="141"/>
      <c r="G1106" s="141"/>
      <c r="H1106" s="141"/>
      <c r="I1106" s="141"/>
      <c r="J1106" s="141"/>
      <c r="K1106" s="141"/>
      <c r="L1106" s="141"/>
      <c r="M1106" s="141"/>
      <c r="N1106" s="141"/>
      <c r="O1106" s="141"/>
      <c r="P1106" s="141"/>
      <c r="Q1106" s="141"/>
      <c r="R1106" s="141"/>
      <c r="S1106" s="141"/>
      <c r="T1106" s="141"/>
      <c r="U1106" s="141"/>
      <c r="V1106" s="141"/>
      <c r="W1106" s="141"/>
      <c r="X1106" s="141"/>
      <c r="Y1106" s="141"/>
      <c r="Z1106" s="141"/>
    </row>
    <row r="1107">
      <c r="A1107" s="141"/>
      <c r="B1107" s="141"/>
      <c r="C1107" s="141"/>
      <c r="D1107" s="141"/>
      <c r="E1107" s="141"/>
      <c r="F1107" s="141"/>
      <c r="G1107" s="141"/>
      <c r="H1107" s="141"/>
      <c r="I1107" s="141"/>
      <c r="J1107" s="141"/>
      <c r="K1107" s="141"/>
      <c r="L1107" s="141"/>
      <c r="M1107" s="141"/>
      <c r="N1107" s="141"/>
      <c r="O1107" s="141"/>
      <c r="P1107" s="141"/>
      <c r="Q1107" s="141"/>
      <c r="R1107" s="141"/>
      <c r="S1107" s="141"/>
      <c r="T1107" s="141"/>
      <c r="U1107" s="141"/>
      <c r="V1107" s="141"/>
      <c r="W1107" s="141"/>
      <c r="X1107" s="141"/>
      <c r="Y1107" s="141"/>
      <c r="Z1107" s="141"/>
    </row>
    <row r="1108">
      <c r="A1108" s="141"/>
      <c r="B1108" s="141"/>
      <c r="C1108" s="141"/>
      <c r="D1108" s="141"/>
      <c r="E1108" s="141"/>
      <c r="F1108" s="141"/>
      <c r="G1108" s="141"/>
      <c r="H1108" s="141"/>
      <c r="I1108" s="141"/>
      <c r="J1108" s="141"/>
      <c r="K1108" s="141"/>
      <c r="L1108" s="141"/>
      <c r="M1108" s="141"/>
      <c r="N1108" s="141"/>
      <c r="O1108" s="141"/>
      <c r="P1108" s="141"/>
      <c r="Q1108" s="141"/>
      <c r="R1108" s="141"/>
      <c r="S1108" s="141"/>
      <c r="T1108" s="141"/>
      <c r="U1108" s="141"/>
      <c r="V1108" s="141"/>
      <c r="W1108" s="141"/>
      <c r="X1108" s="141"/>
      <c r="Y1108" s="141"/>
      <c r="Z1108" s="141"/>
    </row>
    <row r="1109">
      <c r="A1109" s="141"/>
      <c r="B1109" s="141"/>
      <c r="C1109" s="141"/>
      <c r="D1109" s="141"/>
      <c r="E1109" s="141"/>
      <c r="F1109" s="141"/>
      <c r="G1109" s="141"/>
      <c r="H1109" s="141"/>
      <c r="I1109" s="141"/>
      <c r="J1109" s="141"/>
      <c r="K1109" s="141"/>
      <c r="L1109" s="141"/>
      <c r="M1109" s="141"/>
      <c r="N1109" s="141"/>
      <c r="O1109" s="141"/>
      <c r="P1109" s="141"/>
      <c r="Q1109" s="141"/>
      <c r="R1109" s="141"/>
      <c r="S1109" s="141"/>
      <c r="T1109" s="141"/>
      <c r="U1109" s="141"/>
      <c r="V1109" s="141"/>
      <c r="W1109" s="141"/>
      <c r="X1109" s="141"/>
      <c r="Y1109" s="141"/>
      <c r="Z1109" s="141"/>
    </row>
    <row r="1110">
      <c r="A1110" s="141"/>
      <c r="B1110" s="141"/>
      <c r="C1110" s="141"/>
      <c r="D1110" s="141"/>
      <c r="E1110" s="141"/>
      <c r="F1110" s="141"/>
      <c r="G1110" s="141"/>
      <c r="H1110" s="141"/>
      <c r="I1110" s="141"/>
      <c r="J1110" s="141"/>
      <c r="K1110" s="141"/>
      <c r="L1110" s="141"/>
      <c r="M1110" s="141"/>
      <c r="N1110" s="141"/>
      <c r="O1110" s="141"/>
      <c r="P1110" s="141"/>
      <c r="Q1110" s="141"/>
      <c r="R1110" s="141"/>
      <c r="S1110" s="141"/>
      <c r="T1110" s="141"/>
      <c r="U1110" s="141"/>
      <c r="V1110" s="141"/>
      <c r="W1110" s="141"/>
      <c r="X1110" s="141"/>
      <c r="Y1110" s="141"/>
      <c r="Z1110" s="141"/>
    </row>
    <row r="1111">
      <c r="A1111" s="141"/>
      <c r="B1111" s="141"/>
      <c r="C1111" s="141"/>
      <c r="D1111" s="141"/>
      <c r="E1111" s="141"/>
      <c r="F1111" s="141"/>
      <c r="G1111" s="141"/>
      <c r="H1111" s="141"/>
      <c r="I1111" s="141"/>
      <c r="J1111" s="141"/>
      <c r="K1111" s="141"/>
      <c r="L1111" s="141"/>
      <c r="M1111" s="141"/>
      <c r="N1111" s="141"/>
      <c r="O1111" s="141"/>
      <c r="P1111" s="141"/>
      <c r="Q1111" s="141"/>
      <c r="R1111" s="141"/>
      <c r="S1111" s="141"/>
      <c r="T1111" s="141"/>
      <c r="U1111" s="141"/>
      <c r="V1111" s="141"/>
      <c r="W1111" s="141"/>
      <c r="X1111" s="141"/>
      <c r="Y1111" s="141"/>
      <c r="Z1111" s="141"/>
    </row>
    <row r="1112">
      <c r="A1112" s="141"/>
      <c r="B1112" s="141"/>
      <c r="C1112" s="141"/>
      <c r="D1112" s="141"/>
      <c r="E1112" s="141"/>
      <c r="F1112" s="141"/>
      <c r="G1112" s="141"/>
      <c r="H1112" s="141"/>
      <c r="I1112" s="141"/>
      <c r="J1112" s="141"/>
      <c r="K1112" s="141"/>
      <c r="L1112" s="141"/>
      <c r="M1112" s="141"/>
      <c r="N1112" s="141"/>
      <c r="O1112" s="141"/>
      <c r="P1112" s="141"/>
      <c r="Q1112" s="141"/>
      <c r="R1112" s="141"/>
      <c r="S1112" s="141"/>
      <c r="T1112" s="141"/>
      <c r="U1112" s="141"/>
      <c r="V1112" s="141"/>
      <c r="W1112" s="141"/>
      <c r="X1112" s="141"/>
      <c r="Y1112" s="141"/>
      <c r="Z1112" s="141"/>
    </row>
    <row r="1113">
      <c r="A1113" s="141"/>
      <c r="B1113" s="141"/>
      <c r="C1113" s="141"/>
      <c r="D1113" s="141"/>
      <c r="E1113" s="141"/>
      <c r="F1113" s="141"/>
      <c r="G1113" s="141"/>
      <c r="H1113" s="141"/>
      <c r="I1113" s="141"/>
      <c r="J1113" s="141"/>
      <c r="K1113" s="141"/>
      <c r="L1113" s="141"/>
      <c r="M1113" s="141"/>
      <c r="N1113" s="141"/>
      <c r="O1113" s="141"/>
      <c r="P1113" s="141"/>
      <c r="Q1113" s="141"/>
      <c r="R1113" s="141"/>
      <c r="S1113" s="141"/>
      <c r="T1113" s="141"/>
      <c r="U1113" s="141"/>
      <c r="V1113" s="141"/>
      <c r="W1113" s="141"/>
      <c r="X1113" s="141"/>
      <c r="Y1113" s="141"/>
      <c r="Z1113" s="141"/>
    </row>
    <row r="1114">
      <c r="A1114" s="141"/>
      <c r="B1114" s="141"/>
      <c r="C1114" s="141"/>
      <c r="D1114" s="141"/>
      <c r="E1114" s="141"/>
      <c r="F1114" s="141"/>
      <c r="G1114" s="141"/>
      <c r="H1114" s="141"/>
      <c r="I1114" s="141"/>
      <c r="J1114" s="141"/>
      <c r="K1114" s="141"/>
      <c r="L1114" s="141"/>
      <c r="M1114" s="141"/>
      <c r="N1114" s="141"/>
      <c r="O1114" s="141"/>
      <c r="P1114" s="141"/>
      <c r="Q1114" s="141"/>
      <c r="R1114" s="141"/>
      <c r="S1114" s="141"/>
      <c r="T1114" s="141"/>
      <c r="U1114" s="141"/>
      <c r="V1114" s="141"/>
      <c r="W1114" s="141"/>
      <c r="X1114" s="141"/>
      <c r="Y1114" s="141"/>
      <c r="Z1114" s="141"/>
    </row>
    <row r="1115">
      <c r="A1115" s="141"/>
      <c r="B1115" s="141"/>
      <c r="C1115" s="141"/>
      <c r="D1115" s="141"/>
      <c r="E1115" s="141"/>
      <c r="F1115" s="141"/>
      <c r="G1115" s="141"/>
      <c r="H1115" s="141"/>
      <c r="I1115" s="141"/>
      <c r="J1115" s="141"/>
      <c r="K1115" s="141"/>
      <c r="L1115" s="141"/>
      <c r="M1115" s="141"/>
      <c r="N1115" s="141"/>
      <c r="O1115" s="141"/>
      <c r="P1115" s="141"/>
      <c r="Q1115" s="141"/>
      <c r="R1115" s="141"/>
      <c r="S1115" s="141"/>
      <c r="T1115" s="141"/>
      <c r="U1115" s="141"/>
      <c r="V1115" s="141"/>
      <c r="W1115" s="141"/>
      <c r="X1115" s="141"/>
      <c r="Y1115" s="141"/>
      <c r="Z1115" s="141"/>
    </row>
    <row r="1116">
      <c r="A1116" s="141"/>
      <c r="B1116" s="141"/>
      <c r="C1116" s="141"/>
      <c r="D1116" s="141"/>
      <c r="E1116" s="141"/>
      <c r="F1116" s="141"/>
      <c r="G1116" s="141"/>
      <c r="H1116" s="141"/>
      <c r="I1116" s="141"/>
      <c r="J1116" s="141"/>
      <c r="K1116" s="141"/>
      <c r="L1116" s="141"/>
      <c r="M1116" s="141"/>
      <c r="N1116" s="141"/>
      <c r="O1116" s="141"/>
      <c r="P1116" s="141"/>
      <c r="Q1116" s="141"/>
      <c r="R1116" s="141"/>
      <c r="S1116" s="141"/>
      <c r="T1116" s="141"/>
      <c r="U1116" s="141"/>
      <c r="V1116" s="141"/>
      <c r="W1116" s="141"/>
      <c r="X1116" s="141"/>
      <c r="Y1116" s="141"/>
      <c r="Z1116" s="141"/>
    </row>
    <row r="1117">
      <c r="A1117" s="141"/>
      <c r="B1117" s="141"/>
      <c r="C1117" s="141"/>
      <c r="D1117" s="141"/>
      <c r="E1117" s="141"/>
      <c r="F1117" s="141"/>
      <c r="G1117" s="141"/>
      <c r="H1117" s="141"/>
      <c r="I1117" s="141"/>
      <c r="J1117" s="141"/>
      <c r="K1117" s="141"/>
      <c r="L1117" s="141"/>
      <c r="M1117" s="141"/>
      <c r="N1117" s="141"/>
      <c r="O1117" s="141"/>
      <c r="P1117" s="141"/>
      <c r="Q1117" s="141"/>
      <c r="R1117" s="141"/>
      <c r="S1117" s="141"/>
      <c r="T1117" s="141"/>
      <c r="U1117" s="141"/>
      <c r="V1117" s="141"/>
      <c r="W1117" s="141"/>
      <c r="X1117" s="141"/>
      <c r="Y1117" s="141"/>
      <c r="Z1117" s="141"/>
    </row>
    <row r="1118">
      <c r="A1118" s="141"/>
      <c r="B1118" s="141"/>
      <c r="C1118" s="141"/>
      <c r="D1118" s="141"/>
      <c r="E1118" s="141"/>
      <c r="F1118" s="141"/>
      <c r="G1118" s="141"/>
      <c r="H1118" s="141"/>
      <c r="I1118" s="141"/>
      <c r="J1118" s="141"/>
      <c r="K1118" s="141"/>
      <c r="L1118" s="141"/>
      <c r="M1118" s="141"/>
      <c r="N1118" s="141"/>
      <c r="O1118" s="141"/>
      <c r="P1118" s="141"/>
      <c r="Q1118" s="141"/>
      <c r="R1118" s="141"/>
      <c r="S1118" s="141"/>
      <c r="T1118" s="141"/>
      <c r="U1118" s="141"/>
      <c r="V1118" s="141"/>
      <c r="W1118" s="141"/>
      <c r="X1118" s="141"/>
      <c r="Y1118" s="141"/>
      <c r="Z1118" s="141"/>
    </row>
    <row r="1119">
      <c r="A1119" s="141"/>
      <c r="B1119" s="141"/>
      <c r="C1119" s="141"/>
      <c r="D1119" s="141"/>
      <c r="E1119" s="141"/>
      <c r="F1119" s="141"/>
      <c r="G1119" s="141"/>
      <c r="H1119" s="141"/>
      <c r="I1119" s="141"/>
      <c r="J1119" s="141"/>
      <c r="K1119" s="141"/>
      <c r="L1119" s="141"/>
      <c r="M1119" s="141"/>
      <c r="N1119" s="141"/>
      <c r="O1119" s="141"/>
      <c r="P1119" s="141"/>
      <c r="Q1119" s="141"/>
      <c r="R1119" s="141"/>
      <c r="S1119" s="141"/>
      <c r="T1119" s="141"/>
      <c r="U1119" s="141"/>
      <c r="V1119" s="141"/>
      <c r="W1119" s="141"/>
      <c r="X1119" s="141"/>
      <c r="Y1119" s="141"/>
      <c r="Z1119" s="141"/>
    </row>
    <row r="1120">
      <c r="A1120" s="141"/>
      <c r="B1120" s="141"/>
      <c r="C1120" s="141"/>
      <c r="D1120" s="141"/>
      <c r="E1120" s="141"/>
      <c r="F1120" s="141"/>
      <c r="G1120" s="141"/>
      <c r="H1120" s="141"/>
      <c r="I1120" s="141"/>
      <c r="J1120" s="141"/>
      <c r="K1120" s="141"/>
      <c r="L1120" s="141"/>
      <c r="M1120" s="141"/>
      <c r="N1120" s="141"/>
      <c r="O1120" s="141"/>
      <c r="P1120" s="141"/>
      <c r="Q1120" s="141"/>
      <c r="R1120" s="141"/>
      <c r="S1120" s="141"/>
      <c r="T1120" s="141"/>
      <c r="U1120" s="141"/>
      <c r="V1120" s="141"/>
      <c r="W1120" s="141"/>
      <c r="X1120" s="141"/>
      <c r="Y1120" s="141"/>
      <c r="Z1120" s="141"/>
    </row>
    <row r="1121">
      <c r="A1121" s="141"/>
      <c r="B1121" s="141"/>
      <c r="C1121" s="141"/>
      <c r="D1121" s="141"/>
      <c r="E1121" s="141"/>
      <c r="F1121" s="141"/>
      <c r="G1121" s="141"/>
      <c r="H1121" s="141"/>
      <c r="I1121" s="141"/>
      <c r="J1121" s="141"/>
      <c r="K1121" s="141"/>
      <c r="L1121" s="141"/>
      <c r="M1121" s="141"/>
      <c r="N1121" s="141"/>
      <c r="O1121" s="141"/>
      <c r="P1121" s="141"/>
      <c r="Q1121" s="141"/>
      <c r="R1121" s="141"/>
      <c r="S1121" s="141"/>
      <c r="T1121" s="141"/>
      <c r="U1121" s="141"/>
      <c r="V1121" s="141"/>
      <c r="W1121" s="141"/>
      <c r="X1121" s="141"/>
      <c r="Y1121" s="141"/>
      <c r="Z1121" s="141"/>
    </row>
    <row r="1122">
      <c r="A1122" s="141"/>
      <c r="B1122" s="141"/>
      <c r="C1122" s="141"/>
      <c r="D1122" s="141"/>
      <c r="E1122" s="141"/>
      <c r="F1122" s="141"/>
      <c r="G1122" s="141"/>
      <c r="H1122" s="141"/>
      <c r="I1122" s="141"/>
      <c r="J1122" s="141"/>
      <c r="K1122" s="141"/>
      <c r="L1122" s="141"/>
      <c r="M1122" s="141"/>
      <c r="N1122" s="141"/>
      <c r="O1122" s="141"/>
      <c r="P1122" s="141"/>
      <c r="Q1122" s="141"/>
      <c r="R1122" s="141"/>
      <c r="S1122" s="141"/>
      <c r="T1122" s="141"/>
      <c r="U1122" s="141"/>
      <c r="V1122" s="141"/>
      <c r="W1122" s="141"/>
      <c r="X1122" s="141"/>
      <c r="Y1122" s="141"/>
      <c r="Z1122" s="141"/>
    </row>
    <row r="1123">
      <c r="A1123" s="141"/>
      <c r="B1123" s="141"/>
      <c r="C1123" s="141"/>
      <c r="D1123" s="141"/>
      <c r="E1123" s="141"/>
      <c r="F1123" s="141"/>
      <c r="G1123" s="141"/>
      <c r="H1123" s="141"/>
      <c r="I1123" s="141"/>
      <c r="J1123" s="141"/>
      <c r="K1123" s="141"/>
      <c r="L1123" s="141"/>
      <c r="M1123" s="141"/>
      <c r="N1123" s="141"/>
      <c r="O1123" s="141"/>
      <c r="P1123" s="141"/>
      <c r="Q1123" s="141"/>
      <c r="R1123" s="141"/>
      <c r="S1123" s="141"/>
      <c r="T1123" s="141"/>
      <c r="U1123" s="141"/>
      <c r="V1123" s="141"/>
      <c r="W1123" s="141"/>
      <c r="X1123" s="141"/>
      <c r="Y1123" s="141"/>
      <c r="Z1123" s="141"/>
    </row>
    <row r="1124">
      <c r="A1124" s="141"/>
      <c r="B1124" s="141"/>
      <c r="C1124" s="141"/>
      <c r="D1124" s="141"/>
      <c r="E1124" s="141"/>
      <c r="F1124" s="141"/>
      <c r="G1124" s="141"/>
      <c r="H1124" s="141"/>
      <c r="I1124" s="141"/>
      <c r="J1124" s="141"/>
      <c r="K1124" s="141"/>
      <c r="L1124" s="141"/>
      <c r="M1124" s="141"/>
      <c r="N1124" s="141"/>
      <c r="O1124" s="141"/>
      <c r="P1124" s="141"/>
      <c r="Q1124" s="141"/>
      <c r="R1124" s="141"/>
      <c r="S1124" s="141"/>
      <c r="T1124" s="141"/>
      <c r="U1124" s="141"/>
      <c r="V1124" s="141"/>
      <c r="W1124" s="141"/>
      <c r="X1124" s="141"/>
      <c r="Y1124" s="141"/>
      <c r="Z1124" s="141"/>
    </row>
    <row r="1125">
      <c r="A1125" s="141"/>
      <c r="B1125" s="141"/>
      <c r="C1125" s="141"/>
      <c r="D1125" s="141"/>
      <c r="E1125" s="141"/>
      <c r="F1125" s="141"/>
      <c r="G1125" s="141"/>
      <c r="H1125" s="141"/>
      <c r="I1125" s="141"/>
      <c r="J1125" s="141"/>
      <c r="K1125" s="141"/>
      <c r="L1125" s="141"/>
      <c r="M1125" s="141"/>
      <c r="N1125" s="141"/>
      <c r="O1125" s="141"/>
      <c r="P1125" s="141"/>
      <c r="Q1125" s="141"/>
      <c r="R1125" s="141"/>
      <c r="S1125" s="141"/>
      <c r="T1125" s="141"/>
      <c r="U1125" s="141"/>
      <c r="V1125" s="141"/>
      <c r="W1125" s="141"/>
      <c r="X1125" s="141"/>
      <c r="Y1125" s="141"/>
      <c r="Z1125" s="141"/>
    </row>
    <row r="1126">
      <c r="A1126" s="141"/>
      <c r="B1126" s="141"/>
      <c r="C1126" s="141"/>
      <c r="D1126" s="141"/>
      <c r="E1126" s="141"/>
      <c r="F1126" s="141"/>
      <c r="G1126" s="141"/>
      <c r="H1126" s="141"/>
      <c r="I1126" s="141"/>
      <c r="J1126" s="141"/>
      <c r="K1126" s="141"/>
      <c r="L1126" s="141"/>
      <c r="M1126" s="141"/>
      <c r="N1126" s="141"/>
      <c r="O1126" s="141"/>
      <c r="P1126" s="141"/>
      <c r="Q1126" s="141"/>
      <c r="R1126" s="141"/>
      <c r="S1126" s="141"/>
      <c r="T1126" s="141"/>
      <c r="U1126" s="141"/>
      <c r="V1126" s="141"/>
      <c r="W1126" s="141"/>
      <c r="X1126" s="141"/>
      <c r="Y1126" s="141"/>
      <c r="Z1126" s="141"/>
    </row>
    <row r="1127">
      <c r="A1127" s="141"/>
      <c r="B1127" s="141"/>
      <c r="C1127" s="141"/>
      <c r="D1127" s="141"/>
      <c r="E1127" s="141"/>
      <c r="F1127" s="141"/>
      <c r="G1127" s="141"/>
      <c r="H1127" s="141"/>
      <c r="I1127" s="141"/>
      <c r="J1127" s="141"/>
      <c r="K1127" s="141"/>
      <c r="L1127" s="141"/>
      <c r="M1127" s="141"/>
      <c r="N1127" s="141"/>
      <c r="O1127" s="141"/>
      <c r="P1127" s="141"/>
      <c r="Q1127" s="141"/>
      <c r="R1127" s="141"/>
      <c r="S1127" s="141"/>
      <c r="T1127" s="141"/>
      <c r="U1127" s="141"/>
      <c r="V1127" s="141"/>
      <c r="W1127" s="141"/>
      <c r="X1127" s="141"/>
      <c r="Y1127" s="141"/>
      <c r="Z1127" s="141"/>
    </row>
    <row r="1128">
      <c r="A1128" s="141"/>
      <c r="B1128" s="141"/>
      <c r="C1128" s="141"/>
      <c r="D1128" s="141"/>
      <c r="E1128" s="141"/>
      <c r="F1128" s="141"/>
      <c r="G1128" s="141"/>
      <c r="H1128" s="141"/>
      <c r="I1128" s="141"/>
      <c r="J1128" s="141"/>
      <c r="K1128" s="141"/>
      <c r="L1128" s="141"/>
      <c r="M1128" s="141"/>
      <c r="N1128" s="141"/>
      <c r="O1128" s="141"/>
      <c r="P1128" s="141"/>
      <c r="Q1128" s="141"/>
      <c r="R1128" s="141"/>
      <c r="S1128" s="141"/>
      <c r="T1128" s="141"/>
      <c r="U1128" s="141"/>
      <c r="V1128" s="141"/>
      <c r="W1128" s="141"/>
      <c r="X1128" s="141"/>
      <c r="Y1128" s="141"/>
      <c r="Z1128" s="141"/>
    </row>
    <row r="1129">
      <c r="A1129" s="141"/>
      <c r="B1129" s="141"/>
      <c r="C1129" s="141"/>
      <c r="D1129" s="141"/>
      <c r="E1129" s="141"/>
      <c r="F1129" s="141"/>
      <c r="G1129" s="141"/>
      <c r="H1129" s="141"/>
      <c r="I1129" s="141"/>
      <c r="J1129" s="141"/>
      <c r="K1129" s="141"/>
      <c r="L1129" s="141"/>
      <c r="M1129" s="141"/>
      <c r="N1129" s="141"/>
      <c r="O1129" s="141"/>
      <c r="P1129" s="141"/>
      <c r="Q1129" s="141"/>
      <c r="R1129" s="141"/>
      <c r="S1129" s="141"/>
      <c r="T1129" s="141"/>
      <c r="U1129" s="141"/>
      <c r="V1129" s="141"/>
      <c r="W1129" s="141"/>
      <c r="X1129" s="141"/>
      <c r="Y1129" s="141"/>
      <c r="Z1129" s="141"/>
    </row>
    <row r="1130">
      <c r="A1130" s="141"/>
      <c r="B1130" s="141"/>
      <c r="C1130" s="141"/>
      <c r="D1130" s="141"/>
      <c r="E1130" s="141"/>
      <c r="F1130" s="141"/>
      <c r="G1130" s="141"/>
      <c r="H1130" s="141"/>
      <c r="I1130" s="141"/>
      <c r="J1130" s="141"/>
      <c r="K1130" s="141"/>
      <c r="L1130" s="141"/>
      <c r="M1130" s="141"/>
      <c r="N1130" s="141"/>
      <c r="O1130" s="141"/>
      <c r="P1130" s="141"/>
      <c r="Q1130" s="141"/>
      <c r="R1130" s="141"/>
      <c r="S1130" s="141"/>
      <c r="T1130" s="141"/>
      <c r="U1130" s="141"/>
      <c r="V1130" s="141"/>
      <c r="W1130" s="141"/>
      <c r="X1130" s="141"/>
      <c r="Y1130" s="141"/>
      <c r="Z1130" s="141"/>
    </row>
    <row r="1131">
      <c r="A1131" s="141"/>
      <c r="B1131" s="141"/>
      <c r="C1131" s="141"/>
      <c r="D1131" s="141"/>
      <c r="E1131" s="141"/>
      <c r="F1131" s="141"/>
      <c r="G1131" s="141"/>
      <c r="H1131" s="141"/>
      <c r="I1131" s="141"/>
      <c r="J1131" s="141"/>
      <c r="K1131" s="141"/>
      <c r="L1131" s="141"/>
      <c r="M1131" s="141"/>
      <c r="N1131" s="141"/>
      <c r="O1131" s="141"/>
      <c r="P1131" s="141"/>
      <c r="Q1131" s="141"/>
      <c r="R1131" s="141"/>
      <c r="S1131" s="141"/>
      <c r="T1131" s="141"/>
      <c r="U1131" s="141"/>
      <c r="V1131" s="141"/>
      <c r="W1131" s="141"/>
      <c r="X1131" s="141"/>
      <c r="Y1131" s="141"/>
      <c r="Z1131" s="141"/>
    </row>
    <row r="1132">
      <c r="A1132" s="141"/>
      <c r="B1132" s="141"/>
      <c r="C1132" s="141"/>
      <c r="D1132" s="141"/>
      <c r="E1132" s="141"/>
      <c r="F1132" s="141"/>
      <c r="G1132" s="141"/>
      <c r="H1132" s="141"/>
      <c r="I1132" s="141"/>
      <c r="J1132" s="141"/>
      <c r="K1132" s="141"/>
      <c r="L1132" s="141"/>
      <c r="M1132" s="141"/>
      <c r="N1132" s="141"/>
      <c r="O1132" s="141"/>
      <c r="P1132" s="141"/>
      <c r="Q1132" s="141"/>
      <c r="R1132" s="141"/>
      <c r="S1132" s="141"/>
      <c r="T1132" s="141"/>
      <c r="U1132" s="141"/>
      <c r="V1132" s="141"/>
      <c r="W1132" s="141"/>
      <c r="X1132" s="141"/>
      <c r="Y1132" s="141"/>
      <c r="Z1132" s="141"/>
    </row>
    <row r="1133">
      <c r="A1133" s="141"/>
      <c r="B1133" s="141"/>
      <c r="C1133" s="141"/>
      <c r="D1133" s="141"/>
      <c r="E1133" s="141"/>
      <c r="F1133" s="141"/>
      <c r="G1133" s="141"/>
      <c r="H1133" s="141"/>
      <c r="I1133" s="141"/>
      <c r="J1133" s="141"/>
      <c r="K1133" s="141"/>
      <c r="L1133" s="141"/>
      <c r="M1133" s="141"/>
      <c r="N1133" s="141"/>
      <c r="O1133" s="141"/>
      <c r="P1133" s="141"/>
      <c r="Q1133" s="141"/>
      <c r="R1133" s="141"/>
      <c r="S1133" s="141"/>
      <c r="T1133" s="141"/>
      <c r="U1133" s="141"/>
      <c r="V1133" s="141"/>
      <c r="W1133" s="141"/>
      <c r="X1133" s="141"/>
      <c r="Y1133" s="141"/>
      <c r="Z1133" s="141"/>
    </row>
    <row r="1134">
      <c r="A1134" s="141"/>
      <c r="B1134" s="141"/>
      <c r="C1134" s="141"/>
      <c r="D1134" s="141"/>
      <c r="E1134" s="141"/>
      <c r="F1134" s="141"/>
      <c r="G1134" s="141"/>
      <c r="H1134" s="141"/>
      <c r="I1134" s="141"/>
      <c r="J1134" s="141"/>
      <c r="K1134" s="141"/>
      <c r="L1134" s="141"/>
      <c r="M1134" s="141"/>
      <c r="N1134" s="141"/>
      <c r="O1134" s="141"/>
      <c r="P1134" s="141"/>
      <c r="Q1134" s="141"/>
      <c r="R1134" s="141"/>
      <c r="S1134" s="141"/>
      <c r="T1134" s="141"/>
      <c r="U1134" s="141"/>
      <c r="V1134" s="141"/>
      <c r="W1134" s="141"/>
      <c r="X1134" s="141"/>
      <c r="Y1134" s="141"/>
      <c r="Z1134" s="141"/>
    </row>
    <row r="1135">
      <c r="A1135" s="141"/>
      <c r="B1135" s="141"/>
      <c r="C1135" s="141"/>
      <c r="D1135" s="141"/>
      <c r="E1135" s="141"/>
      <c r="F1135" s="141"/>
      <c r="G1135" s="141"/>
      <c r="H1135" s="141"/>
      <c r="I1135" s="141"/>
      <c r="J1135" s="141"/>
      <c r="K1135" s="141"/>
      <c r="L1135" s="141"/>
      <c r="M1135" s="141"/>
      <c r="N1135" s="141"/>
      <c r="O1135" s="141"/>
      <c r="P1135" s="141"/>
      <c r="Q1135" s="141"/>
      <c r="R1135" s="141"/>
      <c r="S1135" s="141"/>
      <c r="T1135" s="141"/>
      <c r="U1135" s="141"/>
      <c r="V1135" s="141"/>
      <c r="W1135" s="141"/>
      <c r="X1135" s="141"/>
      <c r="Y1135" s="141"/>
      <c r="Z1135" s="141"/>
    </row>
    <row r="1136">
      <c r="A1136" s="141"/>
      <c r="B1136" s="141"/>
      <c r="C1136" s="141"/>
      <c r="D1136" s="141"/>
      <c r="E1136" s="141"/>
      <c r="F1136" s="141"/>
      <c r="G1136" s="141"/>
      <c r="H1136" s="141"/>
      <c r="I1136" s="141"/>
      <c r="J1136" s="141"/>
      <c r="K1136" s="141"/>
      <c r="L1136" s="141"/>
      <c r="M1136" s="141"/>
      <c r="N1136" s="141"/>
      <c r="O1136" s="141"/>
      <c r="P1136" s="141"/>
      <c r="Q1136" s="141"/>
      <c r="R1136" s="141"/>
      <c r="S1136" s="141"/>
      <c r="T1136" s="141"/>
      <c r="U1136" s="141"/>
      <c r="V1136" s="141"/>
      <c r="W1136" s="141"/>
      <c r="X1136" s="141"/>
      <c r="Y1136" s="141"/>
      <c r="Z1136" s="141"/>
    </row>
    <row r="1137">
      <c r="A1137" s="141"/>
      <c r="B1137" s="141"/>
      <c r="C1137" s="141"/>
      <c r="D1137" s="141"/>
      <c r="E1137" s="141"/>
      <c r="F1137" s="141"/>
      <c r="G1137" s="141"/>
      <c r="H1137" s="141"/>
      <c r="I1137" s="141"/>
      <c r="J1137" s="141"/>
      <c r="K1137" s="141"/>
      <c r="L1137" s="141"/>
      <c r="M1137" s="141"/>
      <c r="N1137" s="141"/>
      <c r="O1137" s="141"/>
      <c r="P1137" s="141"/>
      <c r="Q1137" s="141"/>
      <c r="R1137" s="141"/>
      <c r="S1137" s="141"/>
      <c r="T1137" s="141"/>
      <c r="U1137" s="141"/>
      <c r="V1137" s="141"/>
      <c r="W1137" s="141"/>
      <c r="X1137" s="141"/>
      <c r="Y1137" s="141"/>
      <c r="Z1137" s="141"/>
    </row>
    <row r="1138">
      <c r="A1138" s="141"/>
      <c r="B1138" s="141"/>
      <c r="C1138" s="141"/>
      <c r="D1138" s="141"/>
      <c r="E1138" s="141"/>
      <c r="F1138" s="141"/>
      <c r="G1138" s="141"/>
      <c r="H1138" s="141"/>
      <c r="I1138" s="141"/>
      <c r="J1138" s="141"/>
      <c r="K1138" s="141"/>
      <c r="L1138" s="141"/>
      <c r="M1138" s="141"/>
      <c r="N1138" s="141"/>
      <c r="O1138" s="141"/>
      <c r="P1138" s="141"/>
      <c r="Q1138" s="141"/>
      <c r="R1138" s="141"/>
      <c r="S1138" s="141"/>
      <c r="T1138" s="141"/>
      <c r="U1138" s="141"/>
      <c r="V1138" s="141"/>
      <c r="W1138" s="141"/>
      <c r="X1138" s="141"/>
      <c r="Y1138" s="141"/>
      <c r="Z1138" s="141"/>
    </row>
    <row r="1139">
      <c r="A1139" s="141"/>
      <c r="B1139" s="141"/>
      <c r="C1139" s="141"/>
      <c r="D1139" s="141"/>
      <c r="E1139" s="141"/>
      <c r="F1139" s="141"/>
      <c r="G1139" s="141"/>
      <c r="H1139" s="141"/>
      <c r="I1139" s="141"/>
      <c r="J1139" s="141"/>
      <c r="K1139" s="141"/>
      <c r="L1139" s="141"/>
      <c r="M1139" s="141"/>
      <c r="N1139" s="141"/>
      <c r="O1139" s="141"/>
      <c r="P1139" s="141"/>
      <c r="Q1139" s="141"/>
      <c r="R1139" s="141"/>
      <c r="S1139" s="141"/>
      <c r="T1139" s="141"/>
      <c r="U1139" s="141"/>
      <c r="V1139" s="141"/>
      <c r="W1139" s="141"/>
      <c r="X1139" s="141"/>
      <c r="Y1139" s="141"/>
      <c r="Z1139" s="141"/>
    </row>
    <row r="1140">
      <c r="A1140" s="141"/>
      <c r="B1140" s="141"/>
      <c r="C1140" s="141"/>
      <c r="D1140" s="141"/>
      <c r="E1140" s="141"/>
      <c r="F1140" s="141"/>
      <c r="G1140" s="141"/>
      <c r="H1140" s="141"/>
      <c r="I1140" s="141"/>
      <c r="J1140" s="141"/>
      <c r="K1140" s="141"/>
      <c r="L1140" s="141"/>
      <c r="M1140" s="141"/>
      <c r="N1140" s="141"/>
      <c r="O1140" s="141"/>
      <c r="P1140" s="141"/>
      <c r="Q1140" s="141"/>
      <c r="R1140" s="141"/>
      <c r="S1140" s="141"/>
      <c r="T1140" s="141"/>
      <c r="U1140" s="141"/>
      <c r="V1140" s="141"/>
      <c r="W1140" s="141"/>
      <c r="X1140" s="141"/>
      <c r="Y1140" s="141"/>
      <c r="Z1140" s="141"/>
    </row>
    <row r="1141">
      <c r="A1141" s="141"/>
      <c r="B1141" s="141"/>
      <c r="C1141" s="141"/>
      <c r="D1141" s="141"/>
      <c r="E1141" s="141"/>
      <c r="F1141" s="141"/>
      <c r="G1141" s="141"/>
      <c r="H1141" s="141"/>
      <c r="I1141" s="141"/>
      <c r="J1141" s="141"/>
      <c r="K1141" s="141"/>
      <c r="L1141" s="141"/>
      <c r="M1141" s="141"/>
      <c r="N1141" s="141"/>
      <c r="O1141" s="141"/>
      <c r="P1141" s="141"/>
      <c r="Q1141" s="141"/>
      <c r="R1141" s="141"/>
      <c r="S1141" s="141"/>
      <c r="T1141" s="141"/>
      <c r="U1141" s="141"/>
      <c r="V1141" s="141"/>
      <c r="W1141" s="141"/>
      <c r="X1141" s="141"/>
      <c r="Y1141" s="141"/>
      <c r="Z1141" s="141"/>
    </row>
    <row r="1142">
      <c r="A1142" s="141"/>
      <c r="B1142" s="141"/>
      <c r="C1142" s="141"/>
      <c r="D1142" s="141"/>
      <c r="E1142" s="141"/>
      <c r="F1142" s="141"/>
      <c r="G1142" s="141"/>
      <c r="H1142" s="141"/>
      <c r="I1142" s="141"/>
      <c r="J1142" s="141"/>
      <c r="K1142" s="141"/>
      <c r="L1142" s="141"/>
      <c r="M1142" s="141"/>
      <c r="N1142" s="141"/>
      <c r="O1142" s="141"/>
      <c r="P1142" s="141"/>
      <c r="Q1142" s="141"/>
      <c r="R1142" s="141"/>
      <c r="S1142" s="141"/>
      <c r="T1142" s="141"/>
      <c r="U1142" s="141"/>
      <c r="V1142" s="141"/>
      <c r="W1142" s="141"/>
      <c r="X1142" s="141"/>
      <c r="Y1142" s="141"/>
      <c r="Z1142" s="141"/>
    </row>
    <row r="1143">
      <c r="A1143" s="141"/>
      <c r="B1143" s="141"/>
      <c r="C1143" s="141"/>
      <c r="D1143" s="141"/>
      <c r="E1143" s="141"/>
      <c r="F1143" s="141"/>
      <c r="G1143" s="141"/>
      <c r="H1143" s="141"/>
      <c r="I1143" s="141"/>
      <c r="J1143" s="141"/>
      <c r="K1143" s="141"/>
      <c r="L1143" s="141"/>
      <c r="M1143" s="141"/>
      <c r="N1143" s="141"/>
      <c r="O1143" s="141"/>
      <c r="P1143" s="141"/>
      <c r="Q1143" s="141"/>
      <c r="R1143" s="141"/>
      <c r="S1143" s="141"/>
      <c r="T1143" s="141"/>
      <c r="U1143" s="141"/>
      <c r="V1143" s="141"/>
      <c r="W1143" s="141"/>
      <c r="X1143" s="141"/>
      <c r="Y1143" s="141"/>
      <c r="Z1143" s="141"/>
    </row>
    <row r="1144">
      <c r="A1144" s="141"/>
      <c r="B1144" s="141"/>
      <c r="C1144" s="141"/>
      <c r="D1144" s="141"/>
      <c r="E1144" s="141"/>
      <c r="F1144" s="141"/>
      <c r="G1144" s="141"/>
      <c r="H1144" s="141"/>
      <c r="I1144" s="141"/>
      <c r="J1144" s="141"/>
      <c r="K1144" s="141"/>
      <c r="L1144" s="141"/>
      <c r="M1144" s="141"/>
      <c r="N1144" s="141"/>
      <c r="O1144" s="141"/>
      <c r="P1144" s="141"/>
      <c r="Q1144" s="141"/>
      <c r="R1144" s="141"/>
      <c r="S1144" s="141"/>
      <c r="T1144" s="141"/>
      <c r="U1144" s="141"/>
      <c r="V1144" s="141"/>
      <c r="W1144" s="141"/>
      <c r="X1144" s="141"/>
      <c r="Y1144" s="141"/>
      <c r="Z1144" s="141"/>
    </row>
    <row r="1145">
      <c r="A1145" s="141"/>
      <c r="B1145" s="141"/>
      <c r="C1145" s="141"/>
      <c r="D1145" s="141"/>
      <c r="E1145" s="141"/>
      <c r="F1145" s="141"/>
      <c r="G1145" s="141"/>
      <c r="H1145" s="141"/>
      <c r="I1145" s="141"/>
      <c r="J1145" s="141"/>
      <c r="K1145" s="141"/>
      <c r="L1145" s="141"/>
      <c r="M1145" s="141"/>
      <c r="N1145" s="141"/>
      <c r="O1145" s="141"/>
      <c r="P1145" s="141"/>
      <c r="Q1145" s="141"/>
      <c r="R1145" s="141"/>
      <c r="S1145" s="141"/>
      <c r="T1145" s="141"/>
      <c r="U1145" s="141"/>
      <c r="V1145" s="141"/>
      <c r="W1145" s="141"/>
      <c r="X1145" s="141"/>
      <c r="Y1145" s="141"/>
      <c r="Z1145" s="141"/>
    </row>
    <row r="1146">
      <c r="A1146" s="141"/>
      <c r="B1146" s="141"/>
      <c r="C1146" s="141"/>
      <c r="D1146" s="141"/>
      <c r="E1146" s="141"/>
      <c r="F1146" s="141"/>
      <c r="G1146" s="141"/>
      <c r="H1146" s="141"/>
      <c r="I1146" s="141"/>
      <c r="J1146" s="141"/>
      <c r="K1146" s="141"/>
      <c r="L1146" s="141"/>
      <c r="M1146" s="141"/>
      <c r="N1146" s="141"/>
      <c r="O1146" s="141"/>
      <c r="P1146" s="141"/>
      <c r="Q1146" s="141"/>
      <c r="R1146" s="141"/>
      <c r="S1146" s="141"/>
      <c r="T1146" s="141"/>
      <c r="U1146" s="141"/>
      <c r="V1146" s="141"/>
      <c r="W1146" s="141"/>
      <c r="X1146" s="141"/>
      <c r="Y1146" s="141"/>
      <c r="Z1146" s="141"/>
    </row>
    <row r="1147">
      <c r="A1147" s="141"/>
      <c r="B1147" s="141"/>
      <c r="C1147" s="141"/>
      <c r="D1147" s="141"/>
      <c r="E1147" s="141"/>
      <c r="F1147" s="141"/>
      <c r="G1147" s="141"/>
      <c r="H1147" s="141"/>
      <c r="I1147" s="141"/>
      <c r="J1147" s="141"/>
      <c r="K1147" s="141"/>
      <c r="L1147" s="141"/>
      <c r="M1147" s="141"/>
      <c r="N1147" s="141"/>
      <c r="O1147" s="141"/>
      <c r="P1147" s="141"/>
      <c r="Q1147" s="141"/>
      <c r="R1147" s="141"/>
      <c r="S1147" s="141"/>
      <c r="T1147" s="141"/>
      <c r="U1147" s="141"/>
      <c r="V1147" s="141"/>
      <c r="W1147" s="141"/>
      <c r="X1147" s="141"/>
      <c r="Y1147" s="141"/>
      <c r="Z1147" s="141"/>
    </row>
    <row r="1148">
      <c r="A1148" s="141"/>
      <c r="B1148" s="141"/>
      <c r="C1148" s="141"/>
      <c r="D1148" s="141"/>
      <c r="E1148" s="141"/>
      <c r="F1148" s="141"/>
      <c r="G1148" s="141"/>
      <c r="H1148" s="141"/>
      <c r="I1148" s="141"/>
      <c r="J1148" s="141"/>
      <c r="K1148" s="141"/>
      <c r="L1148" s="141"/>
      <c r="M1148" s="141"/>
      <c r="N1148" s="141"/>
      <c r="O1148" s="141"/>
      <c r="P1148" s="141"/>
      <c r="Q1148" s="141"/>
      <c r="R1148" s="141"/>
      <c r="S1148" s="141"/>
      <c r="T1148" s="141"/>
      <c r="U1148" s="141"/>
      <c r="V1148" s="141"/>
      <c r="W1148" s="141"/>
      <c r="X1148" s="141"/>
      <c r="Y1148" s="141"/>
      <c r="Z1148" s="141"/>
    </row>
    <row r="1149">
      <c r="A1149" s="141"/>
      <c r="B1149" s="141"/>
      <c r="C1149" s="141"/>
      <c r="D1149" s="141"/>
      <c r="E1149" s="141"/>
      <c r="F1149" s="141"/>
      <c r="G1149" s="141"/>
      <c r="H1149" s="141"/>
      <c r="I1149" s="141"/>
      <c r="J1149" s="141"/>
      <c r="K1149" s="141"/>
      <c r="L1149" s="141"/>
      <c r="M1149" s="141"/>
      <c r="N1149" s="141"/>
      <c r="O1149" s="141"/>
      <c r="P1149" s="141"/>
      <c r="Q1149" s="141"/>
      <c r="R1149" s="141"/>
      <c r="S1149" s="141"/>
      <c r="T1149" s="141"/>
      <c r="U1149" s="141"/>
      <c r="V1149" s="141"/>
      <c r="W1149" s="141"/>
      <c r="X1149" s="141"/>
      <c r="Y1149" s="141"/>
      <c r="Z1149" s="141"/>
    </row>
    <row r="1150">
      <c r="A1150" s="141"/>
      <c r="B1150" s="141"/>
      <c r="C1150" s="141"/>
      <c r="D1150" s="141"/>
      <c r="E1150" s="141"/>
      <c r="F1150" s="141"/>
      <c r="G1150" s="141"/>
      <c r="H1150" s="141"/>
      <c r="I1150" s="141"/>
      <c r="J1150" s="141"/>
      <c r="K1150" s="141"/>
      <c r="L1150" s="141"/>
      <c r="M1150" s="141"/>
      <c r="N1150" s="141"/>
      <c r="O1150" s="141"/>
      <c r="P1150" s="141"/>
      <c r="Q1150" s="141"/>
      <c r="R1150" s="141"/>
      <c r="S1150" s="141"/>
      <c r="T1150" s="141"/>
      <c r="U1150" s="141"/>
      <c r="V1150" s="141"/>
      <c r="W1150" s="141"/>
      <c r="X1150" s="141"/>
      <c r="Y1150" s="141"/>
      <c r="Z1150" s="141"/>
    </row>
    <row r="1151">
      <c r="A1151" s="141"/>
      <c r="B1151" s="141"/>
      <c r="C1151" s="141"/>
      <c r="D1151" s="141"/>
      <c r="E1151" s="141"/>
      <c r="F1151" s="141"/>
      <c r="G1151" s="141"/>
      <c r="H1151" s="141"/>
      <c r="I1151" s="141"/>
      <c r="J1151" s="141"/>
      <c r="K1151" s="141"/>
      <c r="L1151" s="141"/>
      <c r="M1151" s="141"/>
      <c r="N1151" s="141"/>
      <c r="O1151" s="141"/>
      <c r="P1151" s="141"/>
      <c r="Q1151" s="141"/>
      <c r="R1151" s="141"/>
      <c r="S1151" s="141"/>
      <c r="T1151" s="141"/>
      <c r="U1151" s="141"/>
      <c r="V1151" s="141"/>
      <c r="W1151" s="141"/>
      <c r="X1151" s="141"/>
      <c r="Y1151" s="141"/>
      <c r="Z1151" s="141"/>
    </row>
    <row r="1152">
      <c r="A1152" s="141"/>
      <c r="B1152" s="141"/>
      <c r="C1152" s="141"/>
      <c r="D1152" s="141"/>
      <c r="E1152" s="141"/>
      <c r="F1152" s="141"/>
      <c r="G1152" s="141"/>
      <c r="H1152" s="141"/>
      <c r="I1152" s="141"/>
      <c r="J1152" s="141"/>
      <c r="K1152" s="141"/>
      <c r="L1152" s="141"/>
      <c r="M1152" s="141"/>
      <c r="N1152" s="141"/>
      <c r="O1152" s="141"/>
      <c r="P1152" s="141"/>
      <c r="Q1152" s="141"/>
      <c r="R1152" s="141"/>
      <c r="S1152" s="141"/>
      <c r="T1152" s="141"/>
      <c r="U1152" s="141"/>
      <c r="V1152" s="141"/>
      <c r="W1152" s="141"/>
      <c r="X1152" s="141"/>
      <c r="Y1152" s="141"/>
      <c r="Z1152" s="141"/>
    </row>
    <row r="1153">
      <c r="A1153" s="141"/>
      <c r="B1153" s="141"/>
      <c r="C1153" s="141"/>
      <c r="D1153" s="141"/>
      <c r="E1153" s="141"/>
      <c r="F1153" s="141"/>
      <c r="G1153" s="141"/>
      <c r="H1153" s="141"/>
      <c r="I1153" s="141"/>
      <c r="J1153" s="141"/>
      <c r="K1153" s="141"/>
      <c r="L1153" s="141"/>
      <c r="M1153" s="141"/>
      <c r="N1153" s="141"/>
      <c r="O1153" s="141"/>
      <c r="P1153" s="141"/>
      <c r="Q1153" s="141"/>
      <c r="R1153" s="141"/>
      <c r="S1153" s="141"/>
      <c r="T1153" s="141"/>
      <c r="U1153" s="141"/>
      <c r="V1153" s="141"/>
      <c r="W1153" s="141"/>
      <c r="X1153" s="141"/>
      <c r="Y1153" s="141"/>
      <c r="Z1153" s="141"/>
    </row>
    <row r="1154">
      <c r="A1154" s="141"/>
      <c r="B1154" s="141"/>
      <c r="C1154" s="141"/>
      <c r="D1154" s="141"/>
      <c r="E1154" s="141"/>
      <c r="F1154" s="141"/>
      <c r="G1154" s="141"/>
      <c r="H1154" s="141"/>
      <c r="I1154" s="141"/>
      <c r="J1154" s="141"/>
      <c r="K1154" s="141"/>
      <c r="L1154" s="141"/>
      <c r="M1154" s="141"/>
      <c r="N1154" s="141"/>
      <c r="O1154" s="141"/>
      <c r="P1154" s="141"/>
      <c r="Q1154" s="141"/>
      <c r="R1154" s="141"/>
      <c r="S1154" s="141"/>
      <c r="T1154" s="141"/>
      <c r="U1154" s="141"/>
      <c r="V1154" s="141"/>
      <c r="W1154" s="141"/>
      <c r="X1154" s="141"/>
      <c r="Y1154" s="141"/>
      <c r="Z1154" s="141"/>
    </row>
    <row r="1155">
      <c r="A1155" s="141"/>
      <c r="B1155" s="141"/>
      <c r="C1155" s="141"/>
      <c r="D1155" s="141"/>
      <c r="E1155" s="141"/>
      <c r="F1155" s="141"/>
      <c r="G1155" s="141"/>
      <c r="H1155" s="141"/>
      <c r="I1155" s="141"/>
      <c r="J1155" s="141"/>
      <c r="K1155" s="141"/>
      <c r="L1155" s="141"/>
      <c r="M1155" s="141"/>
      <c r="N1155" s="141"/>
      <c r="O1155" s="141"/>
      <c r="P1155" s="141"/>
      <c r="Q1155" s="141"/>
      <c r="R1155" s="141"/>
      <c r="S1155" s="141"/>
      <c r="T1155" s="141"/>
      <c r="U1155" s="141"/>
      <c r="V1155" s="141"/>
      <c r="W1155" s="141"/>
      <c r="X1155" s="141"/>
      <c r="Y1155" s="141"/>
      <c r="Z1155" s="141"/>
    </row>
    <row r="1156">
      <c r="A1156" s="141"/>
      <c r="B1156" s="141"/>
      <c r="C1156" s="141"/>
      <c r="D1156" s="141"/>
      <c r="E1156" s="141"/>
      <c r="F1156" s="141"/>
      <c r="G1156" s="141"/>
      <c r="H1156" s="141"/>
      <c r="I1156" s="141"/>
      <c r="J1156" s="141"/>
      <c r="K1156" s="141"/>
      <c r="L1156" s="141"/>
      <c r="M1156" s="141"/>
      <c r="N1156" s="141"/>
      <c r="O1156" s="141"/>
      <c r="P1156" s="141"/>
      <c r="Q1156" s="141"/>
      <c r="R1156" s="141"/>
      <c r="S1156" s="141"/>
      <c r="T1156" s="141"/>
      <c r="U1156" s="141"/>
      <c r="V1156" s="141"/>
      <c r="W1156" s="141"/>
      <c r="X1156" s="141"/>
      <c r="Y1156" s="141"/>
      <c r="Z1156" s="141"/>
    </row>
    <row r="1157">
      <c r="A1157" s="141"/>
      <c r="B1157" s="141"/>
      <c r="C1157" s="141"/>
      <c r="D1157" s="141"/>
      <c r="E1157" s="141"/>
      <c r="F1157" s="141"/>
      <c r="G1157" s="141"/>
      <c r="H1157" s="141"/>
      <c r="I1157" s="141"/>
      <c r="J1157" s="141"/>
      <c r="K1157" s="141"/>
      <c r="L1157" s="141"/>
      <c r="M1157" s="141"/>
      <c r="N1157" s="141"/>
      <c r="O1157" s="141"/>
      <c r="P1157" s="141"/>
      <c r="Q1157" s="141"/>
      <c r="R1157" s="141"/>
      <c r="S1157" s="141"/>
      <c r="T1157" s="141"/>
      <c r="U1157" s="141"/>
      <c r="V1157" s="141"/>
      <c r="W1157" s="141"/>
      <c r="X1157" s="141"/>
      <c r="Y1157" s="141"/>
      <c r="Z1157" s="141"/>
    </row>
    <row r="1158">
      <c r="A1158" s="141"/>
      <c r="B1158" s="141"/>
      <c r="C1158" s="141"/>
      <c r="D1158" s="141"/>
      <c r="E1158" s="141"/>
      <c r="F1158" s="141"/>
      <c r="G1158" s="141"/>
      <c r="H1158" s="141"/>
      <c r="I1158" s="141"/>
      <c r="J1158" s="141"/>
      <c r="K1158" s="141"/>
      <c r="L1158" s="141"/>
      <c r="M1158" s="141"/>
      <c r="N1158" s="141"/>
      <c r="O1158" s="141"/>
      <c r="P1158" s="141"/>
      <c r="Q1158" s="141"/>
      <c r="R1158" s="141"/>
      <c r="S1158" s="141"/>
      <c r="T1158" s="141"/>
      <c r="U1158" s="141"/>
      <c r="V1158" s="141"/>
      <c r="W1158" s="141"/>
      <c r="X1158" s="141"/>
      <c r="Y1158" s="141"/>
      <c r="Z1158" s="141"/>
    </row>
    <row r="1159">
      <c r="A1159" s="141"/>
      <c r="B1159" s="141"/>
      <c r="C1159" s="141"/>
      <c r="D1159" s="141"/>
      <c r="E1159" s="141"/>
      <c r="F1159" s="141"/>
      <c r="G1159" s="141"/>
      <c r="H1159" s="141"/>
      <c r="I1159" s="141"/>
      <c r="J1159" s="141"/>
      <c r="K1159" s="141"/>
      <c r="L1159" s="141"/>
      <c r="M1159" s="141"/>
      <c r="N1159" s="141"/>
      <c r="O1159" s="141"/>
      <c r="P1159" s="141"/>
      <c r="Q1159" s="141"/>
      <c r="R1159" s="141"/>
      <c r="S1159" s="141"/>
      <c r="T1159" s="141"/>
      <c r="U1159" s="141"/>
      <c r="V1159" s="141"/>
      <c r="W1159" s="141"/>
      <c r="X1159" s="141"/>
      <c r="Y1159" s="141"/>
      <c r="Z1159" s="141"/>
    </row>
    <row r="1160">
      <c r="A1160" s="141"/>
      <c r="B1160" s="141"/>
      <c r="C1160" s="141"/>
      <c r="D1160" s="141"/>
      <c r="E1160" s="141"/>
      <c r="F1160" s="141"/>
      <c r="G1160" s="141"/>
      <c r="H1160" s="141"/>
      <c r="I1160" s="141"/>
      <c r="J1160" s="141"/>
      <c r="K1160" s="141"/>
      <c r="L1160" s="141"/>
      <c r="M1160" s="141"/>
      <c r="N1160" s="141"/>
      <c r="O1160" s="141"/>
      <c r="P1160" s="141"/>
      <c r="Q1160" s="141"/>
      <c r="R1160" s="141"/>
      <c r="S1160" s="141"/>
      <c r="T1160" s="141"/>
      <c r="U1160" s="141"/>
      <c r="V1160" s="141"/>
      <c r="W1160" s="141"/>
      <c r="X1160" s="141"/>
      <c r="Y1160" s="141"/>
      <c r="Z1160" s="141"/>
    </row>
    <row r="1161">
      <c r="A1161" s="141"/>
      <c r="B1161" s="141"/>
      <c r="C1161" s="141"/>
      <c r="D1161" s="141"/>
      <c r="E1161" s="141"/>
      <c r="F1161" s="141"/>
      <c r="G1161" s="141"/>
      <c r="H1161" s="141"/>
      <c r="I1161" s="141"/>
      <c r="J1161" s="141"/>
      <c r="K1161" s="141"/>
      <c r="L1161" s="141"/>
      <c r="M1161" s="141"/>
      <c r="N1161" s="141"/>
      <c r="O1161" s="141"/>
      <c r="P1161" s="141"/>
      <c r="Q1161" s="141"/>
      <c r="R1161" s="141"/>
      <c r="S1161" s="141"/>
      <c r="T1161" s="141"/>
      <c r="U1161" s="141"/>
      <c r="V1161" s="141"/>
      <c r="W1161" s="141"/>
      <c r="X1161" s="141"/>
      <c r="Y1161" s="141"/>
      <c r="Z1161" s="141"/>
    </row>
    <row r="1162">
      <c r="A1162" s="141"/>
      <c r="B1162" s="141"/>
      <c r="C1162" s="141"/>
      <c r="D1162" s="141"/>
      <c r="E1162" s="141"/>
      <c r="F1162" s="141"/>
      <c r="G1162" s="141"/>
      <c r="H1162" s="141"/>
      <c r="I1162" s="141"/>
      <c r="J1162" s="141"/>
      <c r="K1162" s="141"/>
      <c r="L1162" s="141"/>
      <c r="M1162" s="141"/>
      <c r="N1162" s="141"/>
      <c r="O1162" s="141"/>
      <c r="P1162" s="141"/>
      <c r="Q1162" s="141"/>
      <c r="R1162" s="141"/>
      <c r="S1162" s="141"/>
      <c r="T1162" s="141"/>
      <c r="U1162" s="141"/>
      <c r="V1162" s="141"/>
      <c r="W1162" s="141"/>
      <c r="X1162" s="141"/>
      <c r="Y1162" s="141"/>
      <c r="Z1162" s="141"/>
    </row>
    <row r="1163">
      <c r="A1163" s="141"/>
      <c r="B1163" s="141"/>
      <c r="C1163" s="141"/>
      <c r="D1163" s="141"/>
      <c r="E1163" s="141"/>
      <c r="F1163" s="141"/>
      <c r="G1163" s="141"/>
      <c r="H1163" s="141"/>
      <c r="I1163" s="141"/>
      <c r="J1163" s="141"/>
      <c r="K1163" s="141"/>
      <c r="L1163" s="141"/>
      <c r="M1163" s="141"/>
      <c r="N1163" s="141"/>
      <c r="O1163" s="141"/>
      <c r="P1163" s="141"/>
      <c r="Q1163" s="141"/>
      <c r="R1163" s="141"/>
      <c r="S1163" s="141"/>
      <c r="T1163" s="141"/>
      <c r="U1163" s="141"/>
      <c r="V1163" s="141"/>
      <c r="W1163" s="141"/>
      <c r="X1163" s="141"/>
      <c r="Y1163" s="141"/>
      <c r="Z1163" s="141"/>
    </row>
    <row r="1164">
      <c r="A1164" s="141"/>
      <c r="B1164" s="141"/>
      <c r="C1164" s="141"/>
      <c r="D1164" s="141"/>
      <c r="E1164" s="141"/>
      <c r="F1164" s="141"/>
      <c r="G1164" s="141"/>
      <c r="H1164" s="141"/>
      <c r="I1164" s="141"/>
      <c r="J1164" s="141"/>
      <c r="K1164" s="141"/>
      <c r="L1164" s="141"/>
      <c r="M1164" s="141"/>
      <c r="N1164" s="141"/>
      <c r="O1164" s="141"/>
      <c r="P1164" s="141"/>
      <c r="Q1164" s="141"/>
      <c r="R1164" s="141"/>
      <c r="S1164" s="141"/>
      <c r="T1164" s="141"/>
      <c r="U1164" s="141"/>
      <c r="V1164" s="141"/>
      <c r="W1164" s="141"/>
      <c r="X1164" s="141"/>
      <c r="Y1164" s="141"/>
      <c r="Z1164" s="141"/>
    </row>
    <row r="1165">
      <c r="A1165" s="141"/>
      <c r="B1165" s="141"/>
      <c r="C1165" s="141"/>
      <c r="D1165" s="141"/>
      <c r="E1165" s="141"/>
      <c r="F1165" s="141"/>
      <c r="G1165" s="141"/>
      <c r="H1165" s="141"/>
      <c r="I1165" s="141"/>
      <c r="J1165" s="141"/>
      <c r="K1165" s="141"/>
      <c r="L1165" s="141"/>
      <c r="M1165" s="141"/>
      <c r="N1165" s="141"/>
      <c r="O1165" s="141"/>
      <c r="P1165" s="141"/>
      <c r="Q1165" s="141"/>
      <c r="R1165" s="141"/>
      <c r="S1165" s="141"/>
      <c r="T1165" s="141"/>
      <c r="U1165" s="141"/>
      <c r="V1165" s="141"/>
      <c r="W1165" s="141"/>
      <c r="X1165" s="141"/>
      <c r="Y1165" s="141"/>
      <c r="Z1165" s="141"/>
    </row>
    <row r="1166">
      <c r="A1166" s="141"/>
      <c r="B1166" s="141"/>
      <c r="C1166" s="141"/>
      <c r="D1166" s="141"/>
      <c r="E1166" s="141"/>
      <c r="F1166" s="141"/>
      <c r="G1166" s="141"/>
      <c r="H1166" s="141"/>
      <c r="I1166" s="141"/>
      <c r="J1166" s="141"/>
      <c r="K1166" s="141"/>
      <c r="L1166" s="141"/>
      <c r="M1166" s="141"/>
      <c r="N1166" s="141"/>
      <c r="O1166" s="141"/>
      <c r="P1166" s="141"/>
      <c r="Q1166" s="141"/>
      <c r="R1166" s="141"/>
      <c r="S1166" s="141"/>
      <c r="T1166" s="141"/>
      <c r="U1166" s="141"/>
      <c r="V1166" s="141"/>
      <c r="W1166" s="141"/>
      <c r="X1166" s="141"/>
      <c r="Y1166" s="141"/>
      <c r="Z1166" s="141"/>
    </row>
    <row r="1167">
      <c r="A1167" s="141"/>
      <c r="B1167" s="141"/>
      <c r="C1167" s="141"/>
      <c r="D1167" s="141"/>
      <c r="E1167" s="141"/>
      <c r="F1167" s="141"/>
      <c r="G1167" s="141"/>
      <c r="H1167" s="141"/>
      <c r="I1167" s="141"/>
      <c r="J1167" s="141"/>
      <c r="K1167" s="141"/>
      <c r="L1167" s="141"/>
      <c r="M1167" s="141"/>
      <c r="N1167" s="141"/>
      <c r="O1167" s="141"/>
      <c r="P1167" s="141"/>
      <c r="Q1167" s="141"/>
      <c r="R1167" s="141"/>
      <c r="S1167" s="141"/>
      <c r="T1167" s="141"/>
      <c r="U1167" s="141"/>
      <c r="V1167" s="141"/>
      <c r="W1167" s="141"/>
      <c r="X1167" s="141"/>
      <c r="Y1167" s="141"/>
      <c r="Z1167" s="141"/>
    </row>
    <row r="1168">
      <c r="A1168" s="141"/>
      <c r="B1168" s="141"/>
      <c r="C1168" s="141"/>
      <c r="D1168" s="141"/>
      <c r="E1168" s="141"/>
      <c r="F1168" s="141"/>
      <c r="G1168" s="141"/>
      <c r="H1168" s="141"/>
      <c r="I1168" s="141"/>
      <c r="J1168" s="141"/>
      <c r="K1168" s="141"/>
      <c r="L1168" s="141"/>
      <c r="M1168" s="141"/>
      <c r="N1168" s="141"/>
      <c r="O1168" s="141"/>
      <c r="P1168" s="141"/>
      <c r="Q1168" s="141"/>
      <c r="R1168" s="141"/>
      <c r="S1168" s="141"/>
      <c r="T1168" s="141"/>
      <c r="U1168" s="141"/>
      <c r="V1168" s="141"/>
      <c r="W1168" s="141"/>
      <c r="X1168" s="141"/>
      <c r="Y1168" s="141"/>
      <c r="Z1168" s="141"/>
    </row>
    <row r="1169">
      <c r="A1169" s="141"/>
      <c r="B1169" s="141"/>
      <c r="C1169" s="141"/>
      <c r="D1169" s="141"/>
      <c r="E1169" s="141"/>
      <c r="F1169" s="141"/>
      <c r="G1169" s="141"/>
      <c r="H1169" s="141"/>
      <c r="I1169" s="141"/>
      <c r="J1169" s="141"/>
      <c r="K1169" s="141"/>
      <c r="L1169" s="141"/>
      <c r="M1169" s="141"/>
      <c r="N1169" s="141"/>
      <c r="O1169" s="141"/>
      <c r="P1169" s="141"/>
      <c r="Q1169" s="141"/>
      <c r="R1169" s="141"/>
      <c r="S1169" s="141"/>
      <c r="T1169" s="141"/>
      <c r="U1169" s="141"/>
      <c r="V1169" s="141"/>
      <c r="W1169" s="141"/>
      <c r="X1169" s="141"/>
      <c r="Y1169" s="141"/>
      <c r="Z1169" s="141"/>
    </row>
    <row r="1170">
      <c r="A1170" s="141"/>
      <c r="B1170" s="141"/>
      <c r="C1170" s="141"/>
      <c r="D1170" s="141"/>
      <c r="E1170" s="141"/>
      <c r="F1170" s="141"/>
      <c r="G1170" s="141"/>
      <c r="H1170" s="141"/>
      <c r="I1170" s="141"/>
      <c r="J1170" s="141"/>
      <c r="K1170" s="141"/>
      <c r="L1170" s="141"/>
      <c r="M1170" s="141"/>
      <c r="N1170" s="141"/>
      <c r="O1170" s="141"/>
      <c r="P1170" s="141"/>
      <c r="Q1170" s="141"/>
      <c r="R1170" s="141"/>
      <c r="S1170" s="141"/>
      <c r="T1170" s="141"/>
      <c r="U1170" s="141"/>
      <c r="V1170" s="141"/>
      <c r="W1170" s="141"/>
      <c r="X1170" s="141"/>
      <c r="Y1170" s="141"/>
      <c r="Z1170" s="141"/>
    </row>
    <row r="1171">
      <c r="A1171" s="141"/>
      <c r="B1171" s="141"/>
      <c r="C1171" s="141"/>
      <c r="D1171" s="141"/>
      <c r="E1171" s="141"/>
      <c r="F1171" s="141"/>
      <c r="G1171" s="141"/>
      <c r="H1171" s="141"/>
      <c r="I1171" s="141"/>
      <c r="J1171" s="141"/>
      <c r="K1171" s="141"/>
      <c r="L1171" s="141"/>
      <c r="M1171" s="141"/>
      <c r="N1171" s="141"/>
      <c r="O1171" s="141"/>
      <c r="P1171" s="141"/>
      <c r="Q1171" s="141"/>
      <c r="R1171" s="141"/>
      <c r="S1171" s="141"/>
      <c r="T1171" s="141"/>
      <c r="U1171" s="141"/>
      <c r="V1171" s="141"/>
      <c r="W1171" s="141"/>
      <c r="X1171" s="141"/>
      <c r="Y1171" s="141"/>
      <c r="Z1171" s="141"/>
    </row>
    <row r="1172">
      <c r="A1172" s="141"/>
      <c r="B1172" s="141"/>
      <c r="C1172" s="141"/>
      <c r="D1172" s="141"/>
      <c r="E1172" s="141"/>
      <c r="F1172" s="141"/>
      <c r="G1172" s="141"/>
      <c r="H1172" s="141"/>
      <c r="I1172" s="141"/>
      <c r="J1172" s="141"/>
      <c r="K1172" s="141"/>
      <c r="L1172" s="141"/>
      <c r="M1172" s="141"/>
      <c r="N1172" s="141"/>
      <c r="O1172" s="141"/>
      <c r="P1172" s="141"/>
      <c r="Q1172" s="141"/>
      <c r="R1172" s="141"/>
      <c r="S1172" s="141"/>
      <c r="T1172" s="141"/>
      <c r="U1172" s="141"/>
      <c r="V1172" s="141"/>
      <c r="W1172" s="141"/>
      <c r="X1172" s="141"/>
      <c r="Y1172" s="141"/>
      <c r="Z1172" s="141"/>
    </row>
    <row r="1173">
      <c r="A1173" s="141"/>
      <c r="B1173" s="141"/>
      <c r="C1173" s="141"/>
      <c r="D1173" s="141"/>
      <c r="E1173" s="141"/>
      <c r="F1173" s="141"/>
      <c r="G1173" s="141"/>
      <c r="H1173" s="141"/>
      <c r="I1173" s="141"/>
      <c r="J1173" s="141"/>
      <c r="K1173" s="141"/>
      <c r="L1173" s="141"/>
      <c r="M1173" s="141"/>
      <c r="N1173" s="141"/>
      <c r="O1173" s="141"/>
      <c r="P1173" s="141"/>
      <c r="Q1173" s="141"/>
      <c r="R1173" s="141"/>
      <c r="S1173" s="141"/>
      <c r="T1173" s="141"/>
      <c r="U1173" s="141"/>
      <c r="V1173" s="141"/>
      <c r="W1173" s="141"/>
      <c r="X1173" s="141"/>
      <c r="Y1173" s="141"/>
      <c r="Z1173" s="141"/>
    </row>
    <row r="1174">
      <c r="A1174" s="141"/>
      <c r="B1174" s="141"/>
      <c r="C1174" s="141"/>
      <c r="D1174" s="141"/>
      <c r="E1174" s="141"/>
      <c r="F1174" s="141"/>
      <c r="G1174" s="141"/>
      <c r="H1174" s="141"/>
      <c r="I1174" s="141"/>
      <c r="J1174" s="141"/>
      <c r="K1174" s="141"/>
      <c r="L1174" s="141"/>
      <c r="M1174" s="141"/>
      <c r="N1174" s="141"/>
      <c r="O1174" s="141"/>
      <c r="P1174" s="141"/>
      <c r="Q1174" s="141"/>
      <c r="R1174" s="141"/>
      <c r="S1174" s="141"/>
      <c r="T1174" s="141"/>
      <c r="U1174" s="141"/>
      <c r="V1174" s="141"/>
      <c r="W1174" s="141"/>
      <c r="X1174" s="141"/>
      <c r="Y1174" s="141"/>
      <c r="Z1174" s="141"/>
    </row>
    <row r="1175">
      <c r="A1175" s="141"/>
      <c r="B1175" s="141"/>
      <c r="C1175" s="141"/>
      <c r="D1175" s="141"/>
      <c r="E1175" s="141"/>
      <c r="F1175" s="141"/>
      <c r="G1175" s="141"/>
      <c r="H1175" s="141"/>
      <c r="I1175" s="141"/>
      <c r="J1175" s="141"/>
      <c r="K1175" s="141"/>
      <c r="L1175" s="141"/>
      <c r="M1175" s="141"/>
      <c r="N1175" s="141"/>
      <c r="O1175" s="141"/>
      <c r="P1175" s="141"/>
      <c r="Q1175" s="141"/>
      <c r="R1175" s="141"/>
      <c r="S1175" s="141"/>
      <c r="T1175" s="141"/>
      <c r="U1175" s="141"/>
      <c r="V1175" s="141"/>
      <c r="W1175" s="141"/>
      <c r="X1175" s="141"/>
      <c r="Y1175" s="141"/>
      <c r="Z1175" s="141"/>
    </row>
    <row r="1176">
      <c r="A1176" s="141"/>
      <c r="B1176" s="141"/>
      <c r="C1176" s="141"/>
      <c r="D1176" s="141"/>
      <c r="E1176" s="141"/>
      <c r="F1176" s="141"/>
      <c r="G1176" s="141"/>
      <c r="H1176" s="141"/>
      <c r="I1176" s="141"/>
      <c r="J1176" s="141"/>
      <c r="K1176" s="141"/>
      <c r="L1176" s="141"/>
      <c r="M1176" s="141"/>
      <c r="N1176" s="141"/>
      <c r="O1176" s="141"/>
      <c r="P1176" s="141"/>
      <c r="Q1176" s="141"/>
      <c r="R1176" s="141"/>
      <c r="S1176" s="141"/>
      <c r="T1176" s="141"/>
      <c r="U1176" s="141"/>
      <c r="V1176" s="141"/>
      <c r="W1176" s="141"/>
      <c r="X1176" s="141"/>
      <c r="Y1176" s="141"/>
      <c r="Z1176" s="141"/>
    </row>
    <row r="1177">
      <c r="A1177" s="141"/>
      <c r="B1177" s="141"/>
      <c r="C1177" s="141"/>
      <c r="D1177" s="141"/>
      <c r="E1177" s="141"/>
      <c r="F1177" s="141"/>
      <c r="G1177" s="141"/>
      <c r="H1177" s="141"/>
      <c r="I1177" s="141"/>
      <c r="J1177" s="141"/>
      <c r="K1177" s="141"/>
      <c r="L1177" s="141"/>
      <c r="M1177" s="141"/>
      <c r="N1177" s="141"/>
      <c r="O1177" s="141"/>
      <c r="P1177" s="141"/>
      <c r="Q1177" s="141"/>
      <c r="R1177" s="141"/>
      <c r="S1177" s="141"/>
      <c r="T1177" s="141"/>
      <c r="U1177" s="141"/>
      <c r="V1177" s="141"/>
      <c r="W1177" s="141"/>
      <c r="X1177" s="141"/>
      <c r="Y1177" s="141"/>
      <c r="Z1177" s="141"/>
    </row>
    <row r="1178">
      <c r="A1178" s="141"/>
      <c r="B1178" s="141"/>
      <c r="C1178" s="141"/>
      <c r="D1178" s="141"/>
      <c r="E1178" s="141"/>
      <c r="F1178" s="141"/>
      <c r="G1178" s="141"/>
      <c r="H1178" s="141"/>
      <c r="I1178" s="141"/>
      <c r="J1178" s="141"/>
      <c r="K1178" s="141"/>
      <c r="L1178" s="141"/>
      <c r="M1178" s="141"/>
      <c r="N1178" s="141"/>
      <c r="O1178" s="141"/>
      <c r="P1178" s="141"/>
      <c r="Q1178" s="141"/>
      <c r="R1178" s="141"/>
      <c r="S1178" s="141"/>
      <c r="T1178" s="141"/>
      <c r="U1178" s="141"/>
      <c r="V1178" s="141"/>
      <c r="W1178" s="141"/>
      <c r="X1178" s="141"/>
      <c r="Y1178" s="141"/>
      <c r="Z1178" s="141"/>
    </row>
    <row r="1179">
      <c r="A1179" s="141"/>
      <c r="B1179" s="141"/>
      <c r="C1179" s="141"/>
      <c r="D1179" s="141"/>
      <c r="E1179" s="141"/>
      <c r="F1179" s="141"/>
      <c r="G1179" s="141"/>
      <c r="H1179" s="141"/>
      <c r="I1179" s="141"/>
      <c r="J1179" s="141"/>
      <c r="K1179" s="141"/>
      <c r="L1179" s="141"/>
      <c r="M1179" s="141"/>
      <c r="N1179" s="141"/>
      <c r="O1179" s="141"/>
      <c r="P1179" s="141"/>
      <c r="Q1179" s="141"/>
      <c r="R1179" s="141"/>
      <c r="S1179" s="141"/>
      <c r="T1179" s="141"/>
      <c r="U1179" s="141"/>
      <c r="V1179" s="141"/>
      <c r="W1179" s="141"/>
      <c r="X1179" s="141"/>
      <c r="Y1179" s="141"/>
      <c r="Z1179" s="141"/>
    </row>
    <row r="1180">
      <c r="A1180" s="141"/>
      <c r="B1180" s="141"/>
      <c r="C1180" s="141"/>
      <c r="D1180" s="141"/>
      <c r="E1180" s="141"/>
      <c r="F1180" s="141"/>
      <c r="G1180" s="141"/>
      <c r="H1180" s="141"/>
      <c r="I1180" s="141"/>
      <c r="J1180" s="141"/>
      <c r="K1180" s="141"/>
      <c r="L1180" s="141"/>
      <c r="M1180" s="141"/>
      <c r="N1180" s="141"/>
      <c r="O1180" s="141"/>
      <c r="P1180" s="141"/>
      <c r="Q1180" s="141"/>
      <c r="R1180" s="141"/>
      <c r="S1180" s="141"/>
      <c r="T1180" s="141"/>
      <c r="U1180" s="141"/>
      <c r="V1180" s="141"/>
      <c r="W1180" s="141"/>
      <c r="X1180" s="141"/>
      <c r="Y1180" s="141"/>
      <c r="Z1180" s="141"/>
    </row>
    <row r="1181">
      <c r="A1181" s="141"/>
      <c r="B1181" s="141"/>
      <c r="C1181" s="141"/>
      <c r="D1181" s="141"/>
      <c r="E1181" s="141"/>
      <c r="F1181" s="141"/>
      <c r="G1181" s="141"/>
      <c r="H1181" s="141"/>
      <c r="I1181" s="141"/>
      <c r="J1181" s="141"/>
      <c r="K1181" s="141"/>
      <c r="L1181" s="141"/>
      <c r="M1181" s="141"/>
      <c r="N1181" s="141"/>
      <c r="O1181" s="141"/>
      <c r="P1181" s="141"/>
      <c r="Q1181" s="141"/>
      <c r="R1181" s="141"/>
      <c r="S1181" s="141"/>
      <c r="T1181" s="141"/>
      <c r="U1181" s="141"/>
      <c r="V1181" s="141"/>
      <c r="W1181" s="141"/>
      <c r="X1181" s="141"/>
      <c r="Y1181" s="141"/>
      <c r="Z1181" s="141"/>
    </row>
    <row r="1182">
      <c r="A1182" s="141"/>
      <c r="B1182" s="141"/>
      <c r="C1182" s="141"/>
      <c r="D1182" s="141"/>
      <c r="E1182" s="141"/>
      <c r="F1182" s="141"/>
      <c r="G1182" s="141"/>
      <c r="H1182" s="141"/>
      <c r="I1182" s="141"/>
      <c r="J1182" s="141"/>
      <c r="K1182" s="141"/>
      <c r="L1182" s="141"/>
      <c r="M1182" s="141"/>
      <c r="N1182" s="141"/>
      <c r="O1182" s="141"/>
      <c r="P1182" s="141"/>
      <c r="Q1182" s="141"/>
      <c r="R1182" s="141"/>
      <c r="S1182" s="141"/>
      <c r="T1182" s="141"/>
      <c r="U1182" s="141"/>
      <c r="V1182" s="141"/>
      <c r="W1182" s="141"/>
      <c r="X1182" s="141"/>
      <c r="Y1182" s="141"/>
      <c r="Z1182" s="141"/>
    </row>
    <row r="1183">
      <c r="A1183" s="141"/>
      <c r="B1183" s="141"/>
      <c r="C1183" s="141"/>
      <c r="D1183" s="141"/>
      <c r="E1183" s="141"/>
      <c r="F1183" s="141"/>
      <c r="G1183" s="141"/>
      <c r="H1183" s="141"/>
      <c r="I1183" s="141"/>
      <c r="J1183" s="141"/>
      <c r="K1183" s="141"/>
      <c r="L1183" s="141"/>
      <c r="M1183" s="141"/>
      <c r="N1183" s="141"/>
      <c r="O1183" s="141"/>
      <c r="P1183" s="141"/>
      <c r="Q1183" s="141"/>
      <c r="R1183" s="141"/>
      <c r="S1183" s="141"/>
      <c r="T1183" s="141"/>
      <c r="U1183" s="141"/>
      <c r="V1183" s="141"/>
      <c r="W1183" s="141"/>
      <c r="X1183" s="141"/>
      <c r="Y1183" s="141"/>
      <c r="Z1183" s="141"/>
    </row>
    <row r="1184">
      <c r="A1184" s="141"/>
      <c r="B1184" s="141"/>
      <c r="C1184" s="141"/>
      <c r="D1184" s="141"/>
      <c r="E1184" s="141"/>
      <c r="F1184" s="141"/>
      <c r="G1184" s="141"/>
      <c r="H1184" s="141"/>
      <c r="I1184" s="141"/>
      <c r="J1184" s="141"/>
      <c r="K1184" s="141"/>
      <c r="L1184" s="141"/>
      <c r="M1184" s="141"/>
      <c r="N1184" s="141"/>
      <c r="O1184" s="141"/>
      <c r="P1184" s="141"/>
      <c r="Q1184" s="141"/>
      <c r="R1184" s="141"/>
      <c r="S1184" s="141"/>
      <c r="T1184" s="141"/>
      <c r="U1184" s="141"/>
      <c r="V1184" s="141"/>
      <c r="W1184" s="141"/>
      <c r="X1184" s="141"/>
      <c r="Y1184" s="141"/>
      <c r="Z1184" s="141"/>
    </row>
    <row r="1185">
      <c r="A1185" s="141"/>
      <c r="B1185" s="141"/>
      <c r="C1185" s="141"/>
      <c r="D1185" s="141"/>
      <c r="E1185" s="141"/>
      <c r="F1185" s="141"/>
      <c r="G1185" s="141"/>
      <c r="H1185" s="141"/>
      <c r="I1185" s="141"/>
      <c r="J1185" s="141"/>
      <c r="K1185" s="141"/>
      <c r="L1185" s="141"/>
      <c r="M1185" s="141"/>
      <c r="N1185" s="141"/>
      <c r="O1185" s="141"/>
      <c r="P1185" s="141"/>
      <c r="Q1185" s="141"/>
      <c r="R1185" s="141"/>
      <c r="S1185" s="141"/>
      <c r="T1185" s="141"/>
      <c r="U1185" s="141"/>
      <c r="V1185" s="141"/>
      <c r="W1185" s="141"/>
      <c r="X1185" s="141"/>
      <c r="Y1185" s="141"/>
      <c r="Z1185" s="141"/>
    </row>
    <row r="1186">
      <c r="A1186" s="141"/>
      <c r="B1186" s="141"/>
      <c r="C1186" s="141"/>
      <c r="D1186" s="141"/>
      <c r="E1186" s="141"/>
      <c r="F1186" s="141"/>
      <c r="G1186" s="141"/>
      <c r="H1186" s="141"/>
      <c r="I1186" s="141"/>
      <c r="J1186" s="141"/>
      <c r="K1186" s="141"/>
      <c r="L1186" s="141"/>
      <c r="M1186" s="141"/>
      <c r="N1186" s="141"/>
      <c r="O1186" s="141"/>
      <c r="P1186" s="141"/>
      <c r="Q1186" s="141"/>
      <c r="R1186" s="141"/>
      <c r="S1186" s="141"/>
      <c r="T1186" s="141"/>
      <c r="U1186" s="141"/>
      <c r="V1186" s="141"/>
      <c r="W1186" s="141"/>
      <c r="X1186" s="141"/>
      <c r="Y1186" s="141"/>
      <c r="Z1186" s="141"/>
    </row>
    <row r="1187">
      <c r="A1187" s="141"/>
      <c r="B1187" s="141"/>
      <c r="C1187" s="141"/>
      <c r="D1187" s="141"/>
      <c r="E1187" s="141"/>
      <c r="F1187" s="141"/>
      <c r="G1187" s="141"/>
      <c r="H1187" s="141"/>
      <c r="I1187" s="141"/>
      <c r="J1187" s="141"/>
      <c r="K1187" s="141"/>
      <c r="L1187" s="141"/>
      <c r="M1187" s="141"/>
      <c r="N1187" s="141"/>
      <c r="O1187" s="141"/>
      <c r="P1187" s="141"/>
      <c r="Q1187" s="141"/>
      <c r="R1187" s="141"/>
      <c r="S1187" s="141"/>
      <c r="T1187" s="141"/>
      <c r="U1187" s="141"/>
      <c r="V1187" s="141"/>
      <c r="W1187" s="141"/>
      <c r="X1187" s="141"/>
      <c r="Y1187" s="141"/>
      <c r="Z1187" s="141"/>
    </row>
    <row r="1188">
      <c r="A1188" s="141"/>
      <c r="B1188" s="141"/>
      <c r="C1188" s="141"/>
      <c r="D1188" s="141"/>
      <c r="E1188" s="141"/>
      <c r="F1188" s="141"/>
      <c r="G1188" s="141"/>
      <c r="H1188" s="141"/>
      <c r="I1188" s="141"/>
      <c r="J1188" s="141"/>
      <c r="K1188" s="141"/>
      <c r="L1188" s="141"/>
      <c r="M1188" s="141"/>
      <c r="N1188" s="141"/>
      <c r="O1188" s="141"/>
      <c r="P1188" s="141"/>
      <c r="Q1188" s="141"/>
      <c r="R1188" s="141"/>
      <c r="S1188" s="141"/>
      <c r="T1188" s="141"/>
      <c r="U1188" s="141"/>
      <c r="V1188" s="141"/>
      <c r="W1188" s="141"/>
      <c r="X1188" s="141"/>
      <c r="Y1188" s="141"/>
      <c r="Z1188" s="141"/>
    </row>
    <row r="1189">
      <c r="A1189" s="141"/>
      <c r="B1189" s="141"/>
      <c r="C1189" s="141"/>
      <c r="D1189" s="141"/>
      <c r="E1189" s="141"/>
      <c r="F1189" s="141"/>
      <c r="G1189" s="141"/>
      <c r="H1189" s="141"/>
      <c r="I1189" s="141"/>
      <c r="J1189" s="141"/>
      <c r="K1189" s="141"/>
      <c r="L1189" s="141"/>
      <c r="M1189" s="141"/>
      <c r="N1189" s="141"/>
      <c r="O1189" s="141"/>
      <c r="P1189" s="141"/>
      <c r="Q1189" s="141"/>
      <c r="R1189" s="141"/>
      <c r="S1189" s="141"/>
      <c r="T1189" s="141"/>
      <c r="U1189" s="141"/>
      <c r="V1189" s="141"/>
      <c r="W1189" s="141"/>
      <c r="X1189" s="141"/>
      <c r="Y1189" s="141"/>
      <c r="Z1189" s="141"/>
    </row>
    <row r="1190">
      <c r="A1190" s="141"/>
      <c r="B1190" s="141"/>
      <c r="C1190" s="141"/>
      <c r="D1190" s="141"/>
      <c r="E1190" s="141"/>
      <c r="F1190" s="141"/>
      <c r="G1190" s="141"/>
      <c r="H1190" s="141"/>
      <c r="I1190" s="141"/>
      <c r="J1190" s="141"/>
      <c r="K1190" s="141"/>
      <c r="L1190" s="141"/>
      <c r="M1190" s="141"/>
      <c r="N1190" s="141"/>
      <c r="O1190" s="141"/>
      <c r="P1190" s="141"/>
      <c r="Q1190" s="141"/>
      <c r="R1190" s="141"/>
      <c r="S1190" s="141"/>
      <c r="T1190" s="141"/>
      <c r="U1190" s="141"/>
      <c r="V1190" s="141"/>
      <c r="W1190" s="141"/>
      <c r="X1190" s="141"/>
      <c r="Y1190" s="141"/>
      <c r="Z1190" s="141"/>
    </row>
    <row r="1191">
      <c r="A1191" s="141"/>
      <c r="B1191" s="141"/>
      <c r="C1191" s="141"/>
      <c r="D1191" s="141"/>
      <c r="E1191" s="141"/>
      <c r="F1191" s="141"/>
      <c r="G1191" s="141"/>
      <c r="H1191" s="141"/>
      <c r="I1191" s="141"/>
      <c r="J1191" s="141"/>
      <c r="K1191" s="141"/>
      <c r="L1191" s="141"/>
      <c r="M1191" s="141"/>
      <c r="N1191" s="141"/>
      <c r="O1191" s="141"/>
      <c r="P1191" s="141"/>
      <c r="Q1191" s="141"/>
      <c r="R1191" s="141"/>
      <c r="S1191" s="141"/>
      <c r="T1191" s="141"/>
      <c r="U1191" s="141"/>
      <c r="V1191" s="141"/>
      <c r="W1191" s="141"/>
      <c r="X1191" s="141"/>
      <c r="Y1191" s="141"/>
      <c r="Z1191" s="141"/>
    </row>
    <row r="1192">
      <c r="A1192" s="141"/>
      <c r="B1192" s="141"/>
      <c r="C1192" s="141"/>
      <c r="D1192" s="141"/>
      <c r="E1192" s="141"/>
      <c r="F1192" s="141"/>
      <c r="G1192" s="141"/>
      <c r="H1192" s="141"/>
      <c r="I1192" s="141"/>
      <c r="J1192" s="141"/>
      <c r="K1192" s="141"/>
      <c r="L1192" s="141"/>
      <c r="M1192" s="141"/>
      <c r="N1192" s="141"/>
      <c r="O1192" s="141"/>
      <c r="P1192" s="141"/>
      <c r="Q1192" s="141"/>
      <c r="R1192" s="141"/>
      <c r="S1192" s="141"/>
      <c r="T1192" s="141"/>
      <c r="U1192" s="141"/>
      <c r="V1192" s="141"/>
      <c r="W1192" s="141"/>
      <c r="X1192" s="141"/>
      <c r="Y1192" s="141"/>
      <c r="Z1192" s="141"/>
    </row>
    <row r="1193">
      <c r="A1193" s="141"/>
      <c r="B1193" s="141"/>
      <c r="C1193" s="141"/>
      <c r="D1193" s="141"/>
      <c r="E1193" s="141"/>
      <c r="F1193" s="141"/>
      <c r="G1193" s="141"/>
      <c r="H1193" s="141"/>
      <c r="I1193" s="141"/>
      <c r="J1193" s="141"/>
      <c r="K1193" s="141"/>
      <c r="L1193" s="141"/>
      <c r="M1193" s="141"/>
      <c r="N1193" s="141"/>
      <c r="O1193" s="141"/>
      <c r="P1193" s="141"/>
      <c r="Q1193" s="141"/>
      <c r="R1193" s="141"/>
      <c r="S1193" s="141"/>
      <c r="T1193" s="141"/>
      <c r="U1193" s="141"/>
      <c r="V1193" s="141"/>
      <c r="W1193" s="141"/>
      <c r="X1193" s="141"/>
      <c r="Y1193" s="141"/>
      <c r="Z1193" s="141"/>
    </row>
    <row r="1194">
      <c r="A1194" s="141"/>
      <c r="B1194" s="141"/>
      <c r="C1194" s="141"/>
      <c r="D1194" s="141"/>
      <c r="E1194" s="141"/>
      <c r="F1194" s="141"/>
      <c r="G1194" s="141"/>
      <c r="H1194" s="141"/>
      <c r="I1194" s="141"/>
      <c r="J1194" s="141"/>
      <c r="K1194" s="141"/>
      <c r="L1194" s="141"/>
      <c r="M1194" s="141"/>
      <c r="N1194" s="141"/>
      <c r="O1194" s="141"/>
      <c r="P1194" s="141"/>
      <c r="Q1194" s="141"/>
      <c r="R1194" s="141"/>
      <c r="S1194" s="141"/>
      <c r="T1194" s="141"/>
      <c r="U1194" s="141"/>
      <c r="V1194" s="141"/>
      <c r="W1194" s="141"/>
      <c r="X1194" s="141"/>
      <c r="Y1194" s="141"/>
      <c r="Z1194" s="141"/>
    </row>
    <row r="1195">
      <c r="A1195" s="141"/>
      <c r="B1195" s="141"/>
      <c r="C1195" s="141"/>
      <c r="D1195" s="141"/>
      <c r="E1195" s="141"/>
      <c r="F1195" s="141"/>
      <c r="G1195" s="141"/>
      <c r="H1195" s="141"/>
      <c r="I1195" s="141"/>
      <c r="J1195" s="141"/>
      <c r="K1195" s="141"/>
      <c r="L1195" s="141"/>
      <c r="M1195" s="141"/>
      <c r="N1195" s="141"/>
      <c r="O1195" s="141"/>
      <c r="P1195" s="141"/>
      <c r="Q1195" s="141"/>
      <c r="R1195" s="141"/>
      <c r="S1195" s="141"/>
      <c r="T1195" s="141"/>
      <c r="U1195" s="141"/>
      <c r="V1195" s="141"/>
      <c r="W1195" s="141"/>
      <c r="X1195" s="141"/>
      <c r="Y1195" s="141"/>
      <c r="Z1195" s="141"/>
    </row>
    <row r="1196">
      <c r="A1196" s="141"/>
      <c r="B1196" s="141"/>
      <c r="C1196" s="141"/>
      <c r="D1196" s="141"/>
      <c r="E1196" s="141"/>
      <c r="F1196" s="141"/>
      <c r="G1196" s="141"/>
      <c r="H1196" s="141"/>
      <c r="I1196" s="141"/>
      <c r="J1196" s="141"/>
      <c r="K1196" s="141"/>
      <c r="L1196" s="141"/>
      <c r="M1196" s="141"/>
      <c r="N1196" s="141"/>
      <c r="O1196" s="141"/>
      <c r="P1196" s="141"/>
      <c r="Q1196" s="141"/>
      <c r="R1196" s="141"/>
      <c r="S1196" s="141"/>
      <c r="T1196" s="141"/>
      <c r="U1196" s="141"/>
      <c r="V1196" s="141"/>
      <c r="W1196" s="141"/>
      <c r="X1196" s="141"/>
      <c r="Y1196" s="141"/>
      <c r="Z1196" s="141"/>
    </row>
    <row r="1197">
      <c r="A1197" s="141"/>
      <c r="B1197" s="141"/>
      <c r="C1197" s="141"/>
      <c r="D1197" s="141"/>
      <c r="E1197" s="141"/>
      <c r="F1197" s="141"/>
      <c r="G1197" s="141"/>
      <c r="H1197" s="141"/>
      <c r="I1197" s="141"/>
      <c r="J1197" s="141"/>
      <c r="K1197" s="141"/>
      <c r="L1197" s="141"/>
      <c r="M1197" s="141"/>
      <c r="N1197" s="141"/>
      <c r="O1197" s="141"/>
      <c r="P1197" s="141"/>
      <c r="Q1197" s="141"/>
      <c r="R1197" s="141"/>
      <c r="S1197" s="141"/>
      <c r="T1197" s="141"/>
      <c r="U1197" s="141"/>
      <c r="V1197" s="141"/>
      <c r="W1197" s="141"/>
      <c r="X1197" s="141"/>
      <c r="Y1197" s="141"/>
      <c r="Z1197" s="141"/>
    </row>
    <row r="1198">
      <c r="A1198" s="141"/>
      <c r="B1198" s="141"/>
      <c r="C1198" s="141"/>
      <c r="D1198" s="141"/>
      <c r="E1198" s="141"/>
      <c r="F1198" s="141"/>
      <c r="G1198" s="141"/>
      <c r="H1198" s="141"/>
      <c r="I1198" s="141"/>
      <c r="J1198" s="141"/>
      <c r="K1198" s="141"/>
      <c r="L1198" s="141"/>
      <c r="M1198" s="141"/>
      <c r="N1198" s="141"/>
      <c r="O1198" s="141"/>
      <c r="P1198" s="141"/>
      <c r="Q1198" s="141"/>
      <c r="R1198" s="141"/>
      <c r="S1198" s="141"/>
      <c r="T1198" s="141"/>
      <c r="U1198" s="141"/>
      <c r="V1198" s="141"/>
      <c r="W1198" s="141"/>
      <c r="X1198" s="141"/>
      <c r="Y1198" s="141"/>
      <c r="Z1198" s="141"/>
    </row>
    <row r="1199">
      <c r="A1199" s="141"/>
      <c r="B1199" s="141"/>
      <c r="C1199" s="141"/>
      <c r="D1199" s="141"/>
      <c r="E1199" s="141"/>
      <c r="F1199" s="141"/>
      <c r="G1199" s="141"/>
      <c r="H1199" s="141"/>
      <c r="I1199" s="141"/>
      <c r="J1199" s="141"/>
      <c r="K1199" s="141"/>
      <c r="L1199" s="141"/>
      <c r="M1199" s="141"/>
      <c r="N1199" s="141"/>
      <c r="O1199" s="141"/>
      <c r="P1199" s="141"/>
      <c r="Q1199" s="141"/>
      <c r="R1199" s="141"/>
      <c r="S1199" s="141"/>
      <c r="T1199" s="141"/>
      <c r="U1199" s="141"/>
      <c r="V1199" s="141"/>
      <c r="W1199" s="141"/>
      <c r="X1199" s="141"/>
      <c r="Y1199" s="141"/>
      <c r="Z1199" s="141"/>
    </row>
    <row r="1200">
      <c r="A1200" s="141"/>
      <c r="B1200" s="141"/>
      <c r="C1200" s="141"/>
      <c r="D1200" s="141"/>
      <c r="E1200" s="141"/>
      <c r="F1200" s="141"/>
      <c r="G1200" s="141"/>
      <c r="H1200" s="141"/>
      <c r="I1200" s="141"/>
      <c r="J1200" s="141"/>
      <c r="K1200" s="141"/>
      <c r="L1200" s="141"/>
      <c r="M1200" s="141"/>
      <c r="N1200" s="141"/>
      <c r="O1200" s="141"/>
      <c r="P1200" s="141"/>
      <c r="Q1200" s="141"/>
      <c r="R1200" s="141"/>
      <c r="S1200" s="141"/>
      <c r="T1200" s="141"/>
      <c r="U1200" s="141"/>
      <c r="V1200" s="141"/>
      <c r="W1200" s="141"/>
      <c r="X1200" s="141"/>
      <c r="Y1200" s="141"/>
      <c r="Z1200" s="141"/>
    </row>
    <row r="1201">
      <c r="A1201" s="141"/>
      <c r="B1201" s="141"/>
      <c r="C1201" s="141"/>
      <c r="D1201" s="141"/>
      <c r="E1201" s="141"/>
      <c r="F1201" s="141"/>
      <c r="G1201" s="141"/>
      <c r="H1201" s="141"/>
      <c r="I1201" s="141"/>
      <c r="J1201" s="141"/>
      <c r="K1201" s="141"/>
      <c r="L1201" s="141"/>
      <c r="M1201" s="141"/>
      <c r="N1201" s="141"/>
      <c r="O1201" s="141"/>
      <c r="P1201" s="141"/>
      <c r="Q1201" s="141"/>
      <c r="R1201" s="141"/>
      <c r="S1201" s="141"/>
      <c r="T1201" s="141"/>
      <c r="U1201" s="141"/>
      <c r="V1201" s="141"/>
      <c r="W1201" s="141"/>
      <c r="X1201" s="141"/>
      <c r="Y1201" s="141"/>
      <c r="Z1201" s="141"/>
    </row>
    <row r="1202">
      <c r="A1202" s="141"/>
      <c r="B1202" s="141"/>
      <c r="C1202" s="141"/>
      <c r="D1202" s="141"/>
      <c r="E1202" s="141"/>
      <c r="F1202" s="141"/>
      <c r="G1202" s="141"/>
      <c r="H1202" s="141"/>
      <c r="I1202" s="141"/>
      <c r="J1202" s="141"/>
      <c r="K1202" s="141"/>
      <c r="L1202" s="141"/>
      <c r="M1202" s="141"/>
      <c r="N1202" s="141"/>
      <c r="O1202" s="141"/>
      <c r="P1202" s="141"/>
      <c r="Q1202" s="141"/>
      <c r="R1202" s="141"/>
      <c r="S1202" s="141"/>
      <c r="T1202" s="141"/>
      <c r="U1202" s="141"/>
      <c r="V1202" s="141"/>
      <c r="W1202" s="141"/>
      <c r="X1202" s="141"/>
      <c r="Y1202" s="141"/>
      <c r="Z1202" s="141"/>
    </row>
    <row r="1203">
      <c r="A1203" s="141"/>
      <c r="B1203" s="141"/>
      <c r="C1203" s="141"/>
      <c r="D1203" s="141"/>
      <c r="E1203" s="141"/>
      <c r="F1203" s="141"/>
      <c r="G1203" s="141"/>
      <c r="H1203" s="141"/>
      <c r="I1203" s="141"/>
      <c r="J1203" s="141"/>
      <c r="K1203" s="141"/>
      <c r="L1203" s="141"/>
      <c r="M1203" s="141"/>
      <c r="N1203" s="141"/>
      <c r="O1203" s="141"/>
      <c r="P1203" s="141"/>
      <c r="Q1203" s="141"/>
      <c r="R1203" s="141"/>
      <c r="S1203" s="141"/>
      <c r="T1203" s="141"/>
      <c r="U1203" s="141"/>
      <c r="V1203" s="141"/>
      <c r="W1203" s="141"/>
      <c r="X1203" s="141"/>
      <c r="Y1203" s="141"/>
      <c r="Z1203" s="141"/>
    </row>
    <row r="1204">
      <c r="A1204" s="141"/>
      <c r="B1204" s="141"/>
      <c r="C1204" s="141"/>
      <c r="D1204" s="141"/>
      <c r="E1204" s="141"/>
      <c r="F1204" s="141"/>
      <c r="G1204" s="141"/>
      <c r="H1204" s="141"/>
      <c r="I1204" s="141"/>
      <c r="J1204" s="141"/>
      <c r="K1204" s="141"/>
      <c r="L1204" s="141"/>
      <c r="M1204" s="141"/>
      <c r="N1204" s="141"/>
      <c r="O1204" s="141"/>
      <c r="P1204" s="141"/>
      <c r="Q1204" s="141"/>
      <c r="R1204" s="141"/>
      <c r="S1204" s="141"/>
      <c r="T1204" s="141"/>
      <c r="U1204" s="141"/>
      <c r="V1204" s="141"/>
      <c r="W1204" s="141"/>
      <c r="X1204" s="141"/>
      <c r="Y1204" s="141"/>
      <c r="Z1204" s="141"/>
    </row>
    <row r="1205">
      <c r="A1205" s="141"/>
      <c r="B1205" s="141"/>
      <c r="C1205" s="141"/>
      <c r="D1205" s="141"/>
      <c r="E1205" s="141"/>
      <c r="F1205" s="141"/>
      <c r="G1205" s="141"/>
      <c r="H1205" s="141"/>
      <c r="I1205" s="141"/>
      <c r="J1205" s="141"/>
      <c r="K1205" s="141"/>
      <c r="L1205" s="141"/>
      <c r="M1205" s="141"/>
      <c r="N1205" s="141"/>
      <c r="O1205" s="141"/>
      <c r="P1205" s="141"/>
      <c r="Q1205" s="141"/>
      <c r="R1205" s="141"/>
      <c r="S1205" s="141"/>
      <c r="T1205" s="141"/>
      <c r="U1205" s="141"/>
      <c r="V1205" s="141"/>
      <c r="W1205" s="141"/>
      <c r="X1205" s="141"/>
      <c r="Y1205" s="141"/>
      <c r="Z1205" s="141"/>
    </row>
    <row r="1206">
      <c r="A1206" s="141"/>
      <c r="B1206" s="141"/>
      <c r="C1206" s="141"/>
      <c r="D1206" s="141"/>
      <c r="E1206" s="141"/>
      <c r="F1206" s="141"/>
      <c r="G1206" s="141"/>
      <c r="H1206" s="141"/>
      <c r="I1206" s="141"/>
      <c r="J1206" s="141"/>
      <c r="K1206" s="141"/>
      <c r="L1206" s="141"/>
      <c r="M1206" s="141"/>
      <c r="N1206" s="141"/>
      <c r="O1206" s="141"/>
      <c r="P1206" s="141"/>
      <c r="Q1206" s="141"/>
      <c r="R1206" s="141"/>
      <c r="S1206" s="141"/>
      <c r="T1206" s="141"/>
      <c r="U1206" s="141"/>
      <c r="V1206" s="141"/>
      <c r="W1206" s="141"/>
      <c r="X1206" s="141"/>
      <c r="Y1206" s="141"/>
      <c r="Z1206" s="141"/>
    </row>
    <row r="1207">
      <c r="A1207" s="141"/>
      <c r="B1207" s="141"/>
      <c r="C1207" s="141"/>
      <c r="D1207" s="141"/>
      <c r="E1207" s="141"/>
      <c r="F1207" s="141"/>
      <c r="G1207" s="141"/>
      <c r="H1207" s="141"/>
      <c r="I1207" s="141"/>
      <c r="J1207" s="141"/>
      <c r="K1207" s="141"/>
      <c r="L1207" s="141"/>
      <c r="M1207" s="141"/>
      <c r="N1207" s="141"/>
      <c r="O1207" s="141"/>
      <c r="P1207" s="141"/>
      <c r="Q1207" s="141"/>
      <c r="R1207" s="141"/>
      <c r="S1207" s="141"/>
      <c r="T1207" s="141"/>
      <c r="U1207" s="141"/>
      <c r="V1207" s="141"/>
      <c r="W1207" s="141"/>
      <c r="X1207" s="141"/>
      <c r="Y1207" s="141"/>
      <c r="Z1207" s="141"/>
    </row>
    <row r="1208">
      <c r="A1208" s="141"/>
      <c r="B1208" s="141"/>
      <c r="C1208" s="141"/>
      <c r="D1208" s="141"/>
      <c r="E1208" s="141"/>
      <c r="F1208" s="141"/>
      <c r="G1208" s="141"/>
      <c r="H1208" s="141"/>
      <c r="I1208" s="141"/>
      <c r="J1208" s="141"/>
      <c r="K1208" s="141"/>
      <c r="L1208" s="141"/>
      <c r="M1208" s="141"/>
      <c r="N1208" s="141"/>
      <c r="O1208" s="141"/>
      <c r="P1208" s="141"/>
      <c r="Q1208" s="141"/>
      <c r="R1208" s="141"/>
      <c r="S1208" s="141"/>
      <c r="T1208" s="141"/>
      <c r="U1208" s="141"/>
      <c r="V1208" s="141"/>
      <c r="W1208" s="141"/>
      <c r="X1208" s="141"/>
      <c r="Y1208" s="141"/>
      <c r="Z1208" s="141"/>
    </row>
    <row r="1209">
      <c r="A1209" s="141"/>
      <c r="B1209" s="141"/>
      <c r="C1209" s="141"/>
      <c r="D1209" s="141"/>
      <c r="E1209" s="141"/>
      <c r="F1209" s="141"/>
      <c r="G1209" s="141"/>
      <c r="H1209" s="141"/>
      <c r="I1209" s="141"/>
      <c r="J1209" s="141"/>
      <c r="K1209" s="141"/>
      <c r="L1209" s="141"/>
      <c r="M1209" s="141"/>
      <c r="N1209" s="141"/>
      <c r="O1209" s="141"/>
      <c r="P1209" s="141"/>
      <c r="Q1209" s="141"/>
      <c r="R1209" s="141"/>
      <c r="S1209" s="141"/>
      <c r="T1209" s="141"/>
      <c r="U1209" s="141"/>
      <c r="V1209" s="141"/>
      <c r="W1209" s="141"/>
      <c r="X1209" s="141"/>
      <c r="Y1209" s="141"/>
      <c r="Z1209" s="141"/>
    </row>
    <row r="1210">
      <c r="A1210" s="141"/>
      <c r="B1210" s="141"/>
      <c r="C1210" s="141"/>
      <c r="D1210" s="141"/>
      <c r="E1210" s="141"/>
      <c r="F1210" s="141"/>
      <c r="G1210" s="141"/>
      <c r="H1210" s="141"/>
      <c r="I1210" s="141"/>
      <c r="J1210" s="141"/>
      <c r="K1210" s="141"/>
      <c r="L1210" s="141"/>
      <c r="M1210" s="141"/>
      <c r="N1210" s="141"/>
      <c r="O1210" s="141"/>
      <c r="P1210" s="141"/>
      <c r="Q1210" s="141"/>
      <c r="R1210" s="141"/>
      <c r="S1210" s="141"/>
      <c r="T1210" s="141"/>
      <c r="U1210" s="141"/>
      <c r="V1210" s="141"/>
      <c r="W1210" s="141"/>
      <c r="X1210" s="141"/>
      <c r="Y1210" s="141"/>
      <c r="Z1210" s="141"/>
    </row>
    <row r="1211">
      <c r="A1211" s="141"/>
      <c r="B1211" s="141"/>
      <c r="C1211" s="141"/>
      <c r="D1211" s="141"/>
      <c r="E1211" s="141"/>
      <c r="F1211" s="141"/>
      <c r="G1211" s="141"/>
      <c r="H1211" s="141"/>
      <c r="I1211" s="141"/>
      <c r="J1211" s="141"/>
      <c r="K1211" s="141"/>
      <c r="L1211" s="141"/>
      <c r="M1211" s="141"/>
      <c r="N1211" s="141"/>
      <c r="O1211" s="141"/>
      <c r="P1211" s="141"/>
      <c r="Q1211" s="141"/>
      <c r="R1211" s="141"/>
      <c r="S1211" s="141"/>
      <c r="T1211" s="141"/>
      <c r="U1211" s="141"/>
      <c r="V1211" s="141"/>
      <c r="W1211" s="141"/>
      <c r="X1211" s="141"/>
      <c r="Y1211" s="141"/>
      <c r="Z1211" s="141"/>
    </row>
    <row r="1212">
      <c r="A1212" s="141"/>
      <c r="B1212" s="141"/>
      <c r="C1212" s="141"/>
      <c r="D1212" s="141"/>
      <c r="E1212" s="141"/>
      <c r="F1212" s="141"/>
      <c r="G1212" s="141"/>
      <c r="H1212" s="141"/>
      <c r="I1212" s="141"/>
      <c r="J1212" s="141"/>
      <c r="K1212" s="141"/>
      <c r="L1212" s="141"/>
      <c r="M1212" s="141"/>
      <c r="N1212" s="141"/>
      <c r="O1212" s="141"/>
      <c r="P1212" s="141"/>
      <c r="Q1212" s="141"/>
      <c r="R1212" s="141"/>
      <c r="S1212" s="141"/>
      <c r="T1212" s="141"/>
      <c r="U1212" s="141"/>
      <c r="V1212" s="141"/>
      <c r="W1212" s="141"/>
      <c r="X1212" s="141"/>
      <c r="Y1212" s="141"/>
      <c r="Z1212" s="141"/>
    </row>
    <row r="1213">
      <c r="A1213" s="141"/>
      <c r="B1213" s="141"/>
      <c r="C1213" s="141"/>
      <c r="D1213" s="141"/>
      <c r="E1213" s="141"/>
      <c r="F1213" s="141"/>
      <c r="G1213" s="141"/>
      <c r="H1213" s="141"/>
      <c r="I1213" s="141"/>
      <c r="J1213" s="141"/>
      <c r="K1213" s="141"/>
      <c r="L1213" s="141"/>
      <c r="M1213" s="141"/>
      <c r="N1213" s="141"/>
      <c r="O1213" s="141"/>
      <c r="P1213" s="141"/>
      <c r="Q1213" s="141"/>
      <c r="R1213" s="141"/>
      <c r="S1213" s="141"/>
      <c r="T1213" s="141"/>
      <c r="U1213" s="141"/>
      <c r="V1213" s="141"/>
      <c r="W1213" s="141"/>
      <c r="X1213" s="141"/>
      <c r="Y1213" s="141"/>
      <c r="Z1213" s="141"/>
    </row>
    <row r="1214">
      <c r="A1214" s="141"/>
      <c r="B1214" s="141"/>
      <c r="C1214" s="141"/>
      <c r="D1214" s="141"/>
      <c r="E1214" s="141"/>
      <c r="F1214" s="141"/>
      <c r="G1214" s="141"/>
      <c r="H1214" s="141"/>
      <c r="I1214" s="141"/>
      <c r="J1214" s="141"/>
      <c r="K1214" s="141"/>
      <c r="L1214" s="141"/>
      <c r="M1214" s="141"/>
      <c r="N1214" s="141"/>
      <c r="O1214" s="141"/>
      <c r="P1214" s="141"/>
      <c r="Q1214" s="141"/>
      <c r="R1214" s="141"/>
      <c r="S1214" s="141"/>
      <c r="T1214" s="141"/>
      <c r="U1214" s="141"/>
      <c r="V1214" s="141"/>
      <c r="W1214" s="141"/>
      <c r="X1214" s="141"/>
      <c r="Y1214" s="141"/>
      <c r="Z1214" s="141"/>
    </row>
    <row r="1215">
      <c r="A1215" s="141"/>
      <c r="B1215" s="141"/>
      <c r="C1215" s="141"/>
      <c r="D1215" s="141"/>
      <c r="E1215" s="141"/>
      <c r="F1215" s="141"/>
      <c r="G1215" s="141"/>
      <c r="H1215" s="141"/>
      <c r="I1215" s="141"/>
      <c r="J1215" s="141"/>
      <c r="K1215" s="141"/>
      <c r="L1215" s="141"/>
      <c r="M1215" s="141"/>
      <c r="N1215" s="141"/>
      <c r="O1215" s="141"/>
      <c r="P1215" s="141"/>
      <c r="Q1215" s="141"/>
      <c r="R1215" s="141"/>
      <c r="S1215" s="141"/>
      <c r="T1215" s="141"/>
      <c r="U1215" s="141"/>
      <c r="V1215" s="141"/>
      <c r="W1215" s="141"/>
      <c r="X1215" s="141"/>
      <c r="Y1215" s="141"/>
      <c r="Z1215" s="141"/>
    </row>
    <row r="1216">
      <c r="A1216" s="141"/>
      <c r="B1216" s="141"/>
      <c r="C1216" s="141"/>
      <c r="D1216" s="141"/>
      <c r="E1216" s="141"/>
      <c r="F1216" s="141"/>
      <c r="G1216" s="141"/>
      <c r="H1216" s="141"/>
      <c r="I1216" s="141"/>
      <c r="J1216" s="141"/>
      <c r="K1216" s="141"/>
      <c r="L1216" s="141"/>
      <c r="M1216" s="141"/>
      <c r="N1216" s="141"/>
      <c r="O1216" s="141"/>
      <c r="P1216" s="141"/>
      <c r="Q1216" s="141"/>
      <c r="R1216" s="141"/>
      <c r="S1216" s="141"/>
      <c r="T1216" s="141"/>
      <c r="U1216" s="141"/>
      <c r="V1216" s="141"/>
      <c r="W1216" s="141"/>
      <c r="X1216" s="141"/>
      <c r="Y1216" s="141"/>
      <c r="Z1216" s="141"/>
    </row>
    <row r="1217">
      <c r="A1217" s="141"/>
      <c r="B1217" s="141"/>
      <c r="C1217" s="141"/>
      <c r="D1217" s="141"/>
      <c r="E1217" s="141"/>
      <c r="F1217" s="141"/>
      <c r="G1217" s="141"/>
      <c r="H1217" s="141"/>
      <c r="I1217" s="141"/>
      <c r="J1217" s="141"/>
      <c r="K1217" s="141"/>
      <c r="L1217" s="141"/>
      <c r="M1217" s="141"/>
      <c r="N1217" s="141"/>
      <c r="O1217" s="141"/>
      <c r="P1217" s="141"/>
      <c r="Q1217" s="141"/>
      <c r="R1217" s="141"/>
      <c r="S1217" s="141"/>
      <c r="T1217" s="141"/>
      <c r="U1217" s="141"/>
      <c r="V1217" s="141"/>
      <c r="W1217" s="141"/>
      <c r="X1217" s="141"/>
      <c r="Y1217" s="141"/>
      <c r="Z1217" s="141"/>
    </row>
    <row r="1218">
      <c r="A1218" s="141"/>
      <c r="B1218" s="141"/>
      <c r="C1218" s="141"/>
      <c r="D1218" s="141"/>
      <c r="E1218" s="141"/>
      <c r="F1218" s="141"/>
      <c r="G1218" s="141"/>
      <c r="H1218" s="141"/>
      <c r="I1218" s="141"/>
      <c r="J1218" s="141"/>
      <c r="K1218" s="141"/>
      <c r="L1218" s="141"/>
      <c r="M1218" s="141"/>
      <c r="N1218" s="141"/>
      <c r="O1218" s="141"/>
      <c r="P1218" s="141"/>
      <c r="Q1218" s="141"/>
      <c r="R1218" s="141"/>
      <c r="S1218" s="141"/>
      <c r="T1218" s="141"/>
      <c r="U1218" s="141"/>
      <c r="V1218" s="141"/>
      <c r="W1218" s="141"/>
      <c r="X1218" s="141"/>
      <c r="Y1218" s="141"/>
      <c r="Z1218" s="141"/>
    </row>
    <row r="1219">
      <c r="A1219" s="141"/>
      <c r="B1219" s="141"/>
      <c r="C1219" s="141"/>
      <c r="D1219" s="141"/>
      <c r="E1219" s="141"/>
      <c r="F1219" s="141"/>
      <c r="G1219" s="141"/>
      <c r="H1219" s="141"/>
      <c r="I1219" s="141"/>
      <c r="J1219" s="141"/>
      <c r="K1219" s="141"/>
      <c r="L1219" s="141"/>
      <c r="M1219" s="141"/>
      <c r="N1219" s="141"/>
      <c r="O1219" s="141"/>
      <c r="P1219" s="141"/>
      <c r="Q1219" s="141"/>
      <c r="R1219" s="141"/>
      <c r="S1219" s="141"/>
      <c r="T1219" s="141"/>
      <c r="U1219" s="141"/>
      <c r="V1219" s="141"/>
      <c r="W1219" s="141"/>
      <c r="X1219" s="141"/>
      <c r="Y1219" s="141"/>
      <c r="Z1219" s="141"/>
    </row>
    <row r="1220">
      <c r="A1220" s="141"/>
      <c r="B1220" s="141"/>
      <c r="C1220" s="141"/>
      <c r="D1220" s="141"/>
      <c r="E1220" s="141"/>
      <c r="F1220" s="141"/>
      <c r="G1220" s="141"/>
      <c r="H1220" s="141"/>
      <c r="I1220" s="141"/>
      <c r="J1220" s="141"/>
      <c r="K1220" s="141"/>
      <c r="L1220" s="141"/>
      <c r="M1220" s="141"/>
      <c r="N1220" s="141"/>
      <c r="O1220" s="141"/>
      <c r="P1220" s="141"/>
      <c r="Q1220" s="141"/>
      <c r="R1220" s="141"/>
      <c r="S1220" s="141"/>
      <c r="T1220" s="141"/>
      <c r="U1220" s="141"/>
      <c r="V1220" s="141"/>
      <c r="W1220" s="141"/>
      <c r="X1220" s="141"/>
      <c r="Y1220" s="141"/>
      <c r="Z1220" s="141"/>
    </row>
    <row r="1221">
      <c r="A1221" s="141"/>
      <c r="B1221" s="141"/>
      <c r="C1221" s="141"/>
      <c r="D1221" s="141"/>
      <c r="E1221" s="141"/>
      <c r="F1221" s="141"/>
      <c r="G1221" s="141"/>
      <c r="H1221" s="141"/>
      <c r="I1221" s="141"/>
      <c r="J1221" s="141"/>
      <c r="K1221" s="141"/>
      <c r="L1221" s="141"/>
      <c r="M1221" s="141"/>
      <c r="N1221" s="141"/>
      <c r="O1221" s="141"/>
      <c r="P1221" s="141"/>
      <c r="Q1221" s="141"/>
      <c r="R1221" s="141"/>
      <c r="S1221" s="141"/>
      <c r="T1221" s="141"/>
      <c r="U1221" s="141"/>
      <c r="V1221" s="141"/>
      <c r="W1221" s="141"/>
      <c r="X1221" s="141"/>
      <c r="Y1221" s="141"/>
      <c r="Z1221" s="141"/>
    </row>
    <row r="1222">
      <c r="A1222" s="141"/>
      <c r="B1222" s="141"/>
      <c r="C1222" s="141"/>
      <c r="D1222" s="141"/>
      <c r="E1222" s="141"/>
      <c r="F1222" s="141"/>
      <c r="G1222" s="141"/>
      <c r="H1222" s="141"/>
      <c r="I1222" s="141"/>
      <c r="J1222" s="141"/>
      <c r="K1222" s="141"/>
      <c r="L1222" s="141"/>
      <c r="M1222" s="141"/>
      <c r="N1222" s="141"/>
      <c r="O1222" s="141"/>
      <c r="P1222" s="141"/>
      <c r="Q1222" s="141"/>
      <c r="R1222" s="141"/>
      <c r="S1222" s="141"/>
      <c r="T1222" s="141"/>
      <c r="U1222" s="141"/>
      <c r="V1222" s="141"/>
      <c r="W1222" s="141"/>
      <c r="X1222" s="141"/>
      <c r="Y1222" s="141"/>
      <c r="Z1222" s="141"/>
    </row>
    <row r="1223">
      <c r="A1223" s="141"/>
      <c r="B1223" s="141"/>
      <c r="C1223" s="141"/>
      <c r="D1223" s="141"/>
      <c r="E1223" s="141"/>
      <c r="F1223" s="141"/>
      <c r="G1223" s="141"/>
      <c r="H1223" s="141"/>
      <c r="I1223" s="141"/>
      <c r="J1223" s="141"/>
      <c r="K1223" s="141"/>
      <c r="L1223" s="141"/>
      <c r="M1223" s="141"/>
      <c r="N1223" s="141"/>
      <c r="O1223" s="141"/>
      <c r="P1223" s="141"/>
      <c r="Q1223" s="141"/>
      <c r="R1223" s="141"/>
      <c r="S1223" s="141"/>
      <c r="T1223" s="141"/>
      <c r="U1223" s="141"/>
      <c r="V1223" s="141"/>
      <c r="W1223" s="141"/>
      <c r="X1223" s="141"/>
      <c r="Y1223" s="141"/>
      <c r="Z1223" s="141"/>
    </row>
    <row r="1224">
      <c r="A1224" s="141"/>
      <c r="B1224" s="141"/>
      <c r="C1224" s="141"/>
      <c r="D1224" s="141"/>
      <c r="E1224" s="141"/>
      <c r="F1224" s="141"/>
      <c r="G1224" s="141"/>
      <c r="H1224" s="141"/>
      <c r="I1224" s="141"/>
      <c r="J1224" s="141"/>
      <c r="K1224" s="141"/>
      <c r="L1224" s="141"/>
      <c r="M1224" s="141"/>
      <c r="N1224" s="141"/>
      <c r="O1224" s="141"/>
      <c r="P1224" s="141"/>
      <c r="Q1224" s="141"/>
      <c r="R1224" s="141"/>
      <c r="S1224" s="141"/>
      <c r="T1224" s="141"/>
      <c r="U1224" s="141"/>
      <c r="V1224" s="141"/>
      <c r="W1224" s="141"/>
      <c r="X1224" s="141"/>
      <c r="Y1224" s="141"/>
      <c r="Z1224" s="141"/>
    </row>
    <row r="1225">
      <c r="A1225" s="141"/>
      <c r="B1225" s="141"/>
      <c r="C1225" s="141"/>
      <c r="D1225" s="141"/>
      <c r="E1225" s="141"/>
      <c r="F1225" s="141"/>
      <c r="G1225" s="141"/>
      <c r="H1225" s="141"/>
      <c r="I1225" s="141"/>
      <c r="J1225" s="141"/>
      <c r="K1225" s="141"/>
      <c r="L1225" s="141"/>
      <c r="M1225" s="141"/>
      <c r="N1225" s="141"/>
      <c r="O1225" s="141"/>
      <c r="P1225" s="141"/>
      <c r="Q1225" s="141"/>
      <c r="R1225" s="141"/>
      <c r="S1225" s="141"/>
      <c r="T1225" s="141"/>
      <c r="U1225" s="141"/>
      <c r="V1225" s="141"/>
      <c r="W1225" s="141"/>
      <c r="X1225" s="141"/>
      <c r="Y1225" s="141"/>
      <c r="Z1225" s="141"/>
    </row>
    <row r="1226">
      <c r="A1226" s="141"/>
      <c r="B1226" s="141"/>
      <c r="C1226" s="141"/>
      <c r="D1226" s="141"/>
      <c r="E1226" s="141"/>
      <c r="F1226" s="141"/>
      <c r="G1226" s="141"/>
      <c r="H1226" s="141"/>
      <c r="I1226" s="141"/>
      <c r="J1226" s="141"/>
      <c r="K1226" s="141"/>
      <c r="L1226" s="141"/>
      <c r="M1226" s="141"/>
      <c r="N1226" s="141"/>
      <c r="O1226" s="141"/>
      <c r="P1226" s="141"/>
      <c r="Q1226" s="141"/>
      <c r="R1226" s="141"/>
      <c r="S1226" s="141"/>
      <c r="T1226" s="141"/>
      <c r="U1226" s="141"/>
      <c r="V1226" s="141"/>
      <c r="W1226" s="141"/>
      <c r="X1226" s="141"/>
      <c r="Y1226" s="141"/>
      <c r="Z1226" s="141"/>
    </row>
    <row r="1227">
      <c r="A1227" s="141"/>
      <c r="B1227" s="141"/>
      <c r="C1227" s="141"/>
      <c r="D1227" s="141"/>
      <c r="E1227" s="141"/>
      <c r="F1227" s="141"/>
      <c r="G1227" s="141"/>
      <c r="H1227" s="141"/>
      <c r="I1227" s="141"/>
      <c r="J1227" s="141"/>
      <c r="K1227" s="141"/>
      <c r="L1227" s="141"/>
      <c r="M1227" s="141"/>
      <c r="N1227" s="141"/>
      <c r="O1227" s="141"/>
      <c r="P1227" s="141"/>
      <c r="Q1227" s="141"/>
      <c r="R1227" s="141"/>
      <c r="S1227" s="141"/>
      <c r="T1227" s="141"/>
      <c r="U1227" s="141"/>
      <c r="V1227" s="141"/>
      <c r="W1227" s="141"/>
      <c r="X1227" s="141"/>
      <c r="Y1227" s="141"/>
      <c r="Z1227" s="141"/>
    </row>
    <row r="1228">
      <c r="A1228" s="141"/>
      <c r="B1228" s="141"/>
      <c r="C1228" s="141"/>
      <c r="D1228" s="141"/>
      <c r="E1228" s="141"/>
      <c r="F1228" s="141"/>
      <c r="G1228" s="141"/>
      <c r="H1228" s="141"/>
      <c r="I1228" s="141"/>
      <c r="J1228" s="141"/>
      <c r="K1228" s="141"/>
      <c r="L1228" s="141"/>
      <c r="M1228" s="141"/>
      <c r="N1228" s="141"/>
      <c r="O1228" s="141"/>
      <c r="P1228" s="141"/>
      <c r="Q1228" s="141"/>
      <c r="R1228" s="141"/>
      <c r="S1228" s="141"/>
      <c r="T1228" s="141"/>
      <c r="U1228" s="141"/>
      <c r="V1228" s="141"/>
      <c r="W1228" s="141"/>
      <c r="X1228" s="141"/>
      <c r="Y1228" s="141"/>
      <c r="Z1228" s="141"/>
    </row>
    <row r="1229">
      <c r="A1229" s="141"/>
      <c r="B1229" s="141"/>
      <c r="C1229" s="141"/>
      <c r="D1229" s="141"/>
      <c r="E1229" s="141"/>
      <c r="F1229" s="141"/>
      <c r="G1229" s="141"/>
      <c r="H1229" s="141"/>
      <c r="I1229" s="141"/>
      <c r="J1229" s="141"/>
      <c r="K1229" s="141"/>
      <c r="L1229" s="141"/>
      <c r="M1229" s="141"/>
      <c r="N1229" s="141"/>
      <c r="O1229" s="141"/>
      <c r="P1229" s="141"/>
      <c r="Q1229" s="141"/>
      <c r="R1229" s="141"/>
      <c r="S1229" s="141"/>
      <c r="T1229" s="141"/>
      <c r="U1229" s="141"/>
      <c r="V1229" s="141"/>
      <c r="W1229" s="141"/>
      <c r="X1229" s="141"/>
      <c r="Y1229" s="141"/>
      <c r="Z1229" s="141"/>
    </row>
    <row r="1230">
      <c r="A1230" s="141"/>
      <c r="B1230" s="141"/>
      <c r="C1230" s="141"/>
      <c r="D1230" s="141"/>
      <c r="E1230" s="141"/>
      <c r="F1230" s="141"/>
      <c r="G1230" s="141"/>
      <c r="H1230" s="141"/>
      <c r="I1230" s="141"/>
      <c r="J1230" s="141"/>
      <c r="K1230" s="141"/>
      <c r="L1230" s="141"/>
      <c r="M1230" s="141"/>
      <c r="N1230" s="141"/>
      <c r="O1230" s="141"/>
      <c r="P1230" s="141"/>
      <c r="Q1230" s="141"/>
      <c r="R1230" s="141"/>
      <c r="S1230" s="141"/>
      <c r="T1230" s="141"/>
      <c r="U1230" s="141"/>
      <c r="V1230" s="141"/>
      <c r="W1230" s="141"/>
      <c r="X1230" s="141"/>
      <c r="Y1230" s="141"/>
      <c r="Z1230" s="141"/>
    </row>
    <row r="1231">
      <c r="A1231" s="141"/>
      <c r="B1231" s="141"/>
      <c r="C1231" s="141"/>
      <c r="D1231" s="141"/>
      <c r="E1231" s="141"/>
      <c r="F1231" s="141"/>
      <c r="G1231" s="141"/>
      <c r="H1231" s="141"/>
      <c r="I1231" s="141"/>
      <c r="J1231" s="141"/>
      <c r="K1231" s="141"/>
      <c r="L1231" s="141"/>
      <c r="M1231" s="141"/>
      <c r="N1231" s="141"/>
      <c r="O1231" s="141"/>
      <c r="P1231" s="141"/>
      <c r="Q1231" s="141"/>
      <c r="R1231" s="141"/>
      <c r="S1231" s="141"/>
      <c r="T1231" s="141"/>
      <c r="U1231" s="141"/>
      <c r="V1231" s="141"/>
      <c r="W1231" s="141"/>
      <c r="X1231" s="141"/>
      <c r="Y1231" s="141"/>
      <c r="Z1231" s="141"/>
    </row>
    <row r="1232">
      <c r="A1232" s="141"/>
      <c r="B1232" s="141"/>
      <c r="C1232" s="141"/>
      <c r="D1232" s="141"/>
      <c r="E1232" s="141"/>
      <c r="F1232" s="141"/>
      <c r="G1232" s="141"/>
      <c r="H1232" s="141"/>
      <c r="I1232" s="141"/>
      <c r="J1232" s="141"/>
      <c r="K1232" s="141"/>
      <c r="L1232" s="141"/>
      <c r="M1232" s="141"/>
      <c r="N1232" s="141"/>
      <c r="O1232" s="141"/>
      <c r="P1232" s="141"/>
      <c r="Q1232" s="141"/>
      <c r="R1232" s="141"/>
      <c r="S1232" s="141"/>
      <c r="T1232" s="141"/>
      <c r="U1232" s="141"/>
      <c r="V1232" s="141"/>
      <c r="W1232" s="141"/>
      <c r="X1232" s="141"/>
      <c r="Y1232" s="141"/>
      <c r="Z1232" s="141"/>
    </row>
    <row r="1233">
      <c r="A1233" s="141"/>
      <c r="B1233" s="141"/>
      <c r="C1233" s="141"/>
      <c r="D1233" s="141"/>
      <c r="E1233" s="141"/>
      <c r="F1233" s="141"/>
      <c r="G1233" s="141"/>
      <c r="H1233" s="141"/>
      <c r="I1233" s="141"/>
      <c r="J1233" s="141"/>
      <c r="K1233" s="141"/>
      <c r="L1233" s="141"/>
      <c r="M1233" s="141"/>
      <c r="N1233" s="141"/>
      <c r="O1233" s="141"/>
      <c r="P1233" s="141"/>
      <c r="Q1233" s="141"/>
      <c r="R1233" s="141"/>
      <c r="S1233" s="141"/>
      <c r="T1233" s="141"/>
      <c r="U1233" s="141"/>
      <c r="V1233" s="141"/>
      <c r="W1233" s="141"/>
      <c r="X1233" s="141"/>
      <c r="Y1233" s="141"/>
      <c r="Z1233" s="141"/>
    </row>
    <row r="1234">
      <c r="A1234" s="141"/>
      <c r="B1234" s="141"/>
      <c r="C1234" s="141"/>
      <c r="D1234" s="141"/>
      <c r="E1234" s="141"/>
      <c r="F1234" s="141"/>
      <c r="G1234" s="141"/>
      <c r="H1234" s="141"/>
      <c r="I1234" s="141"/>
      <c r="J1234" s="141"/>
      <c r="K1234" s="141"/>
      <c r="L1234" s="141"/>
      <c r="M1234" s="141"/>
      <c r="N1234" s="141"/>
      <c r="O1234" s="141"/>
      <c r="P1234" s="141"/>
      <c r="Q1234" s="141"/>
      <c r="R1234" s="141"/>
      <c r="S1234" s="141"/>
      <c r="T1234" s="141"/>
      <c r="U1234" s="141"/>
      <c r="V1234" s="141"/>
      <c r="W1234" s="141"/>
      <c r="X1234" s="141"/>
      <c r="Y1234" s="141"/>
      <c r="Z1234" s="141"/>
    </row>
    <row r="1235">
      <c r="A1235" s="141"/>
      <c r="B1235" s="141"/>
      <c r="C1235" s="141"/>
      <c r="D1235" s="141"/>
      <c r="E1235" s="141"/>
      <c r="F1235" s="141"/>
      <c r="G1235" s="141"/>
      <c r="H1235" s="141"/>
      <c r="I1235" s="141"/>
      <c r="J1235" s="141"/>
      <c r="K1235" s="141"/>
      <c r="L1235" s="141"/>
      <c r="M1235" s="141"/>
      <c r="N1235" s="141"/>
      <c r="O1235" s="141"/>
      <c r="P1235" s="141"/>
      <c r="Q1235" s="141"/>
      <c r="R1235" s="141"/>
      <c r="S1235" s="141"/>
      <c r="T1235" s="141"/>
      <c r="U1235" s="141"/>
      <c r="V1235" s="141"/>
      <c r="W1235" s="141"/>
      <c r="X1235" s="141"/>
      <c r="Y1235" s="141"/>
      <c r="Z1235" s="141"/>
    </row>
    <row r="1236">
      <c r="A1236" s="141"/>
      <c r="B1236" s="141"/>
      <c r="C1236" s="141"/>
      <c r="D1236" s="141"/>
      <c r="E1236" s="141"/>
      <c r="F1236" s="141"/>
      <c r="G1236" s="141"/>
      <c r="H1236" s="141"/>
      <c r="I1236" s="141"/>
      <c r="J1236" s="141"/>
      <c r="K1236" s="141"/>
      <c r="L1236" s="141"/>
      <c r="M1236" s="141"/>
      <c r="N1236" s="141"/>
      <c r="O1236" s="141"/>
      <c r="P1236" s="141"/>
      <c r="Q1236" s="141"/>
      <c r="R1236" s="141"/>
      <c r="S1236" s="141"/>
      <c r="T1236" s="141"/>
      <c r="U1236" s="141"/>
      <c r="V1236" s="141"/>
      <c r="W1236" s="141"/>
      <c r="X1236" s="141"/>
      <c r="Y1236" s="141"/>
      <c r="Z1236" s="141"/>
    </row>
    <row r="1237">
      <c r="A1237" s="141"/>
      <c r="B1237" s="141"/>
      <c r="C1237" s="141"/>
      <c r="D1237" s="141"/>
      <c r="E1237" s="141"/>
      <c r="F1237" s="141"/>
      <c r="G1237" s="141"/>
      <c r="H1237" s="141"/>
      <c r="I1237" s="141"/>
      <c r="J1237" s="141"/>
      <c r="K1237" s="141"/>
      <c r="L1237" s="141"/>
      <c r="M1237" s="141"/>
      <c r="N1237" s="141"/>
      <c r="O1237" s="141"/>
      <c r="P1237" s="141"/>
      <c r="Q1237" s="141"/>
      <c r="R1237" s="141"/>
      <c r="S1237" s="141"/>
      <c r="T1237" s="141"/>
      <c r="U1237" s="141"/>
      <c r="V1237" s="141"/>
      <c r="W1237" s="141"/>
      <c r="X1237" s="141"/>
      <c r="Y1237" s="141"/>
      <c r="Z1237" s="141"/>
    </row>
    <row r="1238">
      <c r="A1238" s="141"/>
      <c r="B1238" s="141"/>
      <c r="C1238" s="141"/>
      <c r="D1238" s="141"/>
      <c r="E1238" s="141"/>
      <c r="F1238" s="141"/>
      <c r="G1238" s="141"/>
      <c r="H1238" s="141"/>
      <c r="I1238" s="141"/>
      <c r="J1238" s="141"/>
      <c r="K1238" s="141"/>
      <c r="L1238" s="141"/>
      <c r="M1238" s="141"/>
      <c r="N1238" s="141"/>
      <c r="O1238" s="141"/>
      <c r="P1238" s="141"/>
      <c r="Q1238" s="141"/>
      <c r="R1238" s="141"/>
      <c r="S1238" s="141"/>
      <c r="T1238" s="141"/>
      <c r="U1238" s="141"/>
      <c r="V1238" s="141"/>
      <c r="W1238" s="141"/>
      <c r="X1238" s="141"/>
      <c r="Y1238" s="141"/>
      <c r="Z1238" s="141"/>
    </row>
    <row r="1239">
      <c r="A1239" s="141"/>
      <c r="B1239" s="141"/>
      <c r="C1239" s="141"/>
      <c r="D1239" s="141"/>
      <c r="E1239" s="141"/>
      <c r="F1239" s="141"/>
      <c r="G1239" s="141"/>
      <c r="H1239" s="141"/>
      <c r="I1239" s="141"/>
      <c r="J1239" s="141"/>
      <c r="K1239" s="141"/>
      <c r="L1239" s="141"/>
      <c r="M1239" s="141"/>
      <c r="N1239" s="141"/>
      <c r="O1239" s="141"/>
      <c r="P1239" s="141"/>
      <c r="Q1239" s="141"/>
      <c r="R1239" s="141"/>
      <c r="S1239" s="141"/>
      <c r="T1239" s="141"/>
      <c r="U1239" s="141"/>
      <c r="V1239" s="141"/>
      <c r="W1239" s="141"/>
      <c r="X1239" s="141"/>
      <c r="Y1239" s="141"/>
      <c r="Z1239" s="141"/>
    </row>
    <row r="1240">
      <c r="A1240" s="141"/>
      <c r="B1240" s="141"/>
      <c r="C1240" s="141"/>
      <c r="D1240" s="141"/>
      <c r="E1240" s="141"/>
      <c r="F1240" s="141"/>
      <c r="G1240" s="141"/>
      <c r="H1240" s="141"/>
      <c r="I1240" s="141"/>
      <c r="J1240" s="141"/>
      <c r="K1240" s="141"/>
      <c r="L1240" s="141"/>
      <c r="M1240" s="141"/>
      <c r="N1240" s="141"/>
      <c r="O1240" s="141"/>
      <c r="P1240" s="141"/>
      <c r="Q1240" s="141"/>
      <c r="R1240" s="141"/>
      <c r="S1240" s="141"/>
      <c r="T1240" s="141"/>
      <c r="U1240" s="141"/>
      <c r="V1240" s="141"/>
      <c r="W1240" s="141"/>
      <c r="X1240" s="141"/>
      <c r="Y1240" s="141"/>
      <c r="Z1240" s="141"/>
    </row>
    <row r="1241">
      <c r="A1241" s="141"/>
      <c r="B1241" s="141"/>
      <c r="C1241" s="141"/>
      <c r="D1241" s="141"/>
      <c r="E1241" s="141"/>
      <c r="F1241" s="141"/>
      <c r="G1241" s="141"/>
      <c r="H1241" s="141"/>
      <c r="I1241" s="141"/>
      <c r="J1241" s="141"/>
      <c r="K1241" s="141"/>
      <c r="L1241" s="141"/>
      <c r="M1241" s="141"/>
      <c r="N1241" s="141"/>
      <c r="O1241" s="141"/>
      <c r="P1241" s="141"/>
      <c r="Q1241" s="141"/>
      <c r="R1241" s="141"/>
      <c r="S1241" s="141"/>
      <c r="T1241" s="141"/>
      <c r="U1241" s="141"/>
      <c r="V1241" s="141"/>
      <c r="W1241" s="141"/>
      <c r="X1241" s="141"/>
      <c r="Y1241" s="141"/>
      <c r="Z1241" s="141"/>
    </row>
    <row r="1242">
      <c r="A1242" s="141"/>
      <c r="B1242" s="141"/>
      <c r="C1242" s="141"/>
      <c r="D1242" s="141"/>
      <c r="E1242" s="141"/>
      <c r="F1242" s="141"/>
      <c r="G1242" s="141"/>
      <c r="H1242" s="141"/>
      <c r="I1242" s="141"/>
      <c r="J1242" s="141"/>
      <c r="K1242" s="141"/>
      <c r="L1242" s="141"/>
      <c r="M1242" s="141"/>
      <c r="N1242" s="141"/>
      <c r="O1242" s="141"/>
      <c r="P1242" s="141"/>
      <c r="Q1242" s="141"/>
      <c r="R1242" s="141"/>
      <c r="S1242" s="141"/>
      <c r="T1242" s="141"/>
      <c r="U1242" s="141"/>
      <c r="V1242" s="141"/>
      <c r="W1242" s="141"/>
      <c r="X1242" s="141"/>
      <c r="Y1242" s="141"/>
      <c r="Z1242" s="141"/>
    </row>
    <row r="1243">
      <c r="A1243" s="141"/>
      <c r="B1243" s="141"/>
      <c r="C1243" s="141"/>
      <c r="D1243" s="141"/>
      <c r="E1243" s="141"/>
      <c r="F1243" s="141"/>
      <c r="G1243" s="141"/>
      <c r="H1243" s="141"/>
      <c r="I1243" s="141"/>
      <c r="J1243" s="141"/>
      <c r="K1243" s="141"/>
      <c r="L1243" s="141"/>
      <c r="M1243" s="141"/>
      <c r="N1243" s="141"/>
      <c r="O1243" s="141"/>
      <c r="P1243" s="141"/>
      <c r="Q1243" s="141"/>
      <c r="R1243" s="141"/>
      <c r="S1243" s="141"/>
      <c r="T1243" s="141"/>
      <c r="U1243" s="141"/>
      <c r="V1243" s="141"/>
      <c r="W1243" s="141"/>
      <c r="X1243" s="141"/>
      <c r="Y1243" s="141"/>
      <c r="Z1243" s="141"/>
    </row>
    <row r="1244">
      <c r="A1244" s="141"/>
      <c r="B1244" s="141"/>
      <c r="C1244" s="141"/>
      <c r="D1244" s="141"/>
      <c r="E1244" s="141"/>
      <c r="F1244" s="141"/>
      <c r="G1244" s="141"/>
      <c r="H1244" s="141"/>
      <c r="I1244" s="141"/>
      <c r="J1244" s="141"/>
      <c r="K1244" s="141"/>
      <c r="L1244" s="141"/>
      <c r="M1244" s="141"/>
      <c r="N1244" s="141"/>
      <c r="O1244" s="141"/>
      <c r="P1244" s="141"/>
      <c r="Q1244" s="141"/>
      <c r="R1244" s="141"/>
      <c r="S1244" s="141"/>
      <c r="T1244" s="141"/>
      <c r="U1244" s="141"/>
      <c r="V1244" s="141"/>
      <c r="W1244" s="141"/>
      <c r="X1244" s="141"/>
      <c r="Y1244" s="141"/>
      <c r="Z1244" s="141"/>
    </row>
    <row r="1245">
      <c r="A1245" s="141"/>
      <c r="B1245" s="141"/>
      <c r="C1245" s="141"/>
      <c r="D1245" s="141"/>
      <c r="E1245" s="141"/>
      <c r="F1245" s="141"/>
      <c r="G1245" s="141"/>
      <c r="H1245" s="141"/>
      <c r="I1245" s="141"/>
      <c r="J1245" s="141"/>
      <c r="K1245" s="141"/>
      <c r="L1245" s="141"/>
      <c r="M1245" s="141"/>
      <c r="N1245" s="141"/>
      <c r="O1245" s="141"/>
      <c r="P1245" s="141"/>
      <c r="Q1245" s="141"/>
      <c r="R1245" s="141"/>
      <c r="S1245" s="141"/>
      <c r="T1245" s="141"/>
      <c r="U1245" s="141"/>
      <c r="V1245" s="141"/>
      <c r="W1245" s="141"/>
      <c r="X1245" s="141"/>
      <c r="Y1245" s="141"/>
      <c r="Z1245" s="141"/>
    </row>
    <row r="1246">
      <c r="A1246" s="141"/>
      <c r="B1246" s="141"/>
      <c r="C1246" s="141"/>
      <c r="D1246" s="141"/>
      <c r="E1246" s="141"/>
      <c r="F1246" s="141"/>
      <c r="G1246" s="141"/>
      <c r="H1246" s="141"/>
      <c r="I1246" s="141"/>
      <c r="J1246" s="141"/>
      <c r="K1246" s="141"/>
      <c r="L1246" s="141"/>
      <c r="M1246" s="141"/>
      <c r="N1246" s="141"/>
      <c r="O1246" s="141"/>
      <c r="P1246" s="141"/>
      <c r="Q1246" s="141"/>
      <c r="R1246" s="141"/>
      <c r="S1246" s="141"/>
      <c r="T1246" s="141"/>
      <c r="U1246" s="141"/>
      <c r="V1246" s="141"/>
      <c r="W1246" s="141"/>
      <c r="X1246" s="141"/>
      <c r="Y1246" s="141"/>
      <c r="Z1246" s="141"/>
    </row>
    <row r="1247">
      <c r="A1247" s="141"/>
      <c r="B1247" s="141"/>
      <c r="C1247" s="141"/>
      <c r="D1247" s="141"/>
      <c r="E1247" s="141"/>
      <c r="F1247" s="141"/>
      <c r="G1247" s="141"/>
      <c r="H1247" s="141"/>
      <c r="I1247" s="141"/>
      <c r="J1247" s="141"/>
      <c r="K1247" s="141"/>
      <c r="L1247" s="141"/>
      <c r="M1247" s="141"/>
      <c r="N1247" s="141"/>
      <c r="O1247" s="141"/>
      <c r="P1247" s="141"/>
      <c r="Q1247" s="141"/>
      <c r="R1247" s="141"/>
      <c r="S1247" s="141"/>
      <c r="T1247" s="141"/>
      <c r="U1247" s="141"/>
      <c r="V1247" s="141"/>
      <c r="W1247" s="141"/>
      <c r="X1247" s="141"/>
      <c r="Y1247" s="141"/>
      <c r="Z1247" s="141"/>
    </row>
    <row r="1248">
      <c r="A1248" s="141"/>
      <c r="B1248" s="141"/>
      <c r="C1248" s="141"/>
      <c r="D1248" s="141"/>
      <c r="E1248" s="141"/>
      <c r="F1248" s="141"/>
      <c r="G1248" s="141"/>
      <c r="H1248" s="141"/>
      <c r="I1248" s="141"/>
      <c r="J1248" s="141"/>
      <c r="K1248" s="141"/>
      <c r="L1248" s="141"/>
      <c r="M1248" s="141"/>
      <c r="N1248" s="141"/>
      <c r="O1248" s="141"/>
      <c r="P1248" s="141"/>
      <c r="Q1248" s="141"/>
      <c r="R1248" s="141"/>
      <c r="S1248" s="141"/>
      <c r="T1248" s="141"/>
      <c r="U1248" s="141"/>
      <c r="V1248" s="141"/>
      <c r="W1248" s="141"/>
      <c r="X1248" s="141"/>
      <c r="Y1248" s="141"/>
      <c r="Z1248" s="141"/>
    </row>
    <row r="1249">
      <c r="A1249" s="141"/>
      <c r="B1249" s="141"/>
      <c r="C1249" s="141"/>
      <c r="D1249" s="141"/>
      <c r="E1249" s="141"/>
      <c r="F1249" s="141"/>
      <c r="G1249" s="141"/>
      <c r="H1249" s="141"/>
      <c r="I1249" s="141"/>
      <c r="J1249" s="141"/>
      <c r="K1249" s="141"/>
      <c r="L1249" s="141"/>
      <c r="M1249" s="141"/>
      <c r="N1249" s="141"/>
      <c r="O1249" s="141"/>
      <c r="P1249" s="141"/>
      <c r="Q1249" s="141"/>
      <c r="R1249" s="141"/>
      <c r="S1249" s="141"/>
      <c r="T1249" s="141"/>
      <c r="U1249" s="141"/>
      <c r="V1249" s="141"/>
      <c r="W1249" s="141"/>
      <c r="X1249" s="141"/>
      <c r="Y1249" s="141"/>
      <c r="Z1249" s="141"/>
    </row>
    <row r="1250">
      <c r="A1250" s="141"/>
      <c r="B1250" s="141"/>
      <c r="C1250" s="141"/>
      <c r="D1250" s="141"/>
      <c r="E1250" s="141"/>
      <c r="F1250" s="141"/>
      <c r="G1250" s="141"/>
      <c r="H1250" s="141"/>
      <c r="I1250" s="141"/>
      <c r="J1250" s="141"/>
      <c r="K1250" s="141"/>
      <c r="L1250" s="141"/>
      <c r="M1250" s="141"/>
      <c r="N1250" s="141"/>
      <c r="O1250" s="141"/>
      <c r="P1250" s="141"/>
      <c r="Q1250" s="141"/>
      <c r="R1250" s="141"/>
      <c r="S1250" s="141"/>
      <c r="T1250" s="141"/>
      <c r="U1250" s="141"/>
      <c r="V1250" s="141"/>
      <c r="W1250" s="141"/>
      <c r="X1250" s="141"/>
      <c r="Y1250" s="141"/>
      <c r="Z1250" s="141"/>
    </row>
    <row r="1251">
      <c r="A1251" s="141"/>
      <c r="B1251" s="141"/>
      <c r="C1251" s="141"/>
      <c r="D1251" s="141"/>
      <c r="E1251" s="141"/>
      <c r="F1251" s="141"/>
      <c r="G1251" s="141"/>
      <c r="H1251" s="141"/>
      <c r="I1251" s="141"/>
      <c r="J1251" s="141"/>
      <c r="K1251" s="141"/>
      <c r="L1251" s="141"/>
      <c r="M1251" s="141"/>
      <c r="N1251" s="141"/>
      <c r="O1251" s="141"/>
      <c r="P1251" s="141"/>
      <c r="Q1251" s="141"/>
      <c r="R1251" s="141"/>
      <c r="S1251" s="141"/>
      <c r="T1251" s="141"/>
      <c r="U1251" s="141"/>
      <c r="V1251" s="141"/>
      <c r="W1251" s="141"/>
      <c r="X1251" s="141"/>
      <c r="Y1251" s="141"/>
      <c r="Z1251" s="141"/>
    </row>
    <row r="1252">
      <c r="A1252" s="141"/>
      <c r="B1252" s="141"/>
      <c r="C1252" s="141"/>
      <c r="D1252" s="141"/>
      <c r="E1252" s="141"/>
      <c r="F1252" s="141"/>
      <c r="G1252" s="141"/>
      <c r="H1252" s="141"/>
      <c r="I1252" s="141"/>
      <c r="J1252" s="141"/>
      <c r="K1252" s="141"/>
      <c r="L1252" s="141"/>
      <c r="M1252" s="141"/>
      <c r="N1252" s="141"/>
      <c r="O1252" s="141"/>
      <c r="P1252" s="141"/>
      <c r="Q1252" s="141"/>
      <c r="R1252" s="141"/>
      <c r="S1252" s="141"/>
      <c r="T1252" s="141"/>
      <c r="U1252" s="141"/>
      <c r="V1252" s="141"/>
      <c r="W1252" s="141"/>
      <c r="X1252" s="141"/>
      <c r="Y1252" s="141"/>
      <c r="Z1252" s="141"/>
    </row>
    <row r="1253">
      <c r="A1253" s="141"/>
      <c r="B1253" s="141"/>
      <c r="C1253" s="141"/>
      <c r="D1253" s="141"/>
      <c r="E1253" s="141"/>
      <c r="F1253" s="141"/>
      <c r="G1253" s="141"/>
      <c r="H1253" s="141"/>
      <c r="I1253" s="141"/>
      <c r="J1253" s="141"/>
      <c r="K1253" s="141"/>
      <c r="L1253" s="141"/>
      <c r="M1253" s="141"/>
      <c r="N1253" s="141"/>
      <c r="O1253" s="141"/>
      <c r="P1253" s="141"/>
      <c r="Q1253" s="141"/>
      <c r="R1253" s="141"/>
      <c r="S1253" s="141"/>
      <c r="T1253" s="141"/>
      <c r="U1253" s="141"/>
      <c r="V1253" s="141"/>
      <c r="W1253" s="141"/>
      <c r="X1253" s="141"/>
      <c r="Y1253" s="141"/>
      <c r="Z1253" s="141"/>
    </row>
    <row r="1254">
      <c r="A1254" s="141"/>
      <c r="B1254" s="141"/>
      <c r="C1254" s="141"/>
      <c r="D1254" s="141"/>
      <c r="E1254" s="141"/>
      <c r="F1254" s="141"/>
      <c r="G1254" s="141"/>
      <c r="H1254" s="141"/>
      <c r="I1254" s="141"/>
      <c r="J1254" s="141"/>
      <c r="K1254" s="141"/>
      <c r="L1254" s="141"/>
      <c r="M1254" s="141"/>
      <c r="N1254" s="141"/>
      <c r="O1254" s="141"/>
      <c r="P1254" s="141"/>
      <c r="Q1254" s="141"/>
      <c r="R1254" s="141"/>
      <c r="S1254" s="141"/>
      <c r="T1254" s="141"/>
      <c r="U1254" s="141"/>
      <c r="V1254" s="141"/>
      <c r="W1254" s="141"/>
      <c r="X1254" s="141"/>
      <c r="Y1254" s="141"/>
      <c r="Z1254" s="141"/>
    </row>
    <row r="1255">
      <c r="A1255" s="141"/>
      <c r="B1255" s="141"/>
      <c r="C1255" s="141"/>
      <c r="D1255" s="141"/>
      <c r="E1255" s="141"/>
      <c r="F1255" s="141"/>
      <c r="G1255" s="141"/>
      <c r="H1255" s="141"/>
      <c r="I1255" s="141"/>
      <c r="J1255" s="141"/>
      <c r="K1255" s="141"/>
      <c r="L1255" s="141"/>
      <c r="M1255" s="141"/>
      <c r="N1255" s="141"/>
      <c r="O1255" s="141"/>
      <c r="P1255" s="141"/>
      <c r="Q1255" s="141"/>
      <c r="R1255" s="141"/>
      <c r="S1255" s="141"/>
      <c r="T1255" s="141"/>
      <c r="U1255" s="141"/>
      <c r="V1255" s="141"/>
      <c r="W1255" s="141"/>
      <c r="X1255" s="141"/>
      <c r="Y1255" s="141"/>
      <c r="Z1255" s="141"/>
    </row>
    <row r="1256">
      <c r="A1256" s="141"/>
      <c r="B1256" s="141"/>
      <c r="C1256" s="141"/>
      <c r="D1256" s="141"/>
      <c r="E1256" s="141"/>
      <c r="F1256" s="141"/>
      <c r="G1256" s="141"/>
      <c r="H1256" s="141"/>
      <c r="I1256" s="141"/>
      <c r="J1256" s="141"/>
      <c r="K1256" s="141"/>
      <c r="L1256" s="141"/>
      <c r="M1256" s="141"/>
      <c r="N1256" s="141"/>
      <c r="O1256" s="141"/>
      <c r="P1256" s="141"/>
      <c r="Q1256" s="141"/>
      <c r="R1256" s="141"/>
      <c r="S1256" s="141"/>
      <c r="T1256" s="141"/>
      <c r="U1256" s="141"/>
      <c r="V1256" s="141"/>
      <c r="W1256" s="141"/>
      <c r="X1256" s="141"/>
      <c r="Y1256" s="141"/>
      <c r="Z1256" s="141"/>
    </row>
    <row r="1257">
      <c r="A1257" s="141"/>
      <c r="B1257" s="141"/>
      <c r="C1257" s="141"/>
      <c r="D1257" s="141"/>
      <c r="E1257" s="141"/>
      <c r="F1257" s="141"/>
      <c r="G1257" s="141"/>
      <c r="H1257" s="141"/>
      <c r="I1257" s="141"/>
      <c r="J1257" s="141"/>
      <c r="K1257" s="141"/>
      <c r="L1257" s="141"/>
      <c r="M1257" s="141"/>
      <c r="N1257" s="141"/>
      <c r="O1257" s="141"/>
      <c r="P1257" s="141"/>
      <c r="Q1257" s="141"/>
      <c r="R1257" s="141"/>
      <c r="S1257" s="141"/>
      <c r="T1257" s="141"/>
      <c r="U1257" s="141"/>
      <c r="V1257" s="141"/>
      <c r="W1257" s="141"/>
      <c r="X1257" s="141"/>
      <c r="Y1257" s="141"/>
      <c r="Z1257" s="141"/>
    </row>
    <row r="1258">
      <c r="A1258" s="141"/>
      <c r="B1258" s="141"/>
      <c r="C1258" s="141"/>
      <c r="D1258" s="141"/>
      <c r="E1258" s="141"/>
      <c r="F1258" s="141"/>
      <c r="G1258" s="141"/>
      <c r="H1258" s="141"/>
      <c r="I1258" s="141"/>
      <c r="J1258" s="141"/>
      <c r="K1258" s="141"/>
      <c r="L1258" s="141"/>
      <c r="M1258" s="141"/>
      <c r="N1258" s="141"/>
      <c r="O1258" s="141"/>
      <c r="P1258" s="141"/>
      <c r="Q1258" s="141"/>
      <c r="R1258" s="141"/>
      <c r="S1258" s="141"/>
      <c r="T1258" s="141"/>
      <c r="U1258" s="141"/>
      <c r="V1258" s="141"/>
      <c r="W1258" s="141"/>
      <c r="X1258" s="141"/>
      <c r="Y1258" s="141"/>
      <c r="Z1258" s="141"/>
    </row>
    <row r="1259">
      <c r="A1259" s="141"/>
      <c r="B1259" s="141"/>
      <c r="C1259" s="141"/>
      <c r="D1259" s="141"/>
      <c r="E1259" s="141"/>
      <c r="F1259" s="141"/>
      <c r="G1259" s="141"/>
      <c r="H1259" s="141"/>
      <c r="I1259" s="141"/>
      <c r="J1259" s="141"/>
      <c r="K1259" s="141"/>
      <c r="L1259" s="141"/>
      <c r="M1259" s="141"/>
      <c r="N1259" s="141"/>
      <c r="O1259" s="141"/>
      <c r="P1259" s="141"/>
      <c r="Q1259" s="141"/>
      <c r="R1259" s="141"/>
      <c r="S1259" s="141"/>
      <c r="T1259" s="141"/>
      <c r="U1259" s="141"/>
      <c r="V1259" s="141"/>
      <c r="W1259" s="141"/>
      <c r="X1259" s="141"/>
      <c r="Y1259" s="141"/>
      <c r="Z1259" s="141"/>
    </row>
    <row r="1260">
      <c r="A1260" s="141"/>
      <c r="B1260" s="141"/>
      <c r="C1260" s="141"/>
      <c r="D1260" s="141"/>
      <c r="E1260" s="141"/>
      <c r="F1260" s="141"/>
      <c r="G1260" s="141"/>
      <c r="H1260" s="141"/>
      <c r="I1260" s="141"/>
      <c r="J1260" s="141"/>
      <c r="K1260" s="141"/>
      <c r="L1260" s="141"/>
      <c r="M1260" s="141"/>
      <c r="N1260" s="141"/>
      <c r="O1260" s="141"/>
      <c r="P1260" s="141"/>
      <c r="Q1260" s="141"/>
      <c r="R1260" s="141"/>
      <c r="S1260" s="141"/>
      <c r="T1260" s="141"/>
      <c r="U1260" s="141"/>
      <c r="V1260" s="141"/>
      <c r="W1260" s="141"/>
      <c r="X1260" s="141"/>
      <c r="Y1260" s="141"/>
      <c r="Z1260" s="141"/>
    </row>
    <row r="1261">
      <c r="A1261" s="141"/>
      <c r="B1261" s="141"/>
      <c r="C1261" s="141"/>
      <c r="D1261" s="141"/>
      <c r="E1261" s="141"/>
      <c r="F1261" s="141"/>
      <c r="G1261" s="141"/>
      <c r="H1261" s="141"/>
      <c r="I1261" s="141"/>
      <c r="J1261" s="141"/>
      <c r="K1261" s="141"/>
      <c r="L1261" s="141"/>
      <c r="M1261" s="141"/>
      <c r="N1261" s="141"/>
      <c r="O1261" s="141"/>
      <c r="P1261" s="141"/>
      <c r="Q1261" s="141"/>
      <c r="R1261" s="141"/>
      <c r="S1261" s="141"/>
      <c r="T1261" s="141"/>
      <c r="U1261" s="141"/>
      <c r="V1261" s="141"/>
      <c r="W1261" s="141"/>
      <c r="X1261" s="141"/>
      <c r="Y1261" s="141"/>
      <c r="Z1261" s="141"/>
    </row>
    <row r="1262">
      <c r="A1262" s="141"/>
      <c r="B1262" s="141"/>
      <c r="C1262" s="141"/>
      <c r="D1262" s="141"/>
      <c r="E1262" s="141"/>
      <c r="F1262" s="141"/>
      <c r="G1262" s="141"/>
      <c r="H1262" s="141"/>
      <c r="I1262" s="141"/>
      <c r="J1262" s="141"/>
      <c r="K1262" s="141"/>
      <c r="L1262" s="141"/>
      <c r="M1262" s="141"/>
      <c r="N1262" s="141"/>
      <c r="O1262" s="141"/>
      <c r="P1262" s="141"/>
      <c r="Q1262" s="141"/>
      <c r="R1262" s="141"/>
      <c r="S1262" s="141"/>
      <c r="T1262" s="141"/>
      <c r="U1262" s="141"/>
      <c r="V1262" s="141"/>
      <c r="W1262" s="141"/>
      <c r="X1262" s="141"/>
      <c r="Y1262" s="141"/>
      <c r="Z1262" s="141"/>
    </row>
    <row r="1263">
      <c r="A1263" s="141"/>
      <c r="B1263" s="141"/>
      <c r="C1263" s="141"/>
      <c r="D1263" s="141"/>
      <c r="E1263" s="141"/>
      <c r="F1263" s="141"/>
      <c r="G1263" s="141"/>
      <c r="H1263" s="141"/>
      <c r="I1263" s="141"/>
      <c r="J1263" s="141"/>
      <c r="K1263" s="141"/>
      <c r="L1263" s="141"/>
      <c r="M1263" s="141"/>
      <c r="N1263" s="141"/>
      <c r="O1263" s="141"/>
      <c r="P1263" s="141"/>
      <c r="Q1263" s="141"/>
      <c r="R1263" s="141"/>
      <c r="S1263" s="141"/>
      <c r="T1263" s="141"/>
      <c r="U1263" s="141"/>
      <c r="V1263" s="141"/>
      <c r="W1263" s="141"/>
      <c r="X1263" s="141"/>
      <c r="Y1263" s="141"/>
      <c r="Z1263" s="141"/>
    </row>
    <row r="1264">
      <c r="A1264" s="141"/>
      <c r="B1264" s="141"/>
      <c r="C1264" s="141"/>
      <c r="D1264" s="141"/>
      <c r="E1264" s="141"/>
      <c r="F1264" s="141"/>
      <c r="G1264" s="141"/>
      <c r="H1264" s="141"/>
      <c r="I1264" s="141"/>
      <c r="J1264" s="141"/>
      <c r="K1264" s="141"/>
      <c r="L1264" s="141"/>
      <c r="M1264" s="141"/>
      <c r="N1264" s="141"/>
      <c r="O1264" s="141"/>
      <c r="P1264" s="141"/>
      <c r="Q1264" s="141"/>
      <c r="R1264" s="141"/>
      <c r="S1264" s="141"/>
      <c r="T1264" s="141"/>
      <c r="U1264" s="141"/>
      <c r="V1264" s="141"/>
      <c r="W1264" s="141"/>
      <c r="X1264" s="141"/>
      <c r="Y1264" s="141"/>
      <c r="Z1264" s="141"/>
    </row>
    <row r="1265">
      <c r="A1265" s="141"/>
      <c r="B1265" s="141"/>
      <c r="C1265" s="141"/>
      <c r="D1265" s="141"/>
      <c r="E1265" s="141"/>
      <c r="F1265" s="141"/>
      <c r="G1265" s="141"/>
      <c r="H1265" s="141"/>
      <c r="I1265" s="141"/>
      <c r="J1265" s="141"/>
      <c r="K1265" s="141"/>
      <c r="L1265" s="141"/>
      <c r="M1265" s="141"/>
      <c r="N1265" s="141"/>
      <c r="O1265" s="141"/>
      <c r="P1265" s="141"/>
      <c r="Q1265" s="141"/>
      <c r="R1265" s="141"/>
      <c r="S1265" s="141"/>
      <c r="T1265" s="141"/>
      <c r="U1265" s="141"/>
      <c r="V1265" s="141"/>
      <c r="W1265" s="141"/>
      <c r="X1265" s="141"/>
      <c r="Y1265" s="141"/>
      <c r="Z1265" s="141"/>
    </row>
    <row r="1266">
      <c r="A1266" s="141"/>
      <c r="B1266" s="141"/>
      <c r="C1266" s="141"/>
      <c r="D1266" s="141"/>
      <c r="E1266" s="141"/>
      <c r="F1266" s="141"/>
      <c r="G1266" s="141"/>
      <c r="H1266" s="141"/>
      <c r="I1266" s="141"/>
      <c r="J1266" s="141"/>
      <c r="K1266" s="141"/>
      <c r="L1266" s="141"/>
      <c r="M1266" s="141"/>
      <c r="N1266" s="141"/>
      <c r="O1266" s="141"/>
      <c r="P1266" s="141"/>
      <c r="Q1266" s="141"/>
      <c r="R1266" s="141"/>
      <c r="S1266" s="141"/>
      <c r="T1266" s="141"/>
      <c r="U1266" s="141"/>
      <c r="V1266" s="141"/>
      <c r="W1266" s="141"/>
      <c r="X1266" s="141"/>
      <c r="Y1266" s="141"/>
      <c r="Z1266" s="141"/>
    </row>
    <row r="1267">
      <c r="A1267" s="141"/>
      <c r="B1267" s="141"/>
      <c r="C1267" s="141"/>
      <c r="D1267" s="141"/>
      <c r="E1267" s="141"/>
      <c r="F1267" s="141"/>
      <c r="G1267" s="141"/>
      <c r="H1267" s="141"/>
      <c r="I1267" s="141"/>
      <c r="J1267" s="141"/>
      <c r="K1267" s="141"/>
      <c r="L1267" s="141"/>
      <c r="M1267" s="141"/>
      <c r="N1267" s="141"/>
      <c r="O1267" s="141"/>
      <c r="P1267" s="141"/>
      <c r="Q1267" s="141"/>
      <c r="R1267" s="141"/>
      <c r="S1267" s="141"/>
      <c r="T1267" s="141"/>
      <c r="U1267" s="141"/>
      <c r="V1267" s="141"/>
      <c r="W1267" s="141"/>
      <c r="X1267" s="141"/>
      <c r="Y1267" s="141"/>
      <c r="Z1267" s="141"/>
    </row>
    <row r="1268">
      <c r="A1268" s="141"/>
      <c r="B1268" s="141"/>
      <c r="C1268" s="141"/>
      <c r="D1268" s="141"/>
      <c r="E1268" s="141"/>
      <c r="F1268" s="141"/>
      <c r="G1268" s="141"/>
      <c r="H1268" s="141"/>
      <c r="I1268" s="141"/>
      <c r="J1268" s="141"/>
      <c r="K1268" s="141"/>
      <c r="L1268" s="141"/>
      <c r="M1268" s="141"/>
      <c r="N1268" s="141"/>
      <c r="O1268" s="141"/>
      <c r="P1268" s="141"/>
      <c r="Q1268" s="141"/>
      <c r="R1268" s="141"/>
      <c r="S1268" s="141"/>
      <c r="T1268" s="141"/>
      <c r="U1268" s="141"/>
      <c r="V1268" s="141"/>
      <c r="W1268" s="141"/>
      <c r="X1268" s="141"/>
      <c r="Y1268" s="141"/>
      <c r="Z1268" s="141"/>
    </row>
    <row r="1269">
      <c r="A1269" s="141"/>
      <c r="B1269" s="141"/>
      <c r="C1269" s="141"/>
      <c r="D1269" s="141"/>
      <c r="E1269" s="141"/>
      <c r="F1269" s="141"/>
      <c r="G1269" s="141"/>
      <c r="H1269" s="141"/>
      <c r="I1269" s="141"/>
      <c r="J1269" s="141"/>
      <c r="K1269" s="141"/>
      <c r="L1269" s="141"/>
      <c r="M1269" s="141"/>
      <c r="N1269" s="141"/>
      <c r="O1269" s="141"/>
      <c r="P1269" s="141"/>
      <c r="Q1269" s="141"/>
      <c r="R1269" s="141"/>
      <c r="S1269" s="141"/>
      <c r="T1269" s="141"/>
      <c r="U1269" s="141"/>
      <c r="V1269" s="141"/>
      <c r="W1269" s="141"/>
      <c r="X1269" s="141"/>
      <c r="Y1269" s="141"/>
      <c r="Z1269" s="141"/>
    </row>
    <row r="1270">
      <c r="A1270" s="141"/>
      <c r="B1270" s="141"/>
      <c r="C1270" s="141"/>
      <c r="D1270" s="141"/>
      <c r="E1270" s="141"/>
      <c r="F1270" s="141"/>
      <c r="G1270" s="141"/>
      <c r="H1270" s="141"/>
      <c r="I1270" s="141"/>
      <c r="J1270" s="141"/>
      <c r="K1270" s="141"/>
      <c r="L1270" s="141"/>
      <c r="M1270" s="141"/>
      <c r="N1270" s="141"/>
      <c r="O1270" s="141"/>
      <c r="P1270" s="141"/>
      <c r="Q1270" s="141"/>
      <c r="R1270" s="141"/>
      <c r="S1270" s="141"/>
      <c r="T1270" s="141"/>
      <c r="U1270" s="141"/>
      <c r="V1270" s="141"/>
      <c r="W1270" s="141"/>
      <c r="X1270" s="141"/>
      <c r="Y1270" s="141"/>
      <c r="Z1270" s="141"/>
    </row>
    <row r="1271">
      <c r="A1271" s="141"/>
      <c r="B1271" s="141"/>
      <c r="C1271" s="141"/>
      <c r="D1271" s="141"/>
      <c r="E1271" s="141"/>
      <c r="F1271" s="141"/>
      <c r="G1271" s="141"/>
      <c r="H1271" s="141"/>
      <c r="I1271" s="141"/>
      <c r="J1271" s="141"/>
      <c r="K1271" s="141"/>
      <c r="L1271" s="141"/>
      <c r="M1271" s="141"/>
      <c r="N1271" s="141"/>
      <c r="O1271" s="141"/>
      <c r="P1271" s="141"/>
      <c r="Q1271" s="141"/>
      <c r="R1271" s="141"/>
      <c r="S1271" s="141"/>
      <c r="T1271" s="141"/>
      <c r="U1271" s="141"/>
      <c r="V1271" s="141"/>
      <c r="W1271" s="141"/>
      <c r="X1271" s="141"/>
      <c r="Y1271" s="141"/>
      <c r="Z1271" s="141"/>
    </row>
    <row r="1272">
      <c r="A1272" s="141"/>
      <c r="B1272" s="141"/>
      <c r="C1272" s="141"/>
      <c r="D1272" s="141"/>
      <c r="E1272" s="141"/>
      <c r="F1272" s="141"/>
      <c r="G1272" s="141"/>
      <c r="H1272" s="141"/>
      <c r="I1272" s="141"/>
      <c r="J1272" s="141"/>
      <c r="K1272" s="141"/>
      <c r="L1272" s="141"/>
      <c r="M1272" s="141"/>
      <c r="N1272" s="141"/>
      <c r="O1272" s="141"/>
      <c r="P1272" s="141"/>
      <c r="Q1272" s="141"/>
      <c r="R1272" s="141"/>
      <c r="S1272" s="141"/>
      <c r="T1272" s="141"/>
      <c r="U1272" s="141"/>
      <c r="V1272" s="141"/>
      <c r="W1272" s="141"/>
      <c r="X1272" s="141"/>
      <c r="Y1272" s="141"/>
      <c r="Z1272" s="141"/>
    </row>
    <row r="1273">
      <c r="A1273" s="141"/>
      <c r="B1273" s="141"/>
      <c r="C1273" s="141"/>
      <c r="D1273" s="141"/>
      <c r="E1273" s="141"/>
      <c r="F1273" s="141"/>
      <c r="G1273" s="141"/>
      <c r="H1273" s="141"/>
      <c r="I1273" s="141"/>
      <c r="J1273" s="141"/>
      <c r="K1273" s="141"/>
      <c r="L1273" s="141"/>
      <c r="M1273" s="141"/>
      <c r="N1273" s="141"/>
      <c r="O1273" s="141"/>
      <c r="P1273" s="141"/>
      <c r="Q1273" s="141"/>
      <c r="R1273" s="141"/>
      <c r="S1273" s="141"/>
      <c r="T1273" s="141"/>
      <c r="U1273" s="141"/>
      <c r="V1273" s="141"/>
      <c r="W1273" s="141"/>
      <c r="X1273" s="141"/>
      <c r="Y1273" s="141"/>
      <c r="Z1273" s="141"/>
    </row>
    <row r="1274">
      <c r="A1274" s="141"/>
      <c r="B1274" s="141"/>
      <c r="C1274" s="141"/>
      <c r="D1274" s="141"/>
      <c r="E1274" s="141"/>
      <c r="F1274" s="141"/>
      <c r="G1274" s="141"/>
      <c r="H1274" s="141"/>
      <c r="I1274" s="141"/>
      <c r="J1274" s="141"/>
      <c r="K1274" s="141"/>
      <c r="L1274" s="141"/>
      <c r="M1274" s="141"/>
      <c r="N1274" s="141"/>
      <c r="O1274" s="141"/>
      <c r="P1274" s="141"/>
      <c r="Q1274" s="141"/>
      <c r="R1274" s="141"/>
      <c r="S1274" s="141"/>
      <c r="T1274" s="141"/>
      <c r="U1274" s="141"/>
      <c r="V1274" s="141"/>
      <c r="W1274" s="141"/>
      <c r="X1274" s="141"/>
      <c r="Y1274" s="141"/>
      <c r="Z1274" s="141"/>
    </row>
    <row r="1275">
      <c r="A1275" s="141"/>
      <c r="B1275" s="141"/>
      <c r="C1275" s="141"/>
      <c r="D1275" s="141"/>
      <c r="E1275" s="141"/>
      <c r="F1275" s="141"/>
      <c r="G1275" s="141"/>
      <c r="H1275" s="141"/>
      <c r="I1275" s="141"/>
      <c r="J1275" s="141"/>
      <c r="K1275" s="141"/>
      <c r="L1275" s="141"/>
      <c r="M1275" s="141"/>
      <c r="N1275" s="141"/>
      <c r="O1275" s="141"/>
      <c r="P1275" s="141"/>
      <c r="Q1275" s="141"/>
      <c r="R1275" s="141"/>
      <c r="S1275" s="141"/>
      <c r="T1275" s="141"/>
      <c r="U1275" s="141"/>
      <c r="V1275" s="141"/>
      <c r="W1275" s="141"/>
      <c r="X1275" s="141"/>
      <c r="Y1275" s="141"/>
      <c r="Z1275" s="141"/>
    </row>
    <row r="1276">
      <c r="A1276" s="141"/>
      <c r="B1276" s="141"/>
      <c r="C1276" s="141"/>
      <c r="D1276" s="141"/>
      <c r="E1276" s="141"/>
      <c r="F1276" s="141"/>
      <c r="G1276" s="141"/>
      <c r="H1276" s="141"/>
      <c r="I1276" s="141"/>
      <c r="J1276" s="141"/>
      <c r="K1276" s="141"/>
      <c r="L1276" s="141"/>
      <c r="M1276" s="141"/>
      <c r="N1276" s="141"/>
      <c r="O1276" s="141"/>
      <c r="P1276" s="141"/>
      <c r="Q1276" s="141"/>
      <c r="R1276" s="141"/>
      <c r="S1276" s="141"/>
      <c r="T1276" s="141"/>
      <c r="U1276" s="141"/>
      <c r="V1276" s="141"/>
      <c r="W1276" s="141"/>
      <c r="X1276" s="141"/>
      <c r="Y1276" s="141"/>
      <c r="Z1276" s="141"/>
    </row>
    <row r="1277">
      <c r="A1277" s="141"/>
      <c r="B1277" s="141"/>
      <c r="C1277" s="141"/>
      <c r="D1277" s="141"/>
      <c r="E1277" s="141"/>
      <c r="F1277" s="141"/>
      <c r="G1277" s="141"/>
      <c r="H1277" s="141"/>
      <c r="I1277" s="141"/>
      <c r="J1277" s="141"/>
      <c r="K1277" s="141"/>
      <c r="L1277" s="141"/>
      <c r="M1277" s="141"/>
      <c r="N1277" s="141"/>
      <c r="O1277" s="141"/>
      <c r="P1277" s="141"/>
      <c r="Q1277" s="141"/>
      <c r="R1277" s="141"/>
      <c r="S1277" s="141"/>
      <c r="T1277" s="141"/>
      <c r="U1277" s="141"/>
      <c r="V1277" s="141"/>
      <c r="W1277" s="141"/>
      <c r="X1277" s="141"/>
      <c r="Y1277" s="141"/>
      <c r="Z1277" s="141"/>
    </row>
    <row r="1278">
      <c r="A1278" s="141"/>
      <c r="B1278" s="141"/>
      <c r="C1278" s="141"/>
      <c r="D1278" s="141"/>
      <c r="E1278" s="141"/>
      <c r="F1278" s="141"/>
      <c r="G1278" s="141"/>
      <c r="H1278" s="141"/>
      <c r="I1278" s="141"/>
      <c r="J1278" s="141"/>
      <c r="K1278" s="141"/>
      <c r="L1278" s="141"/>
      <c r="M1278" s="141"/>
      <c r="N1278" s="141"/>
      <c r="O1278" s="141"/>
      <c r="P1278" s="141"/>
      <c r="Q1278" s="141"/>
      <c r="R1278" s="141"/>
      <c r="S1278" s="141"/>
      <c r="T1278" s="141"/>
      <c r="U1278" s="141"/>
      <c r="V1278" s="141"/>
      <c r="W1278" s="141"/>
      <c r="X1278" s="141"/>
      <c r="Y1278" s="141"/>
      <c r="Z1278" s="141"/>
    </row>
    <row r="1279">
      <c r="A1279" s="141"/>
      <c r="B1279" s="141"/>
      <c r="C1279" s="141"/>
      <c r="D1279" s="141"/>
      <c r="E1279" s="141"/>
      <c r="F1279" s="141"/>
      <c r="G1279" s="141"/>
      <c r="H1279" s="141"/>
      <c r="I1279" s="141"/>
      <c r="J1279" s="141"/>
      <c r="K1279" s="141"/>
      <c r="L1279" s="141"/>
      <c r="M1279" s="141"/>
      <c r="N1279" s="141"/>
      <c r="O1279" s="141"/>
      <c r="P1279" s="141"/>
      <c r="Q1279" s="141"/>
      <c r="R1279" s="141"/>
      <c r="S1279" s="141"/>
      <c r="T1279" s="141"/>
      <c r="U1279" s="141"/>
      <c r="V1279" s="141"/>
      <c r="W1279" s="141"/>
      <c r="X1279" s="141"/>
      <c r="Y1279" s="141"/>
      <c r="Z1279" s="141"/>
    </row>
    <row r="1280">
      <c r="A1280" s="141"/>
      <c r="B1280" s="141"/>
      <c r="C1280" s="141"/>
      <c r="D1280" s="141"/>
      <c r="E1280" s="141"/>
      <c r="F1280" s="141"/>
      <c r="G1280" s="141"/>
      <c r="H1280" s="141"/>
      <c r="I1280" s="141"/>
      <c r="J1280" s="141"/>
      <c r="K1280" s="141"/>
      <c r="L1280" s="141"/>
      <c r="M1280" s="141"/>
      <c r="N1280" s="141"/>
      <c r="O1280" s="141"/>
      <c r="P1280" s="141"/>
      <c r="Q1280" s="141"/>
      <c r="R1280" s="141"/>
      <c r="S1280" s="141"/>
      <c r="T1280" s="141"/>
      <c r="U1280" s="141"/>
      <c r="V1280" s="141"/>
      <c r="W1280" s="141"/>
      <c r="X1280" s="141"/>
      <c r="Y1280" s="141"/>
      <c r="Z1280" s="141"/>
    </row>
    <row r="1281">
      <c r="A1281" s="141"/>
      <c r="B1281" s="141"/>
      <c r="C1281" s="141"/>
      <c r="D1281" s="141"/>
      <c r="E1281" s="141"/>
      <c r="F1281" s="141"/>
      <c r="G1281" s="141"/>
      <c r="H1281" s="141"/>
      <c r="I1281" s="141"/>
      <c r="J1281" s="141"/>
      <c r="K1281" s="141"/>
      <c r="L1281" s="141"/>
      <c r="M1281" s="141"/>
      <c r="N1281" s="141"/>
      <c r="O1281" s="141"/>
      <c r="P1281" s="141"/>
      <c r="Q1281" s="141"/>
      <c r="R1281" s="141"/>
      <c r="S1281" s="141"/>
      <c r="T1281" s="141"/>
      <c r="U1281" s="141"/>
      <c r="V1281" s="141"/>
      <c r="W1281" s="141"/>
      <c r="X1281" s="141"/>
      <c r="Y1281" s="141"/>
      <c r="Z1281" s="141"/>
    </row>
    <row r="1282">
      <c r="A1282" s="141"/>
      <c r="B1282" s="141"/>
      <c r="C1282" s="141"/>
      <c r="D1282" s="141"/>
      <c r="E1282" s="141"/>
      <c r="F1282" s="141"/>
      <c r="G1282" s="141"/>
      <c r="H1282" s="141"/>
      <c r="I1282" s="141"/>
      <c r="J1282" s="141"/>
      <c r="K1282" s="141"/>
      <c r="L1282" s="141"/>
      <c r="M1282" s="141"/>
      <c r="N1282" s="141"/>
      <c r="O1282" s="141"/>
      <c r="P1282" s="141"/>
      <c r="Q1282" s="141"/>
      <c r="R1282" s="141"/>
      <c r="S1282" s="141"/>
      <c r="T1282" s="141"/>
      <c r="U1282" s="141"/>
      <c r="V1282" s="141"/>
      <c r="W1282" s="141"/>
      <c r="X1282" s="141"/>
      <c r="Y1282" s="141"/>
      <c r="Z1282" s="141"/>
    </row>
    <row r="1283">
      <c r="A1283" s="141"/>
      <c r="B1283" s="141"/>
      <c r="C1283" s="141"/>
      <c r="D1283" s="141"/>
      <c r="E1283" s="141"/>
      <c r="F1283" s="141"/>
      <c r="G1283" s="141"/>
      <c r="H1283" s="141"/>
      <c r="I1283" s="141"/>
      <c r="J1283" s="141"/>
      <c r="K1283" s="141"/>
      <c r="L1283" s="141"/>
      <c r="M1283" s="141"/>
      <c r="N1283" s="141"/>
      <c r="O1283" s="141"/>
      <c r="P1283" s="141"/>
      <c r="Q1283" s="141"/>
      <c r="R1283" s="141"/>
      <c r="S1283" s="141"/>
      <c r="T1283" s="141"/>
      <c r="U1283" s="141"/>
      <c r="V1283" s="141"/>
      <c r="W1283" s="141"/>
      <c r="X1283" s="141"/>
      <c r="Y1283" s="141"/>
      <c r="Z1283" s="141"/>
    </row>
    <row r="1284">
      <c r="A1284" s="141"/>
      <c r="B1284" s="141"/>
      <c r="C1284" s="141"/>
      <c r="D1284" s="141"/>
      <c r="E1284" s="141"/>
      <c r="F1284" s="141"/>
      <c r="G1284" s="141"/>
      <c r="H1284" s="141"/>
      <c r="I1284" s="141"/>
      <c r="J1284" s="141"/>
      <c r="K1284" s="141"/>
      <c r="L1284" s="141"/>
      <c r="M1284" s="141"/>
      <c r="N1284" s="141"/>
      <c r="O1284" s="141"/>
      <c r="P1284" s="141"/>
      <c r="Q1284" s="141"/>
      <c r="R1284" s="141"/>
      <c r="S1284" s="141"/>
      <c r="T1284" s="141"/>
      <c r="U1284" s="141"/>
      <c r="V1284" s="141"/>
      <c r="W1284" s="141"/>
      <c r="X1284" s="141"/>
      <c r="Y1284" s="141"/>
      <c r="Z1284" s="141"/>
    </row>
    <row r="1285">
      <c r="A1285" s="141"/>
      <c r="B1285" s="141"/>
      <c r="C1285" s="141"/>
      <c r="D1285" s="141"/>
      <c r="E1285" s="141"/>
      <c r="F1285" s="141"/>
      <c r="G1285" s="141"/>
      <c r="H1285" s="141"/>
      <c r="I1285" s="141"/>
      <c r="J1285" s="141"/>
      <c r="K1285" s="141"/>
      <c r="L1285" s="141"/>
      <c r="M1285" s="141"/>
      <c r="N1285" s="141"/>
      <c r="O1285" s="141"/>
      <c r="P1285" s="141"/>
      <c r="Q1285" s="141"/>
      <c r="R1285" s="141"/>
      <c r="S1285" s="141"/>
      <c r="T1285" s="141"/>
      <c r="U1285" s="141"/>
      <c r="V1285" s="141"/>
      <c r="W1285" s="141"/>
      <c r="X1285" s="141"/>
      <c r="Y1285" s="141"/>
      <c r="Z1285" s="141"/>
    </row>
    <row r="1286">
      <c r="A1286" s="141"/>
      <c r="B1286" s="141"/>
      <c r="C1286" s="141"/>
      <c r="D1286" s="141"/>
      <c r="E1286" s="141"/>
      <c r="F1286" s="141"/>
      <c r="G1286" s="141"/>
      <c r="H1286" s="141"/>
      <c r="I1286" s="141"/>
      <c r="J1286" s="141"/>
      <c r="K1286" s="141"/>
      <c r="L1286" s="141"/>
      <c r="M1286" s="141"/>
      <c r="N1286" s="141"/>
      <c r="O1286" s="141"/>
      <c r="P1286" s="141"/>
      <c r="Q1286" s="141"/>
      <c r="R1286" s="141"/>
      <c r="S1286" s="141"/>
      <c r="T1286" s="141"/>
      <c r="U1286" s="141"/>
      <c r="V1286" s="141"/>
      <c r="W1286" s="141"/>
      <c r="X1286" s="141"/>
      <c r="Y1286" s="141"/>
      <c r="Z1286" s="141"/>
    </row>
    <row r="1287">
      <c r="A1287" s="141"/>
      <c r="B1287" s="141"/>
      <c r="C1287" s="141"/>
      <c r="D1287" s="141"/>
      <c r="E1287" s="141"/>
      <c r="F1287" s="141"/>
      <c r="G1287" s="141"/>
      <c r="H1287" s="141"/>
      <c r="I1287" s="141"/>
      <c r="J1287" s="141"/>
      <c r="K1287" s="141"/>
      <c r="L1287" s="141"/>
      <c r="M1287" s="141"/>
      <c r="N1287" s="141"/>
      <c r="O1287" s="141"/>
      <c r="P1287" s="141"/>
      <c r="Q1287" s="141"/>
      <c r="R1287" s="141"/>
      <c r="S1287" s="141"/>
      <c r="T1287" s="141"/>
      <c r="U1287" s="141"/>
      <c r="V1287" s="141"/>
      <c r="W1287" s="141"/>
      <c r="X1287" s="141"/>
      <c r="Y1287" s="141"/>
      <c r="Z1287" s="141"/>
    </row>
    <row r="1288">
      <c r="A1288" s="141"/>
      <c r="B1288" s="141"/>
      <c r="C1288" s="141"/>
      <c r="D1288" s="141"/>
      <c r="E1288" s="141"/>
      <c r="F1288" s="141"/>
      <c r="G1288" s="141"/>
      <c r="H1288" s="141"/>
      <c r="I1288" s="141"/>
      <c r="J1288" s="141"/>
      <c r="K1288" s="141"/>
      <c r="L1288" s="141"/>
      <c r="M1288" s="141"/>
      <c r="N1288" s="141"/>
      <c r="O1288" s="141"/>
      <c r="P1288" s="141"/>
      <c r="Q1288" s="141"/>
      <c r="R1288" s="141"/>
      <c r="S1288" s="141"/>
      <c r="T1288" s="141"/>
      <c r="U1288" s="141"/>
      <c r="V1288" s="141"/>
      <c r="W1288" s="141"/>
      <c r="X1288" s="141"/>
      <c r="Y1288" s="141"/>
      <c r="Z1288" s="141"/>
    </row>
    <row r="1289">
      <c r="A1289" s="141"/>
      <c r="B1289" s="141"/>
      <c r="C1289" s="141"/>
      <c r="D1289" s="141"/>
      <c r="E1289" s="141"/>
      <c r="F1289" s="141"/>
      <c r="G1289" s="141"/>
      <c r="H1289" s="141"/>
      <c r="I1289" s="141"/>
      <c r="J1289" s="141"/>
      <c r="K1289" s="141"/>
      <c r="L1289" s="141"/>
      <c r="M1289" s="141"/>
      <c r="N1289" s="141"/>
      <c r="O1289" s="141"/>
      <c r="P1289" s="141"/>
      <c r="Q1289" s="141"/>
      <c r="R1289" s="141"/>
      <c r="S1289" s="141"/>
      <c r="T1289" s="141"/>
      <c r="U1289" s="141"/>
      <c r="V1289" s="141"/>
      <c r="W1289" s="141"/>
      <c r="X1289" s="141"/>
      <c r="Y1289" s="141"/>
      <c r="Z1289" s="141"/>
    </row>
    <row r="1290">
      <c r="A1290" s="141"/>
      <c r="B1290" s="141"/>
      <c r="C1290" s="141"/>
      <c r="D1290" s="141"/>
      <c r="E1290" s="141"/>
      <c r="F1290" s="141"/>
      <c r="G1290" s="141"/>
      <c r="H1290" s="141"/>
      <c r="I1290" s="141"/>
      <c r="J1290" s="141"/>
      <c r="K1290" s="141"/>
      <c r="L1290" s="141"/>
      <c r="M1290" s="141"/>
      <c r="N1290" s="141"/>
      <c r="O1290" s="141"/>
      <c r="P1290" s="141"/>
      <c r="Q1290" s="141"/>
      <c r="R1290" s="141"/>
      <c r="S1290" s="141"/>
      <c r="T1290" s="141"/>
      <c r="U1290" s="141"/>
      <c r="V1290" s="141"/>
      <c r="W1290" s="141"/>
      <c r="X1290" s="141"/>
      <c r="Y1290" s="141"/>
      <c r="Z1290" s="141"/>
    </row>
    <row r="1291">
      <c r="A1291" s="141"/>
      <c r="B1291" s="141"/>
      <c r="C1291" s="141"/>
      <c r="D1291" s="141"/>
      <c r="E1291" s="141"/>
      <c r="F1291" s="141"/>
      <c r="G1291" s="141"/>
      <c r="H1291" s="141"/>
      <c r="I1291" s="141"/>
      <c r="J1291" s="141"/>
      <c r="K1291" s="141"/>
      <c r="L1291" s="141"/>
      <c r="M1291" s="141"/>
      <c r="N1291" s="141"/>
      <c r="O1291" s="141"/>
      <c r="P1291" s="141"/>
      <c r="Q1291" s="141"/>
      <c r="R1291" s="141"/>
      <c r="S1291" s="141"/>
      <c r="T1291" s="141"/>
      <c r="U1291" s="141"/>
      <c r="V1291" s="141"/>
      <c r="W1291" s="141"/>
      <c r="X1291" s="141"/>
      <c r="Y1291" s="141"/>
      <c r="Z1291" s="141"/>
    </row>
    <row r="1292">
      <c r="A1292" s="141"/>
      <c r="B1292" s="141"/>
      <c r="C1292" s="141"/>
      <c r="D1292" s="141"/>
      <c r="E1292" s="141"/>
      <c r="F1292" s="141"/>
      <c r="G1292" s="141"/>
      <c r="H1292" s="141"/>
      <c r="I1292" s="141"/>
      <c r="J1292" s="141"/>
      <c r="K1292" s="141"/>
      <c r="L1292" s="141"/>
      <c r="M1292" s="141"/>
      <c r="N1292" s="141"/>
      <c r="O1292" s="141"/>
      <c r="P1292" s="141"/>
      <c r="Q1292" s="141"/>
      <c r="R1292" s="141"/>
      <c r="S1292" s="141"/>
      <c r="T1292" s="141"/>
      <c r="U1292" s="141"/>
      <c r="V1292" s="141"/>
      <c r="W1292" s="141"/>
      <c r="X1292" s="141"/>
      <c r="Y1292" s="141"/>
      <c r="Z1292" s="141"/>
    </row>
    <row r="1293">
      <c r="A1293" s="141"/>
      <c r="B1293" s="141"/>
      <c r="C1293" s="141"/>
      <c r="D1293" s="141"/>
      <c r="E1293" s="141"/>
      <c r="F1293" s="141"/>
      <c r="G1293" s="141"/>
      <c r="H1293" s="141"/>
      <c r="I1293" s="141"/>
      <c r="J1293" s="141"/>
      <c r="K1293" s="141"/>
      <c r="L1293" s="141"/>
      <c r="M1293" s="141"/>
      <c r="N1293" s="141"/>
      <c r="O1293" s="141"/>
      <c r="P1293" s="141"/>
      <c r="Q1293" s="141"/>
      <c r="R1293" s="141"/>
      <c r="S1293" s="141"/>
      <c r="T1293" s="141"/>
      <c r="U1293" s="141"/>
      <c r="V1293" s="141"/>
      <c r="W1293" s="141"/>
      <c r="X1293" s="141"/>
      <c r="Y1293" s="141"/>
      <c r="Z1293" s="141"/>
    </row>
    <row r="1294">
      <c r="A1294" s="141"/>
      <c r="B1294" s="141"/>
      <c r="C1294" s="141"/>
      <c r="D1294" s="141"/>
      <c r="E1294" s="141"/>
      <c r="F1294" s="141"/>
      <c r="G1294" s="141"/>
      <c r="H1294" s="141"/>
      <c r="I1294" s="141"/>
      <c r="J1294" s="141"/>
      <c r="K1294" s="141"/>
      <c r="L1294" s="141"/>
      <c r="M1294" s="141"/>
      <c r="N1294" s="141"/>
      <c r="O1294" s="141"/>
      <c r="P1294" s="141"/>
      <c r="Q1294" s="141"/>
      <c r="R1294" s="141"/>
      <c r="S1294" s="141"/>
      <c r="T1294" s="141"/>
      <c r="U1294" s="141"/>
      <c r="V1294" s="141"/>
      <c r="W1294" s="141"/>
      <c r="X1294" s="141"/>
      <c r="Y1294" s="141"/>
      <c r="Z1294" s="141"/>
    </row>
    <row r="1295">
      <c r="A1295" s="141"/>
      <c r="B1295" s="141"/>
      <c r="C1295" s="141"/>
      <c r="D1295" s="141"/>
      <c r="E1295" s="141"/>
      <c r="F1295" s="141"/>
      <c r="G1295" s="141"/>
      <c r="H1295" s="141"/>
      <c r="I1295" s="141"/>
      <c r="J1295" s="141"/>
      <c r="K1295" s="141"/>
      <c r="L1295" s="141"/>
      <c r="M1295" s="141"/>
      <c r="N1295" s="141"/>
      <c r="O1295" s="141"/>
      <c r="P1295" s="141"/>
      <c r="Q1295" s="141"/>
      <c r="R1295" s="141"/>
      <c r="S1295" s="141"/>
      <c r="T1295" s="141"/>
      <c r="U1295" s="141"/>
      <c r="V1295" s="141"/>
      <c r="W1295" s="141"/>
      <c r="X1295" s="141"/>
      <c r="Y1295" s="141"/>
      <c r="Z1295" s="141"/>
    </row>
    <row r="1296">
      <c r="A1296" s="141"/>
      <c r="B1296" s="141"/>
      <c r="C1296" s="141"/>
      <c r="D1296" s="141"/>
      <c r="E1296" s="141"/>
      <c r="F1296" s="141"/>
      <c r="G1296" s="141"/>
      <c r="H1296" s="141"/>
      <c r="I1296" s="141"/>
      <c r="J1296" s="141"/>
      <c r="K1296" s="141"/>
      <c r="L1296" s="141"/>
      <c r="M1296" s="141"/>
      <c r="N1296" s="141"/>
      <c r="O1296" s="141"/>
      <c r="P1296" s="141"/>
      <c r="Q1296" s="141"/>
      <c r="R1296" s="141"/>
      <c r="S1296" s="141"/>
      <c r="T1296" s="141"/>
      <c r="U1296" s="141"/>
      <c r="V1296" s="141"/>
      <c r="W1296" s="141"/>
      <c r="X1296" s="141"/>
      <c r="Y1296" s="141"/>
      <c r="Z1296" s="141"/>
    </row>
    <row r="1297">
      <c r="A1297" s="141"/>
      <c r="B1297" s="141"/>
      <c r="C1297" s="141"/>
      <c r="D1297" s="141"/>
      <c r="E1297" s="141"/>
      <c r="F1297" s="141"/>
      <c r="G1297" s="141"/>
      <c r="H1297" s="141"/>
      <c r="I1297" s="141"/>
      <c r="J1297" s="141"/>
      <c r="K1297" s="141"/>
      <c r="L1297" s="141"/>
      <c r="M1297" s="141"/>
      <c r="N1297" s="141"/>
      <c r="O1297" s="141"/>
      <c r="P1297" s="141"/>
      <c r="Q1297" s="141"/>
      <c r="R1297" s="141"/>
      <c r="S1297" s="141"/>
      <c r="T1297" s="141"/>
      <c r="U1297" s="141"/>
      <c r="V1297" s="141"/>
      <c r="W1297" s="141"/>
      <c r="X1297" s="141"/>
      <c r="Y1297" s="141"/>
      <c r="Z1297" s="141"/>
    </row>
    <row r="1298">
      <c r="A1298" s="141"/>
      <c r="B1298" s="141"/>
      <c r="C1298" s="141"/>
      <c r="D1298" s="141"/>
      <c r="E1298" s="141"/>
      <c r="F1298" s="141"/>
      <c r="G1298" s="141"/>
      <c r="H1298" s="141"/>
      <c r="I1298" s="141"/>
      <c r="J1298" s="141"/>
      <c r="K1298" s="141"/>
      <c r="L1298" s="141"/>
      <c r="M1298" s="141"/>
      <c r="N1298" s="141"/>
      <c r="O1298" s="141"/>
      <c r="P1298" s="141"/>
      <c r="Q1298" s="141"/>
      <c r="R1298" s="141"/>
      <c r="S1298" s="141"/>
      <c r="T1298" s="141"/>
      <c r="U1298" s="141"/>
      <c r="V1298" s="141"/>
      <c r="W1298" s="141"/>
      <c r="X1298" s="141"/>
      <c r="Y1298" s="141"/>
      <c r="Z1298" s="141"/>
    </row>
    <row r="1299">
      <c r="A1299" s="141"/>
      <c r="B1299" s="141"/>
      <c r="C1299" s="141"/>
      <c r="D1299" s="141"/>
      <c r="E1299" s="141"/>
      <c r="F1299" s="141"/>
      <c r="G1299" s="141"/>
      <c r="H1299" s="141"/>
      <c r="I1299" s="141"/>
      <c r="J1299" s="141"/>
      <c r="K1299" s="141"/>
      <c r="L1299" s="141"/>
      <c r="M1299" s="141"/>
      <c r="N1299" s="141"/>
      <c r="O1299" s="141"/>
      <c r="P1299" s="141"/>
      <c r="Q1299" s="141"/>
      <c r="R1299" s="141"/>
      <c r="S1299" s="141"/>
      <c r="T1299" s="141"/>
      <c r="U1299" s="141"/>
      <c r="V1299" s="141"/>
      <c r="W1299" s="141"/>
      <c r="X1299" s="141"/>
      <c r="Y1299" s="141"/>
      <c r="Z1299" s="141"/>
    </row>
    <row r="1300">
      <c r="A1300" s="141"/>
      <c r="B1300" s="141"/>
      <c r="C1300" s="141"/>
      <c r="D1300" s="141"/>
      <c r="E1300" s="141"/>
      <c r="F1300" s="141"/>
      <c r="G1300" s="141"/>
      <c r="H1300" s="141"/>
      <c r="I1300" s="141"/>
      <c r="J1300" s="141"/>
      <c r="K1300" s="141"/>
      <c r="L1300" s="141"/>
      <c r="M1300" s="141"/>
      <c r="N1300" s="141"/>
      <c r="O1300" s="141"/>
      <c r="P1300" s="141"/>
      <c r="Q1300" s="141"/>
      <c r="R1300" s="141"/>
      <c r="S1300" s="141"/>
      <c r="T1300" s="141"/>
      <c r="U1300" s="141"/>
      <c r="V1300" s="141"/>
      <c r="W1300" s="141"/>
      <c r="X1300" s="141"/>
      <c r="Y1300" s="141"/>
      <c r="Z1300" s="141"/>
    </row>
    <row r="1301">
      <c r="A1301" s="141"/>
      <c r="B1301" s="141"/>
      <c r="C1301" s="141"/>
      <c r="D1301" s="141"/>
      <c r="E1301" s="141"/>
      <c r="F1301" s="141"/>
      <c r="G1301" s="141"/>
      <c r="H1301" s="141"/>
      <c r="I1301" s="141"/>
      <c r="J1301" s="141"/>
      <c r="K1301" s="141"/>
      <c r="L1301" s="141"/>
      <c r="M1301" s="141"/>
      <c r="N1301" s="141"/>
      <c r="O1301" s="141"/>
      <c r="P1301" s="141"/>
      <c r="Q1301" s="141"/>
      <c r="R1301" s="141"/>
      <c r="S1301" s="141"/>
      <c r="T1301" s="141"/>
      <c r="U1301" s="141"/>
      <c r="V1301" s="141"/>
      <c r="W1301" s="141"/>
      <c r="X1301" s="141"/>
      <c r="Y1301" s="141"/>
      <c r="Z1301" s="141"/>
    </row>
    <row r="1302">
      <c r="A1302" s="141"/>
      <c r="B1302" s="141"/>
      <c r="C1302" s="141"/>
      <c r="D1302" s="141"/>
      <c r="E1302" s="141"/>
      <c r="F1302" s="141"/>
      <c r="G1302" s="141"/>
      <c r="H1302" s="141"/>
      <c r="I1302" s="141"/>
      <c r="J1302" s="141"/>
      <c r="K1302" s="141"/>
      <c r="L1302" s="141"/>
      <c r="M1302" s="141"/>
      <c r="N1302" s="141"/>
      <c r="O1302" s="141"/>
      <c r="P1302" s="141"/>
      <c r="Q1302" s="141"/>
      <c r="R1302" s="141"/>
      <c r="S1302" s="141"/>
      <c r="T1302" s="141"/>
      <c r="U1302" s="141"/>
      <c r="V1302" s="141"/>
      <c r="W1302" s="141"/>
      <c r="X1302" s="141"/>
      <c r="Y1302" s="141"/>
      <c r="Z1302" s="141"/>
    </row>
    <row r="1303">
      <c r="A1303" s="141"/>
      <c r="B1303" s="141"/>
      <c r="C1303" s="141"/>
      <c r="D1303" s="141"/>
      <c r="E1303" s="141"/>
      <c r="F1303" s="141"/>
      <c r="G1303" s="141"/>
      <c r="H1303" s="141"/>
      <c r="I1303" s="141"/>
      <c r="J1303" s="141"/>
      <c r="K1303" s="141"/>
      <c r="L1303" s="141"/>
      <c r="M1303" s="141"/>
      <c r="N1303" s="141"/>
      <c r="O1303" s="141"/>
      <c r="P1303" s="141"/>
      <c r="Q1303" s="141"/>
      <c r="R1303" s="141"/>
      <c r="S1303" s="141"/>
      <c r="T1303" s="141"/>
      <c r="U1303" s="141"/>
      <c r="V1303" s="141"/>
      <c r="W1303" s="141"/>
      <c r="X1303" s="141"/>
      <c r="Y1303" s="141"/>
      <c r="Z1303" s="141"/>
    </row>
    <row r="1304">
      <c r="A1304" s="141"/>
      <c r="B1304" s="141"/>
      <c r="C1304" s="141"/>
      <c r="D1304" s="141"/>
      <c r="E1304" s="141"/>
      <c r="F1304" s="141"/>
      <c r="G1304" s="141"/>
      <c r="H1304" s="141"/>
      <c r="I1304" s="141"/>
      <c r="J1304" s="141"/>
      <c r="K1304" s="141"/>
      <c r="L1304" s="141"/>
      <c r="M1304" s="141"/>
      <c r="N1304" s="141"/>
      <c r="O1304" s="141"/>
      <c r="P1304" s="141"/>
      <c r="Q1304" s="141"/>
      <c r="R1304" s="141"/>
      <c r="S1304" s="141"/>
      <c r="T1304" s="141"/>
      <c r="U1304" s="141"/>
      <c r="V1304" s="141"/>
      <c r="W1304" s="141"/>
      <c r="X1304" s="141"/>
      <c r="Y1304" s="141"/>
      <c r="Z1304" s="141"/>
    </row>
    <row r="1305">
      <c r="A1305" s="141"/>
      <c r="B1305" s="141"/>
      <c r="C1305" s="141"/>
      <c r="D1305" s="141"/>
      <c r="E1305" s="141"/>
      <c r="F1305" s="141"/>
      <c r="G1305" s="141"/>
      <c r="H1305" s="141"/>
      <c r="I1305" s="141"/>
      <c r="J1305" s="141"/>
      <c r="K1305" s="141"/>
      <c r="L1305" s="141"/>
      <c r="M1305" s="141"/>
      <c r="N1305" s="141"/>
      <c r="O1305" s="141"/>
      <c r="P1305" s="141"/>
      <c r="Q1305" s="141"/>
      <c r="R1305" s="141"/>
      <c r="S1305" s="141"/>
      <c r="T1305" s="141"/>
      <c r="U1305" s="141"/>
      <c r="V1305" s="141"/>
      <c r="W1305" s="141"/>
      <c r="X1305" s="141"/>
      <c r="Y1305" s="141"/>
      <c r="Z1305" s="141"/>
    </row>
    <row r="1306">
      <c r="A1306" s="141"/>
      <c r="B1306" s="141"/>
      <c r="C1306" s="141"/>
      <c r="D1306" s="141"/>
      <c r="E1306" s="141"/>
      <c r="F1306" s="141"/>
      <c r="G1306" s="141"/>
      <c r="H1306" s="141"/>
      <c r="I1306" s="141"/>
      <c r="J1306" s="141"/>
      <c r="K1306" s="141"/>
      <c r="L1306" s="141"/>
      <c r="M1306" s="141"/>
      <c r="N1306" s="141"/>
      <c r="O1306" s="141"/>
      <c r="P1306" s="141"/>
      <c r="Q1306" s="141"/>
      <c r="R1306" s="141"/>
      <c r="S1306" s="141"/>
      <c r="T1306" s="141"/>
      <c r="U1306" s="141"/>
      <c r="V1306" s="141"/>
      <c r="W1306" s="141"/>
      <c r="X1306" s="141"/>
      <c r="Y1306" s="141"/>
      <c r="Z1306" s="141"/>
    </row>
    <row r="1307">
      <c r="A1307" s="141"/>
      <c r="B1307" s="141"/>
      <c r="C1307" s="141"/>
      <c r="D1307" s="141"/>
      <c r="E1307" s="141"/>
      <c r="F1307" s="141"/>
      <c r="G1307" s="141"/>
      <c r="H1307" s="141"/>
      <c r="I1307" s="141"/>
      <c r="J1307" s="141"/>
      <c r="K1307" s="141"/>
      <c r="L1307" s="141"/>
      <c r="M1307" s="141"/>
      <c r="N1307" s="141"/>
      <c r="O1307" s="141"/>
      <c r="P1307" s="141"/>
      <c r="Q1307" s="141"/>
      <c r="R1307" s="141"/>
      <c r="S1307" s="141"/>
      <c r="T1307" s="141"/>
      <c r="U1307" s="141"/>
      <c r="V1307" s="141"/>
      <c r="W1307" s="141"/>
      <c r="X1307" s="141"/>
      <c r="Y1307" s="141"/>
      <c r="Z1307" s="141"/>
    </row>
    <row r="1308">
      <c r="A1308" s="141"/>
      <c r="B1308" s="141"/>
      <c r="C1308" s="141"/>
      <c r="D1308" s="141"/>
      <c r="E1308" s="141"/>
      <c r="F1308" s="141"/>
      <c r="G1308" s="141"/>
      <c r="H1308" s="141"/>
      <c r="I1308" s="141"/>
      <c r="J1308" s="141"/>
      <c r="K1308" s="141"/>
      <c r="L1308" s="141"/>
      <c r="M1308" s="141"/>
      <c r="N1308" s="141"/>
      <c r="O1308" s="141"/>
      <c r="P1308" s="141"/>
      <c r="Q1308" s="141"/>
      <c r="R1308" s="141"/>
      <c r="S1308" s="141"/>
      <c r="T1308" s="141"/>
      <c r="U1308" s="141"/>
      <c r="V1308" s="141"/>
      <c r="W1308" s="141"/>
      <c r="X1308" s="141"/>
      <c r="Y1308" s="141"/>
      <c r="Z1308" s="141"/>
    </row>
    <row r="1309">
      <c r="A1309" s="141"/>
      <c r="B1309" s="141"/>
      <c r="C1309" s="141"/>
      <c r="D1309" s="141"/>
      <c r="E1309" s="141"/>
      <c r="F1309" s="141"/>
      <c r="G1309" s="141"/>
      <c r="H1309" s="141"/>
      <c r="I1309" s="141"/>
      <c r="J1309" s="141"/>
      <c r="K1309" s="141"/>
      <c r="L1309" s="141"/>
      <c r="M1309" s="141"/>
      <c r="N1309" s="141"/>
      <c r="O1309" s="141"/>
      <c r="P1309" s="141"/>
      <c r="Q1309" s="141"/>
      <c r="R1309" s="141"/>
      <c r="S1309" s="141"/>
      <c r="T1309" s="141"/>
      <c r="U1309" s="141"/>
      <c r="V1309" s="141"/>
      <c r="W1309" s="141"/>
      <c r="X1309" s="141"/>
      <c r="Y1309" s="141"/>
      <c r="Z1309" s="141"/>
    </row>
    <row r="1310">
      <c r="A1310" s="141"/>
      <c r="B1310" s="141"/>
      <c r="C1310" s="141"/>
      <c r="D1310" s="141"/>
      <c r="E1310" s="141"/>
      <c r="F1310" s="141"/>
      <c r="G1310" s="141"/>
      <c r="H1310" s="141"/>
      <c r="I1310" s="141"/>
      <c r="J1310" s="141"/>
      <c r="K1310" s="141"/>
      <c r="L1310" s="141"/>
      <c r="M1310" s="141"/>
      <c r="N1310" s="141"/>
      <c r="O1310" s="141"/>
      <c r="P1310" s="141"/>
      <c r="Q1310" s="141"/>
      <c r="R1310" s="141"/>
      <c r="S1310" s="141"/>
      <c r="T1310" s="141"/>
      <c r="U1310" s="141"/>
      <c r="V1310" s="141"/>
      <c r="W1310" s="141"/>
      <c r="X1310" s="141"/>
      <c r="Y1310" s="141"/>
      <c r="Z1310" s="141"/>
    </row>
    <row r="1311">
      <c r="A1311" s="141"/>
      <c r="B1311" s="141"/>
      <c r="C1311" s="141"/>
      <c r="D1311" s="141"/>
      <c r="E1311" s="141"/>
      <c r="F1311" s="141"/>
      <c r="G1311" s="141"/>
      <c r="H1311" s="141"/>
      <c r="I1311" s="141"/>
      <c r="J1311" s="141"/>
      <c r="K1311" s="141"/>
      <c r="L1311" s="141"/>
      <c r="M1311" s="141"/>
      <c r="N1311" s="141"/>
      <c r="O1311" s="141"/>
      <c r="P1311" s="141"/>
      <c r="Q1311" s="141"/>
      <c r="R1311" s="141"/>
      <c r="S1311" s="141"/>
      <c r="T1311" s="141"/>
      <c r="U1311" s="141"/>
      <c r="V1311" s="141"/>
      <c r="W1311" s="141"/>
      <c r="X1311" s="141"/>
      <c r="Y1311" s="141"/>
      <c r="Z1311" s="141"/>
    </row>
    <row r="1312">
      <c r="A1312" s="141"/>
      <c r="B1312" s="141"/>
      <c r="C1312" s="141"/>
      <c r="D1312" s="141"/>
      <c r="E1312" s="141"/>
      <c r="F1312" s="141"/>
      <c r="G1312" s="141"/>
      <c r="H1312" s="141"/>
      <c r="I1312" s="141"/>
      <c r="J1312" s="141"/>
      <c r="K1312" s="141"/>
      <c r="L1312" s="141"/>
      <c r="M1312" s="141"/>
      <c r="N1312" s="141"/>
      <c r="O1312" s="141"/>
      <c r="P1312" s="141"/>
      <c r="Q1312" s="141"/>
      <c r="R1312" s="141"/>
      <c r="S1312" s="141"/>
      <c r="T1312" s="141"/>
      <c r="U1312" s="141"/>
      <c r="V1312" s="141"/>
      <c r="W1312" s="141"/>
      <c r="X1312" s="141"/>
      <c r="Y1312" s="141"/>
      <c r="Z1312" s="141"/>
    </row>
    <row r="1313">
      <c r="A1313" s="141"/>
      <c r="B1313" s="141"/>
      <c r="C1313" s="141"/>
      <c r="D1313" s="141"/>
      <c r="E1313" s="141"/>
      <c r="F1313" s="141"/>
      <c r="G1313" s="141"/>
      <c r="H1313" s="141"/>
      <c r="I1313" s="141"/>
      <c r="J1313" s="141"/>
      <c r="K1313" s="141"/>
      <c r="L1313" s="141"/>
      <c r="M1313" s="141"/>
      <c r="N1313" s="141"/>
      <c r="O1313" s="141"/>
      <c r="P1313" s="141"/>
      <c r="Q1313" s="141"/>
      <c r="R1313" s="141"/>
      <c r="S1313" s="141"/>
      <c r="T1313" s="141"/>
      <c r="U1313" s="141"/>
      <c r="V1313" s="141"/>
      <c r="W1313" s="141"/>
      <c r="X1313" s="141"/>
      <c r="Y1313" s="141"/>
      <c r="Z1313" s="141"/>
    </row>
    <row r="1314">
      <c r="A1314" s="141"/>
      <c r="B1314" s="141"/>
      <c r="C1314" s="141"/>
      <c r="D1314" s="141"/>
      <c r="E1314" s="141"/>
      <c r="F1314" s="141"/>
      <c r="G1314" s="141"/>
      <c r="H1314" s="141"/>
      <c r="I1314" s="141"/>
      <c r="J1314" s="141"/>
      <c r="K1314" s="141"/>
      <c r="L1314" s="141"/>
      <c r="M1314" s="141"/>
      <c r="N1314" s="141"/>
      <c r="O1314" s="141"/>
      <c r="P1314" s="141"/>
      <c r="Q1314" s="141"/>
      <c r="R1314" s="141"/>
      <c r="S1314" s="141"/>
      <c r="T1314" s="141"/>
      <c r="U1314" s="141"/>
      <c r="V1314" s="141"/>
      <c r="W1314" s="141"/>
      <c r="X1314" s="141"/>
      <c r="Y1314" s="141"/>
      <c r="Z1314" s="141"/>
    </row>
    <row r="1315">
      <c r="A1315" s="141"/>
      <c r="B1315" s="141"/>
      <c r="C1315" s="141"/>
      <c r="D1315" s="141"/>
      <c r="E1315" s="141"/>
      <c r="F1315" s="141"/>
      <c r="G1315" s="141"/>
      <c r="H1315" s="141"/>
      <c r="I1315" s="141"/>
      <c r="J1315" s="141"/>
      <c r="K1315" s="141"/>
      <c r="L1315" s="141"/>
      <c r="M1315" s="141"/>
      <c r="N1315" s="141"/>
      <c r="O1315" s="141"/>
      <c r="P1315" s="141"/>
      <c r="Q1315" s="141"/>
      <c r="R1315" s="141"/>
      <c r="S1315" s="141"/>
      <c r="T1315" s="141"/>
      <c r="U1315" s="141"/>
      <c r="V1315" s="141"/>
      <c r="W1315" s="141"/>
      <c r="X1315" s="141"/>
      <c r="Y1315" s="141"/>
      <c r="Z1315" s="141"/>
    </row>
    <row r="1316">
      <c r="A1316" s="141"/>
      <c r="B1316" s="141"/>
      <c r="C1316" s="141"/>
      <c r="D1316" s="141"/>
      <c r="E1316" s="141"/>
      <c r="F1316" s="141"/>
      <c r="G1316" s="141"/>
      <c r="H1316" s="141"/>
      <c r="I1316" s="141"/>
      <c r="J1316" s="141"/>
      <c r="K1316" s="141"/>
      <c r="L1316" s="141"/>
      <c r="M1316" s="141"/>
      <c r="N1316" s="141"/>
      <c r="O1316" s="141"/>
      <c r="P1316" s="141"/>
      <c r="Q1316" s="141"/>
      <c r="R1316" s="141"/>
      <c r="S1316" s="141"/>
      <c r="T1316" s="141"/>
      <c r="U1316" s="141"/>
      <c r="V1316" s="141"/>
      <c r="W1316" s="141"/>
      <c r="X1316" s="141"/>
      <c r="Y1316" s="141"/>
      <c r="Z1316" s="141"/>
    </row>
    <row r="1317">
      <c r="A1317" s="141"/>
      <c r="B1317" s="141"/>
      <c r="C1317" s="141"/>
      <c r="D1317" s="141"/>
      <c r="E1317" s="141"/>
      <c r="F1317" s="141"/>
      <c r="G1317" s="141"/>
      <c r="H1317" s="141"/>
      <c r="I1317" s="141"/>
      <c r="J1317" s="141"/>
      <c r="K1317" s="141"/>
      <c r="L1317" s="141"/>
      <c r="M1317" s="141"/>
      <c r="N1317" s="141"/>
      <c r="O1317" s="141"/>
      <c r="P1317" s="141"/>
      <c r="Q1317" s="141"/>
      <c r="R1317" s="141"/>
      <c r="S1317" s="141"/>
      <c r="T1317" s="141"/>
      <c r="U1317" s="141"/>
      <c r="V1317" s="141"/>
      <c r="W1317" s="141"/>
      <c r="X1317" s="141"/>
      <c r="Y1317" s="141"/>
      <c r="Z1317" s="141"/>
    </row>
    <row r="1318">
      <c r="A1318" s="141"/>
      <c r="B1318" s="141"/>
      <c r="C1318" s="141"/>
      <c r="D1318" s="141"/>
      <c r="E1318" s="141"/>
      <c r="F1318" s="141"/>
      <c r="G1318" s="141"/>
      <c r="H1318" s="141"/>
      <c r="I1318" s="141"/>
      <c r="J1318" s="141"/>
      <c r="K1318" s="141"/>
      <c r="L1318" s="141"/>
      <c r="M1318" s="141"/>
      <c r="N1318" s="141"/>
      <c r="O1318" s="141"/>
      <c r="P1318" s="141"/>
      <c r="Q1318" s="141"/>
      <c r="R1318" s="141"/>
      <c r="S1318" s="141"/>
      <c r="T1318" s="141"/>
      <c r="U1318" s="141"/>
      <c r="V1318" s="141"/>
      <c r="W1318" s="141"/>
      <c r="X1318" s="141"/>
      <c r="Y1318" s="141"/>
      <c r="Z1318" s="141"/>
    </row>
    <row r="1319">
      <c r="A1319" s="141"/>
      <c r="B1319" s="141"/>
      <c r="C1319" s="141"/>
      <c r="D1319" s="141"/>
      <c r="E1319" s="141"/>
      <c r="F1319" s="141"/>
      <c r="G1319" s="141"/>
      <c r="H1319" s="141"/>
      <c r="I1319" s="141"/>
      <c r="J1319" s="141"/>
      <c r="K1319" s="141"/>
      <c r="L1319" s="141"/>
      <c r="M1319" s="141"/>
      <c r="N1319" s="141"/>
      <c r="O1319" s="141"/>
      <c r="P1319" s="141"/>
      <c r="Q1319" s="141"/>
      <c r="R1319" s="141"/>
      <c r="S1319" s="141"/>
      <c r="T1319" s="141"/>
      <c r="U1319" s="141"/>
      <c r="V1319" s="141"/>
      <c r="W1319" s="141"/>
      <c r="X1319" s="141"/>
      <c r="Y1319" s="141"/>
      <c r="Z1319" s="141"/>
    </row>
    <row r="1320">
      <c r="A1320" s="141"/>
      <c r="B1320" s="141"/>
      <c r="C1320" s="141"/>
      <c r="D1320" s="141"/>
      <c r="E1320" s="141"/>
      <c r="F1320" s="141"/>
      <c r="G1320" s="141"/>
      <c r="H1320" s="141"/>
      <c r="I1320" s="141"/>
      <c r="J1320" s="141"/>
      <c r="K1320" s="141"/>
      <c r="L1320" s="141"/>
      <c r="M1320" s="141"/>
      <c r="N1320" s="141"/>
      <c r="O1320" s="141"/>
      <c r="P1320" s="141"/>
      <c r="Q1320" s="141"/>
      <c r="R1320" s="141"/>
      <c r="S1320" s="141"/>
      <c r="T1320" s="141"/>
      <c r="U1320" s="141"/>
      <c r="V1320" s="141"/>
      <c r="W1320" s="141"/>
      <c r="X1320" s="141"/>
      <c r="Y1320" s="141"/>
      <c r="Z1320" s="141"/>
    </row>
    <row r="1321">
      <c r="A1321" s="141"/>
      <c r="B1321" s="141"/>
      <c r="C1321" s="141"/>
      <c r="D1321" s="141"/>
      <c r="E1321" s="141"/>
      <c r="F1321" s="141"/>
      <c r="G1321" s="141"/>
      <c r="H1321" s="141"/>
      <c r="I1321" s="141"/>
      <c r="J1321" s="141"/>
      <c r="K1321" s="141"/>
      <c r="L1321" s="141"/>
      <c r="M1321" s="141"/>
      <c r="N1321" s="141"/>
      <c r="O1321" s="141"/>
      <c r="P1321" s="141"/>
      <c r="Q1321" s="141"/>
      <c r="R1321" s="141"/>
      <c r="S1321" s="141"/>
      <c r="T1321" s="141"/>
      <c r="U1321" s="141"/>
      <c r="V1321" s="141"/>
      <c r="W1321" s="141"/>
      <c r="X1321" s="141"/>
      <c r="Y1321" s="141"/>
      <c r="Z1321" s="141"/>
    </row>
    <row r="1322">
      <c r="A1322" s="141"/>
      <c r="B1322" s="141"/>
      <c r="C1322" s="141"/>
      <c r="D1322" s="141"/>
      <c r="E1322" s="141"/>
      <c r="F1322" s="141"/>
      <c r="G1322" s="141"/>
      <c r="H1322" s="141"/>
      <c r="I1322" s="141"/>
      <c r="J1322" s="141"/>
      <c r="K1322" s="141"/>
      <c r="L1322" s="141"/>
      <c r="M1322" s="141"/>
      <c r="N1322" s="141"/>
      <c r="O1322" s="141"/>
      <c r="P1322" s="141"/>
      <c r="Q1322" s="141"/>
      <c r="R1322" s="141"/>
      <c r="S1322" s="141"/>
      <c r="T1322" s="141"/>
      <c r="U1322" s="141"/>
      <c r="V1322" s="141"/>
      <c r="W1322" s="141"/>
      <c r="X1322" s="141"/>
      <c r="Y1322" s="141"/>
      <c r="Z1322" s="141"/>
    </row>
    <row r="1323">
      <c r="A1323" s="141"/>
      <c r="B1323" s="141"/>
      <c r="C1323" s="141"/>
      <c r="D1323" s="141"/>
      <c r="E1323" s="141"/>
      <c r="F1323" s="141"/>
      <c r="G1323" s="141"/>
      <c r="H1323" s="141"/>
      <c r="I1323" s="141"/>
      <c r="J1323" s="141"/>
      <c r="K1323" s="141"/>
      <c r="L1323" s="141"/>
      <c r="M1323" s="141"/>
      <c r="N1323" s="141"/>
      <c r="O1323" s="141"/>
      <c r="P1323" s="141"/>
      <c r="Q1323" s="141"/>
      <c r="R1323" s="141"/>
      <c r="S1323" s="141"/>
      <c r="T1323" s="141"/>
      <c r="U1323" s="141"/>
      <c r="V1323" s="141"/>
      <c r="W1323" s="141"/>
      <c r="X1323" s="141"/>
      <c r="Y1323" s="141"/>
      <c r="Z1323" s="141"/>
    </row>
    <row r="1324">
      <c r="A1324" s="141"/>
      <c r="B1324" s="141"/>
      <c r="C1324" s="141"/>
      <c r="D1324" s="141"/>
      <c r="E1324" s="141"/>
      <c r="F1324" s="141"/>
      <c r="G1324" s="141"/>
      <c r="H1324" s="141"/>
      <c r="I1324" s="141"/>
      <c r="J1324" s="141"/>
      <c r="K1324" s="141"/>
      <c r="L1324" s="141"/>
      <c r="M1324" s="141"/>
      <c r="N1324" s="141"/>
      <c r="O1324" s="141"/>
      <c r="P1324" s="141"/>
      <c r="Q1324" s="141"/>
      <c r="R1324" s="141"/>
      <c r="S1324" s="141"/>
      <c r="T1324" s="141"/>
      <c r="U1324" s="141"/>
      <c r="V1324" s="141"/>
      <c r="W1324" s="141"/>
      <c r="X1324" s="141"/>
      <c r="Y1324" s="141"/>
      <c r="Z1324" s="141"/>
    </row>
    <row r="1325">
      <c r="A1325" s="141"/>
      <c r="B1325" s="141"/>
      <c r="C1325" s="141"/>
      <c r="D1325" s="141"/>
      <c r="E1325" s="141"/>
      <c r="F1325" s="141"/>
      <c r="G1325" s="141"/>
      <c r="H1325" s="141"/>
      <c r="I1325" s="141"/>
      <c r="J1325" s="141"/>
      <c r="K1325" s="141"/>
      <c r="L1325" s="141"/>
      <c r="M1325" s="141"/>
      <c r="N1325" s="141"/>
      <c r="O1325" s="141"/>
      <c r="P1325" s="141"/>
      <c r="Q1325" s="141"/>
      <c r="R1325" s="141"/>
      <c r="S1325" s="141"/>
      <c r="T1325" s="141"/>
      <c r="U1325" s="141"/>
      <c r="V1325" s="141"/>
      <c r="W1325" s="141"/>
      <c r="X1325" s="141"/>
      <c r="Y1325" s="141"/>
      <c r="Z1325" s="141"/>
    </row>
    <row r="1326">
      <c r="A1326" s="141"/>
      <c r="B1326" s="141"/>
      <c r="C1326" s="141"/>
      <c r="D1326" s="141"/>
      <c r="E1326" s="141"/>
      <c r="F1326" s="141"/>
      <c r="G1326" s="141"/>
      <c r="H1326" s="141"/>
      <c r="I1326" s="141"/>
      <c r="J1326" s="141"/>
      <c r="K1326" s="141"/>
      <c r="L1326" s="141"/>
      <c r="M1326" s="141"/>
      <c r="N1326" s="141"/>
      <c r="O1326" s="141"/>
      <c r="P1326" s="141"/>
      <c r="Q1326" s="141"/>
      <c r="R1326" s="141"/>
      <c r="S1326" s="141"/>
      <c r="T1326" s="141"/>
      <c r="U1326" s="141"/>
      <c r="V1326" s="141"/>
      <c r="W1326" s="141"/>
      <c r="X1326" s="141"/>
      <c r="Y1326" s="141"/>
      <c r="Z1326" s="141"/>
    </row>
    <row r="1327">
      <c r="A1327" s="141"/>
      <c r="B1327" s="141"/>
      <c r="C1327" s="141"/>
      <c r="D1327" s="141"/>
      <c r="E1327" s="141"/>
      <c r="F1327" s="141"/>
      <c r="G1327" s="141"/>
      <c r="H1327" s="141"/>
      <c r="I1327" s="141"/>
      <c r="J1327" s="141"/>
      <c r="K1327" s="141"/>
      <c r="L1327" s="141"/>
      <c r="M1327" s="141"/>
      <c r="N1327" s="141"/>
      <c r="O1327" s="141"/>
      <c r="P1327" s="141"/>
      <c r="Q1327" s="141"/>
      <c r="R1327" s="141"/>
      <c r="S1327" s="141"/>
      <c r="T1327" s="141"/>
      <c r="U1327" s="141"/>
      <c r="V1327" s="141"/>
      <c r="W1327" s="141"/>
      <c r="X1327" s="141"/>
      <c r="Y1327" s="141"/>
      <c r="Z1327" s="141"/>
    </row>
    <row r="1328">
      <c r="A1328" s="141"/>
      <c r="B1328" s="141"/>
      <c r="C1328" s="141"/>
      <c r="D1328" s="141"/>
      <c r="E1328" s="141"/>
      <c r="F1328" s="141"/>
      <c r="G1328" s="141"/>
      <c r="H1328" s="141"/>
      <c r="I1328" s="141"/>
      <c r="J1328" s="141"/>
      <c r="K1328" s="141"/>
      <c r="L1328" s="141"/>
      <c r="M1328" s="141"/>
      <c r="N1328" s="141"/>
      <c r="O1328" s="141"/>
      <c r="P1328" s="141"/>
      <c r="Q1328" s="141"/>
      <c r="R1328" s="141"/>
      <c r="S1328" s="141"/>
      <c r="T1328" s="141"/>
      <c r="U1328" s="141"/>
      <c r="V1328" s="141"/>
      <c r="W1328" s="141"/>
      <c r="X1328" s="141"/>
      <c r="Y1328" s="141"/>
      <c r="Z1328" s="141"/>
    </row>
    <row r="1329">
      <c r="A1329" s="141"/>
      <c r="B1329" s="141"/>
      <c r="C1329" s="141"/>
      <c r="D1329" s="141"/>
      <c r="E1329" s="141"/>
      <c r="F1329" s="141"/>
      <c r="G1329" s="141"/>
      <c r="H1329" s="141"/>
      <c r="I1329" s="141"/>
      <c r="J1329" s="141"/>
      <c r="K1329" s="141"/>
      <c r="L1329" s="141"/>
      <c r="M1329" s="141"/>
      <c r="N1329" s="141"/>
      <c r="O1329" s="141"/>
      <c r="P1329" s="141"/>
      <c r="Q1329" s="141"/>
      <c r="R1329" s="141"/>
      <c r="S1329" s="141"/>
      <c r="T1329" s="141"/>
      <c r="U1329" s="141"/>
      <c r="V1329" s="141"/>
      <c r="W1329" s="141"/>
      <c r="X1329" s="141"/>
      <c r="Y1329" s="141"/>
      <c r="Z1329" s="141"/>
    </row>
    <row r="1330">
      <c r="A1330" s="141"/>
      <c r="B1330" s="141"/>
      <c r="C1330" s="141"/>
      <c r="D1330" s="141"/>
      <c r="E1330" s="141"/>
      <c r="F1330" s="141"/>
      <c r="G1330" s="141"/>
      <c r="H1330" s="141"/>
      <c r="I1330" s="141"/>
      <c r="J1330" s="141"/>
      <c r="K1330" s="141"/>
      <c r="L1330" s="141"/>
      <c r="M1330" s="141"/>
      <c r="N1330" s="141"/>
      <c r="O1330" s="141"/>
      <c r="P1330" s="141"/>
      <c r="Q1330" s="141"/>
      <c r="R1330" s="141"/>
      <c r="S1330" s="141"/>
      <c r="T1330" s="141"/>
      <c r="U1330" s="141"/>
      <c r="V1330" s="141"/>
      <c r="W1330" s="141"/>
      <c r="X1330" s="141"/>
      <c r="Y1330" s="141"/>
      <c r="Z1330" s="141"/>
    </row>
    <row r="1331">
      <c r="A1331" s="141"/>
      <c r="B1331" s="141"/>
      <c r="C1331" s="141"/>
      <c r="D1331" s="141"/>
      <c r="E1331" s="141"/>
      <c r="F1331" s="141"/>
      <c r="G1331" s="141"/>
      <c r="H1331" s="141"/>
      <c r="I1331" s="141"/>
      <c r="J1331" s="141"/>
      <c r="K1331" s="141"/>
      <c r="L1331" s="141"/>
      <c r="M1331" s="141"/>
      <c r="N1331" s="141"/>
      <c r="O1331" s="141"/>
      <c r="P1331" s="141"/>
      <c r="Q1331" s="141"/>
      <c r="R1331" s="141"/>
      <c r="S1331" s="141"/>
      <c r="T1331" s="141"/>
      <c r="U1331" s="141"/>
      <c r="V1331" s="141"/>
      <c r="W1331" s="141"/>
      <c r="X1331" s="141"/>
      <c r="Y1331" s="141"/>
      <c r="Z1331" s="141"/>
    </row>
    <row r="1332">
      <c r="A1332" s="141"/>
      <c r="B1332" s="141"/>
      <c r="C1332" s="141"/>
      <c r="D1332" s="141"/>
      <c r="E1332" s="141"/>
      <c r="F1332" s="141"/>
      <c r="G1332" s="141"/>
      <c r="H1332" s="141"/>
      <c r="I1332" s="141"/>
      <c r="J1332" s="141"/>
      <c r="K1332" s="141"/>
      <c r="L1332" s="141"/>
      <c r="M1332" s="141"/>
      <c r="N1332" s="141"/>
      <c r="O1332" s="141"/>
      <c r="P1332" s="141"/>
      <c r="Q1332" s="141"/>
      <c r="R1332" s="141"/>
      <c r="S1332" s="141"/>
      <c r="T1332" s="141"/>
      <c r="U1332" s="141"/>
      <c r="V1332" s="141"/>
      <c r="W1332" s="141"/>
      <c r="X1332" s="141"/>
      <c r="Y1332" s="141"/>
      <c r="Z1332" s="141"/>
    </row>
    <row r="1333">
      <c r="A1333" s="141"/>
      <c r="B1333" s="141"/>
      <c r="C1333" s="141"/>
      <c r="D1333" s="141"/>
      <c r="E1333" s="141"/>
      <c r="F1333" s="141"/>
      <c r="G1333" s="141"/>
      <c r="H1333" s="141"/>
      <c r="I1333" s="141"/>
      <c r="J1333" s="141"/>
      <c r="K1333" s="141"/>
      <c r="L1333" s="141"/>
      <c r="M1333" s="141"/>
      <c r="N1333" s="141"/>
      <c r="O1333" s="141"/>
      <c r="P1333" s="141"/>
      <c r="Q1333" s="141"/>
      <c r="R1333" s="141"/>
      <c r="S1333" s="141"/>
      <c r="T1333" s="141"/>
      <c r="U1333" s="141"/>
      <c r="V1333" s="141"/>
      <c r="W1333" s="141"/>
      <c r="X1333" s="141"/>
      <c r="Y1333" s="141"/>
      <c r="Z1333" s="141"/>
    </row>
    <row r="1334">
      <c r="A1334" s="141"/>
      <c r="B1334" s="141"/>
      <c r="C1334" s="141"/>
      <c r="D1334" s="141"/>
      <c r="E1334" s="141"/>
      <c r="F1334" s="141"/>
      <c r="G1334" s="141"/>
      <c r="H1334" s="141"/>
      <c r="I1334" s="141"/>
      <c r="J1334" s="141"/>
      <c r="K1334" s="141"/>
      <c r="L1334" s="141"/>
      <c r="M1334" s="141"/>
      <c r="N1334" s="141"/>
      <c r="O1334" s="141"/>
      <c r="P1334" s="141"/>
      <c r="Q1334" s="141"/>
      <c r="R1334" s="141"/>
      <c r="S1334" s="141"/>
      <c r="T1334" s="141"/>
      <c r="U1334" s="141"/>
      <c r="V1334" s="141"/>
      <c r="W1334" s="141"/>
      <c r="X1334" s="141"/>
      <c r="Y1334" s="141"/>
      <c r="Z1334" s="141"/>
    </row>
    <row r="1335">
      <c r="A1335" s="141"/>
      <c r="B1335" s="141"/>
      <c r="C1335" s="141"/>
      <c r="D1335" s="141"/>
      <c r="E1335" s="141"/>
      <c r="F1335" s="141"/>
      <c r="G1335" s="141"/>
      <c r="H1335" s="141"/>
      <c r="I1335" s="141"/>
      <c r="J1335" s="141"/>
      <c r="K1335" s="141"/>
      <c r="L1335" s="141"/>
      <c r="M1335" s="141"/>
      <c r="N1335" s="141"/>
      <c r="O1335" s="141"/>
      <c r="P1335" s="141"/>
      <c r="Q1335" s="141"/>
      <c r="R1335" s="141"/>
      <c r="S1335" s="141"/>
      <c r="T1335" s="141"/>
      <c r="U1335" s="141"/>
      <c r="V1335" s="141"/>
      <c r="W1335" s="141"/>
      <c r="X1335" s="141"/>
      <c r="Y1335" s="141"/>
      <c r="Z1335" s="141"/>
    </row>
    <row r="1336">
      <c r="A1336" s="141"/>
      <c r="B1336" s="141"/>
      <c r="C1336" s="141"/>
      <c r="D1336" s="141"/>
      <c r="E1336" s="141"/>
      <c r="F1336" s="141"/>
      <c r="G1336" s="141"/>
      <c r="H1336" s="141"/>
      <c r="I1336" s="141"/>
      <c r="J1336" s="141"/>
      <c r="K1336" s="141"/>
      <c r="L1336" s="141"/>
      <c r="M1336" s="141"/>
      <c r="N1336" s="141"/>
      <c r="O1336" s="141"/>
      <c r="P1336" s="141"/>
      <c r="Q1336" s="141"/>
      <c r="R1336" s="141"/>
      <c r="S1336" s="141"/>
      <c r="T1336" s="141"/>
      <c r="U1336" s="141"/>
      <c r="V1336" s="141"/>
      <c r="W1336" s="141"/>
      <c r="X1336" s="141"/>
      <c r="Y1336" s="141"/>
      <c r="Z1336" s="141"/>
    </row>
    <row r="1337">
      <c r="A1337" s="141"/>
      <c r="B1337" s="141"/>
      <c r="C1337" s="141"/>
      <c r="D1337" s="141"/>
      <c r="E1337" s="141"/>
      <c r="F1337" s="141"/>
      <c r="G1337" s="141"/>
      <c r="H1337" s="141"/>
      <c r="I1337" s="141"/>
      <c r="J1337" s="141"/>
      <c r="K1337" s="141"/>
      <c r="L1337" s="141"/>
      <c r="M1337" s="141"/>
      <c r="N1337" s="141"/>
      <c r="O1337" s="141"/>
      <c r="P1337" s="141"/>
      <c r="Q1337" s="141"/>
      <c r="R1337" s="141"/>
      <c r="S1337" s="141"/>
      <c r="T1337" s="141"/>
      <c r="U1337" s="141"/>
      <c r="V1337" s="141"/>
      <c r="W1337" s="141"/>
      <c r="X1337" s="141"/>
      <c r="Y1337" s="141"/>
      <c r="Z1337" s="141"/>
    </row>
    <row r="1338">
      <c r="A1338" s="141"/>
      <c r="B1338" s="141"/>
      <c r="C1338" s="141"/>
      <c r="D1338" s="141"/>
      <c r="E1338" s="141"/>
      <c r="F1338" s="141"/>
      <c r="G1338" s="141"/>
      <c r="H1338" s="141"/>
      <c r="I1338" s="141"/>
      <c r="J1338" s="141"/>
      <c r="K1338" s="141"/>
      <c r="L1338" s="141"/>
      <c r="M1338" s="141"/>
      <c r="N1338" s="141"/>
      <c r="O1338" s="141"/>
      <c r="P1338" s="141"/>
      <c r="Q1338" s="141"/>
      <c r="R1338" s="141"/>
      <c r="S1338" s="141"/>
      <c r="T1338" s="141"/>
      <c r="U1338" s="141"/>
      <c r="V1338" s="141"/>
      <c r="W1338" s="141"/>
      <c r="X1338" s="141"/>
      <c r="Y1338" s="141"/>
      <c r="Z1338" s="141"/>
    </row>
    <row r="1339">
      <c r="A1339" s="141"/>
      <c r="B1339" s="141"/>
      <c r="C1339" s="141"/>
      <c r="D1339" s="141"/>
      <c r="E1339" s="141"/>
      <c r="F1339" s="141"/>
      <c r="G1339" s="141"/>
      <c r="H1339" s="141"/>
      <c r="I1339" s="141"/>
      <c r="J1339" s="141"/>
      <c r="K1339" s="141"/>
      <c r="L1339" s="141"/>
      <c r="M1339" s="141"/>
      <c r="N1339" s="141"/>
      <c r="O1339" s="141"/>
      <c r="P1339" s="141"/>
      <c r="Q1339" s="141"/>
      <c r="R1339" s="141"/>
      <c r="S1339" s="141"/>
      <c r="T1339" s="141"/>
      <c r="U1339" s="141"/>
      <c r="V1339" s="141"/>
      <c r="W1339" s="141"/>
      <c r="X1339" s="141"/>
      <c r="Y1339" s="141"/>
      <c r="Z1339" s="141"/>
    </row>
    <row r="1340">
      <c r="A1340" s="141"/>
      <c r="B1340" s="141"/>
      <c r="C1340" s="141"/>
      <c r="D1340" s="141"/>
      <c r="E1340" s="141"/>
      <c r="F1340" s="141"/>
      <c r="G1340" s="141"/>
      <c r="H1340" s="141"/>
      <c r="I1340" s="141"/>
      <c r="J1340" s="141"/>
      <c r="K1340" s="141"/>
      <c r="L1340" s="141"/>
      <c r="M1340" s="141"/>
      <c r="N1340" s="141"/>
      <c r="O1340" s="141"/>
      <c r="P1340" s="141"/>
      <c r="Q1340" s="141"/>
      <c r="R1340" s="141"/>
      <c r="S1340" s="141"/>
      <c r="T1340" s="141"/>
      <c r="U1340" s="141"/>
      <c r="V1340" s="141"/>
      <c r="W1340" s="141"/>
      <c r="X1340" s="141"/>
      <c r="Y1340" s="141"/>
      <c r="Z1340" s="141"/>
    </row>
    <row r="1341">
      <c r="A1341" s="141"/>
      <c r="B1341" s="141"/>
      <c r="C1341" s="141"/>
      <c r="D1341" s="141"/>
      <c r="E1341" s="141"/>
      <c r="F1341" s="141"/>
      <c r="G1341" s="141"/>
      <c r="H1341" s="141"/>
      <c r="I1341" s="141"/>
      <c r="J1341" s="141"/>
      <c r="K1341" s="141"/>
      <c r="L1341" s="141"/>
      <c r="M1341" s="141"/>
      <c r="N1341" s="141"/>
      <c r="O1341" s="141"/>
      <c r="P1341" s="141"/>
      <c r="Q1341" s="141"/>
      <c r="R1341" s="141"/>
      <c r="S1341" s="141"/>
      <c r="T1341" s="141"/>
      <c r="U1341" s="141"/>
      <c r="V1341" s="141"/>
      <c r="W1341" s="141"/>
      <c r="X1341" s="141"/>
      <c r="Y1341" s="141"/>
      <c r="Z1341" s="141"/>
    </row>
    <row r="1342">
      <c r="A1342" s="141"/>
      <c r="B1342" s="141"/>
      <c r="C1342" s="141"/>
      <c r="D1342" s="141"/>
      <c r="E1342" s="141"/>
      <c r="F1342" s="141"/>
      <c r="G1342" s="141"/>
      <c r="H1342" s="141"/>
      <c r="I1342" s="141"/>
      <c r="J1342" s="141"/>
      <c r="K1342" s="141"/>
      <c r="L1342" s="141"/>
      <c r="M1342" s="141"/>
      <c r="N1342" s="141"/>
      <c r="O1342" s="141"/>
      <c r="P1342" s="141"/>
      <c r="Q1342" s="141"/>
      <c r="R1342" s="141"/>
      <c r="S1342" s="141"/>
      <c r="T1342" s="141"/>
      <c r="U1342" s="141"/>
      <c r="V1342" s="141"/>
      <c r="W1342" s="141"/>
      <c r="X1342" s="141"/>
      <c r="Y1342" s="141"/>
      <c r="Z1342" s="141"/>
    </row>
    <row r="1343">
      <c r="A1343" s="141"/>
      <c r="B1343" s="141"/>
      <c r="C1343" s="141"/>
      <c r="D1343" s="141"/>
      <c r="E1343" s="141"/>
      <c r="F1343" s="141"/>
      <c r="G1343" s="141"/>
      <c r="H1343" s="141"/>
      <c r="I1343" s="141"/>
      <c r="J1343" s="141"/>
      <c r="K1343" s="141"/>
      <c r="L1343" s="141"/>
      <c r="M1343" s="141"/>
      <c r="N1343" s="141"/>
      <c r="O1343" s="141"/>
      <c r="P1343" s="141"/>
      <c r="Q1343" s="141"/>
      <c r="R1343" s="141"/>
      <c r="S1343" s="141"/>
      <c r="T1343" s="141"/>
      <c r="U1343" s="141"/>
      <c r="V1343" s="141"/>
      <c r="W1343" s="141"/>
      <c r="X1343" s="141"/>
      <c r="Y1343" s="141"/>
      <c r="Z1343" s="141"/>
    </row>
    <row r="1344">
      <c r="A1344" s="141"/>
      <c r="B1344" s="141"/>
      <c r="C1344" s="141"/>
      <c r="D1344" s="141"/>
      <c r="E1344" s="141"/>
      <c r="F1344" s="141"/>
      <c r="G1344" s="141"/>
      <c r="H1344" s="141"/>
      <c r="I1344" s="141"/>
      <c r="J1344" s="141"/>
      <c r="K1344" s="141"/>
      <c r="L1344" s="141"/>
      <c r="M1344" s="141"/>
      <c r="N1344" s="141"/>
      <c r="O1344" s="141"/>
      <c r="P1344" s="141"/>
      <c r="Q1344" s="141"/>
      <c r="R1344" s="141"/>
      <c r="S1344" s="141"/>
      <c r="T1344" s="141"/>
      <c r="U1344" s="141"/>
      <c r="V1344" s="141"/>
      <c r="W1344" s="141"/>
      <c r="X1344" s="141"/>
      <c r="Y1344" s="141"/>
      <c r="Z1344" s="141"/>
    </row>
    <row r="1345">
      <c r="A1345" s="141"/>
      <c r="B1345" s="141"/>
      <c r="C1345" s="141"/>
      <c r="D1345" s="141"/>
      <c r="E1345" s="141"/>
      <c r="F1345" s="141"/>
      <c r="G1345" s="141"/>
      <c r="H1345" s="141"/>
      <c r="I1345" s="141"/>
      <c r="J1345" s="141"/>
      <c r="K1345" s="141"/>
      <c r="L1345" s="141"/>
      <c r="M1345" s="141"/>
      <c r="N1345" s="141"/>
      <c r="O1345" s="141"/>
      <c r="P1345" s="141"/>
      <c r="Q1345" s="141"/>
      <c r="R1345" s="141"/>
      <c r="S1345" s="141"/>
      <c r="T1345" s="141"/>
      <c r="U1345" s="141"/>
      <c r="V1345" s="141"/>
      <c r="W1345" s="141"/>
      <c r="X1345" s="141"/>
      <c r="Y1345" s="141"/>
      <c r="Z1345" s="141"/>
    </row>
    <row r="1346">
      <c r="A1346" s="141"/>
      <c r="B1346" s="141"/>
      <c r="C1346" s="141"/>
      <c r="D1346" s="141"/>
      <c r="E1346" s="141"/>
      <c r="F1346" s="141"/>
      <c r="G1346" s="141"/>
      <c r="H1346" s="141"/>
      <c r="I1346" s="141"/>
      <c r="J1346" s="141"/>
      <c r="K1346" s="141"/>
      <c r="L1346" s="141"/>
      <c r="M1346" s="141"/>
      <c r="N1346" s="141"/>
      <c r="O1346" s="141"/>
      <c r="P1346" s="141"/>
      <c r="Q1346" s="141"/>
      <c r="R1346" s="141"/>
      <c r="S1346" s="141"/>
      <c r="T1346" s="141"/>
      <c r="U1346" s="141"/>
      <c r="V1346" s="141"/>
      <c r="W1346" s="141"/>
      <c r="X1346" s="141"/>
      <c r="Y1346" s="141"/>
      <c r="Z1346" s="141"/>
    </row>
    <row r="1347">
      <c r="A1347" s="141"/>
      <c r="B1347" s="141"/>
      <c r="C1347" s="141"/>
      <c r="D1347" s="141"/>
      <c r="E1347" s="141"/>
      <c r="F1347" s="141"/>
      <c r="G1347" s="141"/>
      <c r="H1347" s="141"/>
      <c r="I1347" s="141"/>
      <c r="J1347" s="141"/>
      <c r="K1347" s="141"/>
      <c r="L1347" s="141"/>
      <c r="M1347" s="141"/>
      <c r="N1347" s="141"/>
      <c r="O1347" s="141"/>
      <c r="P1347" s="141"/>
      <c r="Q1347" s="141"/>
      <c r="R1347" s="141"/>
      <c r="S1347" s="141"/>
      <c r="T1347" s="141"/>
      <c r="U1347" s="141"/>
      <c r="V1347" s="141"/>
      <c r="W1347" s="141"/>
      <c r="X1347" s="141"/>
      <c r="Y1347" s="141"/>
      <c r="Z1347" s="141"/>
    </row>
    <row r="1348">
      <c r="A1348" s="141"/>
      <c r="B1348" s="141"/>
      <c r="C1348" s="141"/>
      <c r="D1348" s="141"/>
      <c r="E1348" s="141"/>
      <c r="F1348" s="141"/>
      <c r="G1348" s="141"/>
      <c r="H1348" s="141"/>
      <c r="I1348" s="141"/>
      <c r="J1348" s="141"/>
      <c r="K1348" s="141"/>
      <c r="L1348" s="141"/>
      <c r="M1348" s="141"/>
      <c r="N1348" s="141"/>
      <c r="O1348" s="141"/>
      <c r="P1348" s="141"/>
      <c r="Q1348" s="141"/>
      <c r="R1348" s="141"/>
      <c r="S1348" s="141"/>
      <c r="T1348" s="141"/>
      <c r="U1348" s="141"/>
      <c r="V1348" s="141"/>
      <c r="W1348" s="141"/>
      <c r="X1348" s="141"/>
      <c r="Y1348" s="141"/>
      <c r="Z1348" s="141"/>
    </row>
    <row r="1349">
      <c r="A1349" s="141"/>
      <c r="B1349" s="141"/>
      <c r="C1349" s="141"/>
      <c r="D1349" s="141"/>
      <c r="E1349" s="141"/>
      <c r="F1349" s="141"/>
      <c r="G1349" s="141"/>
      <c r="H1349" s="141"/>
      <c r="I1349" s="141"/>
      <c r="J1349" s="141"/>
      <c r="K1349" s="141"/>
      <c r="L1349" s="141"/>
      <c r="M1349" s="141"/>
      <c r="N1349" s="141"/>
      <c r="O1349" s="141"/>
      <c r="P1349" s="141"/>
      <c r="Q1349" s="141"/>
      <c r="R1349" s="141"/>
      <c r="S1349" s="141"/>
      <c r="T1349" s="141"/>
      <c r="U1349" s="141"/>
      <c r="V1349" s="141"/>
      <c r="W1349" s="141"/>
      <c r="X1349" s="141"/>
      <c r="Y1349" s="141"/>
      <c r="Z1349" s="141"/>
    </row>
    <row r="1350">
      <c r="A1350" s="141"/>
      <c r="B1350" s="141"/>
      <c r="C1350" s="141"/>
      <c r="D1350" s="141"/>
      <c r="E1350" s="141"/>
      <c r="F1350" s="141"/>
      <c r="G1350" s="141"/>
      <c r="H1350" s="141"/>
      <c r="I1350" s="141"/>
      <c r="J1350" s="141"/>
      <c r="K1350" s="141"/>
      <c r="L1350" s="141"/>
      <c r="M1350" s="141"/>
      <c r="N1350" s="141"/>
      <c r="O1350" s="141"/>
      <c r="P1350" s="141"/>
      <c r="Q1350" s="141"/>
      <c r="R1350" s="141"/>
      <c r="S1350" s="141"/>
      <c r="T1350" s="141"/>
      <c r="U1350" s="141"/>
      <c r="V1350" s="141"/>
      <c r="W1350" s="141"/>
      <c r="X1350" s="141"/>
      <c r="Y1350" s="141"/>
      <c r="Z1350" s="141"/>
    </row>
    <row r="1351">
      <c r="A1351" s="141"/>
      <c r="B1351" s="141"/>
      <c r="C1351" s="141"/>
      <c r="D1351" s="141"/>
      <c r="E1351" s="141"/>
      <c r="F1351" s="141"/>
      <c r="G1351" s="141"/>
      <c r="H1351" s="141"/>
      <c r="I1351" s="141"/>
      <c r="J1351" s="141"/>
      <c r="K1351" s="141"/>
      <c r="L1351" s="141"/>
      <c r="M1351" s="141"/>
      <c r="N1351" s="141"/>
      <c r="O1351" s="141"/>
      <c r="P1351" s="141"/>
      <c r="Q1351" s="141"/>
      <c r="R1351" s="141"/>
      <c r="S1351" s="141"/>
      <c r="T1351" s="141"/>
      <c r="U1351" s="141"/>
      <c r="V1351" s="141"/>
      <c r="W1351" s="141"/>
      <c r="X1351" s="141"/>
      <c r="Y1351" s="141"/>
      <c r="Z1351" s="141"/>
    </row>
    <row r="1352">
      <c r="A1352" s="141"/>
      <c r="B1352" s="141"/>
      <c r="C1352" s="141"/>
      <c r="D1352" s="141"/>
      <c r="E1352" s="141"/>
      <c r="F1352" s="141"/>
      <c r="G1352" s="141"/>
      <c r="H1352" s="141"/>
      <c r="I1352" s="141"/>
      <c r="J1352" s="141"/>
      <c r="K1352" s="141"/>
      <c r="L1352" s="141"/>
      <c r="M1352" s="141"/>
      <c r="N1352" s="141"/>
      <c r="O1352" s="141"/>
      <c r="P1352" s="141"/>
      <c r="Q1352" s="141"/>
      <c r="R1352" s="141"/>
      <c r="S1352" s="141"/>
      <c r="T1352" s="141"/>
      <c r="U1352" s="141"/>
      <c r="V1352" s="141"/>
      <c r="W1352" s="141"/>
      <c r="X1352" s="141"/>
      <c r="Y1352" s="141"/>
      <c r="Z1352" s="141"/>
    </row>
    <row r="1353">
      <c r="A1353" s="141"/>
      <c r="B1353" s="141"/>
      <c r="C1353" s="141"/>
      <c r="D1353" s="141"/>
      <c r="E1353" s="141"/>
      <c r="F1353" s="141"/>
      <c r="G1353" s="141"/>
      <c r="H1353" s="141"/>
      <c r="I1353" s="141"/>
      <c r="J1353" s="141"/>
      <c r="K1353" s="141"/>
      <c r="L1353" s="141"/>
      <c r="M1353" s="141"/>
      <c r="N1353" s="141"/>
      <c r="O1353" s="141"/>
      <c r="P1353" s="141"/>
      <c r="Q1353" s="141"/>
      <c r="R1353" s="141"/>
      <c r="S1353" s="141"/>
      <c r="T1353" s="141"/>
      <c r="U1353" s="141"/>
      <c r="V1353" s="141"/>
      <c r="W1353" s="141"/>
      <c r="X1353" s="141"/>
      <c r="Y1353" s="141"/>
      <c r="Z1353" s="141"/>
    </row>
    <row r="1354">
      <c r="A1354" s="141"/>
      <c r="B1354" s="141"/>
      <c r="C1354" s="141"/>
      <c r="D1354" s="141"/>
      <c r="E1354" s="141"/>
      <c r="F1354" s="141"/>
      <c r="G1354" s="141"/>
      <c r="H1354" s="141"/>
      <c r="I1354" s="141"/>
      <c r="J1354" s="141"/>
      <c r="K1354" s="141"/>
      <c r="L1354" s="141"/>
      <c r="M1354" s="141"/>
      <c r="N1354" s="141"/>
      <c r="O1354" s="141"/>
      <c r="P1354" s="141"/>
      <c r="Q1354" s="141"/>
      <c r="R1354" s="141"/>
      <c r="S1354" s="141"/>
      <c r="T1354" s="141"/>
      <c r="U1354" s="141"/>
      <c r="V1354" s="141"/>
      <c r="W1354" s="141"/>
      <c r="X1354" s="141"/>
      <c r="Y1354" s="141"/>
      <c r="Z1354" s="141"/>
    </row>
    <row r="1355">
      <c r="A1355" s="141"/>
      <c r="B1355" s="141"/>
      <c r="C1355" s="141"/>
      <c r="D1355" s="141"/>
      <c r="E1355" s="141"/>
      <c r="F1355" s="141"/>
      <c r="G1355" s="141"/>
      <c r="H1355" s="141"/>
      <c r="I1355" s="141"/>
      <c r="J1355" s="141"/>
      <c r="K1355" s="141"/>
      <c r="L1355" s="141"/>
      <c r="M1355" s="141"/>
      <c r="N1355" s="141"/>
      <c r="O1355" s="141"/>
      <c r="P1355" s="141"/>
      <c r="Q1355" s="141"/>
      <c r="R1355" s="141"/>
      <c r="S1355" s="141"/>
      <c r="T1355" s="141"/>
      <c r="U1355" s="141"/>
      <c r="V1355" s="141"/>
      <c r="W1355" s="141"/>
      <c r="X1355" s="141"/>
      <c r="Y1355" s="141"/>
      <c r="Z1355" s="141"/>
    </row>
    <row r="1356">
      <c r="A1356" s="141"/>
      <c r="B1356" s="141"/>
      <c r="C1356" s="141"/>
      <c r="D1356" s="141"/>
      <c r="E1356" s="141"/>
      <c r="F1356" s="141"/>
      <c r="G1356" s="141"/>
      <c r="H1356" s="141"/>
      <c r="I1356" s="141"/>
      <c r="J1356" s="141"/>
      <c r="K1356" s="141"/>
      <c r="L1356" s="141"/>
      <c r="M1356" s="141"/>
      <c r="N1356" s="141"/>
      <c r="O1356" s="141"/>
      <c r="P1356" s="141"/>
      <c r="Q1356" s="141"/>
      <c r="R1356" s="141"/>
      <c r="S1356" s="141"/>
      <c r="T1356" s="141"/>
      <c r="U1356" s="141"/>
      <c r="V1356" s="141"/>
      <c r="W1356" s="141"/>
      <c r="X1356" s="141"/>
      <c r="Y1356" s="141"/>
      <c r="Z1356" s="141"/>
    </row>
    <row r="1357">
      <c r="A1357" s="141"/>
      <c r="B1357" s="141"/>
      <c r="C1357" s="141"/>
      <c r="D1357" s="141"/>
      <c r="E1357" s="141"/>
      <c r="F1357" s="141"/>
      <c r="G1357" s="141"/>
      <c r="H1357" s="141"/>
      <c r="I1357" s="141"/>
      <c r="J1357" s="141"/>
      <c r="K1357" s="141"/>
      <c r="L1357" s="141"/>
      <c r="M1357" s="141"/>
      <c r="N1357" s="141"/>
      <c r="O1357" s="141"/>
      <c r="P1357" s="141"/>
      <c r="Q1357" s="141"/>
      <c r="R1357" s="141"/>
      <c r="S1357" s="141"/>
      <c r="T1357" s="141"/>
      <c r="U1357" s="141"/>
      <c r="V1357" s="141"/>
      <c r="W1357" s="141"/>
      <c r="X1357" s="141"/>
      <c r="Y1357" s="141"/>
      <c r="Z1357" s="141"/>
    </row>
    <row r="1358">
      <c r="A1358" s="141"/>
      <c r="B1358" s="141"/>
      <c r="C1358" s="141"/>
      <c r="D1358" s="141"/>
      <c r="E1358" s="141"/>
      <c r="F1358" s="141"/>
      <c r="G1358" s="141"/>
      <c r="H1358" s="141"/>
      <c r="I1358" s="141"/>
      <c r="J1358" s="141"/>
      <c r="K1358" s="141"/>
      <c r="L1358" s="141"/>
      <c r="M1358" s="141"/>
      <c r="N1358" s="141"/>
      <c r="O1358" s="141"/>
      <c r="P1358" s="141"/>
      <c r="Q1358" s="141"/>
      <c r="R1358" s="141"/>
      <c r="S1358" s="141"/>
      <c r="T1358" s="141"/>
      <c r="U1358" s="141"/>
      <c r="V1358" s="141"/>
      <c r="W1358" s="141"/>
      <c r="X1358" s="141"/>
      <c r="Y1358" s="141"/>
      <c r="Z1358" s="141"/>
    </row>
    <row r="1359">
      <c r="A1359" s="141"/>
      <c r="B1359" s="141"/>
      <c r="C1359" s="141"/>
      <c r="D1359" s="141"/>
      <c r="E1359" s="141"/>
      <c r="F1359" s="141"/>
      <c r="G1359" s="141"/>
      <c r="H1359" s="141"/>
      <c r="I1359" s="141"/>
      <c r="J1359" s="141"/>
      <c r="K1359" s="141"/>
      <c r="L1359" s="141"/>
      <c r="M1359" s="141"/>
      <c r="N1359" s="141"/>
      <c r="O1359" s="141"/>
      <c r="P1359" s="141"/>
      <c r="Q1359" s="141"/>
      <c r="R1359" s="141"/>
      <c r="S1359" s="141"/>
      <c r="T1359" s="141"/>
      <c r="U1359" s="141"/>
      <c r="V1359" s="141"/>
      <c r="W1359" s="141"/>
      <c r="X1359" s="141"/>
      <c r="Y1359" s="141"/>
      <c r="Z1359" s="141"/>
    </row>
    <row r="1360">
      <c r="A1360" s="141"/>
      <c r="B1360" s="141"/>
      <c r="C1360" s="141"/>
      <c r="D1360" s="141"/>
      <c r="E1360" s="141"/>
      <c r="F1360" s="141"/>
      <c r="G1360" s="141"/>
      <c r="H1360" s="141"/>
      <c r="I1360" s="141"/>
      <c r="J1360" s="141"/>
      <c r="K1360" s="141"/>
      <c r="L1360" s="141"/>
      <c r="M1360" s="141"/>
      <c r="N1360" s="141"/>
      <c r="O1360" s="141"/>
      <c r="P1360" s="141"/>
      <c r="Q1360" s="141"/>
      <c r="R1360" s="141"/>
      <c r="S1360" s="141"/>
      <c r="T1360" s="141"/>
      <c r="U1360" s="141"/>
      <c r="V1360" s="141"/>
      <c r="W1360" s="141"/>
      <c r="X1360" s="141"/>
      <c r="Y1360" s="141"/>
      <c r="Z1360" s="141"/>
    </row>
    <row r="1361">
      <c r="A1361" s="141"/>
      <c r="B1361" s="141"/>
      <c r="C1361" s="141"/>
      <c r="D1361" s="141"/>
      <c r="E1361" s="141"/>
      <c r="F1361" s="141"/>
      <c r="G1361" s="141"/>
      <c r="H1361" s="141"/>
      <c r="I1361" s="141"/>
      <c r="J1361" s="141"/>
      <c r="K1361" s="141"/>
      <c r="L1361" s="141"/>
      <c r="M1361" s="141"/>
      <c r="N1361" s="141"/>
      <c r="O1361" s="141"/>
      <c r="P1361" s="141"/>
      <c r="Q1361" s="141"/>
      <c r="R1361" s="141"/>
      <c r="S1361" s="141"/>
      <c r="T1361" s="141"/>
      <c r="U1361" s="141"/>
      <c r="V1361" s="141"/>
      <c r="W1361" s="141"/>
      <c r="X1361" s="141"/>
      <c r="Y1361" s="141"/>
      <c r="Z1361" s="141"/>
    </row>
    <row r="1362">
      <c r="A1362" s="141"/>
      <c r="B1362" s="141"/>
      <c r="C1362" s="141"/>
      <c r="D1362" s="141"/>
      <c r="E1362" s="141"/>
      <c r="F1362" s="141"/>
      <c r="G1362" s="141"/>
      <c r="H1362" s="141"/>
      <c r="I1362" s="141"/>
      <c r="J1362" s="141"/>
      <c r="K1362" s="141"/>
      <c r="L1362" s="141"/>
      <c r="M1362" s="141"/>
      <c r="N1362" s="141"/>
      <c r="O1362" s="141"/>
      <c r="P1362" s="141"/>
      <c r="Q1362" s="141"/>
      <c r="R1362" s="141"/>
      <c r="S1362" s="141"/>
      <c r="T1362" s="141"/>
      <c r="U1362" s="141"/>
      <c r="V1362" s="141"/>
      <c r="W1362" s="141"/>
      <c r="X1362" s="141"/>
      <c r="Y1362" s="141"/>
      <c r="Z1362" s="141"/>
    </row>
    <row r="1363">
      <c r="A1363" s="141"/>
      <c r="B1363" s="141"/>
      <c r="C1363" s="141"/>
      <c r="D1363" s="141"/>
      <c r="E1363" s="141"/>
      <c r="F1363" s="141"/>
      <c r="G1363" s="141"/>
      <c r="H1363" s="141"/>
      <c r="I1363" s="141"/>
      <c r="J1363" s="141"/>
      <c r="K1363" s="141"/>
      <c r="L1363" s="141"/>
      <c r="M1363" s="141"/>
      <c r="N1363" s="141"/>
      <c r="O1363" s="141"/>
      <c r="P1363" s="141"/>
      <c r="Q1363" s="141"/>
      <c r="R1363" s="141"/>
      <c r="S1363" s="141"/>
      <c r="T1363" s="141"/>
      <c r="U1363" s="141"/>
      <c r="V1363" s="141"/>
      <c r="W1363" s="141"/>
      <c r="X1363" s="141"/>
      <c r="Y1363" s="141"/>
      <c r="Z1363" s="141"/>
    </row>
    <row r="1364">
      <c r="A1364" s="141"/>
      <c r="B1364" s="141"/>
      <c r="C1364" s="141"/>
      <c r="D1364" s="141"/>
      <c r="E1364" s="141"/>
      <c r="F1364" s="141"/>
      <c r="G1364" s="141"/>
      <c r="H1364" s="141"/>
      <c r="I1364" s="141"/>
      <c r="J1364" s="141"/>
      <c r="K1364" s="141"/>
      <c r="L1364" s="141"/>
      <c r="M1364" s="141"/>
      <c r="N1364" s="141"/>
      <c r="O1364" s="141"/>
      <c r="P1364" s="141"/>
      <c r="Q1364" s="141"/>
      <c r="R1364" s="141"/>
      <c r="S1364" s="141"/>
      <c r="T1364" s="141"/>
      <c r="U1364" s="141"/>
      <c r="V1364" s="141"/>
      <c r="W1364" s="141"/>
      <c r="X1364" s="141"/>
      <c r="Y1364" s="141"/>
      <c r="Z1364" s="141"/>
    </row>
    <row r="1365">
      <c r="A1365" s="141"/>
      <c r="B1365" s="141"/>
      <c r="C1365" s="141"/>
      <c r="D1365" s="141"/>
      <c r="E1365" s="141"/>
      <c r="F1365" s="141"/>
      <c r="G1365" s="141"/>
      <c r="H1365" s="141"/>
      <c r="I1365" s="141"/>
      <c r="J1365" s="141"/>
      <c r="K1365" s="141"/>
      <c r="L1365" s="141"/>
      <c r="M1365" s="141"/>
      <c r="N1365" s="141"/>
      <c r="O1365" s="141"/>
      <c r="P1365" s="141"/>
      <c r="Q1365" s="141"/>
      <c r="R1365" s="141"/>
      <c r="S1365" s="141"/>
      <c r="T1365" s="141"/>
      <c r="U1365" s="141"/>
      <c r="V1365" s="141"/>
      <c r="W1365" s="141"/>
      <c r="X1365" s="141"/>
      <c r="Y1365" s="141"/>
      <c r="Z1365" s="141"/>
    </row>
    <row r="1366">
      <c r="A1366" s="141"/>
      <c r="B1366" s="141"/>
      <c r="C1366" s="141"/>
      <c r="D1366" s="141"/>
      <c r="E1366" s="141"/>
      <c r="F1366" s="141"/>
      <c r="G1366" s="141"/>
      <c r="H1366" s="141"/>
      <c r="I1366" s="141"/>
      <c r="J1366" s="141"/>
      <c r="K1366" s="141"/>
      <c r="L1366" s="141"/>
      <c r="M1366" s="141"/>
      <c r="N1366" s="141"/>
      <c r="O1366" s="141"/>
      <c r="P1366" s="141"/>
      <c r="Q1366" s="141"/>
      <c r="R1366" s="141"/>
      <c r="S1366" s="141"/>
      <c r="T1366" s="141"/>
      <c r="U1366" s="141"/>
      <c r="V1366" s="141"/>
      <c r="W1366" s="141"/>
      <c r="X1366" s="141"/>
      <c r="Y1366" s="141"/>
      <c r="Z1366" s="141"/>
    </row>
    <row r="1367">
      <c r="A1367" s="141"/>
      <c r="B1367" s="141"/>
      <c r="C1367" s="141"/>
      <c r="D1367" s="141"/>
      <c r="E1367" s="141"/>
      <c r="F1367" s="141"/>
      <c r="G1367" s="141"/>
      <c r="H1367" s="141"/>
      <c r="I1367" s="141"/>
      <c r="J1367" s="141"/>
      <c r="K1367" s="141"/>
      <c r="L1367" s="141"/>
      <c r="M1367" s="141"/>
      <c r="N1367" s="141"/>
      <c r="O1367" s="141"/>
      <c r="P1367" s="141"/>
      <c r="Q1367" s="141"/>
      <c r="R1367" s="141"/>
      <c r="S1367" s="141"/>
      <c r="T1367" s="141"/>
      <c r="U1367" s="141"/>
      <c r="V1367" s="141"/>
      <c r="W1367" s="141"/>
      <c r="X1367" s="141"/>
      <c r="Y1367" s="141"/>
      <c r="Z1367" s="141"/>
    </row>
    <row r="1368">
      <c r="A1368" s="141"/>
      <c r="B1368" s="141"/>
      <c r="C1368" s="141"/>
      <c r="D1368" s="141"/>
      <c r="E1368" s="141"/>
      <c r="F1368" s="141"/>
      <c r="G1368" s="141"/>
      <c r="H1368" s="141"/>
      <c r="I1368" s="141"/>
      <c r="J1368" s="141"/>
      <c r="K1368" s="141"/>
      <c r="L1368" s="141"/>
      <c r="M1368" s="141"/>
      <c r="N1368" s="141"/>
      <c r="O1368" s="141"/>
      <c r="P1368" s="141"/>
      <c r="Q1368" s="141"/>
      <c r="R1368" s="141"/>
      <c r="S1368" s="141"/>
      <c r="T1368" s="141"/>
      <c r="U1368" s="141"/>
      <c r="V1368" s="141"/>
      <c r="W1368" s="141"/>
      <c r="X1368" s="141"/>
      <c r="Y1368" s="141"/>
      <c r="Z1368" s="141"/>
    </row>
    <row r="1369">
      <c r="A1369" s="141"/>
      <c r="B1369" s="141"/>
      <c r="C1369" s="141"/>
      <c r="D1369" s="141"/>
      <c r="E1369" s="141"/>
      <c r="F1369" s="141"/>
      <c r="G1369" s="141"/>
      <c r="H1369" s="141"/>
      <c r="I1369" s="141"/>
      <c r="J1369" s="141"/>
      <c r="K1369" s="141"/>
      <c r="L1369" s="141"/>
      <c r="M1369" s="141"/>
      <c r="N1369" s="141"/>
      <c r="O1369" s="141"/>
      <c r="P1369" s="141"/>
      <c r="Q1369" s="141"/>
      <c r="R1369" s="141"/>
      <c r="S1369" s="141"/>
      <c r="T1369" s="141"/>
      <c r="U1369" s="141"/>
      <c r="V1369" s="141"/>
      <c r="W1369" s="141"/>
      <c r="X1369" s="141"/>
      <c r="Y1369" s="141"/>
      <c r="Z1369" s="141"/>
    </row>
    <row r="1370">
      <c r="A1370" s="141"/>
      <c r="B1370" s="141"/>
      <c r="C1370" s="141"/>
      <c r="D1370" s="141"/>
      <c r="E1370" s="141"/>
      <c r="F1370" s="141"/>
      <c r="G1370" s="141"/>
      <c r="H1370" s="141"/>
      <c r="I1370" s="141"/>
      <c r="J1370" s="141"/>
      <c r="K1370" s="141"/>
      <c r="L1370" s="141"/>
      <c r="M1370" s="141"/>
      <c r="N1370" s="141"/>
      <c r="O1370" s="141"/>
      <c r="P1370" s="141"/>
      <c r="Q1370" s="141"/>
      <c r="R1370" s="141"/>
      <c r="S1370" s="141"/>
      <c r="T1370" s="141"/>
      <c r="U1370" s="141"/>
      <c r="V1370" s="141"/>
      <c r="W1370" s="141"/>
      <c r="X1370" s="141"/>
      <c r="Y1370" s="141"/>
      <c r="Z1370" s="141"/>
    </row>
    <row r="1371">
      <c r="A1371" s="141"/>
      <c r="B1371" s="141"/>
      <c r="C1371" s="141"/>
      <c r="D1371" s="141"/>
      <c r="E1371" s="141"/>
      <c r="F1371" s="141"/>
      <c r="G1371" s="141"/>
      <c r="H1371" s="141"/>
      <c r="I1371" s="141"/>
      <c r="J1371" s="141"/>
      <c r="K1371" s="141"/>
      <c r="L1371" s="141"/>
      <c r="M1371" s="141"/>
      <c r="N1371" s="141"/>
      <c r="O1371" s="141"/>
      <c r="P1371" s="141"/>
      <c r="Q1371" s="141"/>
      <c r="R1371" s="141"/>
      <c r="S1371" s="141"/>
      <c r="T1371" s="141"/>
      <c r="U1371" s="141"/>
      <c r="V1371" s="141"/>
      <c r="W1371" s="141"/>
      <c r="X1371" s="141"/>
      <c r="Y1371" s="141"/>
      <c r="Z1371" s="141"/>
    </row>
    <row r="1372">
      <c r="A1372" s="141"/>
      <c r="B1372" s="141"/>
      <c r="C1372" s="141"/>
      <c r="D1372" s="141"/>
      <c r="E1372" s="141"/>
      <c r="F1372" s="141"/>
      <c r="G1372" s="141"/>
      <c r="H1372" s="141"/>
      <c r="I1372" s="141"/>
      <c r="J1372" s="141"/>
      <c r="K1372" s="141"/>
      <c r="L1372" s="141"/>
      <c r="M1372" s="141"/>
      <c r="N1372" s="141"/>
      <c r="O1372" s="141"/>
      <c r="P1372" s="141"/>
      <c r="Q1372" s="141"/>
      <c r="R1372" s="141"/>
      <c r="S1372" s="141"/>
      <c r="T1372" s="141"/>
      <c r="U1372" s="141"/>
      <c r="V1372" s="141"/>
      <c r="W1372" s="141"/>
      <c r="X1372" s="141"/>
      <c r="Y1372" s="141"/>
      <c r="Z1372" s="141"/>
    </row>
    <row r="1373">
      <c r="A1373" s="141"/>
      <c r="B1373" s="141"/>
      <c r="C1373" s="141"/>
      <c r="D1373" s="141"/>
      <c r="E1373" s="141"/>
      <c r="F1373" s="141"/>
      <c r="G1373" s="141"/>
      <c r="H1373" s="141"/>
      <c r="I1373" s="141"/>
      <c r="J1373" s="141"/>
      <c r="K1373" s="141"/>
      <c r="L1373" s="141"/>
      <c r="M1373" s="141"/>
      <c r="N1373" s="141"/>
      <c r="O1373" s="141"/>
      <c r="P1373" s="141"/>
      <c r="Q1373" s="141"/>
      <c r="R1373" s="141"/>
      <c r="S1373" s="141"/>
      <c r="T1373" s="141"/>
      <c r="U1373" s="141"/>
      <c r="V1373" s="141"/>
      <c r="W1373" s="141"/>
      <c r="X1373" s="141"/>
      <c r="Y1373" s="141"/>
      <c r="Z1373" s="141"/>
    </row>
    <row r="1374">
      <c r="A1374" s="141"/>
      <c r="B1374" s="141"/>
      <c r="C1374" s="141"/>
      <c r="D1374" s="141"/>
      <c r="E1374" s="141"/>
      <c r="F1374" s="141"/>
      <c r="G1374" s="141"/>
      <c r="H1374" s="141"/>
      <c r="I1374" s="141"/>
      <c r="J1374" s="141"/>
      <c r="K1374" s="141"/>
      <c r="L1374" s="141"/>
      <c r="M1374" s="141"/>
      <c r="N1374" s="141"/>
      <c r="O1374" s="141"/>
      <c r="P1374" s="141"/>
      <c r="Q1374" s="141"/>
      <c r="R1374" s="141"/>
      <c r="S1374" s="141"/>
      <c r="T1374" s="141"/>
      <c r="U1374" s="141"/>
      <c r="V1374" s="141"/>
      <c r="W1374" s="141"/>
      <c r="X1374" s="141"/>
      <c r="Y1374" s="141"/>
      <c r="Z1374" s="141"/>
    </row>
    <row r="1375">
      <c r="A1375" s="141"/>
      <c r="B1375" s="141"/>
      <c r="C1375" s="141"/>
      <c r="D1375" s="141"/>
      <c r="E1375" s="141"/>
      <c r="F1375" s="141"/>
      <c r="G1375" s="141"/>
      <c r="H1375" s="141"/>
      <c r="I1375" s="141"/>
      <c r="J1375" s="141"/>
      <c r="K1375" s="141"/>
      <c r="L1375" s="141"/>
      <c r="M1375" s="141"/>
      <c r="N1375" s="141"/>
      <c r="O1375" s="141"/>
      <c r="P1375" s="141"/>
      <c r="Q1375" s="141"/>
      <c r="R1375" s="141"/>
      <c r="S1375" s="141"/>
      <c r="T1375" s="141"/>
      <c r="U1375" s="141"/>
      <c r="V1375" s="141"/>
      <c r="W1375" s="141"/>
      <c r="X1375" s="141"/>
      <c r="Y1375" s="141"/>
      <c r="Z1375" s="141"/>
    </row>
    <row r="1376">
      <c r="A1376" s="141"/>
      <c r="B1376" s="141"/>
      <c r="C1376" s="141"/>
      <c r="D1376" s="141"/>
      <c r="E1376" s="141"/>
      <c r="F1376" s="141"/>
      <c r="G1376" s="141"/>
      <c r="H1376" s="141"/>
      <c r="I1376" s="141"/>
      <c r="J1376" s="141"/>
      <c r="K1376" s="141"/>
      <c r="L1376" s="141"/>
      <c r="M1376" s="141"/>
      <c r="N1376" s="141"/>
      <c r="O1376" s="141"/>
      <c r="P1376" s="141"/>
      <c r="Q1376" s="141"/>
      <c r="R1376" s="141"/>
      <c r="S1376" s="141"/>
      <c r="T1376" s="141"/>
      <c r="U1376" s="141"/>
      <c r="V1376" s="141"/>
      <c r="W1376" s="141"/>
      <c r="X1376" s="141"/>
      <c r="Y1376" s="141"/>
      <c r="Z1376" s="141"/>
    </row>
    <row r="1377">
      <c r="A1377" s="141"/>
      <c r="B1377" s="141"/>
      <c r="C1377" s="141"/>
      <c r="D1377" s="141"/>
      <c r="E1377" s="141"/>
      <c r="F1377" s="141"/>
      <c r="G1377" s="141"/>
      <c r="H1377" s="141"/>
      <c r="I1377" s="141"/>
      <c r="J1377" s="141"/>
      <c r="K1377" s="141"/>
      <c r="L1377" s="141"/>
      <c r="M1377" s="141"/>
      <c r="N1377" s="141"/>
      <c r="O1377" s="141"/>
      <c r="P1377" s="141"/>
      <c r="Q1377" s="141"/>
      <c r="R1377" s="141"/>
      <c r="S1377" s="141"/>
      <c r="T1377" s="141"/>
      <c r="U1377" s="141"/>
      <c r="V1377" s="141"/>
      <c r="W1377" s="141"/>
      <c r="X1377" s="141"/>
      <c r="Y1377" s="141"/>
      <c r="Z1377" s="141"/>
    </row>
    <row r="1378">
      <c r="A1378" s="141"/>
      <c r="B1378" s="141"/>
      <c r="C1378" s="141"/>
      <c r="D1378" s="141"/>
      <c r="E1378" s="141"/>
      <c r="F1378" s="141"/>
      <c r="G1378" s="141"/>
      <c r="H1378" s="141"/>
      <c r="I1378" s="141"/>
      <c r="J1378" s="141"/>
      <c r="K1378" s="141"/>
      <c r="L1378" s="141"/>
      <c r="M1378" s="141"/>
      <c r="N1378" s="141"/>
      <c r="O1378" s="141"/>
      <c r="P1378" s="141"/>
      <c r="Q1378" s="141"/>
      <c r="R1378" s="141"/>
      <c r="S1378" s="141"/>
      <c r="T1378" s="141"/>
      <c r="U1378" s="141"/>
      <c r="V1378" s="141"/>
      <c r="W1378" s="141"/>
      <c r="X1378" s="141"/>
      <c r="Y1378" s="141"/>
      <c r="Z1378" s="141"/>
    </row>
    <row r="1379">
      <c r="A1379" s="141"/>
      <c r="B1379" s="141"/>
      <c r="C1379" s="141"/>
      <c r="D1379" s="141"/>
      <c r="E1379" s="141"/>
      <c r="F1379" s="141"/>
      <c r="G1379" s="141"/>
      <c r="H1379" s="141"/>
      <c r="I1379" s="141"/>
      <c r="J1379" s="141"/>
      <c r="K1379" s="141"/>
      <c r="L1379" s="141"/>
      <c r="M1379" s="141"/>
      <c r="N1379" s="141"/>
      <c r="O1379" s="141"/>
      <c r="P1379" s="141"/>
      <c r="Q1379" s="141"/>
      <c r="R1379" s="141"/>
      <c r="S1379" s="141"/>
      <c r="T1379" s="141"/>
      <c r="U1379" s="141"/>
      <c r="V1379" s="141"/>
      <c r="W1379" s="141"/>
      <c r="X1379" s="141"/>
      <c r="Y1379" s="141"/>
      <c r="Z1379" s="141"/>
    </row>
    <row r="1380">
      <c r="A1380" s="141"/>
      <c r="B1380" s="141"/>
      <c r="C1380" s="141"/>
      <c r="D1380" s="141"/>
      <c r="E1380" s="141"/>
      <c r="F1380" s="141"/>
      <c r="G1380" s="141"/>
      <c r="H1380" s="141"/>
      <c r="I1380" s="141"/>
      <c r="J1380" s="141"/>
      <c r="K1380" s="141"/>
      <c r="L1380" s="141"/>
      <c r="M1380" s="141"/>
      <c r="N1380" s="141"/>
      <c r="O1380" s="141"/>
      <c r="P1380" s="141"/>
      <c r="Q1380" s="141"/>
      <c r="R1380" s="141"/>
      <c r="S1380" s="141"/>
      <c r="T1380" s="141"/>
      <c r="U1380" s="141"/>
      <c r="V1380" s="141"/>
      <c r="W1380" s="141"/>
      <c r="X1380" s="141"/>
      <c r="Y1380" s="141"/>
      <c r="Z1380" s="141"/>
    </row>
    <row r="1381">
      <c r="A1381" s="141"/>
      <c r="B1381" s="141"/>
      <c r="C1381" s="141"/>
      <c r="D1381" s="141"/>
      <c r="E1381" s="141"/>
      <c r="F1381" s="141"/>
      <c r="G1381" s="141"/>
      <c r="H1381" s="141"/>
      <c r="I1381" s="141"/>
      <c r="J1381" s="141"/>
      <c r="K1381" s="141"/>
      <c r="L1381" s="141"/>
      <c r="M1381" s="141"/>
      <c r="N1381" s="141"/>
      <c r="O1381" s="141"/>
      <c r="P1381" s="141"/>
      <c r="Q1381" s="141"/>
      <c r="R1381" s="141"/>
      <c r="S1381" s="141"/>
      <c r="T1381" s="141"/>
      <c r="U1381" s="141"/>
      <c r="V1381" s="141"/>
      <c r="W1381" s="141"/>
      <c r="X1381" s="141"/>
      <c r="Y1381" s="141"/>
      <c r="Z1381" s="141"/>
    </row>
    <row r="1382">
      <c r="A1382" s="141"/>
      <c r="B1382" s="141"/>
      <c r="C1382" s="141"/>
      <c r="D1382" s="141"/>
      <c r="E1382" s="141"/>
      <c r="F1382" s="141"/>
      <c r="G1382" s="141"/>
      <c r="H1382" s="141"/>
      <c r="I1382" s="141"/>
      <c r="J1382" s="141"/>
      <c r="K1382" s="141"/>
      <c r="L1382" s="141"/>
      <c r="M1382" s="141"/>
      <c r="N1382" s="141"/>
      <c r="O1382" s="141"/>
      <c r="P1382" s="141"/>
      <c r="Q1382" s="141"/>
      <c r="R1382" s="141"/>
      <c r="S1382" s="141"/>
      <c r="T1382" s="141"/>
      <c r="U1382" s="141"/>
      <c r="V1382" s="141"/>
      <c r="W1382" s="141"/>
      <c r="X1382" s="141"/>
      <c r="Y1382" s="141"/>
      <c r="Z1382" s="141"/>
    </row>
    <row r="1383">
      <c r="A1383" s="141"/>
      <c r="B1383" s="141"/>
      <c r="C1383" s="141"/>
      <c r="D1383" s="141"/>
      <c r="E1383" s="141"/>
      <c r="F1383" s="141"/>
      <c r="G1383" s="141"/>
      <c r="H1383" s="141"/>
      <c r="I1383" s="141"/>
      <c r="J1383" s="141"/>
      <c r="K1383" s="141"/>
      <c r="L1383" s="141"/>
      <c r="M1383" s="141"/>
      <c r="N1383" s="141"/>
      <c r="O1383" s="141"/>
      <c r="P1383" s="141"/>
      <c r="Q1383" s="141"/>
      <c r="R1383" s="141"/>
      <c r="S1383" s="141"/>
      <c r="T1383" s="141"/>
      <c r="U1383" s="141"/>
      <c r="V1383" s="141"/>
      <c r="W1383" s="141"/>
      <c r="X1383" s="141"/>
      <c r="Y1383" s="141"/>
      <c r="Z1383" s="141"/>
    </row>
    <row r="1384">
      <c r="A1384" s="141"/>
      <c r="B1384" s="141"/>
      <c r="C1384" s="141"/>
      <c r="D1384" s="141"/>
      <c r="E1384" s="141"/>
      <c r="F1384" s="141"/>
      <c r="G1384" s="141"/>
      <c r="H1384" s="141"/>
      <c r="I1384" s="141"/>
      <c r="J1384" s="141"/>
      <c r="K1384" s="141"/>
      <c r="L1384" s="141"/>
      <c r="M1384" s="141"/>
      <c r="N1384" s="141"/>
      <c r="O1384" s="141"/>
      <c r="P1384" s="141"/>
      <c r="Q1384" s="141"/>
      <c r="R1384" s="141"/>
      <c r="S1384" s="141"/>
      <c r="T1384" s="141"/>
      <c r="U1384" s="141"/>
      <c r="V1384" s="141"/>
      <c r="W1384" s="141"/>
      <c r="X1384" s="141"/>
      <c r="Y1384" s="141"/>
      <c r="Z1384" s="141"/>
    </row>
    <row r="1385">
      <c r="A1385" s="141"/>
      <c r="B1385" s="141"/>
      <c r="C1385" s="141"/>
      <c r="D1385" s="141"/>
      <c r="E1385" s="141"/>
      <c r="F1385" s="141"/>
      <c r="G1385" s="141"/>
      <c r="H1385" s="141"/>
      <c r="I1385" s="141"/>
      <c r="J1385" s="141"/>
      <c r="K1385" s="141"/>
      <c r="L1385" s="141"/>
      <c r="M1385" s="141"/>
      <c r="N1385" s="141"/>
      <c r="O1385" s="141"/>
      <c r="P1385" s="141"/>
      <c r="Q1385" s="141"/>
      <c r="R1385" s="141"/>
      <c r="S1385" s="141"/>
      <c r="T1385" s="141"/>
      <c r="U1385" s="141"/>
      <c r="V1385" s="141"/>
      <c r="W1385" s="141"/>
      <c r="X1385" s="141"/>
      <c r="Y1385" s="141"/>
      <c r="Z1385" s="141"/>
    </row>
    <row r="1386">
      <c r="A1386" s="141"/>
      <c r="B1386" s="141"/>
      <c r="C1386" s="141"/>
      <c r="D1386" s="141"/>
      <c r="E1386" s="141"/>
      <c r="F1386" s="141"/>
      <c r="G1386" s="141"/>
      <c r="H1386" s="141"/>
      <c r="I1386" s="141"/>
      <c r="J1386" s="141"/>
      <c r="K1386" s="141"/>
      <c r="L1386" s="141"/>
      <c r="M1386" s="141"/>
      <c r="N1386" s="141"/>
      <c r="O1386" s="141"/>
      <c r="P1386" s="141"/>
      <c r="Q1386" s="141"/>
      <c r="R1386" s="141"/>
      <c r="S1386" s="141"/>
      <c r="T1386" s="141"/>
      <c r="U1386" s="141"/>
      <c r="V1386" s="141"/>
      <c r="W1386" s="141"/>
      <c r="X1386" s="141"/>
      <c r="Y1386" s="141"/>
      <c r="Z1386" s="141"/>
    </row>
    <row r="1387">
      <c r="A1387" s="141"/>
      <c r="B1387" s="141"/>
      <c r="C1387" s="141"/>
      <c r="D1387" s="141"/>
      <c r="E1387" s="141"/>
      <c r="F1387" s="141"/>
      <c r="G1387" s="141"/>
      <c r="H1387" s="141"/>
      <c r="I1387" s="141"/>
      <c r="J1387" s="141"/>
      <c r="K1387" s="141"/>
      <c r="L1387" s="141"/>
      <c r="M1387" s="141"/>
      <c r="N1387" s="141"/>
      <c r="O1387" s="141"/>
      <c r="P1387" s="141"/>
      <c r="Q1387" s="141"/>
      <c r="R1387" s="141"/>
      <c r="S1387" s="141"/>
      <c r="T1387" s="141"/>
      <c r="U1387" s="141"/>
      <c r="V1387" s="141"/>
      <c r="W1387" s="141"/>
      <c r="X1387" s="141"/>
      <c r="Y1387" s="141"/>
      <c r="Z1387" s="141"/>
    </row>
    <row r="1388">
      <c r="A1388" s="141"/>
      <c r="B1388" s="141"/>
      <c r="C1388" s="141"/>
      <c r="D1388" s="141"/>
      <c r="E1388" s="141"/>
      <c r="F1388" s="141"/>
      <c r="G1388" s="141"/>
      <c r="H1388" s="141"/>
      <c r="I1388" s="141"/>
      <c r="J1388" s="141"/>
      <c r="K1388" s="141"/>
      <c r="L1388" s="141"/>
      <c r="M1388" s="141"/>
      <c r="N1388" s="141"/>
      <c r="O1388" s="141"/>
      <c r="P1388" s="141"/>
      <c r="Q1388" s="141"/>
      <c r="R1388" s="141"/>
      <c r="S1388" s="141"/>
      <c r="T1388" s="141"/>
      <c r="U1388" s="141"/>
      <c r="V1388" s="141"/>
      <c r="W1388" s="141"/>
      <c r="X1388" s="141"/>
      <c r="Y1388" s="141"/>
      <c r="Z1388" s="141"/>
    </row>
    <row r="1389">
      <c r="A1389" s="141"/>
      <c r="B1389" s="141"/>
      <c r="C1389" s="141"/>
      <c r="D1389" s="141"/>
      <c r="E1389" s="141"/>
      <c r="F1389" s="141"/>
      <c r="G1389" s="141"/>
      <c r="H1389" s="141"/>
      <c r="I1389" s="141"/>
      <c r="J1389" s="141"/>
      <c r="K1389" s="141"/>
      <c r="L1389" s="141"/>
      <c r="M1389" s="141"/>
      <c r="N1389" s="141"/>
      <c r="O1389" s="141"/>
      <c r="P1389" s="141"/>
      <c r="Q1389" s="141"/>
      <c r="R1389" s="141"/>
      <c r="S1389" s="141"/>
      <c r="T1389" s="141"/>
      <c r="U1389" s="141"/>
      <c r="V1389" s="141"/>
      <c r="W1389" s="141"/>
      <c r="X1389" s="141"/>
      <c r="Y1389" s="141"/>
      <c r="Z1389" s="141"/>
    </row>
    <row r="1390">
      <c r="A1390" s="141"/>
      <c r="B1390" s="141"/>
      <c r="C1390" s="141"/>
      <c r="D1390" s="141"/>
      <c r="E1390" s="141"/>
      <c r="F1390" s="141"/>
      <c r="G1390" s="141"/>
      <c r="H1390" s="141"/>
      <c r="I1390" s="141"/>
      <c r="J1390" s="141"/>
      <c r="K1390" s="141"/>
      <c r="L1390" s="141"/>
      <c r="M1390" s="141"/>
      <c r="N1390" s="141"/>
      <c r="O1390" s="141"/>
      <c r="P1390" s="141"/>
      <c r="Q1390" s="141"/>
      <c r="R1390" s="141"/>
      <c r="S1390" s="141"/>
      <c r="T1390" s="141"/>
      <c r="U1390" s="141"/>
      <c r="V1390" s="141"/>
      <c r="W1390" s="141"/>
      <c r="X1390" s="141"/>
      <c r="Y1390" s="141"/>
      <c r="Z1390" s="141"/>
    </row>
    <row r="1391">
      <c r="A1391" s="141"/>
      <c r="B1391" s="141"/>
      <c r="C1391" s="141"/>
      <c r="D1391" s="141"/>
      <c r="E1391" s="141"/>
      <c r="F1391" s="141"/>
      <c r="G1391" s="141"/>
      <c r="H1391" s="141"/>
      <c r="I1391" s="141"/>
      <c r="J1391" s="141"/>
      <c r="K1391" s="141"/>
      <c r="L1391" s="141"/>
      <c r="M1391" s="141"/>
      <c r="N1391" s="141"/>
      <c r="O1391" s="141"/>
      <c r="P1391" s="141"/>
      <c r="Q1391" s="141"/>
      <c r="R1391" s="141"/>
      <c r="S1391" s="141"/>
      <c r="T1391" s="141"/>
      <c r="U1391" s="141"/>
      <c r="V1391" s="141"/>
      <c r="W1391" s="141"/>
      <c r="X1391" s="141"/>
      <c r="Y1391" s="141"/>
      <c r="Z1391" s="141"/>
    </row>
    <row r="1392">
      <c r="A1392" s="141"/>
      <c r="B1392" s="141"/>
      <c r="C1392" s="141"/>
      <c r="D1392" s="141"/>
      <c r="E1392" s="141"/>
      <c r="F1392" s="141"/>
      <c r="G1392" s="141"/>
      <c r="H1392" s="141"/>
      <c r="I1392" s="141"/>
      <c r="J1392" s="141"/>
      <c r="K1392" s="141"/>
      <c r="L1392" s="141"/>
      <c r="M1392" s="141"/>
      <c r="N1392" s="141"/>
      <c r="O1392" s="141"/>
      <c r="P1392" s="141"/>
      <c r="Q1392" s="141"/>
      <c r="R1392" s="141"/>
      <c r="S1392" s="141"/>
      <c r="T1392" s="141"/>
      <c r="U1392" s="141"/>
      <c r="V1392" s="141"/>
      <c r="W1392" s="141"/>
      <c r="X1392" s="141"/>
      <c r="Y1392" s="141"/>
      <c r="Z1392" s="141"/>
    </row>
    <row r="1393">
      <c r="A1393" s="141"/>
      <c r="B1393" s="141"/>
      <c r="C1393" s="141"/>
      <c r="D1393" s="141"/>
      <c r="E1393" s="141"/>
      <c r="F1393" s="141"/>
      <c r="G1393" s="141"/>
      <c r="H1393" s="141"/>
      <c r="I1393" s="141"/>
      <c r="J1393" s="141"/>
      <c r="K1393" s="141"/>
      <c r="L1393" s="141"/>
      <c r="M1393" s="141"/>
      <c r="N1393" s="141"/>
      <c r="O1393" s="141"/>
      <c r="P1393" s="141"/>
      <c r="Q1393" s="141"/>
      <c r="R1393" s="141"/>
      <c r="S1393" s="141"/>
      <c r="T1393" s="141"/>
      <c r="U1393" s="141"/>
      <c r="V1393" s="141"/>
      <c r="W1393" s="141"/>
      <c r="X1393" s="141"/>
      <c r="Y1393" s="141"/>
      <c r="Z1393" s="141"/>
    </row>
    <row r="1394">
      <c r="A1394" s="141"/>
      <c r="B1394" s="141"/>
      <c r="C1394" s="141"/>
      <c r="D1394" s="141"/>
      <c r="E1394" s="141"/>
      <c r="F1394" s="141"/>
      <c r="G1394" s="141"/>
      <c r="H1394" s="141"/>
      <c r="I1394" s="141"/>
      <c r="J1394" s="141"/>
      <c r="K1394" s="141"/>
      <c r="L1394" s="141"/>
      <c r="M1394" s="141"/>
      <c r="N1394" s="141"/>
      <c r="O1394" s="141"/>
      <c r="P1394" s="141"/>
      <c r="Q1394" s="141"/>
      <c r="R1394" s="141"/>
      <c r="S1394" s="141"/>
      <c r="T1394" s="141"/>
      <c r="U1394" s="141"/>
      <c r="V1394" s="141"/>
      <c r="W1394" s="141"/>
      <c r="X1394" s="141"/>
      <c r="Y1394" s="141"/>
      <c r="Z1394" s="141"/>
    </row>
    <row r="1395">
      <c r="A1395" s="141"/>
      <c r="B1395" s="141"/>
      <c r="C1395" s="141"/>
      <c r="D1395" s="141"/>
      <c r="E1395" s="141"/>
      <c r="F1395" s="141"/>
      <c r="G1395" s="141"/>
      <c r="H1395" s="141"/>
      <c r="I1395" s="141"/>
      <c r="J1395" s="141"/>
      <c r="K1395" s="141"/>
      <c r="L1395" s="141"/>
      <c r="M1395" s="141"/>
      <c r="N1395" s="141"/>
      <c r="O1395" s="141"/>
      <c r="P1395" s="141"/>
      <c r="Q1395" s="141"/>
      <c r="R1395" s="141"/>
      <c r="S1395" s="141"/>
      <c r="T1395" s="141"/>
      <c r="U1395" s="141"/>
      <c r="V1395" s="141"/>
      <c r="W1395" s="141"/>
      <c r="X1395" s="141"/>
      <c r="Y1395" s="141"/>
      <c r="Z1395" s="141"/>
    </row>
    <row r="1396">
      <c r="A1396" s="141"/>
      <c r="B1396" s="141"/>
      <c r="C1396" s="141"/>
      <c r="D1396" s="141"/>
      <c r="E1396" s="141"/>
      <c r="F1396" s="141"/>
      <c r="G1396" s="141"/>
      <c r="H1396" s="141"/>
      <c r="I1396" s="141"/>
      <c r="J1396" s="141"/>
      <c r="K1396" s="141"/>
      <c r="L1396" s="141"/>
      <c r="M1396" s="141"/>
      <c r="N1396" s="141"/>
      <c r="O1396" s="141"/>
      <c r="P1396" s="141"/>
      <c r="Q1396" s="141"/>
      <c r="R1396" s="141"/>
      <c r="S1396" s="141"/>
      <c r="T1396" s="141"/>
      <c r="U1396" s="141"/>
      <c r="V1396" s="141"/>
      <c r="W1396" s="141"/>
      <c r="X1396" s="141"/>
      <c r="Y1396" s="141"/>
      <c r="Z1396" s="141"/>
    </row>
    <row r="1397">
      <c r="A1397" s="141"/>
      <c r="B1397" s="141"/>
      <c r="C1397" s="141"/>
      <c r="D1397" s="141"/>
      <c r="E1397" s="141"/>
      <c r="F1397" s="141"/>
      <c r="G1397" s="141"/>
      <c r="H1397" s="141"/>
      <c r="I1397" s="141"/>
      <c r="J1397" s="141"/>
      <c r="K1397" s="141"/>
      <c r="L1397" s="141"/>
      <c r="M1397" s="141"/>
      <c r="N1397" s="141"/>
      <c r="O1397" s="141"/>
      <c r="P1397" s="141"/>
      <c r="Q1397" s="141"/>
      <c r="R1397" s="141"/>
      <c r="S1397" s="141"/>
      <c r="T1397" s="141"/>
      <c r="U1397" s="141"/>
      <c r="V1397" s="141"/>
      <c r="W1397" s="141"/>
      <c r="X1397" s="141"/>
      <c r="Y1397" s="141"/>
      <c r="Z1397" s="141"/>
    </row>
    <row r="1398">
      <c r="A1398" s="141"/>
      <c r="B1398" s="141"/>
      <c r="C1398" s="141"/>
      <c r="D1398" s="141"/>
      <c r="E1398" s="141"/>
      <c r="F1398" s="141"/>
      <c r="G1398" s="141"/>
      <c r="H1398" s="141"/>
      <c r="I1398" s="141"/>
      <c r="J1398" s="141"/>
      <c r="K1398" s="141"/>
      <c r="L1398" s="141"/>
      <c r="M1398" s="141"/>
      <c r="N1398" s="141"/>
      <c r="O1398" s="141"/>
      <c r="P1398" s="141"/>
      <c r="Q1398" s="141"/>
      <c r="R1398" s="141"/>
      <c r="S1398" s="141"/>
      <c r="T1398" s="141"/>
      <c r="U1398" s="141"/>
      <c r="V1398" s="141"/>
      <c r="W1398" s="141"/>
      <c r="X1398" s="141"/>
      <c r="Y1398" s="141"/>
      <c r="Z1398" s="141"/>
    </row>
    <row r="1399">
      <c r="A1399" s="141"/>
      <c r="B1399" s="141"/>
      <c r="C1399" s="141"/>
      <c r="D1399" s="141"/>
      <c r="E1399" s="141"/>
      <c r="F1399" s="141"/>
      <c r="G1399" s="141"/>
      <c r="H1399" s="141"/>
      <c r="I1399" s="141"/>
      <c r="J1399" s="141"/>
      <c r="K1399" s="141"/>
      <c r="L1399" s="141"/>
      <c r="M1399" s="141"/>
      <c r="N1399" s="141"/>
      <c r="O1399" s="141"/>
      <c r="P1399" s="141"/>
      <c r="Q1399" s="141"/>
      <c r="R1399" s="141"/>
      <c r="S1399" s="141"/>
      <c r="T1399" s="141"/>
      <c r="U1399" s="141"/>
      <c r="V1399" s="141"/>
      <c r="W1399" s="141"/>
      <c r="X1399" s="141"/>
      <c r="Y1399" s="141"/>
      <c r="Z1399" s="141"/>
    </row>
    <row r="1400">
      <c r="A1400" s="141"/>
      <c r="B1400" s="141"/>
      <c r="C1400" s="141"/>
      <c r="D1400" s="141"/>
      <c r="E1400" s="141"/>
      <c r="F1400" s="141"/>
      <c r="G1400" s="141"/>
      <c r="H1400" s="141"/>
      <c r="I1400" s="141"/>
      <c r="J1400" s="141"/>
      <c r="K1400" s="141"/>
      <c r="L1400" s="141"/>
      <c r="M1400" s="141"/>
      <c r="N1400" s="141"/>
      <c r="O1400" s="141"/>
      <c r="P1400" s="141"/>
      <c r="Q1400" s="141"/>
      <c r="R1400" s="141"/>
      <c r="S1400" s="141"/>
      <c r="T1400" s="141"/>
      <c r="U1400" s="141"/>
      <c r="V1400" s="141"/>
      <c r="W1400" s="141"/>
      <c r="X1400" s="141"/>
      <c r="Y1400" s="141"/>
      <c r="Z1400" s="141"/>
    </row>
    <row r="1401">
      <c r="A1401" s="141"/>
      <c r="B1401" s="141"/>
      <c r="C1401" s="141"/>
      <c r="D1401" s="141"/>
      <c r="E1401" s="141"/>
      <c r="F1401" s="141"/>
      <c r="G1401" s="141"/>
      <c r="H1401" s="141"/>
      <c r="I1401" s="141"/>
      <c r="J1401" s="141"/>
      <c r="K1401" s="141"/>
      <c r="L1401" s="141"/>
      <c r="M1401" s="141"/>
      <c r="N1401" s="141"/>
      <c r="O1401" s="141"/>
      <c r="P1401" s="141"/>
      <c r="Q1401" s="141"/>
      <c r="R1401" s="141"/>
      <c r="S1401" s="141"/>
      <c r="T1401" s="141"/>
      <c r="U1401" s="141"/>
      <c r="V1401" s="141"/>
      <c r="W1401" s="141"/>
      <c r="X1401" s="141"/>
      <c r="Y1401" s="141"/>
      <c r="Z1401" s="141"/>
    </row>
    <row r="1402">
      <c r="A1402" s="141"/>
      <c r="B1402" s="141"/>
      <c r="C1402" s="141"/>
      <c r="D1402" s="141"/>
      <c r="E1402" s="141"/>
      <c r="F1402" s="141"/>
      <c r="G1402" s="141"/>
      <c r="H1402" s="141"/>
      <c r="I1402" s="141"/>
      <c r="J1402" s="141"/>
      <c r="K1402" s="141"/>
      <c r="L1402" s="141"/>
      <c r="M1402" s="141"/>
      <c r="N1402" s="141"/>
      <c r="O1402" s="141"/>
      <c r="P1402" s="141"/>
      <c r="Q1402" s="141"/>
      <c r="R1402" s="141"/>
      <c r="S1402" s="141"/>
      <c r="T1402" s="141"/>
      <c r="U1402" s="141"/>
      <c r="V1402" s="141"/>
      <c r="W1402" s="141"/>
      <c r="X1402" s="141"/>
      <c r="Y1402" s="141"/>
      <c r="Z1402" s="141"/>
    </row>
    <row r="1403">
      <c r="A1403" s="141"/>
      <c r="B1403" s="141"/>
      <c r="C1403" s="141"/>
      <c r="D1403" s="141"/>
      <c r="E1403" s="141"/>
      <c r="F1403" s="141"/>
      <c r="G1403" s="141"/>
      <c r="H1403" s="141"/>
      <c r="I1403" s="141"/>
      <c r="J1403" s="141"/>
      <c r="K1403" s="141"/>
      <c r="L1403" s="141"/>
      <c r="M1403" s="141"/>
      <c r="N1403" s="141"/>
      <c r="O1403" s="141"/>
      <c r="P1403" s="141"/>
      <c r="Q1403" s="141"/>
      <c r="R1403" s="141"/>
      <c r="S1403" s="141"/>
      <c r="T1403" s="141"/>
      <c r="U1403" s="141"/>
      <c r="V1403" s="141"/>
      <c r="W1403" s="141"/>
      <c r="X1403" s="141"/>
      <c r="Y1403" s="141"/>
      <c r="Z1403" s="141"/>
    </row>
    <row r="1404">
      <c r="A1404" s="141"/>
      <c r="B1404" s="141"/>
      <c r="C1404" s="141"/>
      <c r="D1404" s="141"/>
      <c r="E1404" s="141"/>
      <c r="F1404" s="141"/>
      <c r="G1404" s="141"/>
      <c r="H1404" s="141"/>
      <c r="I1404" s="141"/>
      <c r="J1404" s="141"/>
      <c r="K1404" s="141"/>
      <c r="L1404" s="141"/>
      <c r="M1404" s="141"/>
      <c r="N1404" s="141"/>
      <c r="O1404" s="141"/>
      <c r="P1404" s="141"/>
      <c r="Q1404" s="141"/>
      <c r="R1404" s="141"/>
      <c r="S1404" s="141"/>
      <c r="T1404" s="141"/>
      <c r="U1404" s="141"/>
      <c r="V1404" s="141"/>
      <c r="W1404" s="141"/>
      <c r="X1404" s="141"/>
      <c r="Y1404" s="141"/>
      <c r="Z1404" s="141"/>
    </row>
    <row r="1405">
      <c r="A1405" s="141"/>
      <c r="B1405" s="141"/>
      <c r="C1405" s="141"/>
      <c r="D1405" s="141"/>
      <c r="E1405" s="141"/>
      <c r="F1405" s="141"/>
      <c r="G1405" s="141"/>
      <c r="H1405" s="141"/>
      <c r="I1405" s="141"/>
      <c r="J1405" s="141"/>
      <c r="K1405" s="141"/>
      <c r="L1405" s="141"/>
      <c r="M1405" s="141"/>
      <c r="N1405" s="141"/>
      <c r="O1405" s="141"/>
      <c r="P1405" s="141"/>
      <c r="Q1405" s="141"/>
      <c r="R1405" s="141"/>
      <c r="S1405" s="141"/>
      <c r="T1405" s="141"/>
      <c r="U1405" s="141"/>
      <c r="V1405" s="141"/>
      <c r="W1405" s="141"/>
      <c r="X1405" s="141"/>
      <c r="Y1405" s="141"/>
      <c r="Z1405" s="141"/>
    </row>
    <row r="1406">
      <c r="A1406" s="141"/>
      <c r="B1406" s="141"/>
      <c r="C1406" s="141"/>
      <c r="D1406" s="141"/>
      <c r="E1406" s="141"/>
      <c r="F1406" s="141"/>
      <c r="G1406" s="141"/>
      <c r="H1406" s="141"/>
      <c r="I1406" s="141"/>
      <c r="J1406" s="141"/>
      <c r="K1406" s="141"/>
      <c r="L1406" s="141"/>
      <c r="M1406" s="141"/>
      <c r="N1406" s="141"/>
      <c r="O1406" s="141"/>
      <c r="P1406" s="141"/>
      <c r="Q1406" s="141"/>
      <c r="R1406" s="141"/>
      <c r="S1406" s="141"/>
      <c r="T1406" s="141"/>
      <c r="U1406" s="141"/>
      <c r="V1406" s="141"/>
      <c r="W1406" s="141"/>
      <c r="X1406" s="141"/>
      <c r="Y1406" s="141"/>
      <c r="Z1406" s="141"/>
    </row>
    <row r="1407">
      <c r="A1407" s="141"/>
      <c r="B1407" s="141"/>
      <c r="C1407" s="141"/>
      <c r="D1407" s="141"/>
      <c r="E1407" s="141"/>
      <c r="F1407" s="141"/>
      <c r="G1407" s="141"/>
      <c r="H1407" s="141"/>
      <c r="I1407" s="141"/>
      <c r="J1407" s="141"/>
      <c r="K1407" s="141"/>
      <c r="L1407" s="141"/>
      <c r="M1407" s="141"/>
      <c r="N1407" s="141"/>
      <c r="O1407" s="141"/>
      <c r="P1407" s="141"/>
      <c r="Q1407" s="141"/>
      <c r="R1407" s="141"/>
      <c r="S1407" s="141"/>
      <c r="T1407" s="141"/>
      <c r="U1407" s="141"/>
      <c r="V1407" s="141"/>
      <c r="W1407" s="141"/>
      <c r="X1407" s="141"/>
      <c r="Y1407" s="141"/>
      <c r="Z1407" s="141"/>
    </row>
    <row r="1408">
      <c r="A1408" s="141"/>
      <c r="B1408" s="141"/>
      <c r="C1408" s="141"/>
      <c r="D1408" s="141"/>
      <c r="E1408" s="141"/>
      <c r="F1408" s="141"/>
      <c r="G1408" s="141"/>
      <c r="H1408" s="141"/>
      <c r="I1408" s="141"/>
      <c r="J1408" s="141"/>
      <c r="K1408" s="141"/>
      <c r="L1408" s="141"/>
      <c r="M1408" s="141"/>
      <c r="N1408" s="141"/>
      <c r="O1408" s="141"/>
      <c r="P1408" s="141"/>
      <c r="Q1408" s="141"/>
      <c r="R1408" s="141"/>
      <c r="S1408" s="141"/>
      <c r="T1408" s="141"/>
      <c r="U1408" s="141"/>
      <c r="V1408" s="141"/>
      <c r="W1408" s="141"/>
      <c r="X1408" s="141"/>
      <c r="Y1408" s="141"/>
      <c r="Z1408" s="141"/>
    </row>
    <row r="1409">
      <c r="A1409" s="141"/>
      <c r="B1409" s="141"/>
      <c r="C1409" s="141"/>
      <c r="D1409" s="141"/>
      <c r="E1409" s="141"/>
      <c r="F1409" s="141"/>
      <c r="G1409" s="141"/>
      <c r="H1409" s="141"/>
      <c r="I1409" s="141"/>
      <c r="J1409" s="141"/>
      <c r="K1409" s="141"/>
      <c r="L1409" s="141"/>
      <c r="M1409" s="141"/>
      <c r="N1409" s="141"/>
      <c r="O1409" s="141"/>
      <c r="P1409" s="141"/>
      <c r="Q1409" s="141"/>
      <c r="R1409" s="141"/>
      <c r="S1409" s="141"/>
      <c r="T1409" s="141"/>
      <c r="U1409" s="141"/>
      <c r="V1409" s="141"/>
      <c r="W1409" s="141"/>
      <c r="X1409" s="141"/>
      <c r="Y1409" s="141"/>
      <c r="Z1409" s="141"/>
    </row>
    <row r="1410">
      <c r="A1410" s="141"/>
      <c r="B1410" s="141"/>
      <c r="C1410" s="141"/>
      <c r="D1410" s="141"/>
      <c r="E1410" s="141"/>
      <c r="F1410" s="141"/>
      <c r="G1410" s="141"/>
      <c r="H1410" s="141"/>
      <c r="I1410" s="141"/>
      <c r="J1410" s="141"/>
      <c r="K1410" s="141"/>
      <c r="L1410" s="141"/>
      <c r="M1410" s="141"/>
      <c r="N1410" s="141"/>
      <c r="O1410" s="141"/>
      <c r="P1410" s="141"/>
      <c r="Q1410" s="141"/>
      <c r="R1410" s="141"/>
      <c r="S1410" s="141"/>
      <c r="T1410" s="141"/>
      <c r="U1410" s="141"/>
      <c r="V1410" s="141"/>
      <c r="W1410" s="141"/>
      <c r="X1410" s="141"/>
      <c r="Y1410" s="141"/>
      <c r="Z1410" s="141"/>
    </row>
    <row r="1411">
      <c r="A1411" s="141"/>
      <c r="B1411" s="141"/>
      <c r="C1411" s="141"/>
      <c r="D1411" s="141"/>
      <c r="E1411" s="141"/>
      <c r="F1411" s="141"/>
      <c r="G1411" s="141"/>
      <c r="H1411" s="141"/>
      <c r="I1411" s="141"/>
      <c r="J1411" s="141"/>
      <c r="K1411" s="141"/>
      <c r="L1411" s="141"/>
      <c r="M1411" s="141"/>
      <c r="N1411" s="141"/>
      <c r="O1411" s="141"/>
      <c r="P1411" s="141"/>
      <c r="Q1411" s="141"/>
      <c r="R1411" s="141"/>
      <c r="S1411" s="141"/>
      <c r="T1411" s="141"/>
      <c r="U1411" s="141"/>
      <c r="V1411" s="141"/>
      <c r="W1411" s="141"/>
      <c r="X1411" s="141"/>
      <c r="Y1411" s="141"/>
      <c r="Z1411" s="141"/>
    </row>
    <row r="1412">
      <c r="A1412" s="141"/>
      <c r="B1412" s="141"/>
      <c r="C1412" s="141"/>
      <c r="D1412" s="141"/>
      <c r="E1412" s="141"/>
      <c r="F1412" s="141"/>
      <c r="G1412" s="141"/>
      <c r="H1412" s="141"/>
      <c r="I1412" s="141"/>
      <c r="J1412" s="141"/>
      <c r="K1412" s="141"/>
      <c r="L1412" s="141"/>
      <c r="M1412" s="141"/>
      <c r="N1412" s="141"/>
      <c r="O1412" s="141"/>
      <c r="P1412" s="141"/>
      <c r="Q1412" s="141"/>
      <c r="R1412" s="141"/>
      <c r="S1412" s="141"/>
      <c r="T1412" s="141"/>
      <c r="U1412" s="141"/>
      <c r="V1412" s="141"/>
      <c r="W1412" s="141"/>
      <c r="X1412" s="141"/>
      <c r="Y1412" s="141"/>
      <c r="Z1412" s="141"/>
    </row>
    <row r="1413">
      <c r="A1413" s="141"/>
      <c r="B1413" s="141"/>
      <c r="C1413" s="141"/>
      <c r="D1413" s="141"/>
      <c r="E1413" s="141"/>
      <c r="F1413" s="141"/>
      <c r="G1413" s="141"/>
      <c r="H1413" s="141"/>
      <c r="I1413" s="141"/>
      <c r="J1413" s="141"/>
      <c r="K1413" s="141"/>
      <c r="L1413" s="141"/>
      <c r="M1413" s="141"/>
      <c r="N1413" s="141"/>
      <c r="O1413" s="141"/>
      <c r="P1413" s="141"/>
      <c r="Q1413" s="141"/>
      <c r="R1413" s="141"/>
      <c r="S1413" s="141"/>
      <c r="T1413" s="141"/>
      <c r="U1413" s="141"/>
      <c r="V1413" s="141"/>
      <c r="W1413" s="141"/>
      <c r="X1413" s="141"/>
      <c r="Y1413" s="141"/>
      <c r="Z1413" s="141"/>
    </row>
    <row r="1414">
      <c r="A1414" s="141"/>
      <c r="B1414" s="141"/>
      <c r="C1414" s="141"/>
      <c r="D1414" s="141"/>
      <c r="E1414" s="141"/>
      <c r="F1414" s="141"/>
      <c r="G1414" s="141"/>
      <c r="H1414" s="141"/>
      <c r="I1414" s="141"/>
      <c r="J1414" s="141"/>
      <c r="K1414" s="141"/>
      <c r="L1414" s="141"/>
      <c r="M1414" s="141"/>
      <c r="N1414" s="141"/>
      <c r="O1414" s="141"/>
      <c r="P1414" s="141"/>
      <c r="Q1414" s="141"/>
      <c r="R1414" s="141"/>
      <c r="S1414" s="141"/>
      <c r="T1414" s="141"/>
      <c r="U1414" s="141"/>
      <c r="V1414" s="141"/>
      <c r="W1414" s="141"/>
      <c r="X1414" s="141"/>
      <c r="Y1414" s="141"/>
      <c r="Z1414" s="141"/>
    </row>
    <row r="1415">
      <c r="A1415" s="141"/>
      <c r="B1415" s="141"/>
      <c r="C1415" s="141"/>
      <c r="D1415" s="141"/>
      <c r="E1415" s="141"/>
      <c r="F1415" s="141"/>
      <c r="G1415" s="141"/>
      <c r="H1415" s="141"/>
      <c r="I1415" s="141"/>
      <c r="J1415" s="141"/>
      <c r="K1415" s="141"/>
      <c r="L1415" s="141"/>
      <c r="M1415" s="141"/>
      <c r="N1415" s="141"/>
      <c r="O1415" s="141"/>
      <c r="P1415" s="141"/>
      <c r="Q1415" s="141"/>
      <c r="R1415" s="141"/>
      <c r="S1415" s="141"/>
      <c r="T1415" s="141"/>
      <c r="U1415" s="141"/>
      <c r="V1415" s="141"/>
      <c r="W1415" s="141"/>
      <c r="X1415" s="141"/>
      <c r="Y1415" s="141"/>
      <c r="Z1415" s="141"/>
    </row>
    <row r="1416">
      <c r="A1416" s="141"/>
      <c r="B1416" s="141"/>
      <c r="C1416" s="141"/>
      <c r="D1416" s="141"/>
      <c r="E1416" s="141"/>
      <c r="F1416" s="141"/>
      <c r="G1416" s="141"/>
      <c r="H1416" s="141"/>
      <c r="I1416" s="141"/>
      <c r="J1416" s="141"/>
      <c r="K1416" s="141"/>
      <c r="L1416" s="141"/>
      <c r="M1416" s="141"/>
      <c r="N1416" s="141"/>
      <c r="O1416" s="141"/>
      <c r="P1416" s="141"/>
      <c r="Q1416" s="141"/>
      <c r="R1416" s="141"/>
      <c r="S1416" s="141"/>
      <c r="T1416" s="141"/>
      <c r="U1416" s="141"/>
      <c r="V1416" s="141"/>
      <c r="W1416" s="141"/>
      <c r="X1416" s="141"/>
      <c r="Y1416" s="141"/>
      <c r="Z1416" s="141"/>
    </row>
    <row r="1417">
      <c r="A1417" s="141"/>
      <c r="B1417" s="141"/>
      <c r="C1417" s="141"/>
      <c r="D1417" s="141"/>
      <c r="E1417" s="141"/>
      <c r="F1417" s="141"/>
      <c r="G1417" s="141"/>
      <c r="H1417" s="141"/>
      <c r="I1417" s="141"/>
      <c r="J1417" s="141"/>
      <c r="K1417" s="141"/>
      <c r="L1417" s="141"/>
      <c r="M1417" s="141"/>
      <c r="N1417" s="141"/>
      <c r="O1417" s="141"/>
      <c r="P1417" s="141"/>
      <c r="Q1417" s="141"/>
      <c r="R1417" s="141"/>
      <c r="S1417" s="141"/>
      <c r="T1417" s="141"/>
      <c r="U1417" s="141"/>
      <c r="V1417" s="141"/>
      <c r="W1417" s="141"/>
      <c r="X1417" s="141"/>
      <c r="Y1417" s="141"/>
      <c r="Z1417" s="141"/>
    </row>
    <row r="1418">
      <c r="A1418" s="141"/>
      <c r="B1418" s="141"/>
      <c r="C1418" s="141"/>
      <c r="D1418" s="141"/>
      <c r="E1418" s="141"/>
      <c r="F1418" s="141"/>
      <c r="G1418" s="141"/>
      <c r="H1418" s="141"/>
      <c r="I1418" s="141"/>
      <c r="J1418" s="141"/>
      <c r="K1418" s="141"/>
      <c r="L1418" s="141"/>
      <c r="M1418" s="141"/>
      <c r="N1418" s="141"/>
      <c r="O1418" s="141"/>
      <c r="P1418" s="141"/>
      <c r="Q1418" s="141"/>
      <c r="R1418" s="141"/>
      <c r="S1418" s="141"/>
      <c r="T1418" s="141"/>
      <c r="U1418" s="141"/>
      <c r="V1418" s="141"/>
      <c r="W1418" s="141"/>
      <c r="X1418" s="141"/>
      <c r="Y1418" s="141"/>
      <c r="Z1418" s="141"/>
    </row>
    <row r="1419">
      <c r="A1419" s="141"/>
      <c r="B1419" s="141"/>
      <c r="C1419" s="141"/>
      <c r="D1419" s="141"/>
      <c r="E1419" s="141"/>
      <c r="F1419" s="141"/>
      <c r="G1419" s="141"/>
      <c r="H1419" s="141"/>
      <c r="I1419" s="141"/>
      <c r="J1419" s="141"/>
      <c r="K1419" s="141"/>
      <c r="L1419" s="141"/>
      <c r="M1419" s="141"/>
      <c r="N1419" s="141"/>
      <c r="O1419" s="141"/>
      <c r="P1419" s="141"/>
      <c r="Q1419" s="141"/>
      <c r="R1419" s="141"/>
      <c r="S1419" s="141"/>
      <c r="T1419" s="141"/>
      <c r="U1419" s="141"/>
      <c r="V1419" s="141"/>
      <c r="W1419" s="141"/>
      <c r="X1419" s="141"/>
      <c r="Y1419" s="141"/>
      <c r="Z1419" s="141"/>
    </row>
    <row r="1420">
      <c r="A1420" s="141"/>
      <c r="B1420" s="141"/>
      <c r="C1420" s="141"/>
      <c r="D1420" s="141"/>
      <c r="E1420" s="141"/>
      <c r="F1420" s="141"/>
      <c r="G1420" s="141"/>
      <c r="H1420" s="141"/>
      <c r="I1420" s="141"/>
      <c r="J1420" s="141"/>
      <c r="K1420" s="141"/>
      <c r="L1420" s="141"/>
      <c r="M1420" s="141"/>
      <c r="N1420" s="141"/>
      <c r="O1420" s="141"/>
      <c r="P1420" s="141"/>
      <c r="Q1420" s="141"/>
      <c r="R1420" s="141"/>
      <c r="S1420" s="141"/>
      <c r="T1420" s="141"/>
      <c r="U1420" s="141"/>
      <c r="V1420" s="141"/>
      <c r="W1420" s="141"/>
      <c r="X1420" s="141"/>
      <c r="Y1420" s="141"/>
      <c r="Z1420" s="141"/>
    </row>
    <row r="1421">
      <c r="A1421" s="141"/>
      <c r="B1421" s="141"/>
      <c r="C1421" s="141"/>
      <c r="D1421" s="141"/>
      <c r="E1421" s="141"/>
      <c r="F1421" s="141"/>
      <c r="G1421" s="141"/>
      <c r="H1421" s="141"/>
      <c r="I1421" s="141"/>
      <c r="J1421" s="141"/>
      <c r="K1421" s="141"/>
      <c r="L1421" s="141"/>
      <c r="M1421" s="141"/>
      <c r="N1421" s="141"/>
      <c r="O1421" s="141"/>
      <c r="P1421" s="141"/>
      <c r="Q1421" s="141"/>
      <c r="R1421" s="141"/>
      <c r="S1421" s="141"/>
      <c r="T1421" s="141"/>
      <c r="U1421" s="141"/>
      <c r="V1421" s="141"/>
      <c r="W1421" s="141"/>
      <c r="X1421" s="141"/>
      <c r="Y1421" s="141"/>
      <c r="Z1421" s="141"/>
    </row>
    <row r="1422">
      <c r="A1422" s="141"/>
      <c r="B1422" s="141"/>
      <c r="C1422" s="141"/>
      <c r="D1422" s="141"/>
      <c r="E1422" s="141"/>
      <c r="F1422" s="141"/>
      <c r="G1422" s="141"/>
      <c r="H1422" s="141"/>
      <c r="I1422" s="141"/>
      <c r="J1422" s="141"/>
      <c r="K1422" s="141"/>
      <c r="L1422" s="141"/>
      <c r="M1422" s="141"/>
      <c r="N1422" s="141"/>
      <c r="O1422" s="141"/>
      <c r="P1422" s="141"/>
      <c r="Q1422" s="141"/>
      <c r="R1422" s="141"/>
      <c r="S1422" s="141"/>
      <c r="T1422" s="141"/>
      <c r="U1422" s="141"/>
      <c r="V1422" s="141"/>
      <c r="W1422" s="141"/>
      <c r="X1422" s="141"/>
      <c r="Y1422" s="141"/>
      <c r="Z1422" s="141"/>
    </row>
    <row r="1423">
      <c r="A1423" s="141"/>
      <c r="B1423" s="141"/>
      <c r="C1423" s="141"/>
      <c r="D1423" s="141"/>
      <c r="E1423" s="141"/>
      <c r="F1423" s="141"/>
      <c r="G1423" s="141"/>
      <c r="H1423" s="141"/>
      <c r="I1423" s="141"/>
      <c r="J1423" s="141"/>
      <c r="K1423" s="141"/>
      <c r="L1423" s="141"/>
      <c r="M1423" s="141"/>
      <c r="N1423" s="141"/>
      <c r="O1423" s="141"/>
      <c r="P1423" s="141"/>
      <c r="Q1423" s="141"/>
      <c r="R1423" s="141"/>
      <c r="S1423" s="141"/>
      <c r="T1423" s="141"/>
      <c r="U1423" s="141"/>
      <c r="V1423" s="141"/>
      <c r="W1423" s="141"/>
      <c r="X1423" s="141"/>
      <c r="Y1423" s="141"/>
      <c r="Z1423" s="141"/>
    </row>
    <row r="1424">
      <c r="A1424" s="141"/>
      <c r="B1424" s="141"/>
      <c r="C1424" s="141"/>
      <c r="D1424" s="141"/>
      <c r="E1424" s="141"/>
      <c r="F1424" s="141"/>
      <c r="G1424" s="141"/>
      <c r="H1424" s="141"/>
      <c r="I1424" s="141"/>
      <c r="J1424" s="141"/>
      <c r="K1424" s="141"/>
      <c r="L1424" s="141"/>
      <c r="M1424" s="141"/>
      <c r="N1424" s="141"/>
      <c r="O1424" s="141"/>
      <c r="P1424" s="141"/>
      <c r="Q1424" s="141"/>
      <c r="R1424" s="141"/>
      <c r="S1424" s="141"/>
      <c r="T1424" s="141"/>
      <c r="U1424" s="141"/>
      <c r="V1424" s="141"/>
      <c r="W1424" s="141"/>
      <c r="X1424" s="141"/>
      <c r="Y1424" s="141"/>
      <c r="Z1424" s="141"/>
    </row>
    <row r="1425">
      <c r="A1425" s="141"/>
      <c r="B1425" s="141"/>
      <c r="C1425" s="141"/>
      <c r="D1425" s="141"/>
      <c r="E1425" s="141"/>
      <c r="F1425" s="141"/>
      <c r="G1425" s="141"/>
      <c r="H1425" s="141"/>
      <c r="I1425" s="141"/>
      <c r="J1425" s="141"/>
      <c r="K1425" s="141"/>
      <c r="L1425" s="141"/>
      <c r="M1425" s="141"/>
      <c r="N1425" s="141"/>
      <c r="O1425" s="141"/>
      <c r="P1425" s="141"/>
      <c r="Q1425" s="141"/>
      <c r="R1425" s="141"/>
      <c r="S1425" s="141"/>
      <c r="T1425" s="141"/>
      <c r="U1425" s="141"/>
      <c r="V1425" s="141"/>
      <c r="W1425" s="141"/>
      <c r="X1425" s="141"/>
      <c r="Y1425" s="141"/>
      <c r="Z1425" s="141"/>
    </row>
    <row r="1426">
      <c r="A1426" s="141"/>
      <c r="B1426" s="141"/>
      <c r="C1426" s="141"/>
      <c r="D1426" s="141"/>
      <c r="E1426" s="141"/>
      <c r="F1426" s="141"/>
      <c r="G1426" s="141"/>
      <c r="H1426" s="141"/>
      <c r="I1426" s="141"/>
      <c r="J1426" s="141"/>
      <c r="K1426" s="141"/>
      <c r="L1426" s="141"/>
      <c r="M1426" s="141"/>
      <c r="N1426" s="141"/>
      <c r="O1426" s="141"/>
      <c r="P1426" s="141"/>
      <c r="Q1426" s="141"/>
      <c r="R1426" s="141"/>
      <c r="S1426" s="141"/>
      <c r="T1426" s="141"/>
      <c r="U1426" s="141"/>
      <c r="V1426" s="141"/>
      <c r="W1426" s="141"/>
      <c r="X1426" s="141"/>
      <c r="Y1426" s="141"/>
      <c r="Z1426" s="141"/>
    </row>
    <row r="1427">
      <c r="A1427" s="141"/>
      <c r="B1427" s="141"/>
      <c r="C1427" s="141"/>
      <c r="D1427" s="141"/>
      <c r="E1427" s="141"/>
      <c r="F1427" s="141"/>
      <c r="G1427" s="141"/>
      <c r="H1427" s="141"/>
      <c r="I1427" s="141"/>
      <c r="J1427" s="141"/>
      <c r="K1427" s="141"/>
      <c r="L1427" s="141"/>
      <c r="M1427" s="141"/>
      <c r="N1427" s="141"/>
      <c r="O1427" s="141"/>
      <c r="P1427" s="141"/>
      <c r="Q1427" s="141"/>
      <c r="R1427" s="141"/>
      <c r="S1427" s="141"/>
      <c r="T1427" s="141"/>
      <c r="U1427" s="141"/>
      <c r="V1427" s="141"/>
      <c r="W1427" s="141"/>
      <c r="X1427" s="141"/>
      <c r="Y1427" s="141"/>
      <c r="Z1427" s="141"/>
    </row>
    <row r="1428">
      <c r="A1428" s="141"/>
      <c r="B1428" s="141"/>
      <c r="C1428" s="141"/>
      <c r="D1428" s="141"/>
      <c r="E1428" s="141"/>
      <c r="F1428" s="141"/>
      <c r="G1428" s="141"/>
      <c r="H1428" s="141"/>
      <c r="I1428" s="141"/>
      <c r="J1428" s="141"/>
      <c r="K1428" s="141"/>
      <c r="L1428" s="141"/>
      <c r="M1428" s="141"/>
      <c r="N1428" s="141"/>
      <c r="O1428" s="141"/>
      <c r="P1428" s="141"/>
      <c r="Q1428" s="141"/>
      <c r="R1428" s="141"/>
      <c r="S1428" s="141"/>
      <c r="T1428" s="141"/>
      <c r="U1428" s="141"/>
      <c r="V1428" s="141"/>
      <c r="W1428" s="141"/>
      <c r="X1428" s="141"/>
      <c r="Y1428" s="141"/>
      <c r="Z1428" s="141"/>
    </row>
    <row r="1429">
      <c r="A1429" s="141"/>
      <c r="B1429" s="141"/>
      <c r="C1429" s="141"/>
      <c r="D1429" s="141"/>
      <c r="E1429" s="141"/>
      <c r="F1429" s="141"/>
      <c r="G1429" s="141"/>
      <c r="H1429" s="141"/>
      <c r="I1429" s="141"/>
      <c r="J1429" s="141"/>
      <c r="K1429" s="141"/>
      <c r="L1429" s="141"/>
      <c r="M1429" s="141"/>
      <c r="N1429" s="141"/>
      <c r="O1429" s="141"/>
      <c r="P1429" s="141"/>
      <c r="Q1429" s="141"/>
      <c r="R1429" s="141"/>
      <c r="S1429" s="141"/>
      <c r="T1429" s="141"/>
      <c r="U1429" s="141"/>
      <c r="V1429" s="141"/>
      <c r="W1429" s="141"/>
      <c r="X1429" s="141"/>
      <c r="Y1429" s="141"/>
      <c r="Z1429" s="141"/>
    </row>
    <row r="1430">
      <c r="A1430" s="141"/>
      <c r="B1430" s="141"/>
      <c r="C1430" s="141"/>
      <c r="D1430" s="141"/>
      <c r="E1430" s="141"/>
      <c r="F1430" s="141"/>
      <c r="G1430" s="141"/>
      <c r="H1430" s="141"/>
      <c r="I1430" s="141"/>
      <c r="J1430" s="141"/>
      <c r="K1430" s="141"/>
      <c r="L1430" s="141"/>
      <c r="M1430" s="141"/>
      <c r="N1430" s="141"/>
      <c r="O1430" s="141"/>
      <c r="P1430" s="141"/>
      <c r="Q1430" s="141"/>
      <c r="R1430" s="141"/>
      <c r="S1430" s="141"/>
      <c r="T1430" s="141"/>
      <c r="U1430" s="141"/>
      <c r="V1430" s="141"/>
      <c r="W1430" s="141"/>
      <c r="X1430" s="141"/>
      <c r="Y1430" s="141"/>
      <c r="Z1430" s="141"/>
    </row>
    <row r="1431">
      <c r="A1431" s="141"/>
      <c r="B1431" s="141"/>
      <c r="C1431" s="141"/>
      <c r="D1431" s="141"/>
      <c r="E1431" s="141"/>
      <c r="F1431" s="141"/>
      <c r="G1431" s="141"/>
      <c r="H1431" s="141"/>
      <c r="I1431" s="141"/>
      <c r="J1431" s="141"/>
      <c r="K1431" s="141"/>
      <c r="L1431" s="141"/>
      <c r="M1431" s="141"/>
      <c r="N1431" s="141"/>
      <c r="O1431" s="141"/>
      <c r="P1431" s="141"/>
      <c r="Q1431" s="141"/>
      <c r="R1431" s="141"/>
      <c r="S1431" s="141"/>
      <c r="T1431" s="141"/>
      <c r="U1431" s="141"/>
      <c r="V1431" s="141"/>
      <c r="W1431" s="141"/>
      <c r="X1431" s="141"/>
      <c r="Y1431" s="141"/>
      <c r="Z1431" s="141"/>
    </row>
    <row r="1432">
      <c r="A1432" s="141"/>
      <c r="B1432" s="141"/>
      <c r="C1432" s="141"/>
      <c r="D1432" s="141"/>
      <c r="E1432" s="141"/>
      <c r="F1432" s="141"/>
      <c r="G1432" s="141"/>
      <c r="H1432" s="141"/>
      <c r="I1432" s="141"/>
      <c r="J1432" s="141"/>
      <c r="K1432" s="141"/>
      <c r="L1432" s="141"/>
      <c r="M1432" s="141"/>
      <c r="N1432" s="141"/>
      <c r="O1432" s="141"/>
      <c r="P1432" s="141"/>
      <c r="Q1432" s="141"/>
      <c r="R1432" s="141"/>
      <c r="S1432" s="141"/>
      <c r="T1432" s="141"/>
      <c r="U1432" s="141"/>
      <c r="V1432" s="141"/>
      <c r="W1432" s="141"/>
      <c r="X1432" s="141"/>
      <c r="Y1432" s="141"/>
      <c r="Z1432" s="141"/>
    </row>
    <row r="1433">
      <c r="A1433" s="141"/>
      <c r="B1433" s="141"/>
      <c r="C1433" s="141"/>
      <c r="D1433" s="141"/>
      <c r="E1433" s="141"/>
      <c r="F1433" s="141"/>
      <c r="G1433" s="141"/>
      <c r="H1433" s="141"/>
      <c r="I1433" s="141"/>
      <c r="J1433" s="141"/>
      <c r="K1433" s="141"/>
      <c r="L1433" s="141"/>
      <c r="M1433" s="141"/>
      <c r="N1433" s="141"/>
      <c r="O1433" s="141"/>
      <c r="P1433" s="141"/>
      <c r="Q1433" s="141"/>
      <c r="R1433" s="141"/>
      <c r="S1433" s="141"/>
      <c r="T1433" s="141"/>
      <c r="U1433" s="141"/>
      <c r="V1433" s="141"/>
      <c r="W1433" s="141"/>
      <c r="X1433" s="141"/>
      <c r="Y1433" s="141"/>
      <c r="Z1433" s="141"/>
    </row>
    <row r="1434">
      <c r="A1434" s="141"/>
      <c r="B1434" s="141"/>
      <c r="C1434" s="141"/>
      <c r="D1434" s="141"/>
      <c r="E1434" s="141"/>
      <c r="F1434" s="141"/>
      <c r="G1434" s="141"/>
      <c r="H1434" s="141"/>
      <c r="I1434" s="141"/>
      <c r="J1434" s="141"/>
      <c r="K1434" s="141"/>
      <c r="L1434" s="141"/>
      <c r="M1434" s="141"/>
      <c r="N1434" s="141"/>
      <c r="O1434" s="141"/>
      <c r="P1434" s="141"/>
      <c r="Q1434" s="141"/>
      <c r="R1434" s="141"/>
      <c r="S1434" s="141"/>
      <c r="T1434" s="141"/>
      <c r="U1434" s="141"/>
      <c r="V1434" s="141"/>
      <c r="W1434" s="141"/>
      <c r="X1434" s="141"/>
      <c r="Y1434" s="141"/>
      <c r="Z1434" s="141"/>
    </row>
    <row r="1435">
      <c r="A1435" s="141"/>
      <c r="B1435" s="141"/>
      <c r="C1435" s="141"/>
      <c r="D1435" s="141"/>
      <c r="E1435" s="141"/>
      <c r="F1435" s="141"/>
      <c r="G1435" s="141"/>
      <c r="H1435" s="141"/>
      <c r="I1435" s="141"/>
      <c r="J1435" s="141"/>
      <c r="K1435" s="141"/>
      <c r="L1435" s="141"/>
      <c r="M1435" s="141"/>
      <c r="N1435" s="141"/>
      <c r="O1435" s="141"/>
      <c r="P1435" s="141"/>
      <c r="Q1435" s="141"/>
      <c r="R1435" s="141"/>
      <c r="S1435" s="141"/>
      <c r="T1435" s="141"/>
      <c r="U1435" s="141"/>
      <c r="V1435" s="141"/>
      <c r="W1435" s="141"/>
      <c r="X1435" s="141"/>
      <c r="Y1435" s="141"/>
      <c r="Z1435" s="141"/>
    </row>
    <row r="1436">
      <c r="A1436" s="141"/>
      <c r="B1436" s="141"/>
      <c r="C1436" s="141"/>
      <c r="D1436" s="141"/>
      <c r="E1436" s="141"/>
      <c r="F1436" s="141"/>
      <c r="G1436" s="141"/>
      <c r="H1436" s="141"/>
      <c r="I1436" s="141"/>
      <c r="J1436" s="141"/>
      <c r="K1436" s="141"/>
      <c r="L1436" s="141"/>
      <c r="M1436" s="141"/>
      <c r="N1436" s="141"/>
      <c r="O1436" s="141"/>
      <c r="P1436" s="141"/>
      <c r="Q1436" s="141"/>
      <c r="R1436" s="141"/>
      <c r="S1436" s="141"/>
      <c r="T1436" s="141"/>
      <c r="U1436" s="141"/>
      <c r="V1436" s="141"/>
      <c r="W1436" s="141"/>
      <c r="X1436" s="141"/>
      <c r="Y1436" s="141"/>
      <c r="Z1436" s="141"/>
    </row>
    <row r="1437">
      <c r="A1437" s="141"/>
      <c r="B1437" s="141"/>
      <c r="C1437" s="141"/>
      <c r="D1437" s="141"/>
      <c r="E1437" s="141"/>
      <c r="F1437" s="141"/>
      <c r="G1437" s="141"/>
      <c r="H1437" s="141"/>
      <c r="I1437" s="141"/>
      <c r="J1437" s="141"/>
      <c r="K1437" s="141"/>
      <c r="L1437" s="141"/>
      <c r="M1437" s="141"/>
      <c r="N1437" s="141"/>
      <c r="O1437" s="141"/>
      <c r="P1437" s="141"/>
      <c r="Q1437" s="141"/>
      <c r="R1437" s="141"/>
      <c r="S1437" s="141"/>
      <c r="T1437" s="141"/>
      <c r="U1437" s="141"/>
      <c r="V1437" s="141"/>
      <c r="W1437" s="141"/>
      <c r="X1437" s="141"/>
      <c r="Y1437" s="141"/>
      <c r="Z1437" s="141"/>
    </row>
    <row r="1438">
      <c r="A1438" s="141"/>
      <c r="B1438" s="141"/>
      <c r="C1438" s="141"/>
      <c r="D1438" s="141"/>
      <c r="E1438" s="141"/>
      <c r="F1438" s="141"/>
      <c r="G1438" s="141"/>
      <c r="H1438" s="141"/>
      <c r="I1438" s="141"/>
      <c r="J1438" s="141"/>
      <c r="K1438" s="141"/>
      <c r="L1438" s="141"/>
      <c r="M1438" s="141"/>
      <c r="N1438" s="141"/>
      <c r="O1438" s="141"/>
      <c r="P1438" s="141"/>
      <c r="Q1438" s="141"/>
      <c r="R1438" s="141"/>
      <c r="S1438" s="141"/>
      <c r="T1438" s="141"/>
      <c r="U1438" s="141"/>
      <c r="V1438" s="141"/>
      <c r="W1438" s="141"/>
      <c r="X1438" s="141"/>
      <c r="Y1438" s="141"/>
      <c r="Z1438" s="141"/>
    </row>
    <row r="1439">
      <c r="A1439" s="141"/>
      <c r="B1439" s="141"/>
      <c r="C1439" s="141"/>
      <c r="D1439" s="141"/>
      <c r="E1439" s="141"/>
      <c r="F1439" s="141"/>
      <c r="G1439" s="141"/>
      <c r="H1439" s="141"/>
      <c r="I1439" s="141"/>
      <c r="J1439" s="141"/>
      <c r="K1439" s="141"/>
      <c r="L1439" s="141"/>
      <c r="M1439" s="141"/>
      <c r="N1439" s="141"/>
      <c r="O1439" s="141"/>
      <c r="P1439" s="141"/>
      <c r="Q1439" s="141"/>
      <c r="R1439" s="141"/>
      <c r="S1439" s="141"/>
      <c r="T1439" s="141"/>
      <c r="U1439" s="141"/>
      <c r="V1439" s="141"/>
      <c r="W1439" s="141"/>
      <c r="X1439" s="141"/>
      <c r="Y1439" s="141"/>
      <c r="Z1439" s="141"/>
    </row>
    <row r="1440">
      <c r="A1440" s="141"/>
      <c r="B1440" s="141"/>
      <c r="C1440" s="141"/>
      <c r="D1440" s="141"/>
      <c r="E1440" s="141"/>
      <c r="F1440" s="141"/>
      <c r="G1440" s="141"/>
      <c r="H1440" s="141"/>
      <c r="I1440" s="141"/>
      <c r="J1440" s="141"/>
      <c r="K1440" s="141"/>
      <c r="L1440" s="141"/>
      <c r="M1440" s="141"/>
      <c r="N1440" s="141"/>
      <c r="O1440" s="141"/>
      <c r="P1440" s="141"/>
      <c r="Q1440" s="141"/>
      <c r="R1440" s="141"/>
      <c r="S1440" s="141"/>
      <c r="T1440" s="141"/>
      <c r="U1440" s="141"/>
      <c r="V1440" s="141"/>
      <c r="W1440" s="141"/>
      <c r="X1440" s="141"/>
      <c r="Y1440" s="141"/>
      <c r="Z1440" s="141"/>
    </row>
    <row r="1441">
      <c r="A1441" s="141"/>
      <c r="B1441" s="141"/>
      <c r="C1441" s="141"/>
      <c r="D1441" s="141"/>
      <c r="E1441" s="141"/>
      <c r="F1441" s="141"/>
      <c r="G1441" s="141"/>
      <c r="H1441" s="141"/>
      <c r="I1441" s="141"/>
      <c r="J1441" s="141"/>
      <c r="K1441" s="141"/>
      <c r="L1441" s="141"/>
      <c r="M1441" s="141"/>
      <c r="N1441" s="141"/>
      <c r="O1441" s="141"/>
      <c r="P1441" s="141"/>
      <c r="Q1441" s="141"/>
      <c r="R1441" s="141"/>
      <c r="S1441" s="141"/>
      <c r="T1441" s="141"/>
      <c r="U1441" s="141"/>
      <c r="V1441" s="141"/>
      <c r="W1441" s="141"/>
      <c r="X1441" s="141"/>
      <c r="Y1441" s="141"/>
      <c r="Z1441" s="141"/>
    </row>
    <row r="1442">
      <c r="A1442" s="141"/>
      <c r="B1442" s="141"/>
      <c r="C1442" s="141"/>
      <c r="D1442" s="141"/>
      <c r="E1442" s="141"/>
      <c r="F1442" s="141"/>
      <c r="G1442" s="141"/>
      <c r="H1442" s="141"/>
      <c r="I1442" s="141"/>
      <c r="J1442" s="141"/>
      <c r="K1442" s="141"/>
      <c r="L1442" s="141"/>
      <c r="M1442" s="141"/>
      <c r="N1442" s="141"/>
      <c r="O1442" s="141"/>
      <c r="P1442" s="141"/>
      <c r="Q1442" s="141"/>
      <c r="R1442" s="141"/>
      <c r="S1442" s="141"/>
      <c r="T1442" s="141"/>
      <c r="U1442" s="141"/>
      <c r="V1442" s="141"/>
      <c r="W1442" s="141"/>
      <c r="X1442" s="141"/>
      <c r="Y1442" s="141"/>
      <c r="Z1442" s="141"/>
    </row>
    <row r="1443">
      <c r="A1443" s="141"/>
      <c r="B1443" s="141"/>
      <c r="C1443" s="141"/>
      <c r="D1443" s="141"/>
      <c r="E1443" s="141"/>
      <c r="F1443" s="141"/>
      <c r="G1443" s="141"/>
      <c r="H1443" s="141"/>
      <c r="I1443" s="141"/>
      <c r="J1443" s="141"/>
      <c r="K1443" s="141"/>
      <c r="L1443" s="141"/>
      <c r="M1443" s="141"/>
      <c r="N1443" s="141"/>
      <c r="O1443" s="141"/>
      <c r="P1443" s="141"/>
      <c r="Q1443" s="141"/>
      <c r="R1443" s="141"/>
      <c r="S1443" s="141"/>
      <c r="T1443" s="141"/>
      <c r="U1443" s="141"/>
      <c r="V1443" s="141"/>
      <c r="W1443" s="141"/>
      <c r="X1443" s="141"/>
      <c r="Y1443" s="141"/>
      <c r="Z1443" s="141"/>
    </row>
    <row r="1444">
      <c r="A1444" s="141"/>
      <c r="B1444" s="141"/>
      <c r="C1444" s="141"/>
      <c r="D1444" s="141"/>
      <c r="E1444" s="141"/>
      <c r="F1444" s="141"/>
      <c r="G1444" s="141"/>
      <c r="H1444" s="141"/>
      <c r="I1444" s="141"/>
      <c r="J1444" s="141"/>
      <c r="K1444" s="141"/>
      <c r="L1444" s="141"/>
      <c r="M1444" s="141"/>
      <c r="N1444" s="141"/>
      <c r="O1444" s="141"/>
      <c r="P1444" s="141"/>
      <c r="Q1444" s="141"/>
      <c r="R1444" s="141"/>
      <c r="S1444" s="141"/>
      <c r="T1444" s="141"/>
      <c r="U1444" s="141"/>
      <c r="V1444" s="141"/>
      <c r="W1444" s="141"/>
      <c r="X1444" s="141"/>
      <c r="Y1444" s="141"/>
      <c r="Z1444" s="141"/>
    </row>
    <row r="1445">
      <c r="A1445" s="141"/>
      <c r="B1445" s="141"/>
      <c r="C1445" s="141"/>
      <c r="D1445" s="141"/>
      <c r="E1445" s="141"/>
      <c r="F1445" s="141"/>
      <c r="G1445" s="141"/>
      <c r="H1445" s="141"/>
      <c r="I1445" s="141"/>
      <c r="J1445" s="141"/>
      <c r="K1445" s="141"/>
      <c r="L1445" s="141"/>
      <c r="M1445" s="141"/>
      <c r="N1445" s="141"/>
      <c r="O1445" s="141"/>
      <c r="P1445" s="141"/>
      <c r="Q1445" s="141"/>
      <c r="R1445" s="141"/>
      <c r="S1445" s="141"/>
      <c r="T1445" s="141"/>
      <c r="U1445" s="141"/>
      <c r="V1445" s="141"/>
      <c r="W1445" s="141"/>
      <c r="X1445" s="141"/>
      <c r="Y1445" s="141"/>
      <c r="Z1445" s="141"/>
    </row>
    <row r="1446">
      <c r="A1446" s="141"/>
      <c r="B1446" s="141"/>
      <c r="C1446" s="141"/>
      <c r="D1446" s="141"/>
      <c r="E1446" s="141"/>
      <c r="F1446" s="141"/>
      <c r="G1446" s="141"/>
      <c r="H1446" s="141"/>
      <c r="I1446" s="141"/>
      <c r="J1446" s="141"/>
      <c r="K1446" s="141"/>
      <c r="L1446" s="141"/>
      <c r="M1446" s="141"/>
      <c r="N1446" s="141"/>
      <c r="O1446" s="141"/>
      <c r="P1446" s="141"/>
      <c r="Q1446" s="141"/>
      <c r="R1446" s="141"/>
      <c r="S1446" s="141"/>
      <c r="T1446" s="141"/>
      <c r="U1446" s="141"/>
      <c r="V1446" s="141"/>
      <c r="W1446" s="141"/>
      <c r="X1446" s="141"/>
      <c r="Y1446" s="141"/>
      <c r="Z1446" s="141"/>
    </row>
    <row r="1447">
      <c r="A1447" s="141"/>
      <c r="B1447" s="141"/>
      <c r="C1447" s="141"/>
      <c r="D1447" s="141"/>
      <c r="E1447" s="141"/>
      <c r="F1447" s="141"/>
      <c r="G1447" s="141"/>
      <c r="H1447" s="141"/>
      <c r="I1447" s="141"/>
      <c r="J1447" s="141"/>
      <c r="K1447" s="141"/>
      <c r="L1447" s="141"/>
      <c r="M1447" s="141"/>
      <c r="N1447" s="141"/>
      <c r="O1447" s="141"/>
      <c r="P1447" s="141"/>
      <c r="Q1447" s="141"/>
      <c r="R1447" s="141"/>
      <c r="S1447" s="141"/>
      <c r="T1447" s="141"/>
      <c r="U1447" s="141"/>
      <c r="V1447" s="141"/>
      <c r="W1447" s="141"/>
      <c r="X1447" s="141"/>
      <c r="Y1447" s="141"/>
      <c r="Z1447" s="141"/>
    </row>
    <row r="1448">
      <c r="A1448" s="141"/>
      <c r="B1448" s="141"/>
      <c r="C1448" s="141"/>
      <c r="D1448" s="141"/>
      <c r="E1448" s="141"/>
      <c r="F1448" s="141"/>
      <c r="G1448" s="141"/>
      <c r="H1448" s="141"/>
      <c r="I1448" s="141"/>
      <c r="J1448" s="141"/>
      <c r="K1448" s="141"/>
      <c r="L1448" s="141"/>
      <c r="M1448" s="141"/>
      <c r="N1448" s="141"/>
      <c r="O1448" s="141"/>
      <c r="P1448" s="141"/>
      <c r="Q1448" s="141"/>
      <c r="R1448" s="141"/>
      <c r="S1448" s="141"/>
      <c r="T1448" s="141"/>
      <c r="U1448" s="141"/>
      <c r="V1448" s="141"/>
      <c r="W1448" s="141"/>
      <c r="X1448" s="141"/>
      <c r="Y1448" s="141"/>
      <c r="Z1448" s="141"/>
    </row>
    <row r="1449">
      <c r="A1449" s="141"/>
      <c r="B1449" s="141"/>
      <c r="C1449" s="141"/>
      <c r="D1449" s="141"/>
      <c r="E1449" s="141"/>
      <c r="F1449" s="141"/>
      <c r="G1449" s="141"/>
      <c r="H1449" s="141"/>
      <c r="I1449" s="141"/>
      <c r="J1449" s="141"/>
      <c r="K1449" s="141"/>
      <c r="L1449" s="141"/>
      <c r="M1449" s="141"/>
      <c r="N1449" s="141"/>
      <c r="O1449" s="141"/>
      <c r="P1449" s="141"/>
      <c r="Q1449" s="141"/>
      <c r="R1449" s="141"/>
      <c r="S1449" s="141"/>
      <c r="T1449" s="141"/>
      <c r="U1449" s="141"/>
      <c r="V1449" s="141"/>
      <c r="W1449" s="141"/>
      <c r="X1449" s="141"/>
      <c r="Y1449" s="141"/>
      <c r="Z1449" s="141"/>
    </row>
    <row r="1450">
      <c r="A1450" s="141"/>
      <c r="B1450" s="141"/>
      <c r="C1450" s="141"/>
      <c r="D1450" s="141"/>
      <c r="E1450" s="141"/>
      <c r="F1450" s="141"/>
      <c r="G1450" s="141"/>
      <c r="H1450" s="141"/>
      <c r="I1450" s="141"/>
      <c r="J1450" s="141"/>
      <c r="K1450" s="141"/>
      <c r="L1450" s="141"/>
      <c r="M1450" s="141"/>
      <c r="N1450" s="141"/>
      <c r="O1450" s="141"/>
      <c r="P1450" s="141"/>
      <c r="Q1450" s="141"/>
      <c r="R1450" s="141"/>
      <c r="S1450" s="141"/>
      <c r="T1450" s="141"/>
      <c r="U1450" s="141"/>
      <c r="V1450" s="141"/>
      <c r="W1450" s="141"/>
      <c r="X1450" s="141"/>
      <c r="Y1450" s="141"/>
      <c r="Z1450" s="141"/>
    </row>
    <row r="1451">
      <c r="A1451" s="141"/>
      <c r="B1451" s="141"/>
      <c r="C1451" s="141"/>
      <c r="D1451" s="141"/>
      <c r="E1451" s="141"/>
      <c r="F1451" s="141"/>
      <c r="G1451" s="141"/>
      <c r="H1451" s="141"/>
      <c r="I1451" s="141"/>
      <c r="J1451" s="141"/>
      <c r="K1451" s="141"/>
      <c r="L1451" s="141"/>
      <c r="M1451" s="141"/>
      <c r="N1451" s="141"/>
      <c r="O1451" s="141"/>
      <c r="P1451" s="141"/>
      <c r="Q1451" s="141"/>
      <c r="R1451" s="141"/>
      <c r="S1451" s="141"/>
      <c r="T1451" s="141"/>
      <c r="U1451" s="141"/>
      <c r="V1451" s="141"/>
      <c r="W1451" s="141"/>
      <c r="X1451" s="141"/>
      <c r="Y1451" s="141"/>
      <c r="Z1451" s="141"/>
    </row>
    <row r="1452">
      <c r="A1452" s="141"/>
      <c r="B1452" s="141"/>
      <c r="C1452" s="141"/>
      <c r="D1452" s="141"/>
      <c r="E1452" s="141"/>
      <c r="F1452" s="141"/>
      <c r="G1452" s="141"/>
      <c r="H1452" s="141"/>
      <c r="I1452" s="141"/>
      <c r="J1452" s="141"/>
      <c r="K1452" s="141"/>
      <c r="L1452" s="141"/>
      <c r="M1452" s="141"/>
      <c r="N1452" s="141"/>
      <c r="O1452" s="141"/>
      <c r="P1452" s="141"/>
      <c r="Q1452" s="141"/>
      <c r="R1452" s="141"/>
      <c r="S1452" s="141"/>
      <c r="T1452" s="141"/>
      <c r="U1452" s="141"/>
      <c r="V1452" s="141"/>
      <c r="W1452" s="141"/>
      <c r="X1452" s="141"/>
      <c r="Y1452" s="141"/>
      <c r="Z1452" s="141"/>
    </row>
    <row r="1453">
      <c r="A1453" s="141"/>
      <c r="B1453" s="141"/>
      <c r="C1453" s="141"/>
      <c r="D1453" s="141"/>
      <c r="E1453" s="141"/>
      <c r="F1453" s="141"/>
      <c r="G1453" s="141"/>
      <c r="H1453" s="141"/>
      <c r="I1453" s="141"/>
      <c r="J1453" s="141"/>
      <c r="K1453" s="141"/>
      <c r="L1453" s="141"/>
      <c r="M1453" s="141"/>
      <c r="N1453" s="141"/>
      <c r="O1453" s="141"/>
      <c r="P1453" s="141"/>
      <c r="Q1453" s="141"/>
      <c r="R1453" s="141"/>
      <c r="S1453" s="141"/>
      <c r="T1453" s="141"/>
      <c r="U1453" s="141"/>
      <c r="V1453" s="141"/>
      <c r="W1453" s="141"/>
      <c r="X1453" s="141"/>
      <c r="Y1453" s="141"/>
      <c r="Z1453" s="141"/>
    </row>
    <row r="1454">
      <c r="A1454" s="141"/>
      <c r="B1454" s="141"/>
      <c r="C1454" s="141"/>
      <c r="D1454" s="141"/>
      <c r="E1454" s="141"/>
      <c r="F1454" s="141"/>
      <c r="G1454" s="141"/>
      <c r="H1454" s="141"/>
      <c r="I1454" s="141"/>
      <c r="J1454" s="141"/>
      <c r="K1454" s="141"/>
      <c r="L1454" s="141"/>
      <c r="M1454" s="141"/>
      <c r="N1454" s="141"/>
      <c r="O1454" s="141"/>
      <c r="P1454" s="141"/>
      <c r="Q1454" s="141"/>
      <c r="R1454" s="141"/>
      <c r="S1454" s="141"/>
      <c r="T1454" s="141"/>
      <c r="U1454" s="141"/>
      <c r="V1454" s="141"/>
      <c r="W1454" s="141"/>
      <c r="X1454" s="141"/>
      <c r="Y1454" s="141"/>
      <c r="Z1454" s="141"/>
    </row>
    <row r="1455">
      <c r="A1455" s="141"/>
      <c r="B1455" s="141"/>
      <c r="C1455" s="141"/>
      <c r="D1455" s="141"/>
      <c r="E1455" s="141"/>
      <c r="F1455" s="141"/>
      <c r="G1455" s="141"/>
      <c r="H1455" s="141"/>
      <c r="I1455" s="141"/>
      <c r="J1455" s="141"/>
      <c r="K1455" s="141"/>
      <c r="L1455" s="141"/>
      <c r="M1455" s="141"/>
      <c r="N1455" s="141"/>
      <c r="O1455" s="141"/>
      <c r="P1455" s="141"/>
      <c r="Q1455" s="141"/>
      <c r="R1455" s="141"/>
      <c r="S1455" s="141"/>
      <c r="T1455" s="141"/>
      <c r="U1455" s="141"/>
      <c r="V1455" s="141"/>
      <c r="W1455" s="141"/>
      <c r="X1455" s="141"/>
      <c r="Y1455" s="141"/>
      <c r="Z1455" s="141"/>
    </row>
    <row r="1456">
      <c r="A1456" s="141"/>
      <c r="B1456" s="141"/>
      <c r="C1456" s="141"/>
      <c r="D1456" s="141"/>
      <c r="E1456" s="141"/>
      <c r="F1456" s="141"/>
      <c r="G1456" s="141"/>
      <c r="H1456" s="141"/>
      <c r="I1456" s="141"/>
      <c r="J1456" s="141"/>
      <c r="K1456" s="141"/>
      <c r="L1456" s="141"/>
      <c r="M1456" s="141"/>
      <c r="N1456" s="141"/>
      <c r="O1456" s="141"/>
      <c r="P1456" s="141"/>
      <c r="Q1456" s="141"/>
      <c r="R1456" s="141"/>
      <c r="S1456" s="141"/>
      <c r="T1456" s="141"/>
      <c r="U1456" s="141"/>
      <c r="V1456" s="141"/>
      <c r="W1456" s="141"/>
      <c r="X1456" s="141"/>
      <c r="Y1456" s="141"/>
      <c r="Z1456" s="141"/>
    </row>
    <row r="1457">
      <c r="A1457" s="141"/>
      <c r="B1457" s="141"/>
      <c r="C1457" s="141"/>
      <c r="D1457" s="141"/>
      <c r="E1457" s="141"/>
      <c r="F1457" s="141"/>
      <c r="G1457" s="141"/>
      <c r="H1457" s="141"/>
      <c r="I1457" s="141"/>
      <c r="J1457" s="141"/>
      <c r="K1457" s="141"/>
      <c r="L1457" s="141"/>
      <c r="M1457" s="141"/>
      <c r="N1457" s="141"/>
      <c r="O1457" s="141"/>
      <c r="P1457" s="141"/>
      <c r="Q1457" s="141"/>
      <c r="R1457" s="141"/>
      <c r="S1457" s="141"/>
      <c r="T1457" s="141"/>
      <c r="U1457" s="141"/>
      <c r="V1457" s="141"/>
      <c r="W1457" s="141"/>
      <c r="X1457" s="141"/>
      <c r="Y1457" s="141"/>
      <c r="Z1457" s="141"/>
    </row>
    <row r="1458">
      <c r="A1458" s="141"/>
      <c r="B1458" s="141"/>
      <c r="C1458" s="141"/>
      <c r="D1458" s="141"/>
      <c r="E1458" s="141"/>
      <c r="F1458" s="141"/>
      <c r="G1458" s="141"/>
      <c r="H1458" s="141"/>
      <c r="I1458" s="141"/>
      <c r="J1458" s="141"/>
      <c r="K1458" s="141"/>
      <c r="L1458" s="141"/>
      <c r="M1458" s="141"/>
      <c r="N1458" s="141"/>
      <c r="O1458" s="141"/>
      <c r="P1458" s="141"/>
      <c r="Q1458" s="141"/>
      <c r="R1458" s="141"/>
      <c r="S1458" s="141"/>
      <c r="T1458" s="141"/>
      <c r="U1458" s="141"/>
      <c r="V1458" s="141"/>
      <c r="W1458" s="141"/>
      <c r="X1458" s="141"/>
      <c r="Y1458" s="141"/>
      <c r="Z1458" s="141"/>
    </row>
    <row r="1459">
      <c r="A1459" s="141"/>
      <c r="B1459" s="141"/>
      <c r="C1459" s="141"/>
      <c r="D1459" s="141"/>
      <c r="E1459" s="141"/>
      <c r="F1459" s="141"/>
      <c r="G1459" s="141"/>
      <c r="H1459" s="141"/>
      <c r="I1459" s="141"/>
      <c r="J1459" s="141"/>
      <c r="K1459" s="141"/>
      <c r="L1459" s="141"/>
      <c r="M1459" s="141"/>
      <c r="N1459" s="141"/>
      <c r="O1459" s="141"/>
      <c r="P1459" s="141"/>
      <c r="Q1459" s="141"/>
      <c r="R1459" s="141"/>
      <c r="S1459" s="141"/>
      <c r="T1459" s="141"/>
      <c r="U1459" s="141"/>
      <c r="V1459" s="141"/>
      <c r="W1459" s="141"/>
      <c r="X1459" s="141"/>
      <c r="Y1459" s="141"/>
      <c r="Z1459" s="141"/>
    </row>
    <row r="1460">
      <c r="A1460" s="141"/>
      <c r="B1460" s="141"/>
      <c r="C1460" s="141"/>
      <c r="D1460" s="141"/>
      <c r="E1460" s="141"/>
      <c r="F1460" s="141"/>
      <c r="G1460" s="141"/>
      <c r="H1460" s="141"/>
      <c r="I1460" s="141"/>
      <c r="J1460" s="141"/>
      <c r="K1460" s="141"/>
      <c r="L1460" s="141"/>
      <c r="M1460" s="141"/>
      <c r="N1460" s="141"/>
      <c r="O1460" s="141"/>
      <c r="P1460" s="141"/>
      <c r="Q1460" s="141"/>
      <c r="R1460" s="141"/>
      <c r="S1460" s="141"/>
      <c r="T1460" s="141"/>
      <c r="U1460" s="141"/>
      <c r="V1460" s="141"/>
      <c r="W1460" s="141"/>
      <c r="X1460" s="141"/>
      <c r="Y1460" s="141"/>
      <c r="Z1460" s="141"/>
    </row>
    <row r="1461">
      <c r="A1461" s="141"/>
      <c r="B1461" s="141"/>
      <c r="C1461" s="141"/>
      <c r="D1461" s="141"/>
      <c r="E1461" s="141"/>
      <c r="F1461" s="141"/>
      <c r="G1461" s="141"/>
      <c r="H1461" s="141"/>
      <c r="I1461" s="141"/>
      <c r="J1461" s="141"/>
      <c r="K1461" s="141"/>
      <c r="L1461" s="141"/>
      <c r="M1461" s="141"/>
      <c r="N1461" s="141"/>
      <c r="O1461" s="141"/>
      <c r="P1461" s="141"/>
      <c r="Q1461" s="141"/>
      <c r="R1461" s="141"/>
      <c r="S1461" s="141"/>
      <c r="T1461" s="141"/>
      <c r="U1461" s="141"/>
      <c r="V1461" s="141"/>
      <c r="W1461" s="141"/>
      <c r="X1461" s="141"/>
      <c r="Y1461" s="141"/>
      <c r="Z1461" s="141"/>
    </row>
    <row r="1462">
      <c r="A1462" s="141"/>
      <c r="B1462" s="141"/>
      <c r="C1462" s="141"/>
      <c r="D1462" s="141"/>
      <c r="E1462" s="141"/>
      <c r="F1462" s="141"/>
      <c r="G1462" s="141"/>
      <c r="H1462" s="141"/>
      <c r="I1462" s="141"/>
      <c r="J1462" s="141"/>
      <c r="K1462" s="141"/>
      <c r="L1462" s="141"/>
      <c r="M1462" s="141"/>
      <c r="N1462" s="141"/>
      <c r="O1462" s="141"/>
      <c r="P1462" s="141"/>
      <c r="Q1462" s="141"/>
      <c r="R1462" s="141"/>
      <c r="S1462" s="141"/>
      <c r="T1462" s="141"/>
      <c r="U1462" s="141"/>
      <c r="V1462" s="141"/>
      <c r="W1462" s="141"/>
      <c r="X1462" s="141"/>
      <c r="Y1462" s="141"/>
      <c r="Z1462" s="141"/>
    </row>
    <row r="1463">
      <c r="A1463" s="141"/>
      <c r="B1463" s="141"/>
      <c r="C1463" s="141"/>
      <c r="D1463" s="141"/>
      <c r="E1463" s="141"/>
      <c r="F1463" s="141"/>
      <c r="G1463" s="141"/>
      <c r="H1463" s="141"/>
      <c r="I1463" s="141"/>
      <c r="J1463" s="141"/>
      <c r="K1463" s="141"/>
      <c r="L1463" s="141"/>
      <c r="M1463" s="141"/>
      <c r="N1463" s="141"/>
      <c r="O1463" s="141"/>
      <c r="P1463" s="141"/>
      <c r="Q1463" s="141"/>
      <c r="R1463" s="141"/>
      <c r="S1463" s="141"/>
      <c r="T1463" s="141"/>
      <c r="U1463" s="141"/>
      <c r="V1463" s="141"/>
      <c r="W1463" s="141"/>
      <c r="X1463" s="141"/>
      <c r="Y1463" s="141"/>
      <c r="Z1463" s="141"/>
    </row>
    <row r="1464">
      <c r="A1464" s="141"/>
      <c r="B1464" s="141"/>
      <c r="C1464" s="141"/>
      <c r="D1464" s="141"/>
      <c r="E1464" s="141"/>
      <c r="F1464" s="141"/>
      <c r="G1464" s="141"/>
      <c r="H1464" s="141"/>
      <c r="I1464" s="141"/>
      <c r="J1464" s="141"/>
      <c r="K1464" s="141"/>
      <c r="L1464" s="141"/>
      <c r="M1464" s="141"/>
      <c r="N1464" s="141"/>
      <c r="O1464" s="141"/>
      <c r="P1464" s="141"/>
      <c r="Q1464" s="141"/>
      <c r="R1464" s="141"/>
      <c r="S1464" s="141"/>
      <c r="T1464" s="141"/>
      <c r="U1464" s="141"/>
      <c r="V1464" s="141"/>
      <c r="W1464" s="141"/>
      <c r="X1464" s="141"/>
      <c r="Y1464" s="141"/>
      <c r="Z1464" s="141"/>
    </row>
    <row r="1465">
      <c r="A1465" s="141"/>
      <c r="B1465" s="141"/>
      <c r="C1465" s="141"/>
      <c r="D1465" s="141"/>
      <c r="E1465" s="141"/>
      <c r="F1465" s="141"/>
      <c r="G1465" s="141"/>
      <c r="H1465" s="141"/>
      <c r="I1465" s="141"/>
      <c r="J1465" s="141"/>
      <c r="K1465" s="141"/>
      <c r="L1465" s="141"/>
      <c r="M1465" s="141"/>
      <c r="N1465" s="141"/>
      <c r="O1465" s="141"/>
      <c r="P1465" s="141"/>
      <c r="Q1465" s="141"/>
      <c r="R1465" s="141"/>
      <c r="S1465" s="141"/>
      <c r="T1465" s="141"/>
      <c r="U1465" s="141"/>
      <c r="V1465" s="141"/>
      <c r="W1465" s="141"/>
      <c r="X1465" s="141"/>
      <c r="Y1465" s="141"/>
      <c r="Z1465" s="141"/>
    </row>
    <row r="1466">
      <c r="A1466" s="141"/>
      <c r="B1466" s="141"/>
      <c r="C1466" s="141"/>
      <c r="D1466" s="141"/>
      <c r="E1466" s="141"/>
      <c r="F1466" s="141"/>
      <c r="G1466" s="141"/>
      <c r="H1466" s="141"/>
      <c r="I1466" s="141"/>
      <c r="J1466" s="141"/>
      <c r="K1466" s="141"/>
      <c r="L1466" s="141"/>
      <c r="M1466" s="141"/>
      <c r="N1466" s="141"/>
      <c r="O1466" s="141"/>
      <c r="P1466" s="141"/>
      <c r="Q1466" s="141"/>
      <c r="R1466" s="141"/>
      <c r="S1466" s="141"/>
      <c r="T1466" s="141"/>
      <c r="U1466" s="141"/>
      <c r="V1466" s="141"/>
      <c r="W1466" s="141"/>
      <c r="X1466" s="141"/>
      <c r="Y1466" s="141"/>
      <c r="Z1466" s="141"/>
    </row>
    <row r="1467">
      <c r="A1467" s="141"/>
      <c r="B1467" s="141"/>
      <c r="C1467" s="141"/>
      <c r="D1467" s="141"/>
      <c r="E1467" s="141"/>
      <c r="F1467" s="141"/>
      <c r="G1467" s="141"/>
      <c r="H1467" s="141"/>
      <c r="I1467" s="141"/>
      <c r="J1467" s="141"/>
      <c r="K1467" s="141"/>
      <c r="L1467" s="141"/>
      <c r="M1467" s="141"/>
      <c r="N1467" s="141"/>
      <c r="O1467" s="141"/>
      <c r="P1467" s="141"/>
      <c r="Q1467" s="141"/>
      <c r="R1467" s="141"/>
      <c r="S1467" s="141"/>
      <c r="T1467" s="141"/>
      <c r="U1467" s="141"/>
      <c r="V1467" s="141"/>
      <c r="W1467" s="141"/>
      <c r="X1467" s="141"/>
      <c r="Y1467" s="141"/>
      <c r="Z1467" s="141"/>
    </row>
    <row r="1468">
      <c r="A1468" s="141"/>
      <c r="B1468" s="141"/>
      <c r="C1468" s="141"/>
      <c r="D1468" s="141"/>
      <c r="E1468" s="141"/>
      <c r="F1468" s="141"/>
      <c r="G1468" s="141"/>
      <c r="H1468" s="141"/>
      <c r="I1468" s="141"/>
      <c r="J1468" s="141"/>
      <c r="K1468" s="141"/>
      <c r="L1468" s="141"/>
      <c r="M1468" s="141"/>
      <c r="N1468" s="141"/>
      <c r="O1468" s="141"/>
      <c r="P1468" s="141"/>
      <c r="Q1468" s="141"/>
      <c r="R1468" s="141"/>
      <c r="S1468" s="141"/>
      <c r="T1468" s="141"/>
      <c r="U1468" s="141"/>
      <c r="V1468" s="141"/>
      <c r="W1468" s="141"/>
      <c r="X1468" s="141"/>
      <c r="Y1468" s="141"/>
      <c r="Z1468" s="141"/>
    </row>
    <row r="1469">
      <c r="A1469" s="141"/>
      <c r="B1469" s="141"/>
      <c r="C1469" s="141"/>
      <c r="D1469" s="141"/>
      <c r="E1469" s="141"/>
      <c r="F1469" s="141"/>
      <c r="G1469" s="141"/>
      <c r="H1469" s="141"/>
      <c r="I1469" s="141"/>
      <c r="J1469" s="141"/>
      <c r="K1469" s="141"/>
      <c r="L1469" s="141"/>
      <c r="M1469" s="141"/>
      <c r="N1469" s="141"/>
      <c r="O1469" s="141"/>
      <c r="P1469" s="141"/>
      <c r="Q1469" s="141"/>
      <c r="R1469" s="141"/>
      <c r="S1469" s="141"/>
      <c r="T1469" s="141"/>
      <c r="U1469" s="141"/>
      <c r="V1469" s="141"/>
      <c r="W1469" s="141"/>
      <c r="X1469" s="141"/>
      <c r="Y1469" s="141"/>
      <c r="Z1469" s="141"/>
    </row>
    <row r="1470">
      <c r="A1470" s="141"/>
      <c r="B1470" s="141"/>
      <c r="C1470" s="141"/>
      <c r="D1470" s="141"/>
      <c r="E1470" s="141"/>
      <c r="F1470" s="141"/>
      <c r="G1470" s="141"/>
      <c r="H1470" s="141"/>
      <c r="I1470" s="141"/>
      <c r="J1470" s="141"/>
      <c r="K1470" s="141"/>
      <c r="L1470" s="141"/>
      <c r="M1470" s="141"/>
      <c r="N1470" s="141"/>
      <c r="O1470" s="141"/>
      <c r="P1470" s="141"/>
      <c r="Q1470" s="141"/>
      <c r="R1470" s="141"/>
      <c r="S1470" s="141"/>
      <c r="T1470" s="141"/>
      <c r="U1470" s="141"/>
      <c r="V1470" s="141"/>
      <c r="W1470" s="141"/>
      <c r="X1470" s="141"/>
      <c r="Y1470" s="141"/>
      <c r="Z1470" s="141"/>
    </row>
    <row r="1471">
      <c r="A1471" s="141"/>
      <c r="B1471" s="141"/>
      <c r="C1471" s="141"/>
      <c r="D1471" s="141"/>
      <c r="E1471" s="141"/>
      <c r="F1471" s="141"/>
      <c r="G1471" s="141"/>
      <c r="H1471" s="141"/>
      <c r="I1471" s="141"/>
      <c r="J1471" s="141"/>
      <c r="K1471" s="141"/>
      <c r="L1471" s="141"/>
      <c r="M1471" s="141"/>
      <c r="N1471" s="141"/>
      <c r="O1471" s="141"/>
      <c r="P1471" s="141"/>
      <c r="Q1471" s="141"/>
      <c r="R1471" s="141"/>
      <c r="S1471" s="141"/>
      <c r="T1471" s="141"/>
      <c r="U1471" s="141"/>
      <c r="V1471" s="141"/>
      <c r="W1471" s="141"/>
      <c r="X1471" s="141"/>
      <c r="Y1471" s="141"/>
      <c r="Z1471" s="141"/>
    </row>
    <row r="1472">
      <c r="A1472" s="141"/>
      <c r="B1472" s="141"/>
      <c r="C1472" s="141"/>
      <c r="D1472" s="141"/>
      <c r="E1472" s="141"/>
      <c r="F1472" s="141"/>
      <c r="G1472" s="141"/>
      <c r="H1472" s="141"/>
      <c r="I1472" s="141"/>
      <c r="J1472" s="141"/>
      <c r="K1472" s="141"/>
      <c r="L1472" s="141"/>
      <c r="M1472" s="141"/>
      <c r="N1472" s="141"/>
      <c r="O1472" s="141"/>
      <c r="P1472" s="141"/>
      <c r="Q1472" s="141"/>
      <c r="R1472" s="141"/>
      <c r="S1472" s="141"/>
      <c r="T1472" s="141"/>
      <c r="U1472" s="141"/>
      <c r="V1472" s="141"/>
      <c r="W1472" s="141"/>
      <c r="X1472" s="141"/>
      <c r="Y1472" s="141"/>
      <c r="Z1472" s="141"/>
    </row>
    <row r="1473">
      <c r="A1473" s="141"/>
      <c r="B1473" s="141"/>
      <c r="C1473" s="141"/>
      <c r="D1473" s="141"/>
      <c r="E1473" s="141"/>
      <c r="F1473" s="141"/>
      <c r="G1473" s="141"/>
      <c r="H1473" s="141"/>
      <c r="I1473" s="141"/>
      <c r="J1473" s="141"/>
      <c r="K1473" s="141"/>
      <c r="L1473" s="141"/>
      <c r="M1473" s="141"/>
      <c r="N1473" s="141"/>
      <c r="O1473" s="141"/>
      <c r="P1473" s="141"/>
      <c r="Q1473" s="141"/>
      <c r="R1473" s="141"/>
      <c r="S1473" s="141"/>
      <c r="T1473" s="141"/>
      <c r="U1473" s="141"/>
      <c r="V1473" s="141"/>
      <c r="W1473" s="141"/>
      <c r="X1473" s="141"/>
      <c r="Y1473" s="141"/>
      <c r="Z1473" s="141"/>
    </row>
    <row r="1474">
      <c r="A1474" s="141"/>
      <c r="B1474" s="141"/>
      <c r="C1474" s="141"/>
      <c r="D1474" s="141"/>
      <c r="E1474" s="141"/>
      <c r="F1474" s="141"/>
      <c r="G1474" s="141"/>
      <c r="H1474" s="141"/>
      <c r="I1474" s="141"/>
      <c r="J1474" s="141"/>
      <c r="K1474" s="141"/>
      <c r="L1474" s="141"/>
      <c r="M1474" s="141"/>
      <c r="N1474" s="141"/>
      <c r="O1474" s="141"/>
      <c r="P1474" s="141"/>
      <c r="Q1474" s="141"/>
      <c r="R1474" s="141"/>
      <c r="S1474" s="141"/>
      <c r="T1474" s="141"/>
      <c r="U1474" s="141"/>
      <c r="V1474" s="141"/>
      <c r="W1474" s="141"/>
      <c r="X1474" s="141"/>
      <c r="Y1474" s="141"/>
      <c r="Z1474" s="141"/>
    </row>
    <row r="1475">
      <c r="A1475" s="141"/>
      <c r="B1475" s="141"/>
      <c r="C1475" s="141"/>
      <c r="D1475" s="141"/>
      <c r="E1475" s="141"/>
      <c r="F1475" s="141"/>
      <c r="G1475" s="141"/>
      <c r="H1475" s="141"/>
      <c r="I1475" s="141"/>
      <c r="J1475" s="141"/>
      <c r="K1475" s="141"/>
      <c r="L1475" s="141"/>
      <c r="M1475" s="141"/>
      <c r="N1475" s="141"/>
      <c r="O1475" s="141"/>
      <c r="P1475" s="141"/>
      <c r="Q1475" s="141"/>
      <c r="R1475" s="141"/>
      <c r="S1475" s="141"/>
      <c r="T1475" s="141"/>
      <c r="U1475" s="141"/>
      <c r="V1475" s="141"/>
      <c r="W1475" s="141"/>
      <c r="X1475" s="141"/>
      <c r="Y1475" s="141"/>
      <c r="Z1475" s="141"/>
    </row>
    <row r="1476">
      <c r="A1476" s="141"/>
      <c r="B1476" s="141"/>
      <c r="C1476" s="141"/>
      <c r="D1476" s="141"/>
      <c r="E1476" s="141"/>
      <c r="F1476" s="141"/>
      <c r="G1476" s="141"/>
      <c r="H1476" s="141"/>
      <c r="I1476" s="141"/>
      <c r="J1476" s="141"/>
      <c r="K1476" s="141"/>
      <c r="L1476" s="141"/>
      <c r="M1476" s="141"/>
      <c r="N1476" s="141"/>
      <c r="O1476" s="141"/>
      <c r="P1476" s="141"/>
      <c r="Q1476" s="141"/>
      <c r="R1476" s="141"/>
      <c r="S1476" s="141"/>
      <c r="T1476" s="141"/>
      <c r="U1476" s="141"/>
      <c r="V1476" s="141"/>
      <c r="W1476" s="141"/>
      <c r="X1476" s="141"/>
      <c r="Y1476" s="141"/>
      <c r="Z1476" s="141"/>
    </row>
    <row r="1477">
      <c r="A1477" s="141"/>
      <c r="B1477" s="141"/>
      <c r="C1477" s="141"/>
      <c r="D1477" s="141"/>
      <c r="E1477" s="141"/>
      <c r="F1477" s="141"/>
      <c r="G1477" s="141"/>
      <c r="H1477" s="141"/>
      <c r="I1477" s="141"/>
      <c r="J1477" s="141"/>
      <c r="K1477" s="141"/>
      <c r="L1477" s="141"/>
      <c r="M1477" s="141"/>
      <c r="N1477" s="141"/>
      <c r="O1477" s="141"/>
      <c r="P1477" s="141"/>
      <c r="Q1477" s="141"/>
      <c r="R1477" s="141"/>
      <c r="S1477" s="141"/>
      <c r="T1477" s="141"/>
      <c r="U1477" s="141"/>
      <c r="V1477" s="141"/>
      <c r="W1477" s="141"/>
      <c r="X1477" s="141"/>
      <c r="Y1477" s="141"/>
      <c r="Z1477" s="141"/>
    </row>
    <row r="1478">
      <c r="A1478" s="141"/>
      <c r="B1478" s="141"/>
      <c r="C1478" s="141"/>
      <c r="D1478" s="141"/>
      <c r="E1478" s="141"/>
      <c r="F1478" s="141"/>
      <c r="G1478" s="141"/>
      <c r="H1478" s="141"/>
      <c r="I1478" s="141"/>
      <c r="J1478" s="141"/>
      <c r="K1478" s="141"/>
      <c r="L1478" s="141"/>
      <c r="M1478" s="141"/>
      <c r="N1478" s="141"/>
      <c r="O1478" s="141"/>
      <c r="P1478" s="141"/>
      <c r="Q1478" s="141"/>
      <c r="R1478" s="141"/>
      <c r="S1478" s="141"/>
      <c r="T1478" s="141"/>
      <c r="U1478" s="141"/>
      <c r="V1478" s="141"/>
      <c r="W1478" s="141"/>
      <c r="X1478" s="141"/>
      <c r="Y1478" s="141"/>
      <c r="Z1478" s="141"/>
    </row>
    <row r="1479">
      <c r="A1479" s="141"/>
      <c r="B1479" s="141"/>
      <c r="C1479" s="141"/>
      <c r="D1479" s="141"/>
      <c r="E1479" s="141"/>
      <c r="F1479" s="141"/>
      <c r="G1479" s="141"/>
      <c r="H1479" s="141"/>
      <c r="I1479" s="141"/>
      <c r="J1479" s="141"/>
      <c r="K1479" s="141"/>
      <c r="L1479" s="141"/>
      <c r="M1479" s="141"/>
      <c r="N1479" s="141"/>
      <c r="O1479" s="141"/>
      <c r="P1479" s="141"/>
      <c r="Q1479" s="141"/>
      <c r="R1479" s="141"/>
      <c r="S1479" s="141"/>
      <c r="T1479" s="141"/>
      <c r="U1479" s="141"/>
      <c r="V1479" s="141"/>
      <c r="W1479" s="141"/>
      <c r="X1479" s="141"/>
      <c r="Y1479" s="141"/>
      <c r="Z1479" s="141"/>
    </row>
    <row r="1480">
      <c r="A1480" s="141"/>
      <c r="B1480" s="141"/>
      <c r="C1480" s="141"/>
      <c r="D1480" s="141"/>
      <c r="E1480" s="141"/>
      <c r="F1480" s="141"/>
      <c r="G1480" s="141"/>
      <c r="H1480" s="141"/>
      <c r="I1480" s="141"/>
      <c r="J1480" s="141"/>
      <c r="K1480" s="141"/>
      <c r="L1480" s="141"/>
      <c r="M1480" s="141"/>
      <c r="N1480" s="141"/>
      <c r="O1480" s="141"/>
      <c r="P1480" s="141"/>
      <c r="Q1480" s="141"/>
      <c r="R1480" s="141"/>
      <c r="S1480" s="141"/>
      <c r="T1480" s="141"/>
      <c r="U1480" s="141"/>
      <c r="V1480" s="141"/>
      <c r="W1480" s="141"/>
      <c r="X1480" s="141"/>
      <c r="Y1480" s="141"/>
      <c r="Z1480" s="141"/>
    </row>
    <row r="1481">
      <c r="A1481" s="141"/>
      <c r="B1481" s="141"/>
      <c r="C1481" s="141"/>
      <c r="D1481" s="141"/>
      <c r="E1481" s="141"/>
      <c r="F1481" s="141"/>
      <c r="G1481" s="141"/>
      <c r="H1481" s="141"/>
      <c r="I1481" s="141"/>
      <c r="J1481" s="141"/>
      <c r="K1481" s="141"/>
      <c r="L1481" s="141"/>
      <c r="M1481" s="141"/>
      <c r="N1481" s="141"/>
      <c r="O1481" s="141"/>
      <c r="P1481" s="141"/>
      <c r="Q1481" s="141"/>
      <c r="R1481" s="141"/>
      <c r="S1481" s="141"/>
      <c r="T1481" s="141"/>
      <c r="U1481" s="141"/>
      <c r="V1481" s="141"/>
      <c r="W1481" s="141"/>
      <c r="X1481" s="141"/>
      <c r="Y1481" s="141"/>
      <c r="Z1481" s="141"/>
    </row>
    <row r="1482">
      <c r="A1482" s="141"/>
      <c r="B1482" s="141"/>
      <c r="C1482" s="141"/>
      <c r="D1482" s="141"/>
      <c r="E1482" s="141"/>
      <c r="F1482" s="141"/>
      <c r="G1482" s="141"/>
      <c r="H1482" s="141"/>
      <c r="I1482" s="141"/>
      <c r="J1482" s="141"/>
      <c r="K1482" s="141"/>
      <c r="L1482" s="141"/>
      <c r="M1482" s="141"/>
      <c r="N1482" s="141"/>
      <c r="O1482" s="141"/>
      <c r="P1482" s="141"/>
      <c r="Q1482" s="141"/>
      <c r="R1482" s="141"/>
      <c r="S1482" s="141"/>
      <c r="T1482" s="141"/>
      <c r="U1482" s="141"/>
      <c r="V1482" s="141"/>
      <c r="W1482" s="141"/>
      <c r="X1482" s="141"/>
      <c r="Y1482" s="141"/>
      <c r="Z1482" s="141"/>
    </row>
    <row r="1483">
      <c r="A1483" s="141"/>
      <c r="B1483" s="141"/>
      <c r="C1483" s="141"/>
      <c r="D1483" s="141"/>
      <c r="E1483" s="141"/>
      <c r="F1483" s="141"/>
      <c r="G1483" s="141"/>
      <c r="H1483" s="141"/>
      <c r="I1483" s="141"/>
      <c r="J1483" s="141"/>
      <c r="K1483" s="141"/>
      <c r="L1483" s="141"/>
      <c r="M1483" s="141"/>
      <c r="N1483" s="141"/>
      <c r="O1483" s="141"/>
      <c r="P1483" s="141"/>
      <c r="Q1483" s="141"/>
      <c r="R1483" s="141"/>
      <c r="S1483" s="141"/>
      <c r="T1483" s="141"/>
      <c r="U1483" s="141"/>
      <c r="V1483" s="141"/>
      <c r="W1483" s="141"/>
      <c r="X1483" s="141"/>
      <c r="Y1483" s="141"/>
      <c r="Z1483" s="141"/>
    </row>
    <row r="1484">
      <c r="A1484" s="141"/>
      <c r="B1484" s="141"/>
      <c r="C1484" s="141"/>
      <c r="D1484" s="141"/>
      <c r="E1484" s="141"/>
      <c r="F1484" s="141"/>
      <c r="G1484" s="141"/>
      <c r="H1484" s="141"/>
      <c r="I1484" s="141"/>
      <c r="J1484" s="141"/>
      <c r="K1484" s="141"/>
      <c r="L1484" s="141"/>
      <c r="M1484" s="141"/>
      <c r="N1484" s="141"/>
      <c r="O1484" s="141"/>
      <c r="P1484" s="141"/>
      <c r="Q1484" s="141"/>
      <c r="R1484" s="141"/>
      <c r="S1484" s="141"/>
      <c r="T1484" s="141"/>
      <c r="U1484" s="141"/>
      <c r="V1484" s="141"/>
      <c r="W1484" s="141"/>
      <c r="X1484" s="141"/>
      <c r="Y1484" s="141"/>
      <c r="Z1484" s="141"/>
    </row>
    <row r="1485">
      <c r="A1485" s="141"/>
      <c r="B1485" s="141"/>
      <c r="C1485" s="141"/>
      <c r="D1485" s="141"/>
      <c r="E1485" s="141"/>
      <c r="F1485" s="141"/>
      <c r="G1485" s="141"/>
      <c r="H1485" s="141"/>
      <c r="I1485" s="141"/>
      <c r="J1485" s="141"/>
      <c r="K1485" s="141"/>
      <c r="L1485" s="141"/>
      <c r="M1485" s="141"/>
      <c r="N1485" s="141"/>
      <c r="O1485" s="141"/>
      <c r="P1485" s="141"/>
      <c r="Q1485" s="141"/>
      <c r="R1485" s="141"/>
      <c r="S1485" s="141"/>
      <c r="T1485" s="141"/>
      <c r="U1485" s="141"/>
      <c r="V1485" s="141"/>
      <c r="W1485" s="141"/>
      <c r="X1485" s="141"/>
      <c r="Y1485" s="141"/>
      <c r="Z1485" s="141"/>
    </row>
    <row r="1486">
      <c r="A1486" s="141"/>
      <c r="B1486" s="141"/>
      <c r="C1486" s="141"/>
      <c r="D1486" s="141"/>
      <c r="E1486" s="141"/>
      <c r="F1486" s="141"/>
      <c r="G1486" s="141"/>
      <c r="H1486" s="141"/>
      <c r="I1486" s="141"/>
      <c r="J1486" s="141"/>
      <c r="K1486" s="141"/>
      <c r="L1486" s="141"/>
      <c r="M1486" s="141"/>
      <c r="N1486" s="141"/>
      <c r="O1486" s="141"/>
      <c r="P1486" s="141"/>
      <c r="Q1486" s="141"/>
      <c r="R1486" s="141"/>
      <c r="S1486" s="141"/>
      <c r="T1486" s="141"/>
      <c r="U1486" s="141"/>
      <c r="V1486" s="141"/>
      <c r="W1486" s="141"/>
      <c r="X1486" s="141"/>
      <c r="Y1486" s="141"/>
      <c r="Z1486" s="141"/>
    </row>
    <row r="1487">
      <c r="A1487" s="141"/>
      <c r="B1487" s="141"/>
      <c r="C1487" s="141"/>
      <c r="D1487" s="141"/>
      <c r="E1487" s="141"/>
      <c r="F1487" s="141"/>
      <c r="G1487" s="141"/>
      <c r="H1487" s="141"/>
      <c r="I1487" s="141"/>
      <c r="J1487" s="141"/>
      <c r="K1487" s="141"/>
      <c r="L1487" s="141"/>
      <c r="M1487" s="141"/>
      <c r="N1487" s="141"/>
      <c r="O1487" s="141"/>
      <c r="P1487" s="141"/>
      <c r="Q1487" s="141"/>
      <c r="R1487" s="141"/>
      <c r="S1487" s="141"/>
      <c r="T1487" s="141"/>
      <c r="U1487" s="141"/>
      <c r="V1487" s="141"/>
      <c r="W1487" s="141"/>
      <c r="X1487" s="141"/>
      <c r="Y1487" s="141"/>
      <c r="Z1487" s="141"/>
    </row>
    <row r="1488">
      <c r="A1488" s="141"/>
      <c r="B1488" s="141"/>
      <c r="C1488" s="141"/>
      <c r="D1488" s="141"/>
      <c r="E1488" s="141"/>
      <c r="F1488" s="141"/>
      <c r="G1488" s="141"/>
      <c r="H1488" s="141"/>
      <c r="I1488" s="141"/>
      <c r="J1488" s="141"/>
      <c r="K1488" s="141"/>
      <c r="L1488" s="141"/>
      <c r="M1488" s="141"/>
      <c r="N1488" s="141"/>
      <c r="O1488" s="141"/>
      <c r="P1488" s="141"/>
      <c r="Q1488" s="141"/>
      <c r="R1488" s="141"/>
      <c r="S1488" s="141"/>
      <c r="T1488" s="141"/>
      <c r="U1488" s="141"/>
      <c r="V1488" s="141"/>
      <c r="W1488" s="141"/>
      <c r="X1488" s="141"/>
      <c r="Y1488" s="141"/>
      <c r="Z1488" s="141"/>
    </row>
    <row r="1489">
      <c r="A1489" s="141"/>
      <c r="B1489" s="141"/>
      <c r="C1489" s="141"/>
      <c r="D1489" s="141"/>
      <c r="E1489" s="141"/>
      <c r="F1489" s="141"/>
      <c r="G1489" s="141"/>
      <c r="H1489" s="141"/>
      <c r="I1489" s="141"/>
      <c r="J1489" s="141"/>
      <c r="K1489" s="141"/>
      <c r="L1489" s="141"/>
      <c r="M1489" s="141"/>
      <c r="N1489" s="141"/>
      <c r="O1489" s="141"/>
      <c r="P1489" s="141"/>
      <c r="Q1489" s="141"/>
      <c r="R1489" s="141"/>
      <c r="S1489" s="141"/>
      <c r="T1489" s="141"/>
      <c r="U1489" s="141"/>
      <c r="V1489" s="141"/>
      <c r="W1489" s="141"/>
      <c r="X1489" s="141"/>
      <c r="Y1489" s="141"/>
      <c r="Z1489" s="141"/>
    </row>
    <row r="1490">
      <c r="A1490" s="141"/>
      <c r="B1490" s="141"/>
      <c r="C1490" s="141"/>
      <c r="D1490" s="141"/>
      <c r="E1490" s="141"/>
      <c r="F1490" s="141"/>
      <c r="G1490" s="141"/>
      <c r="H1490" s="141"/>
      <c r="I1490" s="141"/>
      <c r="J1490" s="141"/>
      <c r="K1490" s="141"/>
      <c r="L1490" s="141"/>
      <c r="M1490" s="141"/>
      <c r="N1490" s="141"/>
      <c r="O1490" s="141"/>
      <c r="P1490" s="141"/>
      <c r="Q1490" s="141"/>
      <c r="R1490" s="141"/>
      <c r="S1490" s="141"/>
      <c r="T1490" s="141"/>
      <c r="U1490" s="141"/>
      <c r="V1490" s="141"/>
      <c r="W1490" s="141"/>
      <c r="X1490" s="141"/>
      <c r="Y1490" s="141"/>
      <c r="Z1490" s="141"/>
    </row>
    <row r="1491">
      <c r="A1491" s="141"/>
      <c r="B1491" s="141"/>
      <c r="C1491" s="141"/>
      <c r="D1491" s="141"/>
      <c r="E1491" s="141"/>
      <c r="F1491" s="141"/>
      <c r="G1491" s="141"/>
      <c r="H1491" s="141"/>
      <c r="I1491" s="141"/>
      <c r="J1491" s="141"/>
      <c r="K1491" s="141"/>
      <c r="L1491" s="141"/>
      <c r="M1491" s="141"/>
      <c r="N1491" s="141"/>
      <c r="O1491" s="141"/>
      <c r="P1491" s="141"/>
      <c r="Q1491" s="141"/>
      <c r="R1491" s="141"/>
      <c r="S1491" s="141"/>
      <c r="T1491" s="141"/>
      <c r="U1491" s="141"/>
      <c r="V1491" s="141"/>
      <c r="W1491" s="141"/>
      <c r="X1491" s="141"/>
      <c r="Y1491" s="141"/>
      <c r="Z1491" s="141"/>
    </row>
    <row r="1492">
      <c r="A1492" s="141"/>
      <c r="B1492" s="141"/>
      <c r="C1492" s="141"/>
      <c r="D1492" s="141"/>
      <c r="E1492" s="141"/>
      <c r="F1492" s="141"/>
      <c r="G1492" s="141"/>
      <c r="H1492" s="141"/>
      <c r="I1492" s="141"/>
      <c r="J1492" s="141"/>
      <c r="K1492" s="141"/>
      <c r="L1492" s="141"/>
      <c r="M1492" s="141"/>
      <c r="N1492" s="141"/>
      <c r="O1492" s="141"/>
      <c r="P1492" s="141"/>
      <c r="Q1492" s="141"/>
      <c r="R1492" s="141"/>
      <c r="S1492" s="141"/>
      <c r="T1492" s="141"/>
      <c r="U1492" s="141"/>
      <c r="V1492" s="141"/>
      <c r="W1492" s="141"/>
      <c r="X1492" s="141"/>
      <c r="Y1492" s="141"/>
      <c r="Z1492" s="141"/>
    </row>
    <row r="1493">
      <c r="A1493" s="141"/>
      <c r="B1493" s="141"/>
      <c r="C1493" s="141"/>
      <c r="D1493" s="141"/>
      <c r="E1493" s="141"/>
      <c r="F1493" s="141"/>
      <c r="G1493" s="141"/>
      <c r="H1493" s="141"/>
      <c r="I1493" s="141"/>
      <c r="J1493" s="141"/>
      <c r="K1493" s="141"/>
      <c r="L1493" s="141"/>
      <c r="M1493" s="141"/>
      <c r="N1493" s="141"/>
      <c r="O1493" s="141"/>
      <c r="P1493" s="141"/>
      <c r="Q1493" s="141"/>
      <c r="R1493" s="141"/>
      <c r="S1493" s="141"/>
      <c r="T1493" s="141"/>
      <c r="U1493" s="141"/>
      <c r="V1493" s="141"/>
      <c r="W1493" s="141"/>
      <c r="X1493" s="141"/>
      <c r="Y1493" s="141"/>
      <c r="Z1493" s="141"/>
    </row>
    <row r="1494">
      <c r="A1494" s="141"/>
      <c r="B1494" s="141"/>
      <c r="C1494" s="141"/>
      <c r="D1494" s="141"/>
      <c r="E1494" s="141"/>
      <c r="F1494" s="141"/>
      <c r="G1494" s="141"/>
      <c r="H1494" s="141"/>
      <c r="I1494" s="141"/>
      <c r="J1494" s="141"/>
      <c r="K1494" s="141"/>
      <c r="L1494" s="141"/>
      <c r="M1494" s="141"/>
      <c r="N1494" s="141"/>
      <c r="O1494" s="141"/>
      <c r="P1494" s="141"/>
      <c r="Q1494" s="141"/>
      <c r="R1494" s="141"/>
      <c r="S1494" s="141"/>
      <c r="T1494" s="141"/>
      <c r="U1494" s="141"/>
      <c r="V1494" s="141"/>
      <c r="W1494" s="141"/>
      <c r="X1494" s="141"/>
      <c r="Y1494" s="141"/>
      <c r="Z1494" s="141"/>
    </row>
    <row r="1495">
      <c r="A1495" s="141"/>
      <c r="B1495" s="141"/>
      <c r="C1495" s="141"/>
      <c r="D1495" s="141"/>
      <c r="E1495" s="141"/>
      <c r="F1495" s="141"/>
      <c r="G1495" s="141"/>
      <c r="H1495" s="141"/>
      <c r="I1495" s="141"/>
      <c r="J1495" s="141"/>
      <c r="K1495" s="141"/>
      <c r="L1495" s="141"/>
      <c r="M1495" s="141"/>
      <c r="N1495" s="141"/>
      <c r="O1495" s="141"/>
      <c r="P1495" s="141"/>
      <c r="Q1495" s="141"/>
      <c r="R1495" s="141"/>
      <c r="S1495" s="141"/>
      <c r="T1495" s="141"/>
      <c r="U1495" s="141"/>
      <c r="V1495" s="141"/>
      <c r="W1495" s="141"/>
      <c r="X1495" s="141"/>
      <c r="Y1495" s="141"/>
      <c r="Z1495" s="141"/>
    </row>
    <row r="1496">
      <c r="A1496" s="141"/>
      <c r="B1496" s="141"/>
      <c r="C1496" s="141"/>
      <c r="D1496" s="141"/>
      <c r="E1496" s="141"/>
      <c r="F1496" s="141"/>
      <c r="G1496" s="141"/>
      <c r="H1496" s="141"/>
      <c r="I1496" s="141"/>
      <c r="J1496" s="141"/>
      <c r="K1496" s="141"/>
      <c r="L1496" s="141"/>
      <c r="M1496" s="141"/>
      <c r="N1496" s="141"/>
      <c r="O1496" s="141"/>
      <c r="P1496" s="141"/>
      <c r="Q1496" s="141"/>
      <c r="R1496" s="141"/>
      <c r="S1496" s="141"/>
      <c r="T1496" s="141"/>
      <c r="U1496" s="141"/>
      <c r="V1496" s="141"/>
      <c r="W1496" s="141"/>
      <c r="X1496" s="141"/>
      <c r="Y1496" s="141"/>
      <c r="Z1496" s="141"/>
    </row>
    <row r="1497">
      <c r="A1497" s="141"/>
      <c r="B1497" s="141"/>
      <c r="C1497" s="141"/>
      <c r="D1497" s="141"/>
      <c r="E1497" s="141"/>
      <c r="F1497" s="141"/>
      <c r="G1497" s="141"/>
      <c r="H1497" s="141"/>
      <c r="I1497" s="141"/>
      <c r="J1497" s="141"/>
      <c r="K1497" s="141"/>
      <c r="L1497" s="141"/>
      <c r="M1497" s="141"/>
      <c r="N1497" s="141"/>
      <c r="O1497" s="141"/>
      <c r="P1497" s="141"/>
      <c r="Q1497" s="141"/>
      <c r="R1497" s="141"/>
      <c r="S1497" s="141"/>
      <c r="T1497" s="141"/>
      <c r="U1497" s="141"/>
      <c r="V1497" s="141"/>
      <c r="W1497" s="141"/>
      <c r="X1497" s="141"/>
      <c r="Y1497" s="141"/>
      <c r="Z1497" s="141"/>
    </row>
    <row r="1498">
      <c r="A1498" s="141"/>
      <c r="B1498" s="141"/>
      <c r="C1498" s="141"/>
      <c r="D1498" s="141"/>
      <c r="E1498" s="141"/>
      <c r="F1498" s="141"/>
      <c r="G1498" s="141"/>
      <c r="H1498" s="141"/>
      <c r="I1498" s="141"/>
      <c r="J1498" s="141"/>
      <c r="K1498" s="141"/>
      <c r="L1498" s="141"/>
      <c r="M1498" s="141"/>
      <c r="N1498" s="141"/>
      <c r="O1498" s="141"/>
      <c r="P1498" s="141"/>
      <c r="Q1498" s="141"/>
      <c r="R1498" s="141"/>
      <c r="S1498" s="141"/>
      <c r="T1498" s="141"/>
      <c r="U1498" s="141"/>
      <c r="V1498" s="141"/>
      <c r="W1498" s="141"/>
      <c r="X1498" s="141"/>
      <c r="Y1498" s="141"/>
      <c r="Z1498" s="141"/>
    </row>
    <row r="1499">
      <c r="A1499" s="141"/>
      <c r="B1499" s="141"/>
      <c r="C1499" s="141"/>
      <c r="D1499" s="141"/>
      <c r="E1499" s="141"/>
      <c r="F1499" s="141"/>
      <c r="G1499" s="141"/>
      <c r="H1499" s="141"/>
      <c r="I1499" s="141"/>
      <c r="J1499" s="141"/>
      <c r="K1499" s="141"/>
      <c r="L1499" s="141"/>
      <c r="M1499" s="141"/>
      <c r="N1499" s="141"/>
      <c r="O1499" s="141"/>
      <c r="P1499" s="141"/>
      <c r="Q1499" s="141"/>
      <c r="R1499" s="141"/>
      <c r="S1499" s="141"/>
      <c r="T1499" s="141"/>
      <c r="U1499" s="141"/>
      <c r="V1499" s="141"/>
      <c r="W1499" s="141"/>
      <c r="X1499" s="141"/>
      <c r="Y1499" s="141"/>
      <c r="Z1499" s="141"/>
    </row>
    <row r="1500">
      <c r="A1500" s="141"/>
      <c r="B1500" s="141"/>
      <c r="C1500" s="141"/>
      <c r="D1500" s="141"/>
      <c r="E1500" s="141"/>
      <c r="F1500" s="141"/>
      <c r="G1500" s="141"/>
      <c r="H1500" s="141"/>
      <c r="I1500" s="141"/>
      <c r="J1500" s="141"/>
      <c r="K1500" s="141"/>
      <c r="L1500" s="141"/>
      <c r="M1500" s="141"/>
      <c r="N1500" s="141"/>
      <c r="O1500" s="141"/>
      <c r="P1500" s="141"/>
      <c r="Q1500" s="141"/>
      <c r="R1500" s="141"/>
      <c r="S1500" s="141"/>
      <c r="T1500" s="141"/>
      <c r="U1500" s="141"/>
      <c r="V1500" s="141"/>
      <c r="W1500" s="141"/>
      <c r="X1500" s="141"/>
      <c r="Y1500" s="141"/>
      <c r="Z1500" s="141"/>
    </row>
    <row r="1501">
      <c r="A1501" s="141"/>
      <c r="B1501" s="141"/>
      <c r="C1501" s="141"/>
      <c r="D1501" s="141"/>
      <c r="E1501" s="141"/>
      <c r="F1501" s="141"/>
      <c r="G1501" s="141"/>
      <c r="H1501" s="141"/>
      <c r="I1501" s="141"/>
      <c r="J1501" s="141"/>
      <c r="K1501" s="141"/>
      <c r="L1501" s="141"/>
      <c r="M1501" s="141"/>
      <c r="N1501" s="141"/>
      <c r="O1501" s="141"/>
      <c r="P1501" s="141"/>
      <c r="Q1501" s="141"/>
      <c r="R1501" s="141"/>
      <c r="S1501" s="141"/>
      <c r="T1501" s="141"/>
      <c r="U1501" s="141"/>
      <c r="V1501" s="141"/>
      <c r="W1501" s="141"/>
      <c r="X1501" s="141"/>
      <c r="Y1501" s="141"/>
      <c r="Z1501" s="141"/>
    </row>
    <row r="1502">
      <c r="A1502" s="141"/>
      <c r="B1502" s="141"/>
      <c r="C1502" s="141"/>
      <c r="D1502" s="141"/>
      <c r="E1502" s="141"/>
      <c r="F1502" s="141"/>
      <c r="G1502" s="141"/>
      <c r="H1502" s="141"/>
      <c r="I1502" s="141"/>
      <c r="J1502" s="141"/>
      <c r="K1502" s="141"/>
      <c r="L1502" s="141"/>
      <c r="M1502" s="141"/>
      <c r="N1502" s="141"/>
      <c r="O1502" s="141"/>
      <c r="P1502" s="141"/>
      <c r="Q1502" s="141"/>
      <c r="R1502" s="141"/>
      <c r="S1502" s="141"/>
      <c r="T1502" s="141"/>
      <c r="U1502" s="141"/>
      <c r="V1502" s="141"/>
      <c r="W1502" s="141"/>
      <c r="X1502" s="141"/>
      <c r="Y1502" s="141"/>
      <c r="Z1502" s="141"/>
    </row>
    <row r="1503">
      <c r="A1503" s="141"/>
      <c r="B1503" s="141"/>
      <c r="C1503" s="141"/>
      <c r="D1503" s="141"/>
      <c r="E1503" s="141"/>
      <c r="F1503" s="141"/>
      <c r="G1503" s="141"/>
      <c r="H1503" s="141"/>
      <c r="I1503" s="141"/>
      <c r="J1503" s="141"/>
      <c r="K1503" s="141"/>
      <c r="L1503" s="141"/>
      <c r="M1503" s="141"/>
      <c r="N1503" s="141"/>
      <c r="O1503" s="141"/>
      <c r="P1503" s="141"/>
      <c r="Q1503" s="141"/>
      <c r="R1503" s="141"/>
      <c r="S1503" s="141"/>
      <c r="T1503" s="141"/>
      <c r="U1503" s="141"/>
      <c r="V1503" s="141"/>
      <c r="W1503" s="141"/>
      <c r="X1503" s="141"/>
      <c r="Y1503" s="141"/>
      <c r="Z1503" s="141"/>
    </row>
    <row r="1504">
      <c r="A1504" s="141"/>
      <c r="B1504" s="141"/>
      <c r="C1504" s="141"/>
      <c r="D1504" s="141"/>
      <c r="E1504" s="141"/>
      <c r="F1504" s="141"/>
      <c r="G1504" s="141"/>
      <c r="H1504" s="141"/>
      <c r="I1504" s="141"/>
      <c r="J1504" s="141"/>
      <c r="K1504" s="141"/>
      <c r="L1504" s="141"/>
      <c r="M1504" s="141"/>
      <c r="N1504" s="141"/>
      <c r="O1504" s="141"/>
      <c r="P1504" s="141"/>
      <c r="Q1504" s="141"/>
      <c r="R1504" s="141"/>
      <c r="S1504" s="141"/>
      <c r="T1504" s="141"/>
      <c r="U1504" s="141"/>
      <c r="V1504" s="141"/>
      <c r="W1504" s="141"/>
      <c r="X1504" s="141"/>
      <c r="Y1504" s="141"/>
      <c r="Z1504" s="141"/>
    </row>
    <row r="1505">
      <c r="A1505" s="141"/>
      <c r="B1505" s="141"/>
      <c r="C1505" s="141"/>
      <c r="D1505" s="141"/>
      <c r="E1505" s="141"/>
      <c r="F1505" s="141"/>
      <c r="G1505" s="141"/>
      <c r="H1505" s="141"/>
      <c r="I1505" s="141"/>
      <c r="J1505" s="141"/>
      <c r="K1505" s="141"/>
      <c r="L1505" s="141"/>
      <c r="M1505" s="141"/>
      <c r="N1505" s="141"/>
      <c r="O1505" s="141"/>
      <c r="P1505" s="141"/>
      <c r="Q1505" s="141"/>
      <c r="R1505" s="141"/>
      <c r="S1505" s="141"/>
      <c r="T1505" s="141"/>
      <c r="U1505" s="141"/>
      <c r="V1505" s="141"/>
      <c r="W1505" s="141"/>
      <c r="X1505" s="141"/>
      <c r="Y1505" s="141"/>
      <c r="Z1505" s="141"/>
    </row>
    <row r="1506">
      <c r="A1506" s="141"/>
      <c r="B1506" s="141"/>
      <c r="C1506" s="141"/>
      <c r="D1506" s="141"/>
      <c r="E1506" s="141"/>
      <c r="F1506" s="141"/>
      <c r="G1506" s="141"/>
      <c r="H1506" s="141"/>
      <c r="I1506" s="141"/>
      <c r="J1506" s="141"/>
      <c r="K1506" s="141"/>
      <c r="L1506" s="141"/>
      <c r="M1506" s="141"/>
      <c r="N1506" s="141"/>
      <c r="O1506" s="141"/>
      <c r="P1506" s="141"/>
      <c r="Q1506" s="141"/>
      <c r="R1506" s="141"/>
      <c r="S1506" s="141"/>
      <c r="T1506" s="141"/>
      <c r="U1506" s="141"/>
      <c r="V1506" s="141"/>
      <c r="W1506" s="141"/>
      <c r="X1506" s="141"/>
      <c r="Y1506" s="141"/>
      <c r="Z1506" s="141"/>
    </row>
    <row r="1507">
      <c r="A1507" s="141"/>
      <c r="B1507" s="141"/>
      <c r="C1507" s="141"/>
      <c r="D1507" s="141"/>
      <c r="E1507" s="141"/>
      <c r="F1507" s="141"/>
      <c r="G1507" s="141"/>
      <c r="H1507" s="141"/>
      <c r="I1507" s="141"/>
      <c r="J1507" s="141"/>
      <c r="K1507" s="141"/>
      <c r="L1507" s="141"/>
      <c r="M1507" s="141"/>
      <c r="N1507" s="141"/>
      <c r="O1507" s="141"/>
      <c r="P1507" s="141"/>
      <c r="Q1507" s="141"/>
      <c r="R1507" s="141"/>
      <c r="S1507" s="141"/>
      <c r="T1507" s="141"/>
      <c r="U1507" s="141"/>
      <c r="V1507" s="141"/>
      <c r="W1507" s="141"/>
      <c r="X1507" s="141"/>
      <c r="Y1507" s="141"/>
      <c r="Z1507" s="141"/>
    </row>
    <row r="1508">
      <c r="A1508" s="141"/>
      <c r="B1508" s="141"/>
      <c r="C1508" s="141"/>
      <c r="D1508" s="141"/>
      <c r="E1508" s="141"/>
      <c r="F1508" s="141"/>
      <c r="G1508" s="141"/>
      <c r="H1508" s="141"/>
      <c r="I1508" s="141"/>
      <c r="J1508" s="141"/>
      <c r="K1508" s="141"/>
      <c r="L1508" s="141"/>
      <c r="M1508" s="141"/>
      <c r="N1508" s="141"/>
      <c r="O1508" s="141"/>
      <c r="P1508" s="141"/>
      <c r="Q1508" s="141"/>
      <c r="R1508" s="141"/>
      <c r="S1508" s="141"/>
      <c r="T1508" s="141"/>
      <c r="U1508" s="141"/>
      <c r="V1508" s="141"/>
      <c r="W1508" s="141"/>
      <c r="X1508" s="141"/>
      <c r="Y1508" s="141"/>
      <c r="Z1508" s="141"/>
    </row>
    <row r="1509">
      <c r="A1509" s="141"/>
      <c r="B1509" s="141"/>
      <c r="C1509" s="141"/>
      <c r="D1509" s="141"/>
      <c r="E1509" s="141"/>
      <c r="F1509" s="141"/>
      <c r="G1509" s="141"/>
      <c r="H1509" s="141"/>
      <c r="I1509" s="141"/>
      <c r="J1509" s="141"/>
      <c r="K1509" s="141"/>
      <c r="L1509" s="141"/>
      <c r="M1509" s="141"/>
      <c r="N1509" s="141"/>
      <c r="O1509" s="141"/>
      <c r="P1509" s="141"/>
      <c r="Q1509" s="141"/>
      <c r="R1509" s="141"/>
      <c r="S1509" s="141"/>
      <c r="T1509" s="141"/>
      <c r="U1509" s="141"/>
      <c r="V1509" s="141"/>
      <c r="W1509" s="141"/>
      <c r="X1509" s="141"/>
      <c r="Y1509" s="141"/>
      <c r="Z1509" s="141"/>
    </row>
    <row r="1510">
      <c r="A1510" s="141"/>
      <c r="B1510" s="141"/>
      <c r="C1510" s="141"/>
      <c r="D1510" s="141"/>
      <c r="E1510" s="141"/>
      <c r="F1510" s="141"/>
      <c r="G1510" s="141"/>
      <c r="H1510" s="141"/>
      <c r="I1510" s="141"/>
      <c r="J1510" s="141"/>
      <c r="K1510" s="141"/>
      <c r="L1510" s="141"/>
      <c r="M1510" s="141"/>
      <c r="N1510" s="141"/>
      <c r="O1510" s="141"/>
      <c r="P1510" s="141"/>
      <c r="Q1510" s="141"/>
      <c r="R1510" s="141"/>
      <c r="S1510" s="141"/>
      <c r="T1510" s="141"/>
      <c r="U1510" s="141"/>
      <c r="V1510" s="141"/>
      <c r="W1510" s="141"/>
      <c r="X1510" s="141"/>
      <c r="Y1510" s="141"/>
      <c r="Z1510" s="141"/>
    </row>
    <row r="1511">
      <c r="A1511" s="141"/>
      <c r="B1511" s="141"/>
      <c r="C1511" s="141"/>
      <c r="D1511" s="141"/>
      <c r="E1511" s="141"/>
      <c r="F1511" s="141"/>
      <c r="G1511" s="141"/>
      <c r="H1511" s="141"/>
      <c r="I1511" s="141"/>
      <c r="J1511" s="141"/>
      <c r="K1511" s="141"/>
      <c r="L1511" s="141"/>
      <c r="M1511" s="141"/>
      <c r="N1511" s="141"/>
      <c r="O1511" s="141"/>
      <c r="P1511" s="141"/>
      <c r="Q1511" s="141"/>
      <c r="R1511" s="141"/>
      <c r="S1511" s="141"/>
      <c r="T1511" s="141"/>
      <c r="U1511" s="141"/>
      <c r="V1511" s="141"/>
      <c r="W1511" s="141"/>
      <c r="X1511" s="141"/>
      <c r="Y1511" s="141"/>
      <c r="Z1511" s="141"/>
    </row>
    <row r="1512">
      <c r="A1512" s="141"/>
      <c r="B1512" s="141"/>
      <c r="C1512" s="141"/>
      <c r="D1512" s="141"/>
      <c r="E1512" s="141"/>
      <c r="F1512" s="141"/>
      <c r="G1512" s="141"/>
      <c r="H1512" s="141"/>
      <c r="I1512" s="141"/>
      <c r="J1512" s="141"/>
      <c r="K1512" s="141"/>
      <c r="L1512" s="141"/>
      <c r="M1512" s="141"/>
      <c r="N1512" s="141"/>
      <c r="O1512" s="141"/>
      <c r="P1512" s="141"/>
      <c r="Q1512" s="141"/>
      <c r="R1512" s="141"/>
      <c r="S1512" s="141"/>
      <c r="T1512" s="141"/>
      <c r="U1512" s="141"/>
      <c r="V1512" s="141"/>
      <c r="W1512" s="141"/>
      <c r="X1512" s="141"/>
      <c r="Y1512" s="141"/>
      <c r="Z1512" s="141"/>
    </row>
    <row r="1513">
      <c r="A1513" s="141"/>
      <c r="B1513" s="141"/>
      <c r="C1513" s="141"/>
      <c r="D1513" s="141"/>
      <c r="E1513" s="141"/>
      <c r="F1513" s="141"/>
      <c r="G1513" s="141"/>
      <c r="H1513" s="141"/>
      <c r="I1513" s="141"/>
      <c r="J1513" s="141"/>
      <c r="K1513" s="141"/>
      <c r="L1513" s="141"/>
      <c r="M1513" s="141"/>
      <c r="N1513" s="141"/>
      <c r="O1513" s="141"/>
      <c r="P1513" s="141"/>
      <c r="Q1513" s="141"/>
      <c r="R1513" s="141"/>
      <c r="S1513" s="141"/>
      <c r="T1513" s="141"/>
      <c r="U1513" s="141"/>
      <c r="V1513" s="141"/>
      <c r="W1513" s="141"/>
      <c r="X1513" s="141"/>
      <c r="Y1513" s="141"/>
      <c r="Z1513" s="141"/>
    </row>
    <row r="1514">
      <c r="A1514" s="141"/>
      <c r="B1514" s="141"/>
      <c r="C1514" s="141"/>
      <c r="D1514" s="141"/>
      <c r="E1514" s="141"/>
      <c r="F1514" s="141"/>
      <c r="G1514" s="141"/>
      <c r="H1514" s="141"/>
      <c r="I1514" s="141"/>
      <c r="J1514" s="141"/>
      <c r="K1514" s="141"/>
      <c r="L1514" s="141"/>
      <c r="M1514" s="141"/>
      <c r="N1514" s="141"/>
      <c r="O1514" s="141"/>
      <c r="P1514" s="141"/>
      <c r="Q1514" s="141"/>
      <c r="R1514" s="141"/>
      <c r="S1514" s="141"/>
      <c r="T1514" s="141"/>
      <c r="U1514" s="141"/>
      <c r="V1514" s="141"/>
      <c r="W1514" s="141"/>
      <c r="X1514" s="141"/>
      <c r="Y1514" s="141"/>
      <c r="Z1514" s="141"/>
    </row>
    <row r="1515">
      <c r="A1515" s="141"/>
      <c r="B1515" s="141"/>
      <c r="C1515" s="141"/>
      <c r="D1515" s="141"/>
      <c r="E1515" s="141"/>
      <c r="F1515" s="141"/>
      <c r="G1515" s="141"/>
      <c r="H1515" s="141"/>
      <c r="I1515" s="141"/>
      <c r="J1515" s="141"/>
      <c r="K1515" s="141"/>
      <c r="L1515" s="141"/>
      <c r="M1515" s="141"/>
      <c r="N1515" s="141"/>
      <c r="O1515" s="141"/>
      <c r="P1515" s="141"/>
      <c r="Q1515" s="141"/>
      <c r="R1515" s="141"/>
      <c r="S1515" s="141"/>
      <c r="T1515" s="141"/>
      <c r="U1515" s="141"/>
      <c r="V1515" s="141"/>
      <c r="W1515" s="141"/>
      <c r="X1515" s="141"/>
      <c r="Y1515" s="141"/>
      <c r="Z1515" s="141"/>
    </row>
    <row r="1516">
      <c r="A1516" s="141"/>
      <c r="B1516" s="141"/>
      <c r="C1516" s="141"/>
      <c r="D1516" s="141"/>
      <c r="E1516" s="141"/>
      <c r="F1516" s="141"/>
      <c r="G1516" s="141"/>
      <c r="H1516" s="141"/>
      <c r="I1516" s="141"/>
      <c r="J1516" s="141"/>
      <c r="K1516" s="141"/>
      <c r="L1516" s="141"/>
      <c r="M1516" s="141"/>
      <c r="N1516" s="141"/>
      <c r="O1516" s="141"/>
      <c r="P1516" s="141"/>
      <c r="Q1516" s="141"/>
      <c r="R1516" s="141"/>
      <c r="S1516" s="141"/>
      <c r="T1516" s="141"/>
      <c r="U1516" s="141"/>
      <c r="V1516" s="141"/>
      <c r="W1516" s="141"/>
      <c r="X1516" s="141"/>
      <c r="Y1516" s="141"/>
      <c r="Z1516" s="141"/>
    </row>
    <row r="1517">
      <c r="A1517" s="141"/>
      <c r="B1517" s="141"/>
      <c r="C1517" s="141"/>
      <c r="D1517" s="141"/>
      <c r="E1517" s="141"/>
      <c r="F1517" s="141"/>
      <c r="G1517" s="141"/>
      <c r="H1517" s="141"/>
      <c r="I1517" s="141"/>
      <c r="J1517" s="141"/>
      <c r="K1517" s="141"/>
      <c r="L1517" s="141"/>
      <c r="M1517" s="141"/>
      <c r="N1517" s="141"/>
      <c r="O1517" s="141"/>
      <c r="P1517" s="141"/>
      <c r="Q1517" s="141"/>
      <c r="R1517" s="141"/>
      <c r="S1517" s="141"/>
      <c r="T1517" s="141"/>
      <c r="U1517" s="141"/>
      <c r="V1517" s="141"/>
      <c r="W1517" s="141"/>
      <c r="X1517" s="141"/>
      <c r="Y1517" s="141"/>
      <c r="Z1517" s="141"/>
    </row>
    <row r="1518">
      <c r="A1518" s="141"/>
      <c r="B1518" s="141"/>
      <c r="C1518" s="141"/>
      <c r="D1518" s="141"/>
      <c r="E1518" s="141"/>
      <c r="F1518" s="141"/>
      <c r="G1518" s="141"/>
      <c r="H1518" s="141"/>
      <c r="I1518" s="141"/>
      <c r="J1518" s="141"/>
      <c r="K1518" s="141"/>
      <c r="L1518" s="141"/>
      <c r="M1518" s="141"/>
      <c r="N1518" s="141"/>
      <c r="O1518" s="141"/>
      <c r="P1518" s="141"/>
      <c r="Q1518" s="141"/>
      <c r="R1518" s="141"/>
      <c r="S1518" s="141"/>
      <c r="T1518" s="141"/>
      <c r="U1518" s="141"/>
      <c r="V1518" s="141"/>
      <c r="W1518" s="141"/>
      <c r="X1518" s="141"/>
      <c r="Y1518" s="141"/>
      <c r="Z1518" s="141"/>
    </row>
    <row r="1519">
      <c r="A1519" s="141"/>
      <c r="B1519" s="141"/>
      <c r="C1519" s="141"/>
      <c r="D1519" s="141"/>
      <c r="E1519" s="141"/>
      <c r="F1519" s="141"/>
      <c r="G1519" s="141"/>
      <c r="H1519" s="141"/>
      <c r="I1519" s="141"/>
      <c r="J1519" s="141"/>
      <c r="K1519" s="141"/>
      <c r="L1519" s="141"/>
      <c r="M1519" s="141"/>
      <c r="N1519" s="141"/>
      <c r="O1519" s="141"/>
      <c r="P1519" s="141"/>
      <c r="Q1519" s="141"/>
      <c r="R1519" s="141"/>
      <c r="S1519" s="141"/>
      <c r="T1519" s="141"/>
      <c r="U1519" s="141"/>
      <c r="V1519" s="141"/>
      <c r="W1519" s="141"/>
      <c r="X1519" s="141"/>
      <c r="Y1519" s="141"/>
      <c r="Z1519" s="141"/>
    </row>
    <row r="1520">
      <c r="A1520" s="141"/>
      <c r="B1520" s="141"/>
      <c r="C1520" s="141"/>
      <c r="D1520" s="141"/>
      <c r="E1520" s="141"/>
      <c r="F1520" s="141"/>
      <c r="G1520" s="141"/>
      <c r="H1520" s="141"/>
      <c r="I1520" s="141"/>
      <c r="J1520" s="141"/>
      <c r="K1520" s="141"/>
      <c r="L1520" s="141"/>
      <c r="M1520" s="141"/>
      <c r="N1520" s="141"/>
      <c r="O1520" s="141"/>
      <c r="P1520" s="141"/>
      <c r="Q1520" s="141"/>
      <c r="R1520" s="141"/>
      <c r="S1520" s="141"/>
      <c r="T1520" s="141"/>
      <c r="U1520" s="141"/>
      <c r="V1520" s="141"/>
      <c r="W1520" s="141"/>
      <c r="X1520" s="141"/>
      <c r="Y1520" s="141"/>
      <c r="Z1520" s="141"/>
    </row>
    <row r="1521">
      <c r="A1521" s="141"/>
      <c r="B1521" s="141"/>
      <c r="C1521" s="141"/>
      <c r="D1521" s="141"/>
      <c r="E1521" s="141"/>
      <c r="F1521" s="141"/>
      <c r="G1521" s="141"/>
      <c r="H1521" s="141"/>
      <c r="I1521" s="141"/>
      <c r="J1521" s="141"/>
      <c r="K1521" s="141"/>
      <c r="L1521" s="141"/>
      <c r="M1521" s="141"/>
      <c r="N1521" s="141"/>
      <c r="O1521" s="141"/>
      <c r="P1521" s="141"/>
      <c r="Q1521" s="141"/>
      <c r="R1521" s="141"/>
      <c r="S1521" s="141"/>
      <c r="T1521" s="141"/>
      <c r="U1521" s="141"/>
      <c r="V1521" s="141"/>
      <c r="W1521" s="141"/>
      <c r="X1521" s="141"/>
      <c r="Y1521" s="141"/>
      <c r="Z1521" s="141"/>
    </row>
    <row r="1522">
      <c r="A1522" s="141"/>
      <c r="B1522" s="141"/>
      <c r="C1522" s="141"/>
      <c r="D1522" s="141"/>
      <c r="E1522" s="141"/>
      <c r="F1522" s="141"/>
      <c r="G1522" s="141"/>
      <c r="H1522" s="141"/>
      <c r="I1522" s="141"/>
      <c r="J1522" s="141"/>
      <c r="K1522" s="141"/>
      <c r="L1522" s="141"/>
      <c r="M1522" s="141"/>
      <c r="N1522" s="141"/>
      <c r="O1522" s="141"/>
      <c r="P1522" s="141"/>
      <c r="Q1522" s="141"/>
      <c r="R1522" s="141"/>
      <c r="S1522" s="141"/>
      <c r="T1522" s="141"/>
      <c r="U1522" s="141"/>
      <c r="V1522" s="141"/>
      <c r="W1522" s="141"/>
      <c r="X1522" s="141"/>
      <c r="Y1522" s="141"/>
      <c r="Z1522" s="141"/>
    </row>
    <row r="1523">
      <c r="A1523" s="141"/>
      <c r="B1523" s="141"/>
      <c r="C1523" s="141"/>
      <c r="D1523" s="141"/>
      <c r="E1523" s="141"/>
      <c r="F1523" s="141"/>
      <c r="G1523" s="141"/>
      <c r="H1523" s="141"/>
      <c r="I1523" s="141"/>
      <c r="J1523" s="141"/>
      <c r="K1523" s="141"/>
      <c r="L1523" s="141"/>
      <c r="M1523" s="141"/>
      <c r="N1523" s="141"/>
      <c r="O1523" s="141"/>
      <c r="P1523" s="141"/>
      <c r="Q1523" s="141"/>
      <c r="R1523" s="141"/>
      <c r="S1523" s="141"/>
      <c r="T1523" s="141"/>
      <c r="U1523" s="141"/>
      <c r="V1523" s="141"/>
      <c r="W1523" s="141"/>
      <c r="X1523" s="141"/>
      <c r="Y1523" s="141"/>
      <c r="Z1523" s="141"/>
    </row>
    <row r="1524">
      <c r="A1524" s="141"/>
      <c r="B1524" s="141"/>
      <c r="C1524" s="141"/>
      <c r="D1524" s="141"/>
      <c r="E1524" s="141"/>
      <c r="F1524" s="141"/>
      <c r="G1524" s="141"/>
      <c r="H1524" s="141"/>
      <c r="I1524" s="141"/>
      <c r="J1524" s="141"/>
      <c r="K1524" s="141"/>
      <c r="L1524" s="141"/>
      <c r="M1524" s="141"/>
      <c r="N1524" s="141"/>
      <c r="O1524" s="141"/>
      <c r="P1524" s="141"/>
      <c r="Q1524" s="141"/>
      <c r="R1524" s="141"/>
      <c r="S1524" s="141"/>
      <c r="T1524" s="141"/>
      <c r="U1524" s="141"/>
      <c r="V1524" s="141"/>
      <c r="W1524" s="141"/>
      <c r="X1524" s="141"/>
      <c r="Y1524" s="141"/>
      <c r="Z1524" s="141"/>
    </row>
    <row r="1525">
      <c r="A1525" s="141"/>
      <c r="B1525" s="141"/>
      <c r="C1525" s="141"/>
      <c r="D1525" s="141"/>
      <c r="E1525" s="141"/>
      <c r="F1525" s="141"/>
      <c r="G1525" s="141"/>
      <c r="H1525" s="141"/>
      <c r="I1525" s="141"/>
      <c r="J1525" s="141"/>
      <c r="K1525" s="141"/>
      <c r="L1525" s="141"/>
      <c r="M1525" s="141"/>
      <c r="N1525" s="141"/>
      <c r="O1525" s="141"/>
      <c r="P1525" s="141"/>
      <c r="Q1525" s="141"/>
      <c r="R1525" s="141"/>
      <c r="S1525" s="141"/>
      <c r="T1525" s="141"/>
      <c r="U1525" s="141"/>
      <c r="V1525" s="141"/>
      <c r="W1525" s="141"/>
      <c r="X1525" s="141"/>
      <c r="Y1525" s="141"/>
      <c r="Z1525" s="141"/>
    </row>
    <row r="1526">
      <c r="A1526" s="141"/>
      <c r="B1526" s="141"/>
      <c r="C1526" s="141"/>
      <c r="D1526" s="141"/>
      <c r="E1526" s="141"/>
      <c r="F1526" s="141"/>
      <c r="G1526" s="141"/>
      <c r="H1526" s="141"/>
      <c r="I1526" s="141"/>
      <c r="J1526" s="141"/>
      <c r="K1526" s="141"/>
      <c r="L1526" s="141"/>
      <c r="M1526" s="141"/>
      <c r="N1526" s="141"/>
      <c r="O1526" s="141"/>
      <c r="P1526" s="141"/>
      <c r="Q1526" s="141"/>
      <c r="R1526" s="141"/>
      <c r="S1526" s="141"/>
      <c r="T1526" s="141"/>
      <c r="U1526" s="141"/>
      <c r="V1526" s="141"/>
      <c r="W1526" s="141"/>
      <c r="X1526" s="141"/>
      <c r="Y1526" s="141"/>
      <c r="Z1526" s="141"/>
    </row>
    <row r="1527">
      <c r="A1527" s="141"/>
      <c r="B1527" s="141"/>
      <c r="C1527" s="141"/>
      <c r="D1527" s="141"/>
      <c r="E1527" s="141"/>
      <c r="F1527" s="141"/>
      <c r="G1527" s="141"/>
      <c r="H1527" s="141"/>
      <c r="I1527" s="141"/>
      <c r="J1527" s="141"/>
      <c r="K1527" s="141"/>
      <c r="L1527" s="141"/>
      <c r="M1527" s="141"/>
      <c r="N1527" s="141"/>
      <c r="O1527" s="141"/>
      <c r="P1527" s="141"/>
      <c r="Q1527" s="141"/>
      <c r="R1527" s="141"/>
      <c r="S1527" s="141"/>
      <c r="T1527" s="141"/>
      <c r="U1527" s="141"/>
      <c r="V1527" s="141"/>
      <c r="W1527" s="141"/>
      <c r="X1527" s="141"/>
      <c r="Y1527" s="141"/>
      <c r="Z1527" s="141"/>
    </row>
    <row r="1528">
      <c r="A1528" s="141"/>
      <c r="B1528" s="141"/>
      <c r="C1528" s="141"/>
      <c r="D1528" s="141"/>
      <c r="E1528" s="141"/>
      <c r="F1528" s="141"/>
      <c r="G1528" s="141"/>
      <c r="H1528" s="141"/>
      <c r="I1528" s="141"/>
      <c r="J1528" s="141"/>
      <c r="K1528" s="141"/>
      <c r="L1528" s="141"/>
      <c r="M1528" s="141"/>
      <c r="N1528" s="141"/>
      <c r="O1528" s="141"/>
      <c r="P1528" s="141"/>
      <c r="Q1528" s="141"/>
      <c r="R1528" s="141"/>
      <c r="S1528" s="141"/>
      <c r="T1528" s="141"/>
      <c r="U1528" s="141"/>
      <c r="V1528" s="141"/>
      <c r="W1528" s="141"/>
      <c r="X1528" s="141"/>
      <c r="Y1528" s="141"/>
      <c r="Z1528" s="141"/>
    </row>
    <row r="1529">
      <c r="A1529" s="141"/>
      <c r="B1529" s="141"/>
      <c r="C1529" s="141"/>
      <c r="D1529" s="141"/>
      <c r="E1529" s="141"/>
      <c r="F1529" s="141"/>
      <c r="G1529" s="141"/>
      <c r="H1529" s="141"/>
      <c r="I1529" s="141"/>
      <c r="J1529" s="141"/>
      <c r="K1529" s="141"/>
      <c r="L1529" s="141"/>
      <c r="M1529" s="141"/>
      <c r="N1529" s="141"/>
      <c r="O1529" s="141"/>
      <c r="P1529" s="141"/>
      <c r="Q1529" s="141"/>
      <c r="R1529" s="141"/>
      <c r="S1529" s="141"/>
      <c r="T1529" s="141"/>
      <c r="U1529" s="141"/>
      <c r="V1529" s="141"/>
      <c r="W1529" s="141"/>
      <c r="X1529" s="141"/>
      <c r="Y1529" s="141"/>
      <c r="Z1529" s="141"/>
    </row>
    <row r="1530">
      <c r="A1530" s="141"/>
      <c r="B1530" s="141"/>
      <c r="C1530" s="141"/>
      <c r="D1530" s="141"/>
      <c r="E1530" s="141"/>
      <c r="F1530" s="141"/>
      <c r="G1530" s="141"/>
      <c r="H1530" s="141"/>
      <c r="I1530" s="141"/>
      <c r="J1530" s="141"/>
      <c r="K1530" s="141"/>
      <c r="L1530" s="141"/>
      <c r="M1530" s="141"/>
      <c r="N1530" s="141"/>
      <c r="O1530" s="141"/>
      <c r="P1530" s="141"/>
      <c r="Q1530" s="141"/>
      <c r="R1530" s="141"/>
      <c r="S1530" s="141"/>
      <c r="T1530" s="141"/>
      <c r="U1530" s="141"/>
      <c r="V1530" s="141"/>
      <c r="W1530" s="141"/>
      <c r="X1530" s="141"/>
      <c r="Y1530" s="141"/>
      <c r="Z1530" s="141"/>
    </row>
    <row r="1531">
      <c r="A1531" s="141"/>
      <c r="B1531" s="141"/>
      <c r="C1531" s="141"/>
      <c r="D1531" s="141"/>
      <c r="E1531" s="141"/>
      <c r="F1531" s="141"/>
      <c r="G1531" s="141"/>
      <c r="H1531" s="141"/>
      <c r="I1531" s="141"/>
      <c r="J1531" s="141"/>
      <c r="K1531" s="141"/>
      <c r="L1531" s="141"/>
      <c r="M1531" s="141"/>
      <c r="N1531" s="141"/>
      <c r="O1531" s="141"/>
      <c r="P1531" s="141"/>
      <c r="Q1531" s="141"/>
      <c r="R1531" s="141"/>
      <c r="S1531" s="141"/>
      <c r="T1531" s="141"/>
      <c r="U1531" s="141"/>
      <c r="V1531" s="141"/>
      <c r="W1531" s="141"/>
      <c r="X1531" s="141"/>
      <c r="Y1531" s="141"/>
      <c r="Z1531" s="141"/>
    </row>
    <row r="1532">
      <c r="A1532" s="141"/>
      <c r="B1532" s="141"/>
      <c r="C1532" s="141"/>
      <c r="D1532" s="141"/>
      <c r="E1532" s="141"/>
      <c r="F1532" s="141"/>
      <c r="G1532" s="141"/>
      <c r="H1532" s="141"/>
      <c r="I1532" s="141"/>
      <c r="J1532" s="141"/>
      <c r="K1532" s="141"/>
      <c r="L1532" s="141"/>
      <c r="M1532" s="141"/>
      <c r="N1532" s="141"/>
      <c r="O1532" s="141"/>
      <c r="P1532" s="141"/>
      <c r="Q1532" s="141"/>
      <c r="R1532" s="141"/>
      <c r="S1532" s="141"/>
      <c r="T1532" s="141"/>
      <c r="U1532" s="141"/>
      <c r="V1532" s="141"/>
      <c r="W1532" s="141"/>
      <c r="X1532" s="141"/>
      <c r="Y1532" s="141"/>
      <c r="Z1532" s="141"/>
    </row>
    <row r="1533">
      <c r="A1533" s="141"/>
      <c r="B1533" s="141"/>
      <c r="C1533" s="141"/>
      <c r="D1533" s="141"/>
      <c r="E1533" s="141"/>
      <c r="F1533" s="141"/>
      <c r="G1533" s="141"/>
      <c r="H1533" s="141"/>
      <c r="I1533" s="141"/>
      <c r="J1533" s="141"/>
      <c r="K1533" s="141"/>
      <c r="L1533" s="141"/>
      <c r="M1533" s="141"/>
      <c r="N1533" s="141"/>
      <c r="O1533" s="141"/>
      <c r="P1533" s="141"/>
      <c r="Q1533" s="141"/>
      <c r="R1533" s="141"/>
      <c r="S1533" s="141"/>
      <c r="T1533" s="141"/>
      <c r="U1533" s="141"/>
      <c r="V1533" s="141"/>
      <c r="W1533" s="141"/>
      <c r="X1533" s="141"/>
      <c r="Y1533" s="141"/>
      <c r="Z1533" s="141"/>
    </row>
    <row r="1534">
      <c r="A1534" s="141"/>
      <c r="B1534" s="141"/>
      <c r="C1534" s="141"/>
      <c r="D1534" s="141"/>
      <c r="E1534" s="141"/>
      <c r="F1534" s="141"/>
      <c r="G1534" s="141"/>
      <c r="H1534" s="141"/>
      <c r="I1534" s="141"/>
      <c r="J1534" s="141"/>
      <c r="K1534" s="141"/>
      <c r="L1534" s="141"/>
      <c r="M1534" s="141"/>
      <c r="N1534" s="141"/>
      <c r="O1534" s="141"/>
      <c r="P1534" s="141"/>
      <c r="Q1534" s="141"/>
      <c r="R1534" s="141"/>
      <c r="S1534" s="141"/>
      <c r="T1534" s="141"/>
      <c r="U1534" s="141"/>
      <c r="V1534" s="141"/>
      <c r="W1534" s="141"/>
      <c r="X1534" s="141"/>
      <c r="Y1534" s="141"/>
      <c r="Z1534" s="141"/>
    </row>
    <row r="1535">
      <c r="A1535" s="141"/>
      <c r="B1535" s="141"/>
      <c r="C1535" s="141"/>
      <c r="D1535" s="141"/>
      <c r="E1535" s="141"/>
      <c r="F1535" s="141"/>
      <c r="G1535" s="141"/>
      <c r="H1535" s="141"/>
      <c r="I1535" s="141"/>
      <c r="J1535" s="141"/>
      <c r="K1535" s="141"/>
      <c r="L1535" s="141"/>
      <c r="M1535" s="141"/>
      <c r="N1535" s="141"/>
      <c r="O1535" s="141"/>
      <c r="P1535" s="141"/>
      <c r="Q1535" s="141"/>
      <c r="R1535" s="141"/>
      <c r="S1535" s="141"/>
      <c r="T1535" s="141"/>
      <c r="U1535" s="141"/>
      <c r="V1535" s="141"/>
      <c r="W1535" s="141"/>
      <c r="X1535" s="141"/>
      <c r="Y1535" s="141"/>
      <c r="Z1535" s="141"/>
    </row>
    <row r="1536">
      <c r="A1536" s="141"/>
      <c r="B1536" s="141"/>
      <c r="C1536" s="141"/>
      <c r="D1536" s="141"/>
      <c r="E1536" s="141"/>
      <c r="F1536" s="141"/>
      <c r="G1536" s="141"/>
      <c r="H1536" s="141"/>
      <c r="I1536" s="141"/>
      <c r="J1536" s="141"/>
      <c r="K1536" s="141"/>
      <c r="L1536" s="141"/>
      <c r="M1536" s="141"/>
      <c r="N1536" s="141"/>
      <c r="O1536" s="141"/>
      <c r="P1536" s="141"/>
      <c r="Q1536" s="141"/>
      <c r="R1536" s="141"/>
      <c r="S1536" s="141"/>
      <c r="T1536" s="141"/>
      <c r="U1536" s="141"/>
      <c r="V1536" s="141"/>
      <c r="W1536" s="141"/>
      <c r="X1536" s="141"/>
      <c r="Y1536" s="141"/>
      <c r="Z1536" s="141"/>
    </row>
    <row r="1537">
      <c r="A1537" s="141"/>
      <c r="B1537" s="141"/>
      <c r="C1537" s="141"/>
      <c r="D1537" s="141"/>
      <c r="E1537" s="141"/>
      <c r="F1537" s="141"/>
      <c r="G1537" s="141"/>
      <c r="H1537" s="141"/>
      <c r="I1537" s="141"/>
      <c r="J1537" s="141"/>
      <c r="K1537" s="141"/>
      <c r="L1537" s="141"/>
      <c r="M1537" s="141"/>
      <c r="N1537" s="141"/>
      <c r="O1537" s="141"/>
      <c r="P1537" s="141"/>
      <c r="Q1537" s="141"/>
      <c r="R1537" s="141"/>
      <c r="S1537" s="141"/>
      <c r="T1537" s="141"/>
      <c r="U1537" s="141"/>
      <c r="V1537" s="141"/>
      <c r="W1537" s="141"/>
      <c r="X1537" s="141"/>
      <c r="Y1537" s="141"/>
      <c r="Z1537" s="141"/>
    </row>
    <row r="1538">
      <c r="A1538" s="141"/>
      <c r="B1538" s="141"/>
      <c r="C1538" s="141"/>
      <c r="D1538" s="141"/>
      <c r="E1538" s="141"/>
      <c r="F1538" s="141"/>
      <c r="G1538" s="141"/>
      <c r="H1538" s="141"/>
      <c r="I1538" s="141"/>
      <c r="J1538" s="141"/>
      <c r="K1538" s="141"/>
      <c r="L1538" s="141"/>
      <c r="M1538" s="141"/>
      <c r="N1538" s="141"/>
      <c r="O1538" s="141"/>
      <c r="P1538" s="141"/>
      <c r="Q1538" s="141"/>
      <c r="R1538" s="141"/>
      <c r="S1538" s="141"/>
      <c r="T1538" s="141"/>
      <c r="U1538" s="141"/>
      <c r="V1538" s="141"/>
      <c r="W1538" s="141"/>
      <c r="X1538" s="141"/>
      <c r="Y1538" s="141"/>
      <c r="Z1538" s="141"/>
    </row>
    <row r="1539">
      <c r="A1539" s="141"/>
      <c r="B1539" s="141"/>
      <c r="C1539" s="141"/>
      <c r="D1539" s="141"/>
      <c r="E1539" s="141"/>
      <c r="F1539" s="141"/>
      <c r="G1539" s="141"/>
      <c r="H1539" s="141"/>
      <c r="I1539" s="141"/>
      <c r="J1539" s="141"/>
      <c r="K1539" s="141"/>
      <c r="L1539" s="141"/>
      <c r="M1539" s="141"/>
      <c r="N1539" s="141"/>
      <c r="O1539" s="141"/>
      <c r="P1539" s="141"/>
      <c r="Q1539" s="141"/>
      <c r="R1539" s="141"/>
      <c r="S1539" s="141"/>
      <c r="T1539" s="141"/>
      <c r="U1539" s="141"/>
      <c r="V1539" s="141"/>
      <c r="W1539" s="141"/>
      <c r="X1539" s="141"/>
      <c r="Y1539" s="141"/>
      <c r="Z1539" s="141"/>
    </row>
    <row r="1540">
      <c r="A1540" s="141"/>
      <c r="B1540" s="141"/>
      <c r="C1540" s="141"/>
      <c r="D1540" s="141"/>
      <c r="E1540" s="141"/>
      <c r="F1540" s="141"/>
      <c r="G1540" s="141"/>
      <c r="H1540" s="141"/>
      <c r="I1540" s="141"/>
      <c r="J1540" s="141"/>
      <c r="K1540" s="141"/>
      <c r="L1540" s="141"/>
      <c r="M1540" s="141"/>
      <c r="N1540" s="141"/>
      <c r="O1540" s="141"/>
      <c r="P1540" s="141"/>
      <c r="Q1540" s="141"/>
      <c r="R1540" s="141"/>
      <c r="S1540" s="141"/>
      <c r="T1540" s="141"/>
      <c r="U1540" s="141"/>
      <c r="V1540" s="141"/>
      <c r="W1540" s="141"/>
      <c r="X1540" s="141"/>
      <c r="Y1540" s="141"/>
      <c r="Z1540" s="141"/>
    </row>
    <row r="1541">
      <c r="A1541" s="141"/>
      <c r="B1541" s="141"/>
      <c r="C1541" s="141"/>
      <c r="D1541" s="141"/>
      <c r="E1541" s="141"/>
      <c r="F1541" s="141"/>
      <c r="G1541" s="141"/>
      <c r="H1541" s="141"/>
      <c r="I1541" s="141"/>
      <c r="J1541" s="141"/>
      <c r="K1541" s="141"/>
      <c r="L1541" s="141"/>
      <c r="M1541" s="141"/>
      <c r="N1541" s="141"/>
      <c r="O1541" s="141"/>
      <c r="P1541" s="141"/>
      <c r="Q1541" s="141"/>
      <c r="R1541" s="141"/>
      <c r="S1541" s="141"/>
      <c r="T1541" s="141"/>
      <c r="U1541" s="141"/>
      <c r="V1541" s="141"/>
      <c r="W1541" s="141"/>
      <c r="X1541" s="141"/>
      <c r="Y1541" s="141"/>
      <c r="Z1541" s="141"/>
    </row>
    <row r="1542">
      <c r="A1542" s="141"/>
      <c r="B1542" s="141"/>
      <c r="C1542" s="141"/>
      <c r="D1542" s="141"/>
      <c r="E1542" s="141"/>
      <c r="F1542" s="141"/>
      <c r="G1542" s="141"/>
      <c r="H1542" s="141"/>
      <c r="I1542" s="141"/>
      <c r="J1542" s="141"/>
      <c r="K1542" s="141"/>
      <c r="L1542" s="141"/>
      <c r="M1542" s="141"/>
      <c r="N1542" s="141"/>
      <c r="O1542" s="141"/>
      <c r="P1542" s="141"/>
      <c r="Q1542" s="141"/>
      <c r="R1542" s="141"/>
      <c r="S1542" s="141"/>
      <c r="T1542" s="141"/>
      <c r="U1542" s="141"/>
      <c r="V1542" s="141"/>
      <c r="W1542" s="141"/>
      <c r="X1542" s="141"/>
      <c r="Y1542" s="141"/>
      <c r="Z1542" s="141"/>
    </row>
    <row r="1543">
      <c r="A1543" s="141"/>
      <c r="B1543" s="141"/>
      <c r="C1543" s="141"/>
      <c r="D1543" s="141"/>
      <c r="E1543" s="141"/>
      <c r="F1543" s="141"/>
      <c r="G1543" s="141"/>
      <c r="H1543" s="141"/>
      <c r="I1543" s="141"/>
      <c r="J1543" s="141"/>
      <c r="K1543" s="141"/>
      <c r="L1543" s="141"/>
      <c r="M1543" s="141"/>
      <c r="N1543" s="141"/>
      <c r="O1543" s="141"/>
      <c r="P1543" s="141"/>
      <c r="Q1543" s="141"/>
      <c r="R1543" s="141"/>
      <c r="S1543" s="141"/>
      <c r="T1543" s="141"/>
      <c r="U1543" s="141"/>
      <c r="V1543" s="141"/>
      <c r="W1543" s="141"/>
      <c r="X1543" s="141"/>
      <c r="Y1543" s="141"/>
      <c r="Z1543" s="141"/>
    </row>
    <row r="1544">
      <c r="A1544" s="141"/>
      <c r="B1544" s="141"/>
      <c r="C1544" s="141"/>
      <c r="D1544" s="141"/>
      <c r="E1544" s="141"/>
      <c r="F1544" s="141"/>
      <c r="G1544" s="141"/>
      <c r="H1544" s="141"/>
      <c r="I1544" s="141"/>
      <c r="J1544" s="141"/>
      <c r="K1544" s="141"/>
      <c r="L1544" s="141"/>
      <c r="M1544" s="141"/>
      <c r="N1544" s="141"/>
      <c r="O1544" s="141"/>
      <c r="P1544" s="141"/>
      <c r="Q1544" s="141"/>
      <c r="R1544" s="141"/>
      <c r="S1544" s="141"/>
      <c r="T1544" s="141"/>
      <c r="U1544" s="141"/>
      <c r="V1544" s="141"/>
      <c r="W1544" s="141"/>
      <c r="X1544" s="141"/>
      <c r="Y1544" s="141"/>
      <c r="Z1544" s="141"/>
    </row>
    <row r="1545">
      <c r="A1545" s="141"/>
      <c r="B1545" s="141"/>
      <c r="C1545" s="141"/>
      <c r="D1545" s="141"/>
      <c r="E1545" s="141"/>
      <c r="F1545" s="141"/>
      <c r="G1545" s="141"/>
      <c r="H1545" s="141"/>
      <c r="I1545" s="141"/>
      <c r="J1545" s="141"/>
      <c r="K1545" s="141"/>
      <c r="L1545" s="141"/>
      <c r="M1545" s="141"/>
      <c r="N1545" s="141"/>
      <c r="O1545" s="141"/>
      <c r="P1545" s="141"/>
      <c r="Q1545" s="141"/>
      <c r="R1545" s="141"/>
      <c r="S1545" s="141"/>
      <c r="T1545" s="141"/>
      <c r="U1545" s="141"/>
      <c r="V1545" s="141"/>
      <c r="W1545" s="141"/>
      <c r="X1545" s="141"/>
      <c r="Y1545" s="141"/>
      <c r="Z1545" s="141"/>
    </row>
    <row r="1546">
      <c r="A1546" s="141"/>
      <c r="B1546" s="141"/>
      <c r="C1546" s="141"/>
      <c r="D1546" s="141"/>
      <c r="E1546" s="141"/>
      <c r="F1546" s="141"/>
      <c r="G1546" s="141"/>
      <c r="H1546" s="141"/>
      <c r="I1546" s="141"/>
      <c r="J1546" s="141"/>
      <c r="K1546" s="141"/>
      <c r="L1546" s="141"/>
      <c r="M1546" s="141"/>
      <c r="N1546" s="141"/>
      <c r="O1546" s="141"/>
      <c r="P1546" s="141"/>
      <c r="Q1546" s="141"/>
      <c r="R1546" s="141"/>
      <c r="S1546" s="141"/>
      <c r="T1546" s="141"/>
      <c r="U1546" s="141"/>
      <c r="V1546" s="141"/>
      <c r="W1546" s="141"/>
      <c r="X1546" s="141"/>
      <c r="Y1546" s="141"/>
      <c r="Z1546" s="141"/>
    </row>
    <row r="1547">
      <c r="A1547" s="141"/>
      <c r="B1547" s="141"/>
      <c r="C1547" s="141"/>
      <c r="D1547" s="141"/>
      <c r="E1547" s="141"/>
      <c r="F1547" s="141"/>
      <c r="G1547" s="141"/>
      <c r="H1547" s="141"/>
      <c r="I1547" s="141"/>
      <c r="J1547" s="141"/>
      <c r="K1547" s="141"/>
      <c r="L1547" s="141"/>
      <c r="M1547" s="141"/>
      <c r="N1547" s="141"/>
      <c r="O1547" s="141"/>
      <c r="P1547" s="141"/>
      <c r="Q1547" s="141"/>
      <c r="R1547" s="141"/>
      <c r="S1547" s="141"/>
      <c r="T1547" s="141"/>
      <c r="U1547" s="141"/>
      <c r="V1547" s="141"/>
      <c r="W1547" s="141"/>
      <c r="X1547" s="141"/>
      <c r="Y1547" s="141"/>
      <c r="Z1547" s="141"/>
    </row>
    <row r="1548">
      <c r="A1548" s="141"/>
      <c r="B1548" s="141"/>
      <c r="C1548" s="141"/>
      <c r="D1548" s="141"/>
      <c r="E1548" s="141"/>
      <c r="F1548" s="141"/>
      <c r="G1548" s="141"/>
      <c r="H1548" s="141"/>
      <c r="I1548" s="141"/>
      <c r="J1548" s="141"/>
      <c r="K1548" s="141"/>
      <c r="L1548" s="141"/>
      <c r="M1548" s="141"/>
      <c r="N1548" s="141"/>
      <c r="O1548" s="141"/>
      <c r="P1548" s="141"/>
      <c r="Q1548" s="141"/>
      <c r="R1548" s="141"/>
      <c r="S1548" s="141"/>
      <c r="T1548" s="141"/>
      <c r="U1548" s="141"/>
      <c r="V1548" s="141"/>
      <c r="W1548" s="141"/>
      <c r="X1548" s="141"/>
      <c r="Y1548" s="141"/>
      <c r="Z1548" s="141"/>
    </row>
    <row r="1549">
      <c r="A1549" s="141"/>
      <c r="B1549" s="141"/>
      <c r="C1549" s="141"/>
      <c r="D1549" s="141"/>
      <c r="E1549" s="141"/>
      <c r="F1549" s="141"/>
      <c r="G1549" s="141"/>
      <c r="H1549" s="141"/>
      <c r="I1549" s="141"/>
      <c r="J1549" s="141"/>
      <c r="K1549" s="141"/>
      <c r="L1549" s="141"/>
      <c r="M1549" s="141"/>
      <c r="N1549" s="141"/>
      <c r="O1549" s="141"/>
      <c r="P1549" s="141"/>
      <c r="Q1549" s="141"/>
      <c r="R1549" s="141"/>
      <c r="S1549" s="141"/>
      <c r="T1549" s="141"/>
      <c r="U1549" s="141"/>
      <c r="V1549" s="141"/>
      <c r="W1549" s="141"/>
      <c r="X1549" s="141"/>
      <c r="Y1549" s="141"/>
      <c r="Z1549" s="141"/>
    </row>
    <row r="1550">
      <c r="A1550" s="141"/>
      <c r="B1550" s="141"/>
      <c r="C1550" s="141"/>
      <c r="D1550" s="141"/>
      <c r="E1550" s="141"/>
      <c r="F1550" s="141"/>
      <c r="G1550" s="141"/>
      <c r="H1550" s="141"/>
      <c r="I1550" s="141"/>
      <c r="J1550" s="141"/>
      <c r="K1550" s="141"/>
      <c r="L1550" s="141"/>
      <c r="M1550" s="141"/>
      <c r="N1550" s="141"/>
      <c r="O1550" s="141"/>
      <c r="P1550" s="141"/>
      <c r="Q1550" s="141"/>
      <c r="R1550" s="141"/>
      <c r="S1550" s="141"/>
      <c r="T1550" s="141"/>
      <c r="U1550" s="141"/>
      <c r="V1550" s="141"/>
      <c r="W1550" s="141"/>
      <c r="X1550" s="141"/>
      <c r="Y1550" s="141"/>
      <c r="Z1550" s="141"/>
    </row>
    <row r="1551">
      <c r="A1551" s="141"/>
      <c r="B1551" s="141"/>
      <c r="C1551" s="141"/>
      <c r="D1551" s="141"/>
      <c r="E1551" s="141"/>
      <c r="F1551" s="141"/>
      <c r="G1551" s="141"/>
      <c r="H1551" s="141"/>
      <c r="I1551" s="141"/>
      <c r="J1551" s="141"/>
      <c r="K1551" s="141"/>
      <c r="L1551" s="141"/>
      <c r="M1551" s="141"/>
      <c r="N1551" s="141"/>
      <c r="O1551" s="141"/>
      <c r="P1551" s="141"/>
      <c r="Q1551" s="141"/>
      <c r="R1551" s="141"/>
      <c r="S1551" s="141"/>
      <c r="T1551" s="141"/>
      <c r="U1551" s="141"/>
      <c r="V1551" s="141"/>
      <c r="W1551" s="141"/>
      <c r="X1551" s="141"/>
      <c r="Y1551" s="141"/>
      <c r="Z1551" s="141"/>
    </row>
    <row r="1552">
      <c r="A1552" s="141"/>
      <c r="B1552" s="141"/>
      <c r="C1552" s="141"/>
      <c r="D1552" s="141"/>
      <c r="E1552" s="141"/>
      <c r="F1552" s="141"/>
      <c r="G1552" s="141"/>
      <c r="H1552" s="141"/>
      <c r="I1552" s="141"/>
      <c r="J1552" s="141"/>
      <c r="K1552" s="141"/>
      <c r="L1552" s="141"/>
      <c r="M1552" s="141"/>
      <c r="N1552" s="141"/>
      <c r="O1552" s="141"/>
      <c r="P1552" s="141"/>
      <c r="Q1552" s="141"/>
      <c r="R1552" s="141"/>
      <c r="S1552" s="141"/>
      <c r="T1552" s="141"/>
      <c r="U1552" s="141"/>
      <c r="V1552" s="141"/>
      <c r="W1552" s="141"/>
      <c r="X1552" s="141"/>
      <c r="Y1552" s="141"/>
      <c r="Z1552" s="141"/>
    </row>
    <row r="1553">
      <c r="A1553" s="141"/>
      <c r="B1553" s="141"/>
      <c r="C1553" s="141"/>
      <c r="D1553" s="141"/>
      <c r="E1553" s="141"/>
      <c r="F1553" s="141"/>
      <c r="G1553" s="141"/>
      <c r="H1553" s="141"/>
      <c r="I1553" s="141"/>
      <c r="J1553" s="141"/>
      <c r="K1553" s="141"/>
      <c r="L1553" s="141"/>
      <c r="M1553" s="141"/>
      <c r="N1553" s="141"/>
      <c r="O1553" s="141"/>
      <c r="P1553" s="141"/>
      <c r="Q1553" s="141"/>
      <c r="R1553" s="141"/>
      <c r="S1553" s="141"/>
      <c r="T1553" s="141"/>
      <c r="U1553" s="141"/>
      <c r="V1553" s="141"/>
      <c r="W1553" s="141"/>
      <c r="X1553" s="141"/>
      <c r="Y1553" s="141"/>
      <c r="Z1553" s="141"/>
    </row>
    <row r="1554">
      <c r="A1554" s="141"/>
      <c r="B1554" s="141"/>
      <c r="C1554" s="141"/>
      <c r="D1554" s="141"/>
      <c r="E1554" s="141"/>
      <c r="F1554" s="141"/>
      <c r="G1554" s="141"/>
      <c r="H1554" s="141"/>
      <c r="I1554" s="141"/>
      <c r="J1554" s="141"/>
      <c r="K1554" s="141"/>
      <c r="L1554" s="141"/>
      <c r="M1554" s="141"/>
      <c r="N1554" s="141"/>
      <c r="O1554" s="141"/>
      <c r="P1554" s="141"/>
      <c r="Q1554" s="141"/>
      <c r="R1554" s="141"/>
      <c r="S1554" s="141"/>
      <c r="T1554" s="141"/>
      <c r="U1554" s="141"/>
      <c r="V1554" s="141"/>
      <c r="W1554" s="141"/>
      <c r="X1554" s="141"/>
      <c r="Y1554" s="141"/>
      <c r="Z1554" s="141"/>
    </row>
    <row r="1555">
      <c r="A1555" s="141"/>
      <c r="B1555" s="141"/>
      <c r="C1555" s="141"/>
      <c r="D1555" s="141"/>
      <c r="E1555" s="141"/>
      <c r="F1555" s="141"/>
      <c r="G1555" s="141"/>
      <c r="H1555" s="141"/>
      <c r="I1555" s="141"/>
      <c r="J1555" s="141"/>
      <c r="K1555" s="141"/>
      <c r="L1555" s="141"/>
      <c r="M1555" s="141"/>
      <c r="N1555" s="141"/>
      <c r="O1555" s="141"/>
      <c r="P1555" s="141"/>
      <c r="Q1555" s="141"/>
      <c r="R1555" s="141"/>
      <c r="S1555" s="141"/>
      <c r="T1555" s="141"/>
      <c r="U1555" s="141"/>
      <c r="V1555" s="141"/>
      <c r="W1555" s="141"/>
      <c r="X1555" s="141"/>
      <c r="Y1555" s="141"/>
      <c r="Z1555" s="141"/>
    </row>
    <row r="1556">
      <c r="A1556" s="141"/>
      <c r="B1556" s="141"/>
      <c r="C1556" s="141"/>
      <c r="D1556" s="141"/>
      <c r="E1556" s="141"/>
      <c r="F1556" s="141"/>
      <c r="G1556" s="141"/>
      <c r="H1556" s="141"/>
      <c r="I1556" s="141"/>
      <c r="J1556" s="141"/>
      <c r="K1556" s="141"/>
      <c r="L1556" s="141"/>
      <c r="M1556" s="141"/>
      <c r="N1556" s="141"/>
      <c r="O1556" s="141"/>
      <c r="P1556" s="141"/>
      <c r="Q1556" s="141"/>
      <c r="R1556" s="141"/>
      <c r="S1556" s="141"/>
      <c r="T1556" s="141"/>
      <c r="U1556" s="141"/>
      <c r="V1556" s="141"/>
      <c r="W1556" s="141"/>
      <c r="X1556" s="141"/>
      <c r="Y1556" s="141"/>
      <c r="Z1556" s="141"/>
    </row>
    <row r="1557">
      <c r="A1557" s="141"/>
      <c r="B1557" s="141"/>
      <c r="C1557" s="141"/>
      <c r="D1557" s="141"/>
      <c r="E1557" s="141"/>
      <c r="F1557" s="141"/>
      <c r="G1557" s="141"/>
      <c r="H1557" s="141"/>
      <c r="I1557" s="141"/>
      <c r="J1557" s="141"/>
      <c r="K1557" s="141"/>
      <c r="L1557" s="141"/>
      <c r="M1557" s="141"/>
      <c r="N1557" s="141"/>
      <c r="O1557" s="141"/>
      <c r="P1557" s="141"/>
      <c r="Q1557" s="141"/>
      <c r="R1557" s="141"/>
      <c r="S1557" s="141"/>
      <c r="T1557" s="141"/>
      <c r="U1557" s="141"/>
      <c r="V1557" s="141"/>
      <c r="W1557" s="141"/>
      <c r="X1557" s="141"/>
      <c r="Y1557" s="141"/>
      <c r="Z1557" s="141"/>
    </row>
    <row r="1558">
      <c r="A1558" s="141"/>
      <c r="B1558" s="141"/>
      <c r="C1558" s="141"/>
      <c r="D1558" s="141"/>
      <c r="E1558" s="141"/>
      <c r="F1558" s="141"/>
      <c r="G1558" s="141"/>
      <c r="H1558" s="141"/>
      <c r="I1558" s="141"/>
      <c r="J1558" s="141"/>
      <c r="K1558" s="141"/>
      <c r="L1558" s="141"/>
      <c r="M1558" s="141"/>
      <c r="N1558" s="141"/>
      <c r="O1558" s="141"/>
      <c r="P1558" s="141"/>
      <c r="Q1558" s="141"/>
      <c r="R1558" s="141"/>
      <c r="S1558" s="141"/>
      <c r="T1558" s="141"/>
      <c r="U1558" s="141"/>
      <c r="V1558" s="141"/>
      <c r="W1558" s="141"/>
      <c r="X1558" s="141"/>
      <c r="Y1558" s="141"/>
      <c r="Z1558" s="141"/>
    </row>
    <row r="1559">
      <c r="A1559" s="141"/>
      <c r="B1559" s="141"/>
      <c r="C1559" s="141"/>
      <c r="D1559" s="141"/>
      <c r="E1559" s="141"/>
      <c r="F1559" s="141"/>
      <c r="G1559" s="141"/>
      <c r="H1559" s="141"/>
      <c r="I1559" s="141"/>
      <c r="J1559" s="141"/>
      <c r="K1559" s="141"/>
      <c r="L1559" s="141"/>
      <c r="M1559" s="141"/>
      <c r="N1559" s="141"/>
      <c r="O1559" s="141"/>
      <c r="P1559" s="141"/>
      <c r="Q1559" s="141"/>
      <c r="R1559" s="141"/>
      <c r="S1559" s="141"/>
      <c r="T1559" s="141"/>
      <c r="U1559" s="141"/>
      <c r="V1559" s="141"/>
      <c r="W1559" s="141"/>
      <c r="X1559" s="141"/>
      <c r="Y1559" s="141"/>
      <c r="Z1559" s="141"/>
    </row>
    <row r="1560">
      <c r="A1560" s="141"/>
      <c r="B1560" s="141"/>
      <c r="C1560" s="141"/>
      <c r="D1560" s="141"/>
      <c r="E1560" s="141"/>
      <c r="F1560" s="141"/>
      <c r="G1560" s="141"/>
      <c r="H1560" s="141"/>
      <c r="I1560" s="141"/>
      <c r="J1560" s="141"/>
      <c r="K1560" s="141"/>
      <c r="L1560" s="141"/>
      <c r="M1560" s="141"/>
      <c r="N1560" s="141"/>
      <c r="O1560" s="141"/>
      <c r="P1560" s="141"/>
      <c r="Q1560" s="141"/>
      <c r="R1560" s="141"/>
      <c r="S1560" s="141"/>
      <c r="T1560" s="141"/>
      <c r="U1560" s="141"/>
      <c r="V1560" s="141"/>
      <c r="W1560" s="141"/>
      <c r="X1560" s="141"/>
      <c r="Y1560" s="141"/>
      <c r="Z1560" s="141"/>
    </row>
    <row r="1561">
      <c r="A1561" s="141"/>
      <c r="B1561" s="141"/>
      <c r="C1561" s="141"/>
      <c r="D1561" s="141"/>
      <c r="E1561" s="141"/>
      <c r="F1561" s="141"/>
      <c r="G1561" s="141"/>
      <c r="H1561" s="141"/>
      <c r="I1561" s="141"/>
      <c r="J1561" s="141"/>
      <c r="K1561" s="141"/>
      <c r="L1561" s="141"/>
      <c r="M1561" s="141"/>
      <c r="N1561" s="141"/>
      <c r="O1561" s="141"/>
      <c r="P1561" s="141"/>
      <c r="Q1561" s="141"/>
      <c r="R1561" s="141"/>
      <c r="S1561" s="141"/>
      <c r="T1561" s="141"/>
      <c r="U1561" s="141"/>
      <c r="V1561" s="141"/>
      <c r="W1561" s="141"/>
      <c r="X1561" s="141"/>
      <c r="Y1561" s="141"/>
      <c r="Z1561" s="141"/>
    </row>
    <row r="1562">
      <c r="A1562" s="141"/>
      <c r="B1562" s="141"/>
      <c r="C1562" s="141"/>
      <c r="D1562" s="141"/>
      <c r="E1562" s="141"/>
      <c r="F1562" s="141"/>
      <c r="G1562" s="141"/>
      <c r="H1562" s="141"/>
      <c r="I1562" s="141"/>
      <c r="J1562" s="141"/>
      <c r="K1562" s="141"/>
      <c r="L1562" s="141"/>
      <c r="M1562" s="141"/>
      <c r="N1562" s="141"/>
      <c r="O1562" s="141"/>
      <c r="P1562" s="141"/>
      <c r="Q1562" s="141"/>
      <c r="R1562" s="141"/>
      <c r="S1562" s="141"/>
      <c r="T1562" s="141"/>
      <c r="U1562" s="141"/>
      <c r="V1562" s="141"/>
      <c r="W1562" s="141"/>
      <c r="X1562" s="141"/>
      <c r="Y1562" s="141"/>
      <c r="Z1562" s="141"/>
    </row>
    <row r="1563">
      <c r="A1563" s="141"/>
      <c r="B1563" s="141"/>
      <c r="C1563" s="141"/>
      <c r="D1563" s="141"/>
      <c r="E1563" s="141"/>
      <c r="F1563" s="141"/>
      <c r="G1563" s="141"/>
      <c r="H1563" s="141"/>
      <c r="I1563" s="141"/>
      <c r="J1563" s="141"/>
      <c r="K1563" s="141"/>
      <c r="L1563" s="141"/>
      <c r="M1563" s="141"/>
      <c r="N1563" s="141"/>
      <c r="O1563" s="141"/>
      <c r="P1563" s="141"/>
      <c r="Q1563" s="141"/>
      <c r="R1563" s="141"/>
      <c r="S1563" s="141"/>
      <c r="T1563" s="141"/>
      <c r="U1563" s="141"/>
      <c r="V1563" s="141"/>
      <c r="W1563" s="141"/>
      <c r="X1563" s="141"/>
      <c r="Y1563" s="141"/>
      <c r="Z1563" s="141"/>
    </row>
    <row r="1564">
      <c r="A1564" s="141"/>
      <c r="B1564" s="141"/>
      <c r="C1564" s="141"/>
      <c r="D1564" s="141"/>
      <c r="E1564" s="141"/>
      <c r="F1564" s="141"/>
      <c r="G1564" s="141"/>
      <c r="H1564" s="141"/>
      <c r="I1564" s="141"/>
      <c r="J1564" s="141"/>
      <c r="K1564" s="141"/>
      <c r="L1564" s="141"/>
      <c r="M1564" s="141"/>
      <c r="N1564" s="141"/>
      <c r="O1564" s="141"/>
      <c r="P1564" s="141"/>
      <c r="Q1564" s="141"/>
      <c r="R1564" s="141"/>
      <c r="S1564" s="141"/>
      <c r="T1564" s="141"/>
      <c r="U1564" s="141"/>
      <c r="V1564" s="141"/>
      <c r="W1564" s="141"/>
      <c r="X1564" s="141"/>
      <c r="Y1564" s="141"/>
      <c r="Z1564" s="141"/>
    </row>
    <row r="1565">
      <c r="A1565" s="141"/>
      <c r="B1565" s="141"/>
      <c r="C1565" s="141"/>
      <c r="D1565" s="141"/>
      <c r="E1565" s="141"/>
      <c r="F1565" s="141"/>
      <c r="G1565" s="141"/>
      <c r="H1565" s="141"/>
      <c r="I1565" s="141"/>
      <c r="J1565" s="141"/>
      <c r="K1565" s="141"/>
      <c r="L1565" s="141"/>
      <c r="M1565" s="141"/>
      <c r="N1565" s="141"/>
      <c r="O1565" s="141"/>
      <c r="P1565" s="141"/>
      <c r="Q1565" s="141"/>
      <c r="R1565" s="141"/>
      <c r="S1565" s="141"/>
      <c r="T1565" s="141"/>
      <c r="U1565" s="141"/>
      <c r="V1565" s="141"/>
      <c r="W1565" s="141"/>
      <c r="X1565" s="141"/>
      <c r="Y1565" s="141"/>
      <c r="Z1565" s="141"/>
    </row>
    <row r="1566">
      <c r="A1566" s="141"/>
      <c r="B1566" s="141"/>
      <c r="C1566" s="141"/>
      <c r="D1566" s="141"/>
      <c r="E1566" s="141"/>
      <c r="F1566" s="141"/>
      <c r="G1566" s="141"/>
      <c r="H1566" s="141"/>
      <c r="I1566" s="141"/>
      <c r="J1566" s="141"/>
      <c r="K1566" s="141"/>
      <c r="L1566" s="141"/>
      <c r="M1566" s="141"/>
      <c r="N1566" s="141"/>
      <c r="O1566" s="141"/>
      <c r="P1566" s="141"/>
      <c r="Q1566" s="141"/>
      <c r="R1566" s="141"/>
      <c r="S1566" s="141"/>
      <c r="T1566" s="141"/>
      <c r="U1566" s="141"/>
      <c r="V1566" s="141"/>
      <c r="W1566" s="141"/>
      <c r="X1566" s="141"/>
      <c r="Y1566" s="141"/>
      <c r="Z1566" s="141"/>
    </row>
    <row r="1567">
      <c r="A1567" s="141"/>
      <c r="B1567" s="141"/>
      <c r="C1567" s="141"/>
      <c r="D1567" s="141"/>
      <c r="E1567" s="141"/>
      <c r="F1567" s="141"/>
      <c r="G1567" s="141"/>
      <c r="H1567" s="141"/>
      <c r="I1567" s="141"/>
      <c r="J1567" s="141"/>
      <c r="K1567" s="141"/>
      <c r="L1567" s="141"/>
      <c r="M1567" s="141"/>
      <c r="N1567" s="141"/>
      <c r="O1567" s="141"/>
      <c r="P1567" s="141"/>
      <c r="Q1567" s="141"/>
      <c r="R1567" s="141"/>
      <c r="S1567" s="141"/>
      <c r="T1567" s="141"/>
      <c r="U1567" s="141"/>
      <c r="V1567" s="141"/>
      <c r="W1567" s="141"/>
      <c r="X1567" s="141"/>
      <c r="Y1567" s="141"/>
      <c r="Z1567" s="141"/>
    </row>
    <row r="1568">
      <c r="A1568" s="141"/>
      <c r="B1568" s="141"/>
      <c r="C1568" s="141"/>
      <c r="D1568" s="141"/>
      <c r="E1568" s="141"/>
      <c r="F1568" s="141"/>
      <c r="G1568" s="141"/>
      <c r="H1568" s="141"/>
      <c r="I1568" s="141"/>
      <c r="J1568" s="141"/>
      <c r="K1568" s="141"/>
      <c r="L1568" s="141"/>
      <c r="M1568" s="141"/>
      <c r="N1568" s="141"/>
      <c r="O1568" s="141"/>
      <c r="P1568" s="141"/>
      <c r="Q1568" s="141"/>
      <c r="R1568" s="141"/>
      <c r="S1568" s="141"/>
      <c r="T1568" s="141"/>
      <c r="U1568" s="141"/>
      <c r="V1568" s="141"/>
      <c r="W1568" s="141"/>
      <c r="X1568" s="141"/>
      <c r="Y1568" s="141"/>
      <c r="Z1568" s="141"/>
    </row>
    <row r="1569">
      <c r="A1569" s="141"/>
      <c r="B1569" s="141"/>
      <c r="C1569" s="141"/>
      <c r="D1569" s="141"/>
      <c r="E1569" s="141"/>
      <c r="F1569" s="141"/>
      <c r="G1569" s="141"/>
      <c r="H1569" s="141"/>
      <c r="I1569" s="141"/>
      <c r="J1569" s="141"/>
      <c r="K1569" s="141"/>
      <c r="L1569" s="141"/>
      <c r="M1569" s="141"/>
      <c r="N1569" s="141"/>
      <c r="O1569" s="141"/>
      <c r="P1569" s="141"/>
      <c r="Q1569" s="141"/>
      <c r="R1569" s="141"/>
      <c r="S1569" s="141"/>
      <c r="T1569" s="141"/>
      <c r="U1569" s="141"/>
      <c r="V1569" s="141"/>
      <c r="W1569" s="141"/>
      <c r="X1569" s="141"/>
      <c r="Y1569" s="141"/>
      <c r="Z1569" s="141"/>
    </row>
    <row r="1570">
      <c r="A1570" s="141"/>
      <c r="B1570" s="141"/>
      <c r="C1570" s="141"/>
      <c r="D1570" s="141"/>
      <c r="E1570" s="141"/>
      <c r="F1570" s="141"/>
      <c r="G1570" s="141"/>
      <c r="H1570" s="141"/>
      <c r="I1570" s="141"/>
      <c r="J1570" s="141"/>
      <c r="K1570" s="141"/>
      <c r="L1570" s="141"/>
      <c r="M1570" s="141"/>
      <c r="N1570" s="141"/>
      <c r="O1570" s="141"/>
      <c r="P1570" s="141"/>
      <c r="Q1570" s="141"/>
      <c r="R1570" s="141"/>
      <c r="S1570" s="141"/>
      <c r="T1570" s="141"/>
      <c r="U1570" s="141"/>
      <c r="V1570" s="141"/>
      <c r="W1570" s="141"/>
      <c r="X1570" s="141"/>
      <c r="Y1570" s="141"/>
      <c r="Z1570" s="141"/>
    </row>
    <row r="1571">
      <c r="A1571" s="141"/>
      <c r="B1571" s="141"/>
      <c r="C1571" s="141"/>
      <c r="D1571" s="141"/>
      <c r="E1571" s="141"/>
      <c r="F1571" s="141"/>
      <c r="G1571" s="141"/>
      <c r="H1571" s="141"/>
      <c r="I1571" s="141"/>
      <c r="J1571" s="141"/>
      <c r="K1571" s="141"/>
      <c r="L1571" s="141"/>
      <c r="M1571" s="141"/>
      <c r="N1571" s="141"/>
      <c r="O1571" s="141"/>
      <c r="P1571" s="141"/>
      <c r="Q1571" s="141"/>
      <c r="R1571" s="141"/>
      <c r="S1571" s="141"/>
      <c r="T1571" s="141"/>
      <c r="U1571" s="141"/>
      <c r="V1571" s="141"/>
      <c r="W1571" s="141"/>
      <c r="X1571" s="141"/>
      <c r="Y1571" s="141"/>
      <c r="Z1571" s="141"/>
    </row>
    <row r="1572">
      <c r="A1572" s="141"/>
      <c r="B1572" s="141"/>
      <c r="C1572" s="141"/>
      <c r="D1572" s="141"/>
      <c r="E1572" s="141"/>
      <c r="F1572" s="141"/>
      <c r="G1572" s="141"/>
      <c r="H1572" s="141"/>
      <c r="I1572" s="141"/>
      <c r="J1572" s="141"/>
      <c r="K1572" s="141"/>
      <c r="L1572" s="141"/>
      <c r="M1572" s="141"/>
      <c r="N1572" s="141"/>
      <c r="O1572" s="141"/>
      <c r="P1572" s="141"/>
      <c r="Q1572" s="141"/>
      <c r="R1572" s="141"/>
      <c r="S1572" s="141"/>
      <c r="T1572" s="141"/>
      <c r="U1572" s="141"/>
      <c r="V1572" s="141"/>
      <c r="W1572" s="141"/>
      <c r="X1572" s="141"/>
      <c r="Y1572" s="141"/>
      <c r="Z1572" s="141"/>
    </row>
    <row r="1573">
      <c r="A1573" s="141"/>
      <c r="B1573" s="141"/>
      <c r="C1573" s="141"/>
      <c r="D1573" s="141"/>
      <c r="E1573" s="141"/>
      <c r="F1573" s="141"/>
      <c r="G1573" s="141"/>
      <c r="H1573" s="141"/>
      <c r="I1573" s="141"/>
      <c r="J1573" s="141"/>
      <c r="K1573" s="141"/>
      <c r="L1573" s="141"/>
      <c r="M1573" s="141"/>
      <c r="N1573" s="141"/>
      <c r="O1573" s="141"/>
      <c r="P1573" s="141"/>
      <c r="Q1573" s="141"/>
      <c r="R1573" s="141"/>
      <c r="S1573" s="141"/>
      <c r="T1573" s="141"/>
      <c r="U1573" s="141"/>
      <c r="V1573" s="141"/>
      <c r="W1573" s="141"/>
      <c r="X1573" s="141"/>
      <c r="Y1573" s="141"/>
      <c r="Z1573" s="141"/>
    </row>
    <row r="1574">
      <c r="A1574" s="141"/>
      <c r="B1574" s="141"/>
      <c r="C1574" s="141"/>
      <c r="D1574" s="141"/>
      <c r="E1574" s="141"/>
      <c r="F1574" s="141"/>
      <c r="G1574" s="141"/>
      <c r="H1574" s="141"/>
      <c r="I1574" s="141"/>
      <c r="J1574" s="141"/>
      <c r="K1574" s="141"/>
      <c r="L1574" s="141"/>
      <c r="M1574" s="141"/>
      <c r="N1574" s="141"/>
      <c r="O1574" s="141"/>
      <c r="P1574" s="141"/>
      <c r="Q1574" s="141"/>
      <c r="R1574" s="141"/>
      <c r="S1574" s="141"/>
      <c r="T1574" s="141"/>
      <c r="U1574" s="141"/>
      <c r="V1574" s="141"/>
      <c r="W1574" s="141"/>
      <c r="X1574" s="141"/>
      <c r="Y1574" s="141"/>
      <c r="Z1574" s="141"/>
    </row>
    <row r="1575">
      <c r="A1575" s="141"/>
      <c r="B1575" s="141"/>
      <c r="C1575" s="141"/>
      <c r="D1575" s="141"/>
      <c r="E1575" s="141"/>
      <c r="F1575" s="141"/>
      <c r="G1575" s="141"/>
      <c r="H1575" s="141"/>
      <c r="I1575" s="141"/>
      <c r="J1575" s="141"/>
      <c r="K1575" s="141"/>
      <c r="L1575" s="141"/>
      <c r="M1575" s="141"/>
      <c r="N1575" s="141"/>
      <c r="O1575" s="141"/>
      <c r="P1575" s="141"/>
      <c r="Q1575" s="141"/>
      <c r="R1575" s="141"/>
      <c r="S1575" s="141"/>
      <c r="T1575" s="141"/>
      <c r="U1575" s="141"/>
      <c r="V1575" s="141"/>
      <c r="W1575" s="141"/>
      <c r="X1575" s="141"/>
      <c r="Y1575" s="141"/>
      <c r="Z1575" s="141"/>
    </row>
    <row r="1576">
      <c r="A1576" s="141"/>
      <c r="B1576" s="141"/>
      <c r="C1576" s="141"/>
      <c r="D1576" s="141"/>
      <c r="E1576" s="141"/>
      <c r="F1576" s="141"/>
      <c r="G1576" s="141"/>
      <c r="H1576" s="141"/>
      <c r="I1576" s="141"/>
      <c r="J1576" s="141"/>
      <c r="K1576" s="141"/>
      <c r="L1576" s="141"/>
      <c r="M1576" s="141"/>
      <c r="N1576" s="141"/>
      <c r="O1576" s="141"/>
      <c r="P1576" s="141"/>
      <c r="Q1576" s="141"/>
      <c r="R1576" s="141"/>
      <c r="S1576" s="141"/>
      <c r="T1576" s="141"/>
      <c r="U1576" s="141"/>
      <c r="V1576" s="141"/>
      <c r="W1576" s="141"/>
      <c r="X1576" s="141"/>
      <c r="Y1576" s="141"/>
      <c r="Z1576" s="141"/>
    </row>
    <row r="1577">
      <c r="A1577" s="141"/>
      <c r="B1577" s="141"/>
      <c r="C1577" s="141"/>
      <c r="D1577" s="141"/>
      <c r="E1577" s="141"/>
      <c r="F1577" s="141"/>
      <c r="G1577" s="141"/>
      <c r="H1577" s="141"/>
      <c r="I1577" s="141"/>
      <c r="J1577" s="141"/>
      <c r="K1577" s="141"/>
      <c r="L1577" s="141"/>
      <c r="M1577" s="141"/>
      <c r="N1577" s="141"/>
      <c r="O1577" s="141"/>
      <c r="P1577" s="141"/>
      <c r="Q1577" s="141"/>
      <c r="R1577" s="141"/>
      <c r="S1577" s="141"/>
      <c r="T1577" s="141"/>
      <c r="U1577" s="141"/>
      <c r="V1577" s="141"/>
      <c r="W1577" s="141"/>
      <c r="X1577" s="141"/>
      <c r="Y1577" s="141"/>
      <c r="Z1577" s="141"/>
    </row>
    <row r="1578">
      <c r="A1578" s="141"/>
      <c r="B1578" s="141"/>
      <c r="C1578" s="141"/>
      <c r="D1578" s="141"/>
      <c r="E1578" s="141"/>
      <c r="F1578" s="141"/>
      <c r="G1578" s="141"/>
      <c r="H1578" s="141"/>
      <c r="I1578" s="141"/>
      <c r="J1578" s="141"/>
      <c r="K1578" s="141"/>
      <c r="L1578" s="141"/>
      <c r="M1578" s="141"/>
      <c r="N1578" s="141"/>
      <c r="O1578" s="141"/>
      <c r="P1578" s="141"/>
      <c r="Q1578" s="141"/>
      <c r="R1578" s="141"/>
      <c r="S1578" s="141"/>
      <c r="T1578" s="141"/>
      <c r="U1578" s="141"/>
      <c r="V1578" s="141"/>
      <c r="W1578" s="141"/>
      <c r="X1578" s="141"/>
      <c r="Y1578" s="141"/>
      <c r="Z1578" s="141"/>
    </row>
    <row r="1579">
      <c r="A1579" s="141"/>
      <c r="B1579" s="141"/>
      <c r="C1579" s="141"/>
      <c r="D1579" s="141"/>
      <c r="E1579" s="141"/>
      <c r="F1579" s="141"/>
      <c r="G1579" s="141"/>
      <c r="H1579" s="141"/>
      <c r="I1579" s="141"/>
      <c r="J1579" s="141"/>
      <c r="K1579" s="141"/>
      <c r="L1579" s="141"/>
      <c r="M1579" s="141"/>
      <c r="N1579" s="141"/>
      <c r="O1579" s="141"/>
      <c r="P1579" s="141"/>
      <c r="Q1579" s="141"/>
      <c r="R1579" s="141"/>
      <c r="S1579" s="141"/>
      <c r="T1579" s="141"/>
      <c r="U1579" s="141"/>
      <c r="V1579" s="141"/>
      <c r="W1579" s="141"/>
      <c r="X1579" s="141"/>
      <c r="Y1579" s="141"/>
      <c r="Z1579" s="141"/>
    </row>
    <row r="1580">
      <c r="A1580" s="141"/>
      <c r="B1580" s="141"/>
      <c r="C1580" s="141"/>
      <c r="D1580" s="141"/>
      <c r="E1580" s="141"/>
      <c r="F1580" s="141"/>
      <c r="G1580" s="141"/>
      <c r="H1580" s="141"/>
      <c r="I1580" s="141"/>
      <c r="J1580" s="141"/>
      <c r="K1580" s="141"/>
      <c r="L1580" s="141"/>
      <c r="M1580" s="141"/>
      <c r="N1580" s="141"/>
      <c r="O1580" s="141"/>
      <c r="P1580" s="141"/>
      <c r="Q1580" s="141"/>
      <c r="R1580" s="141"/>
      <c r="S1580" s="141"/>
      <c r="T1580" s="141"/>
      <c r="U1580" s="141"/>
      <c r="V1580" s="141"/>
      <c r="W1580" s="141"/>
      <c r="X1580" s="141"/>
      <c r="Y1580" s="141"/>
      <c r="Z1580" s="141"/>
    </row>
    <row r="1581">
      <c r="A1581" s="141"/>
      <c r="B1581" s="141"/>
      <c r="C1581" s="141"/>
      <c r="D1581" s="141"/>
      <c r="E1581" s="141"/>
      <c r="F1581" s="141"/>
      <c r="G1581" s="141"/>
      <c r="H1581" s="141"/>
      <c r="I1581" s="141"/>
      <c r="J1581" s="141"/>
      <c r="K1581" s="141"/>
      <c r="L1581" s="141"/>
      <c r="M1581" s="141"/>
      <c r="N1581" s="141"/>
      <c r="O1581" s="141"/>
      <c r="P1581" s="141"/>
      <c r="Q1581" s="141"/>
      <c r="R1581" s="141"/>
      <c r="S1581" s="141"/>
      <c r="T1581" s="141"/>
      <c r="U1581" s="141"/>
      <c r="V1581" s="141"/>
      <c r="W1581" s="141"/>
      <c r="X1581" s="141"/>
      <c r="Y1581" s="141"/>
      <c r="Z1581" s="141"/>
    </row>
    <row r="1582">
      <c r="A1582" s="141"/>
      <c r="B1582" s="141"/>
      <c r="C1582" s="141"/>
      <c r="D1582" s="141"/>
      <c r="E1582" s="141"/>
      <c r="F1582" s="141"/>
      <c r="G1582" s="141"/>
      <c r="H1582" s="141"/>
      <c r="I1582" s="141"/>
      <c r="J1582" s="141"/>
      <c r="K1582" s="141"/>
      <c r="L1582" s="141"/>
      <c r="M1582" s="141"/>
      <c r="N1582" s="141"/>
      <c r="O1582" s="141"/>
      <c r="P1582" s="141"/>
      <c r="Q1582" s="141"/>
      <c r="R1582" s="141"/>
      <c r="S1582" s="141"/>
      <c r="T1582" s="141"/>
      <c r="U1582" s="141"/>
      <c r="V1582" s="141"/>
      <c r="W1582" s="141"/>
      <c r="X1582" s="141"/>
      <c r="Y1582" s="141"/>
      <c r="Z1582" s="141"/>
    </row>
    <row r="1583">
      <c r="A1583" s="141"/>
      <c r="B1583" s="141"/>
      <c r="C1583" s="141"/>
      <c r="D1583" s="141"/>
      <c r="E1583" s="141"/>
      <c r="F1583" s="141"/>
      <c r="G1583" s="141"/>
      <c r="H1583" s="141"/>
      <c r="I1583" s="141"/>
      <c r="J1583" s="141"/>
      <c r="K1583" s="141"/>
      <c r="L1583" s="141"/>
      <c r="M1583" s="141"/>
      <c r="N1583" s="141"/>
      <c r="O1583" s="141"/>
      <c r="P1583" s="141"/>
      <c r="Q1583" s="141"/>
      <c r="R1583" s="141"/>
      <c r="S1583" s="141"/>
      <c r="T1583" s="141"/>
      <c r="U1583" s="141"/>
      <c r="V1583" s="141"/>
      <c r="W1583" s="141"/>
      <c r="X1583" s="141"/>
      <c r="Y1583" s="141"/>
      <c r="Z1583" s="141"/>
    </row>
    <row r="1584">
      <c r="A1584" s="141"/>
      <c r="B1584" s="141"/>
      <c r="C1584" s="141"/>
      <c r="D1584" s="141"/>
      <c r="E1584" s="141"/>
      <c r="F1584" s="141"/>
      <c r="G1584" s="141"/>
      <c r="H1584" s="141"/>
      <c r="I1584" s="141"/>
      <c r="J1584" s="141"/>
      <c r="K1584" s="141"/>
      <c r="L1584" s="141"/>
      <c r="M1584" s="141"/>
      <c r="N1584" s="141"/>
      <c r="O1584" s="141"/>
      <c r="P1584" s="141"/>
      <c r="Q1584" s="141"/>
      <c r="R1584" s="141"/>
      <c r="S1584" s="141"/>
      <c r="T1584" s="141"/>
      <c r="U1584" s="141"/>
      <c r="V1584" s="141"/>
      <c r="W1584" s="141"/>
      <c r="X1584" s="141"/>
      <c r="Y1584" s="141"/>
      <c r="Z1584" s="141"/>
    </row>
    <row r="1585">
      <c r="A1585" s="141"/>
      <c r="B1585" s="141"/>
      <c r="C1585" s="141"/>
      <c r="D1585" s="141"/>
      <c r="E1585" s="141"/>
      <c r="F1585" s="141"/>
      <c r="G1585" s="141"/>
      <c r="H1585" s="141"/>
      <c r="I1585" s="141"/>
      <c r="J1585" s="141"/>
      <c r="K1585" s="141"/>
      <c r="L1585" s="141"/>
      <c r="M1585" s="141"/>
      <c r="N1585" s="141"/>
      <c r="O1585" s="141"/>
      <c r="P1585" s="141"/>
      <c r="Q1585" s="141"/>
      <c r="R1585" s="141"/>
      <c r="S1585" s="141"/>
      <c r="T1585" s="141"/>
      <c r="U1585" s="141"/>
      <c r="V1585" s="141"/>
      <c r="W1585" s="141"/>
      <c r="X1585" s="141"/>
      <c r="Y1585" s="141"/>
      <c r="Z1585" s="141"/>
    </row>
    <row r="1586">
      <c r="A1586" s="141"/>
      <c r="B1586" s="141"/>
      <c r="C1586" s="141"/>
      <c r="D1586" s="141"/>
      <c r="E1586" s="141"/>
      <c r="F1586" s="141"/>
      <c r="G1586" s="141"/>
      <c r="H1586" s="141"/>
      <c r="I1586" s="141"/>
      <c r="J1586" s="141"/>
      <c r="K1586" s="141"/>
      <c r="L1586" s="141"/>
      <c r="M1586" s="141"/>
      <c r="N1586" s="141"/>
      <c r="O1586" s="141"/>
      <c r="P1586" s="141"/>
      <c r="Q1586" s="141"/>
      <c r="R1586" s="141"/>
      <c r="S1586" s="141"/>
      <c r="T1586" s="141"/>
      <c r="U1586" s="141"/>
      <c r="V1586" s="141"/>
      <c r="W1586" s="141"/>
      <c r="X1586" s="141"/>
      <c r="Y1586" s="141"/>
      <c r="Z1586" s="141"/>
    </row>
    <row r="1587">
      <c r="A1587" s="141"/>
      <c r="B1587" s="141"/>
      <c r="C1587" s="141"/>
      <c r="D1587" s="141"/>
      <c r="E1587" s="141"/>
      <c r="F1587" s="141"/>
      <c r="G1587" s="141"/>
      <c r="H1587" s="141"/>
      <c r="I1587" s="141"/>
      <c r="J1587" s="141"/>
      <c r="K1587" s="141"/>
      <c r="L1587" s="141"/>
      <c r="M1587" s="141"/>
      <c r="N1587" s="141"/>
      <c r="O1587" s="141"/>
      <c r="P1587" s="141"/>
      <c r="Q1587" s="141"/>
      <c r="R1587" s="141"/>
      <c r="S1587" s="141"/>
      <c r="T1587" s="141"/>
      <c r="U1587" s="141"/>
      <c r="V1587" s="141"/>
      <c r="W1587" s="141"/>
      <c r="X1587" s="141"/>
      <c r="Y1587" s="141"/>
      <c r="Z1587" s="141"/>
    </row>
    <row r="1588">
      <c r="A1588" s="141"/>
      <c r="B1588" s="141"/>
      <c r="C1588" s="141"/>
      <c r="D1588" s="141"/>
      <c r="E1588" s="141"/>
      <c r="F1588" s="141"/>
      <c r="G1588" s="141"/>
      <c r="H1588" s="141"/>
      <c r="I1588" s="141"/>
      <c r="J1588" s="141"/>
      <c r="K1588" s="141"/>
      <c r="L1588" s="141"/>
      <c r="M1588" s="141"/>
      <c r="N1588" s="141"/>
      <c r="O1588" s="141"/>
      <c r="P1588" s="141"/>
      <c r="Q1588" s="141"/>
      <c r="R1588" s="141"/>
      <c r="S1588" s="141"/>
      <c r="T1588" s="141"/>
      <c r="U1588" s="141"/>
      <c r="V1588" s="141"/>
      <c r="W1588" s="141"/>
      <c r="X1588" s="141"/>
      <c r="Y1588" s="141"/>
      <c r="Z1588" s="141"/>
    </row>
    <row r="1589">
      <c r="A1589" s="141"/>
      <c r="B1589" s="141"/>
      <c r="C1589" s="141"/>
      <c r="D1589" s="141"/>
      <c r="E1589" s="141"/>
      <c r="F1589" s="141"/>
      <c r="G1589" s="141"/>
      <c r="H1589" s="141"/>
      <c r="I1589" s="141"/>
      <c r="J1589" s="141"/>
      <c r="K1589" s="141"/>
      <c r="L1589" s="141"/>
      <c r="M1589" s="141"/>
      <c r="N1589" s="141"/>
      <c r="O1589" s="141"/>
      <c r="P1589" s="141"/>
      <c r="Q1589" s="141"/>
      <c r="R1589" s="141"/>
      <c r="S1589" s="141"/>
      <c r="T1589" s="141"/>
      <c r="U1589" s="141"/>
      <c r="V1589" s="141"/>
      <c r="W1589" s="141"/>
      <c r="X1589" s="141"/>
      <c r="Y1589" s="141"/>
      <c r="Z1589" s="141"/>
    </row>
    <row r="1590">
      <c r="A1590" s="141"/>
      <c r="B1590" s="141"/>
      <c r="C1590" s="141"/>
      <c r="D1590" s="141"/>
      <c r="E1590" s="141"/>
      <c r="F1590" s="141"/>
      <c r="G1590" s="141"/>
      <c r="H1590" s="141"/>
      <c r="I1590" s="141"/>
      <c r="J1590" s="141"/>
      <c r="K1590" s="141"/>
      <c r="L1590" s="141"/>
      <c r="M1590" s="141"/>
      <c r="N1590" s="141"/>
      <c r="O1590" s="141"/>
      <c r="P1590" s="141"/>
      <c r="Q1590" s="141"/>
      <c r="R1590" s="141"/>
      <c r="S1590" s="141"/>
      <c r="T1590" s="141"/>
      <c r="U1590" s="141"/>
      <c r="V1590" s="141"/>
      <c r="W1590" s="141"/>
      <c r="X1590" s="141"/>
      <c r="Y1590" s="141"/>
      <c r="Z1590" s="141"/>
    </row>
    <row r="1591">
      <c r="A1591" s="141"/>
      <c r="B1591" s="141"/>
      <c r="C1591" s="141"/>
      <c r="D1591" s="141"/>
      <c r="E1591" s="141"/>
      <c r="F1591" s="141"/>
      <c r="G1591" s="141"/>
      <c r="H1591" s="141"/>
      <c r="I1591" s="141"/>
      <c r="J1591" s="141"/>
      <c r="K1591" s="141"/>
      <c r="L1591" s="141"/>
      <c r="M1591" s="141"/>
      <c r="N1591" s="141"/>
      <c r="O1591" s="141"/>
      <c r="P1591" s="141"/>
      <c r="Q1591" s="141"/>
      <c r="R1591" s="141"/>
      <c r="S1591" s="141"/>
      <c r="T1591" s="141"/>
      <c r="U1591" s="141"/>
      <c r="V1591" s="141"/>
      <c r="W1591" s="141"/>
      <c r="X1591" s="141"/>
      <c r="Y1591" s="141"/>
      <c r="Z1591" s="141"/>
    </row>
    <row r="1592">
      <c r="A1592" s="141"/>
      <c r="B1592" s="141"/>
      <c r="C1592" s="141"/>
      <c r="D1592" s="141"/>
      <c r="E1592" s="141"/>
      <c r="F1592" s="141"/>
      <c r="G1592" s="141"/>
      <c r="H1592" s="141"/>
      <c r="I1592" s="141"/>
      <c r="J1592" s="141"/>
      <c r="K1592" s="141"/>
      <c r="L1592" s="141"/>
      <c r="M1592" s="141"/>
      <c r="N1592" s="141"/>
      <c r="O1592" s="141"/>
      <c r="P1592" s="141"/>
      <c r="Q1592" s="141"/>
      <c r="R1592" s="141"/>
      <c r="S1592" s="141"/>
      <c r="T1592" s="141"/>
      <c r="U1592" s="141"/>
      <c r="V1592" s="141"/>
      <c r="W1592" s="141"/>
      <c r="X1592" s="141"/>
      <c r="Y1592" s="141"/>
      <c r="Z1592" s="141"/>
    </row>
    <row r="1593">
      <c r="A1593" s="141"/>
      <c r="B1593" s="141"/>
      <c r="C1593" s="141"/>
      <c r="D1593" s="141"/>
      <c r="E1593" s="141"/>
      <c r="F1593" s="141"/>
      <c r="G1593" s="141"/>
      <c r="H1593" s="141"/>
      <c r="I1593" s="141"/>
      <c r="J1593" s="141"/>
      <c r="K1593" s="141"/>
      <c r="L1593" s="141"/>
      <c r="M1593" s="141"/>
      <c r="N1593" s="141"/>
      <c r="O1593" s="141"/>
      <c r="P1593" s="141"/>
      <c r="Q1593" s="141"/>
      <c r="R1593" s="141"/>
      <c r="S1593" s="141"/>
      <c r="T1593" s="141"/>
      <c r="U1593" s="141"/>
      <c r="V1593" s="141"/>
      <c r="W1593" s="141"/>
      <c r="X1593" s="141"/>
      <c r="Y1593" s="141"/>
      <c r="Z1593" s="141"/>
    </row>
    <row r="1594">
      <c r="A1594" s="141"/>
      <c r="B1594" s="141"/>
      <c r="C1594" s="141"/>
      <c r="D1594" s="141"/>
      <c r="E1594" s="141"/>
      <c r="F1594" s="141"/>
      <c r="G1594" s="141"/>
      <c r="H1594" s="141"/>
      <c r="I1594" s="141"/>
      <c r="J1594" s="141"/>
      <c r="K1594" s="141"/>
      <c r="L1594" s="141"/>
      <c r="M1594" s="141"/>
      <c r="N1594" s="141"/>
      <c r="O1594" s="141"/>
      <c r="P1594" s="141"/>
      <c r="Q1594" s="141"/>
      <c r="R1594" s="141"/>
      <c r="S1594" s="141"/>
      <c r="T1594" s="141"/>
      <c r="U1594" s="141"/>
      <c r="V1594" s="141"/>
      <c r="W1594" s="141"/>
      <c r="X1594" s="141"/>
      <c r="Y1594" s="141"/>
      <c r="Z1594" s="141"/>
    </row>
    <row r="1595">
      <c r="A1595" s="141"/>
      <c r="B1595" s="141"/>
      <c r="C1595" s="141"/>
      <c r="D1595" s="141"/>
      <c r="E1595" s="141"/>
      <c r="F1595" s="141"/>
      <c r="G1595" s="141"/>
      <c r="H1595" s="141"/>
      <c r="I1595" s="141"/>
      <c r="J1595" s="141"/>
      <c r="K1595" s="141"/>
      <c r="L1595" s="141"/>
      <c r="M1595" s="141"/>
      <c r="N1595" s="141"/>
      <c r="O1595" s="141"/>
      <c r="P1595" s="141"/>
      <c r="Q1595" s="141"/>
      <c r="R1595" s="141"/>
      <c r="S1595" s="141"/>
      <c r="T1595" s="141"/>
      <c r="U1595" s="141"/>
      <c r="V1595" s="141"/>
      <c r="W1595" s="141"/>
      <c r="X1595" s="141"/>
      <c r="Y1595" s="141"/>
      <c r="Z1595" s="141"/>
    </row>
    <row r="1596">
      <c r="A1596" s="141"/>
      <c r="B1596" s="141"/>
      <c r="C1596" s="141"/>
      <c r="D1596" s="141"/>
      <c r="E1596" s="141"/>
      <c r="F1596" s="141"/>
      <c r="G1596" s="141"/>
      <c r="H1596" s="141"/>
      <c r="I1596" s="141"/>
      <c r="J1596" s="141"/>
      <c r="K1596" s="141"/>
      <c r="L1596" s="141"/>
      <c r="M1596" s="141"/>
      <c r="N1596" s="141"/>
      <c r="O1596" s="141"/>
      <c r="P1596" s="141"/>
      <c r="Q1596" s="141"/>
      <c r="R1596" s="141"/>
      <c r="S1596" s="141"/>
      <c r="T1596" s="141"/>
      <c r="U1596" s="141"/>
      <c r="V1596" s="141"/>
      <c r="W1596" s="141"/>
      <c r="X1596" s="141"/>
      <c r="Y1596" s="141"/>
      <c r="Z1596" s="141"/>
    </row>
    <row r="1597">
      <c r="A1597" s="141"/>
      <c r="B1597" s="141"/>
      <c r="C1597" s="141"/>
      <c r="D1597" s="141"/>
      <c r="E1597" s="141"/>
      <c r="F1597" s="141"/>
      <c r="G1597" s="141"/>
      <c r="H1597" s="141"/>
      <c r="I1597" s="141"/>
      <c r="J1597" s="141"/>
      <c r="K1597" s="141"/>
      <c r="L1597" s="141"/>
      <c r="M1597" s="141"/>
      <c r="N1597" s="141"/>
      <c r="O1597" s="141"/>
      <c r="P1597" s="141"/>
      <c r="Q1597" s="141"/>
      <c r="R1597" s="141"/>
      <c r="S1597" s="141"/>
      <c r="T1597" s="141"/>
      <c r="U1597" s="141"/>
      <c r="V1597" s="141"/>
      <c r="W1597" s="141"/>
      <c r="X1597" s="141"/>
      <c r="Y1597" s="141"/>
      <c r="Z1597" s="141"/>
    </row>
    <row r="1598">
      <c r="A1598" s="141"/>
      <c r="B1598" s="141"/>
      <c r="C1598" s="141"/>
      <c r="D1598" s="141"/>
      <c r="E1598" s="141"/>
      <c r="F1598" s="141"/>
      <c r="G1598" s="141"/>
      <c r="H1598" s="141"/>
      <c r="I1598" s="141"/>
      <c r="J1598" s="141"/>
      <c r="K1598" s="141"/>
      <c r="L1598" s="141"/>
      <c r="M1598" s="141"/>
      <c r="N1598" s="141"/>
      <c r="O1598" s="141"/>
      <c r="P1598" s="141"/>
      <c r="Q1598" s="141"/>
      <c r="R1598" s="141"/>
      <c r="S1598" s="141"/>
      <c r="T1598" s="141"/>
      <c r="U1598" s="141"/>
      <c r="V1598" s="141"/>
      <c r="W1598" s="141"/>
      <c r="X1598" s="141"/>
      <c r="Y1598" s="141"/>
      <c r="Z1598" s="141"/>
    </row>
    <row r="1599">
      <c r="A1599" s="141"/>
      <c r="B1599" s="141"/>
      <c r="C1599" s="141"/>
      <c r="D1599" s="141"/>
      <c r="E1599" s="141"/>
      <c r="F1599" s="141"/>
      <c r="G1599" s="141"/>
      <c r="H1599" s="141"/>
      <c r="I1599" s="141"/>
      <c r="J1599" s="141"/>
      <c r="K1599" s="141"/>
      <c r="L1599" s="141"/>
      <c r="M1599" s="141"/>
      <c r="N1599" s="141"/>
      <c r="O1599" s="141"/>
      <c r="P1599" s="141"/>
      <c r="Q1599" s="141"/>
      <c r="R1599" s="141"/>
      <c r="S1599" s="141"/>
      <c r="T1599" s="141"/>
      <c r="U1599" s="141"/>
      <c r="V1599" s="141"/>
      <c r="W1599" s="141"/>
      <c r="X1599" s="141"/>
      <c r="Y1599" s="141"/>
      <c r="Z1599" s="141"/>
    </row>
    <row r="1600">
      <c r="A1600" s="141"/>
      <c r="B1600" s="141"/>
      <c r="C1600" s="141"/>
      <c r="D1600" s="141"/>
      <c r="E1600" s="141"/>
      <c r="F1600" s="141"/>
      <c r="G1600" s="141"/>
      <c r="H1600" s="141"/>
      <c r="I1600" s="141"/>
      <c r="J1600" s="141"/>
      <c r="K1600" s="141"/>
      <c r="L1600" s="141"/>
      <c r="M1600" s="141"/>
      <c r="N1600" s="141"/>
      <c r="O1600" s="141"/>
      <c r="P1600" s="141"/>
      <c r="Q1600" s="141"/>
      <c r="R1600" s="141"/>
      <c r="S1600" s="141"/>
      <c r="T1600" s="141"/>
      <c r="U1600" s="141"/>
      <c r="V1600" s="141"/>
      <c r="W1600" s="141"/>
      <c r="X1600" s="141"/>
      <c r="Y1600" s="141"/>
      <c r="Z1600" s="141"/>
    </row>
    <row r="1601">
      <c r="A1601" s="141"/>
      <c r="B1601" s="141"/>
      <c r="C1601" s="141"/>
      <c r="D1601" s="141"/>
      <c r="E1601" s="141"/>
      <c r="F1601" s="141"/>
      <c r="G1601" s="141"/>
      <c r="H1601" s="141"/>
      <c r="I1601" s="141"/>
      <c r="J1601" s="141"/>
      <c r="K1601" s="141"/>
      <c r="L1601" s="141"/>
      <c r="M1601" s="141"/>
      <c r="N1601" s="141"/>
      <c r="O1601" s="141"/>
      <c r="P1601" s="141"/>
      <c r="Q1601" s="141"/>
      <c r="R1601" s="141"/>
      <c r="S1601" s="141"/>
      <c r="T1601" s="141"/>
      <c r="U1601" s="141"/>
      <c r="V1601" s="141"/>
      <c r="W1601" s="141"/>
      <c r="X1601" s="141"/>
      <c r="Y1601" s="141"/>
      <c r="Z1601" s="141"/>
    </row>
    <row r="1602">
      <c r="A1602" s="141"/>
      <c r="B1602" s="141"/>
      <c r="C1602" s="141"/>
      <c r="D1602" s="141"/>
      <c r="E1602" s="141"/>
      <c r="F1602" s="141"/>
      <c r="G1602" s="141"/>
      <c r="H1602" s="141"/>
      <c r="I1602" s="141"/>
      <c r="J1602" s="141"/>
      <c r="K1602" s="141"/>
      <c r="L1602" s="141"/>
      <c r="M1602" s="141"/>
      <c r="N1602" s="141"/>
      <c r="O1602" s="141"/>
      <c r="P1602" s="141"/>
      <c r="Q1602" s="141"/>
      <c r="R1602" s="141"/>
      <c r="S1602" s="141"/>
      <c r="T1602" s="141"/>
      <c r="U1602" s="141"/>
      <c r="V1602" s="141"/>
      <c r="W1602" s="141"/>
      <c r="X1602" s="141"/>
      <c r="Y1602" s="141"/>
      <c r="Z1602" s="141"/>
    </row>
    <row r="1603">
      <c r="A1603" s="141"/>
      <c r="B1603" s="141"/>
      <c r="C1603" s="141"/>
      <c r="D1603" s="141"/>
      <c r="E1603" s="141"/>
      <c r="F1603" s="141"/>
      <c r="G1603" s="141"/>
      <c r="H1603" s="141"/>
      <c r="I1603" s="141"/>
      <c r="J1603" s="141"/>
      <c r="K1603" s="141"/>
      <c r="L1603" s="141"/>
      <c r="M1603" s="141"/>
      <c r="N1603" s="141"/>
      <c r="O1603" s="141"/>
      <c r="P1603" s="141"/>
      <c r="Q1603" s="141"/>
      <c r="R1603" s="141"/>
      <c r="S1603" s="141"/>
      <c r="T1603" s="141"/>
      <c r="U1603" s="141"/>
      <c r="V1603" s="141"/>
      <c r="W1603" s="141"/>
      <c r="X1603" s="141"/>
      <c r="Y1603" s="141"/>
      <c r="Z1603" s="141"/>
    </row>
    <row r="1604">
      <c r="A1604" s="141"/>
      <c r="B1604" s="141"/>
      <c r="C1604" s="141"/>
      <c r="D1604" s="141"/>
      <c r="E1604" s="141"/>
      <c r="F1604" s="141"/>
      <c r="G1604" s="141"/>
      <c r="H1604" s="141"/>
      <c r="I1604" s="141"/>
      <c r="J1604" s="141"/>
      <c r="K1604" s="141"/>
      <c r="L1604" s="141"/>
      <c r="M1604" s="141"/>
      <c r="N1604" s="141"/>
      <c r="O1604" s="141"/>
      <c r="P1604" s="141"/>
      <c r="Q1604" s="141"/>
      <c r="R1604" s="141"/>
      <c r="S1604" s="141"/>
      <c r="T1604" s="141"/>
      <c r="U1604" s="141"/>
      <c r="V1604" s="141"/>
      <c r="W1604" s="141"/>
      <c r="X1604" s="141"/>
      <c r="Y1604" s="141"/>
      <c r="Z1604" s="141"/>
    </row>
    <row r="1605">
      <c r="A1605" s="141"/>
      <c r="B1605" s="141"/>
      <c r="C1605" s="141"/>
      <c r="D1605" s="141"/>
      <c r="E1605" s="141"/>
      <c r="F1605" s="141"/>
      <c r="G1605" s="141"/>
      <c r="H1605" s="141"/>
      <c r="I1605" s="141"/>
      <c r="J1605" s="141"/>
      <c r="K1605" s="141"/>
      <c r="L1605" s="141"/>
      <c r="M1605" s="141"/>
      <c r="N1605" s="141"/>
      <c r="O1605" s="141"/>
      <c r="P1605" s="141"/>
      <c r="Q1605" s="141"/>
      <c r="R1605" s="141"/>
      <c r="S1605" s="141"/>
      <c r="T1605" s="141"/>
      <c r="U1605" s="141"/>
      <c r="V1605" s="141"/>
      <c r="W1605" s="141"/>
      <c r="X1605" s="141"/>
      <c r="Y1605" s="141"/>
      <c r="Z1605" s="141"/>
    </row>
    <row r="1606">
      <c r="A1606" s="141"/>
      <c r="B1606" s="141"/>
      <c r="C1606" s="141"/>
      <c r="D1606" s="141"/>
      <c r="E1606" s="141"/>
      <c r="F1606" s="141"/>
      <c r="G1606" s="141"/>
      <c r="H1606" s="141"/>
      <c r="I1606" s="141"/>
      <c r="J1606" s="141"/>
      <c r="K1606" s="141"/>
      <c r="L1606" s="141"/>
      <c r="M1606" s="141"/>
      <c r="N1606" s="141"/>
      <c r="O1606" s="141"/>
      <c r="P1606" s="141"/>
      <c r="Q1606" s="141"/>
      <c r="R1606" s="141"/>
      <c r="S1606" s="141"/>
      <c r="T1606" s="141"/>
      <c r="U1606" s="141"/>
      <c r="V1606" s="141"/>
      <c r="W1606" s="141"/>
      <c r="X1606" s="141"/>
      <c r="Y1606" s="141"/>
      <c r="Z1606" s="141"/>
    </row>
    <row r="1607">
      <c r="A1607" s="141"/>
      <c r="B1607" s="141"/>
      <c r="C1607" s="141"/>
      <c r="D1607" s="141"/>
      <c r="E1607" s="141"/>
      <c r="F1607" s="141"/>
      <c r="G1607" s="141"/>
      <c r="H1607" s="141"/>
      <c r="I1607" s="141"/>
      <c r="J1607" s="141"/>
      <c r="K1607" s="141"/>
      <c r="L1607" s="141"/>
      <c r="M1607" s="141"/>
      <c r="N1607" s="141"/>
      <c r="O1607" s="141"/>
      <c r="P1607" s="141"/>
      <c r="Q1607" s="141"/>
      <c r="R1607" s="141"/>
      <c r="S1607" s="141"/>
      <c r="T1607" s="141"/>
      <c r="U1607" s="141"/>
      <c r="V1607" s="141"/>
      <c r="W1607" s="141"/>
      <c r="X1607" s="141"/>
      <c r="Y1607" s="141"/>
      <c r="Z1607" s="141"/>
    </row>
    <row r="1608">
      <c r="A1608" s="141"/>
      <c r="B1608" s="141"/>
      <c r="C1608" s="141"/>
      <c r="D1608" s="141"/>
      <c r="E1608" s="141"/>
      <c r="F1608" s="141"/>
      <c r="G1608" s="141"/>
      <c r="H1608" s="141"/>
      <c r="I1608" s="141"/>
      <c r="J1608" s="141"/>
      <c r="K1608" s="141"/>
      <c r="L1608" s="141"/>
      <c r="M1608" s="141"/>
      <c r="N1608" s="141"/>
      <c r="O1608" s="141"/>
      <c r="P1608" s="141"/>
      <c r="Q1608" s="141"/>
      <c r="R1608" s="141"/>
      <c r="S1608" s="141"/>
      <c r="T1608" s="141"/>
      <c r="U1608" s="141"/>
      <c r="V1608" s="141"/>
      <c r="W1608" s="141"/>
      <c r="X1608" s="141"/>
      <c r="Y1608" s="141"/>
      <c r="Z1608" s="141"/>
    </row>
    <row r="1609">
      <c r="A1609" s="141"/>
      <c r="B1609" s="141"/>
      <c r="C1609" s="141"/>
      <c r="D1609" s="141"/>
      <c r="E1609" s="141"/>
      <c r="F1609" s="141"/>
      <c r="G1609" s="141"/>
      <c r="H1609" s="141"/>
      <c r="I1609" s="141"/>
      <c r="J1609" s="141"/>
      <c r="K1609" s="141"/>
      <c r="L1609" s="141"/>
      <c r="M1609" s="141"/>
      <c r="N1609" s="141"/>
      <c r="O1609" s="141"/>
      <c r="P1609" s="141"/>
      <c r="Q1609" s="141"/>
      <c r="R1609" s="141"/>
      <c r="S1609" s="141"/>
      <c r="T1609" s="141"/>
      <c r="U1609" s="141"/>
      <c r="V1609" s="141"/>
      <c r="W1609" s="141"/>
      <c r="X1609" s="141"/>
      <c r="Y1609" s="141"/>
      <c r="Z1609" s="141"/>
    </row>
    <row r="1610">
      <c r="A1610" s="141"/>
      <c r="B1610" s="141"/>
      <c r="C1610" s="141"/>
      <c r="D1610" s="141"/>
      <c r="E1610" s="141"/>
      <c r="F1610" s="141"/>
      <c r="G1610" s="141"/>
      <c r="H1610" s="141"/>
      <c r="I1610" s="141"/>
      <c r="J1610" s="141"/>
      <c r="K1610" s="141"/>
      <c r="L1610" s="141"/>
      <c r="M1610" s="141"/>
      <c r="N1610" s="141"/>
      <c r="O1610" s="141"/>
      <c r="P1610" s="141"/>
      <c r="Q1610" s="141"/>
      <c r="R1610" s="141"/>
      <c r="S1610" s="141"/>
      <c r="T1610" s="141"/>
      <c r="U1610" s="141"/>
      <c r="V1610" s="141"/>
      <c r="W1610" s="141"/>
      <c r="X1610" s="141"/>
      <c r="Y1610" s="141"/>
      <c r="Z1610" s="141"/>
    </row>
    <row r="1611">
      <c r="A1611" s="141"/>
      <c r="B1611" s="141"/>
      <c r="C1611" s="141"/>
      <c r="D1611" s="141"/>
      <c r="E1611" s="141"/>
      <c r="F1611" s="141"/>
      <c r="G1611" s="141"/>
      <c r="H1611" s="141"/>
      <c r="I1611" s="141"/>
      <c r="J1611" s="141"/>
      <c r="K1611" s="141"/>
      <c r="L1611" s="141"/>
      <c r="M1611" s="141"/>
      <c r="N1611" s="141"/>
      <c r="O1611" s="141"/>
      <c r="P1611" s="141"/>
      <c r="Q1611" s="141"/>
      <c r="R1611" s="141"/>
      <c r="S1611" s="141"/>
      <c r="T1611" s="141"/>
      <c r="U1611" s="141"/>
      <c r="V1611" s="141"/>
      <c r="W1611" s="141"/>
      <c r="X1611" s="141"/>
      <c r="Y1611" s="141"/>
      <c r="Z1611" s="141"/>
    </row>
    <row r="1612">
      <c r="A1612" s="141"/>
      <c r="B1612" s="141"/>
      <c r="C1612" s="141"/>
      <c r="D1612" s="141"/>
      <c r="E1612" s="141"/>
      <c r="F1612" s="141"/>
      <c r="G1612" s="141"/>
      <c r="H1612" s="141"/>
      <c r="I1612" s="141"/>
      <c r="J1612" s="141"/>
      <c r="K1612" s="141"/>
      <c r="L1612" s="141"/>
      <c r="M1612" s="141"/>
      <c r="N1612" s="141"/>
      <c r="O1612" s="141"/>
      <c r="P1612" s="141"/>
      <c r="Q1612" s="141"/>
      <c r="R1612" s="141"/>
      <c r="S1612" s="141"/>
      <c r="T1612" s="141"/>
      <c r="U1612" s="141"/>
      <c r="V1612" s="141"/>
      <c r="W1612" s="141"/>
      <c r="X1612" s="141"/>
      <c r="Y1612" s="141"/>
      <c r="Z1612" s="141"/>
    </row>
    <row r="1613">
      <c r="A1613" s="141"/>
      <c r="B1613" s="141"/>
      <c r="C1613" s="141"/>
      <c r="D1613" s="141"/>
      <c r="E1613" s="141"/>
      <c r="F1613" s="141"/>
      <c r="G1613" s="141"/>
      <c r="H1613" s="141"/>
      <c r="I1613" s="141"/>
      <c r="J1613" s="141"/>
      <c r="K1613" s="141"/>
      <c r="L1613" s="141"/>
      <c r="M1613" s="141"/>
      <c r="N1613" s="141"/>
      <c r="O1613" s="141"/>
      <c r="P1613" s="141"/>
      <c r="Q1613" s="141"/>
      <c r="R1613" s="141"/>
      <c r="S1613" s="141"/>
      <c r="T1613" s="141"/>
      <c r="U1613" s="141"/>
      <c r="V1613" s="141"/>
      <c r="W1613" s="141"/>
      <c r="X1613" s="141"/>
      <c r="Y1613" s="141"/>
      <c r="Z1613" s="141"/>
    </row>
    <row r="1614">
      <c r="A1614" s="141"/>
      <c r="B1614" s="141"/>
      <c r="C1614" s="141"/>
      <c r="D1614" s="141"/>
      <c r="E1614" s="141"/>
      <c r="F1614" s="141"/>
      <c r="G1614" s="141"/>
      <c r="H1614" s="141"/>
      <c r="I1614" s="141"/>
      <c r="J1614" s="141"/>
      <c r="K1614" s="141"/>
      <c r="L1614" s="141"/>
      <c r="M1614" s="141"/>
      <c r="N1614" s="141"/>
      <c r="O1614" s="141"/>
      <c r="P1614" s="141"/>
      <c r="Q1614" s="141"/>
      <c r="R1614" s="141"/>
      <c r="S1614" s="141"/>
      <c r="T1614" s="141"/>
      <c r="U1614" s="141"/>
      <c r="V1614" s="141"/>
      <c r="W1614" s="141"/>
      <c r="X1614" s="141"/>
      <c r="Y1614" s="141"/>
      <c r="Z1614" s="141"/>
    </row>
    <row r="1615">
      <c r="A1615" s="141"/>
      <c r="B1615" s="141"/>
      <c r="C1615" s="141"/>
      <c r="D1615" s="141"/>
      <c r="E1615" s="141"/>
      <c r="F1615" s="141"/>
      <c r="G1615" s="141"/>
      <c r="H1615" s="141"/>
      <c r="I1615" s="141"/>
      <c r="J1615" s="141"/>
      <c r="K1615" s="141"/>
      <c r="L1615" s="141"/>
      <c r="M1615" s="141"/>
      <c r="N1615" s="141"/>
      <c r="O1615" s="141"/>
      <c r="P1615" s="141"/>
      <c r="Q1615" s="141"/>
      <c r="R1615" s="141"/>
      <c r="S1615" s="141"/>
      <c r="T1615" s="141"/>
      <c r="U1615" s="141"/>
      <c r="V1615" s="141"/>
      <c r="W1615" s="141"/>
      <c r="X1615" s="141"/>
      <c r="Y1615" s="141"/>
      <c r="Z1615" s="141"/>
    </row>
    <row r="1616">
      <c r="A1616" s="141"/>
      <c r="B1616" s="141"/>
      <c r="C1616" s="141"/>
      <c r="D1616" s="141"/>
      <c r="E1616" s="141"/>
      <c r="F1616" s="141"/>
      <c r="G1616" s="141"/>
      <c r="H1616" s="141"/>
      <c r="I1616" s="141"/>
      <c r="J1616" s="141"/>
      <c r="K1616" s="141"/>
      <c r="L1616" s="141"/>
      <c r="M1616" s="141"/>
      <c r="N1616" s="141"/>
      <c r="O1616" s="141"/>
      <c r="P1616" s="141"/>
      <c r="Q1616" s="141"/>
      <c r="R1616" s="141"/>
      <c r="S1616" s="141"/>
      <c r="T1616" s="141"/>
      <c r="U1616" s="141"/>
      <c r="V1616" s="141"/>
      <c r="W1616" s="141"/>
      <c r="X1616" s="141"/>
      <c r="Y1616" s="141"/>
      <c r="Z1616" s="141"/>
    </row>
    <row r="1617">
      <c r="A1617" s="141"/>
      <c r="B1617" s="141"/>
      <c r="C1617" s="141"/>
      <c r="D1617" s="141"/>
      <c r="E1617" s="141"/>
      <c r="F1617" s="141"/>
      <c r="G1617" s="141"/>
      <c r="H1617" s="141"/>
      <c r="I1617" s="141"/>
      <c r="J1617" s="141"/>
      <c r="K1617" s="141"/>
      <c r="L1617" s="141"/>
      <c r="M1617" s="141"/>
      <c r="N1617" s="141"/>
      <c r="O1617" s="141"/>
      <c r="P1617" s="141"/>
      <c r="Q1617" s="141"/>
      <c r="R1617" s="141"/>
      <c r="S1617" s="141"/>
      <c r="T1617" s="141"/>
      <c r="U1617" s="141"/>
      <c r="V1617" s="141"/>
      <c r="W1617" s="141"/>
      <c r="X1617" s="141"/>
      <c r="Y1617" s="141"/>
      <c r="Z1617" s="141"/>
    </row>
    <row r="1618">
      <c r="A1618" s="141"/>
      <c r="B1618" s="141"/>
      <c r="C1618" s="141"/>
      <c r="D1618" s="141"/>
      <c r="E1618" s="141"/>
      <c r="F1618" s="141"/>
      <c r="G1618" s="141"/>
      <c r="H1618" s="141"/>
      <c r="I1618" s="141"/>
      <c r="J1618" s="141"/>
      <c r="K1618" s="141"/>
      <c r="L1618" s="141"/>
      <c r="M1618" s="141"/>
      <c r="N1618" s="141"/>
      <c r="O1618" s="141"/>
      <c r="P1618" s="141"/>
      <c r="Q1618" s="141"/>
      <c r="R1618" s="141"/>
      <c r="S1618" s="141"/>
      <c r="T1618" s="141"/>
      <c r="U1618" s="141"/>
      <c r="V1618" s="141"/>
      <c r="W1618" s="141"/>
      <c r="X1618" s="141"/>
      <c r="Y1618" s="141"/>
      <c r="Z1618" s="141"/>
    </row>
    <row r="1619">
      <c r="A1619" s="141"/>
      <c r="B1619" s="141"/>
      <c r="C1619" s="141"/>
      <c r="D1619" s="141"/>
      <c r="E1619" s="141"/>
      <c r="F1619" s="141"/>
      <c r="G1619" s="141"/>
      <c r="H1619" s="141"/>
      <c r="I1619" s="141"/>
      <c r="J1619" s="141"/>
      <c r="K1619" s="141"/>
      <c r="L1619" s="141"/>
      <c r="M1619" s="141"/>
      <c r="N1619" s="141"/>
      <c r="O1619" s="141"/>
      <c r="P1619" s="141"/>
      <c r="Q1619" s="141"/>
      <c r="R1619" s="141"/>
      <c r="S1619" s="141"/>
      <c r="T1619" s="141"/>
      <c r="U1619" s="141"/>
      <c r="V1619" s="141"/>
      <c r="W1619" s="141"/>
      <c r="X1619" s="141"/>
      <c r="Y1619" s="141"/>
      <c r="Z1619" s="141"/>
    </row>
    <row r="1620">
      <c r="A1620" s="141"/>
      <c r="B1620" s="141"/>
      <c r="C1620" s="141"/>
      <c r="D1620" s="141"/>
      <c r="E1620" s="141"/>
      <c r="F1620" s="141"/>
      <c r="G1620" s="141"/>
      <c r="H1620" s="141"/>
      <c r="I1620" s="141"/>
      <c r="J1620" s="141"/>
      <c r="K1620" s="141"/>
      <c r="L1620" s="141"/>
      <c r="M1620" s="141"/>
      <c r="N1620" s="141"/>
      <c r="O1620" s="141"/>
      <c r="P1620" s="141"/>
      <c r="Q1620" s="141"/>
      <c r="R1620" s="141"/>
      <c r="S1620" s="141"/>
      <c r="T1620" s="141"/>
      <c r="U1620" s="141"/>
      <c r="V1620" s="141"/>
      <c r="W1620" s="141"/>
      <c r="X1620" s="141"/>
      <c r="Y1620" s="141"/>
      <c r="Z1620" s="141"/>
    </row>
    <row r="1621">
      <c r="A1621" s="141"/>
      <c r="B1621" s="141"/>
      <c r="C1621" s="141"/>
      <c r="D1621" s="141"/>
      <c r="E1621" s="141"/>
      <c r="F1621" s="141"/>
      <c r="G1621" s="141"/>
      <c r="H1621" s="141"/>
      <c r="I1621" s="141"/>
      <c r="J1621" s="141"/>
      <c r="K1621" s="141"/>
      <c r="L1621" s="141"/>
      <c r="M1621" s="141"/>
      <c r="N1621" s="141"/>
      <c r="O1621" s="141"/>
      <c r="P1621" s="141"/>
      <c r="Q1621" s="141"/>
      <c r="R1621" s="141"/>
      <c r="S1621" s="141"/>
      <c r="T1621" s="141"/>
      <c r="U1621" s="141"/>
      <c r="V1621" s="141"/>
      <c r="W1621" s="141"/>
      <c r="X1621" s="141"/>
      <c r="Y1621" s="141"/>
      <c r="Z1621" s="141"/>
    </row>
    <row r="1622">
      <c r="A1622" s="141"/>
      <c r="B1622" s="141"/>
      <c r="C1622" s="141"/>
      <c r="D1622" s="141"/>
      <c r="E1622" s="141"/>
      <c r="F1622" s="141"/>
      <c r="G1622" s="141"/>
      <c r="H1622" s="141"/>
      <c r="I1622" s="141"/>
      <c r="J1622" s="141"/>
      <c r="K1622" s="141"/>
      <c r="L1622" s="141"/>
      <c r="M1622" s="141"/>
      <c r="N1622" s="141"/>
      <c r="O1622" s="141"/>
      <c r="P1622" s="141"/>
      <c r="Q1622" s="141"/>
      <c r="R1622" s="141"/>
      <c r="S1622" s="141"/>
      <c r="T1622" s="141"/>
      <c r="U1622" s="141"/>
      <c r="V1622" s="141"/>
      <c r="W1622" s="141"/>
      <c r="X1622" s="141"/>
      <c r="Y1622" s="141"/>
      <c r="Z1622" s="141"/>
    </row>
    <row r="1623">
      <c r="A1623" s="141"/>
      <c r="B1623" s="141"/>
      <c r="C1623" s="141"/>
      <c r="D1623" s="141"/>
      <c r="E1623" s="141"/>
      <c r="F1623" s="141"/>
      <c r="G1623" s="141"/>
      <c r="H1623" s="141"/>
      <c r="I1623" s="141"/>
      <c r="J1623" s="141"/>
      <c r="K1623" s="141"/>
      <c r="L1623" s="141"/>
      <c r="M1623" s="141"/>
      <c r="N1623" s="141"/>
      <c r="O1623" s="141"/>
      <c r="P1623" s="141"/>
      <c r="Q1623" s="141"/>
      <c r="R1623" s="141"/>
      <c r="S1623" s="141"/>
      <c r="T1623" s="141"/>
      <c r="U1623" s="141"/>
      <c r="V1623" s="141"/>
      <c r="W1623" s="141"/>
      <c r="X1623" s="141"/>
      <c r="Y1623" s="141"/>
      <c r="Z1623" s="141"/>
    </row>
    <row r="1624">
      <c r="A1624" s="141"/>
      <c r="B1624" s="141"/>
      <c r="C1624" s="141"/>
      <c r="D1624" s="141"/>
      <c r="E1624" s="141"/>
      <c r="F1624" s="141"/>
      <c r="G1624" s="141"/>
      <c r="H1624" s="141"/>
      <c r="I1624" s="141"/>
      <c r="J1624" s="141"/>
      <c r="K1624" s="141"/>
      <c r="L1624" s="141"/>
      <c r="M1624" s="141"/>
      <c r="N1624" s="141"/>
      <c r="O1624" s="141"/>
      <c r="P1624" s="141"/>
      <c r="Q1624" s="141"/>
      <c r="R1624" s="141"/>
      <c r="S1624" s="141"/>
      <c r="T1624" s="141"/>
      <c r="U1624" s="141"/>
      <c r="V1624" s="141"/>
      <c r="W1624" s="141"/>
      <c r="X1624" s="141"/>
      <c r="Y1624" s="141"/>
      <c r="Z1624" s="141"/>
    </row>
    <row r="1625">
      <c r="A1625" s="141"/>
      <c r="B1625" s="141"/>
      <c r="C1625" s="141"/>
      <c r="D1625" s="141"/>
      <c r="E1625" s="141"/>
      <c r="F1625" s="141"/>
      <c r="G1625" s="141"/>
      <c r="H1625" s="141"/>
      <c r="I1625" s="141"/>
      <c r="J1625" s="141"/>
      <c r="K1625" s="141"/>
      <c r="L1625" s="141"/>
      <c r="M1625" s="141"/>
      <c r="N1625" s="141"/>
      <c r="O1625" s="141"/>
      <c r="P1625" s="141"/>
      <c r="Q1625" s="141"/>
      <c r="R1625" s="141"/>
      <c r="S1625" s="141"/>
      <c r="T1625" s="141"/>
      <c r="U1625" s="141"/>
      <c r="V1625" s="141"/>
      <c r="W1625" s="141"/>
      <c r="X1625" s="141"/>
      <c r="Y1625" s="141"/>
      <c r="Z1625" s="141"/>
    </row>
    <row r="1626">
      <c r="A1626" s="141"/>
      <c r="B1626" s="141"/>
      <c r="C1626" s="141"/>
      <c r="D1626" s="141"/>
      <c r="E1626" s="141"/>
      <c r="F1626" s="141"/>
      <c r="G1626" s="141"/>
      <c r="H1626" s="141"/>
      <c r="I1626" s="141"/>
      <c r="J1626" s="141"/>
      <c r="K1626" s="141"/>
      <c r="L1626" s="141"/>
      <c r="M1626" s="141"/>
      <c r="N1626" s="141"/>
      <c r="O1626" s="141"/>
      <c r="P1626" s="141"/>
      <c r="Q1626" s="141"/>
      <c r="R1626" s="141"/>
      <c r="S1626" s="141"/>
      <c r="T1626" s="141"/>
      <c r="U1626" s="141"/>
      <c r="V1626" s="141"/>
      <c r="W1626" s="141"/>
      <c r="X1626" s="141"/>
      <c r="Y1626" s="141"/>
      <c r="Z1626" s="141"/>
    </row>
    <row r="1627">
      <c r="A1627" s="141"/>
      <c r="B1627" s="141"/>
      <c r="C1627" s="141"/>
      <c r="D1627" s="141"/>
      <c r="E1627" s="141"/>
      <c r="F1627" s="141"/>
      <c r="G1627" s="141"/>
      <c r="H1627" s="141"/>
      <c r="I1627" s="141"/>
      <c r="J1627" s="141"/>
      <c r="K1627" s="141"/>
      <c r="L1627" s="141"/>
      <c r="M1627" s="141"/>
      <c r="N1627" s="141"/>
      <c r="O1627" s="141"/>
      <c r="P1627" s="141"/>
      <c r="Q1627" s="141"/>
      <c r="R1627" s="141"/>
      <c r="S1627" s="141"/>
      <c r="T1627" s="141"/>
      <c r="U1627" s="141"/>
      <c r="V1627" s="141"/>
      <c r="W1627" s="141"/>
      <c r="X1627" s="141"/>
      <c r="Y1627" s="141"/>
      <c r="Z1627" s="141"/>
    </row>
    <row r="1628">
      <c r="A1628" s="141"/>
      <c r="B1628" s="141"/>
      <c r="C1628" s="141"/>
      <c r="D1628" s="141"/>
      <c r="E1628" s="141"/>
      <c r="F1628" s="141"/>
      <c r="G1628" s="141"/>
      <c r="H1628" s="141"/>
      <c r="I1628" s="141"/>
      <c r="J1628" s="141"/>
      <c r="K1628" s="141"/>
      <c r="L1628" s="141"/>
      <c r="M1628" s="141"/>
      <c r="N1628" s="141"/>
      <c r="O1628" s="141"/>
      <c r="P1628" s="141"/>
      <c r="Q1628" s="141"/>
      <c r="R1628" s="141"/>
      <c r="S1628" s="141"/>
      <c r="T1628" s="141"/>
      <c r="U1628" s="141"/>
      <c r="V1628" s="141"/>
      <c r="W1628" s="141"/>
      <c r="X1628" s="141"/>
      <c r="Y1628" s="141"/>
      <c r="Z1628" s="141"/>
    </row>
    <row r="1629">
      <c r="A1629" s="141"/>
      <c r="B1629" s="141"/>
      <c r="C1629" s="141"/>
      <c r="D1629" s="141"/>
      <c r="E1629" s="141"/>
      <c r="F1629" s="141"/>
      <c r="G1629" s="141"/>
      <c r="H1629" s="141"/>
      <c r="I1629" s="141"/>
      <c r="J1629" s="141"/>
      <c r="K1629" s="141"/>
      <c r="L1629" s="141"/>
      <c r="M1629" s="141"/>
      <c r="N1629" s="141"/>
      <c r="O1629" s="141"/>
      <c r="P1629" s="141"/>
      <c r="Q1629" s="141"/>
      <c r="R1629" s="141"/>
      <c r="S1629" s="141"/>
      <c r="T1629" s="141"/>
      <c r="U1629" s="141"/>
      <c r="V1629" s="141"/>
      <c r="W1629" s="141"/>
      <c r="X1629" s="141"/>
      <c r="Y1629" s="141"/>
      <c r="Z1629" s="141"/>
    </row>
    <row r="1630">
      <c r="A1630" s="141"/>
      <c r="B1630" s="141"/>
      <c r="C1630" s="141"/>
      <c r="D1630" s="141"/>
      <c r="E1630" s="141"/>
      <c r="F1630" s="141"/>
      <c r="G1630" s="141"/>
      <c r="H1630" s="141"/>
      <c r="I1630" s="141"/>
      <c r="J1630" s="141"/>
      <c r="K1630" s="141"/>
      <c r="L1630" s="141"/>
      <c r="M1630" s="141"/>
      <c r="N1630" s="141"/>
      <c r="O1630" s="141"/>
      <c r="P1630" s="141"/>
      <c r="Q1630" s="141"/>
      <c r="R1630" s="141"/>
      <c r="S1630" s="141"/>
      <c r="T1630" s="141"/>
      <c r="U1630" s="141"/>
      <c r="V1630" s="141"/>
      <c r="W1630" s="141"/>
      <c r="X1630" s="141"/>
      <c r="Y1630" s="141"/>
      <c r="Z1630" s="141"/>
    </row>
    <row r="1631">
      <c r="A1631" s="141"/>
      <c r="B1631" s="141"/>
      <c r="C1631" s="141"/>
      <c r="D1631" s="141"/>
      <c r="E1631" s="141"/>
      <c r="F1631" s="141"/>
      <c r="G1631" s="141"/>
      <c r="H1631" s="141"/>
      <c r="I1631" s="141"/>
      <c r="J1631" s="141"/>
      <c r="K1631" s="141"/>
      <c r="L1631" s="141"/>
      <c r="M1631" s="141"/>
      <c r="N1631" s="141"/>
      <c r="O1631" s="141"/>
      <c r="P1631" s="141"/>
      <c r="Q1631" s="141"/>
      <c r="R1631" s="141"/>
      <c r="S1631" s="141"/>
      <c r="T1631" s="141"/>
      <c r="U1631" s="141"/>
      <c r="V1631" s="141"/>
      <c r="W1631" s="141"/>
      <c r="X1631" s="141"/>
      <c r="Y1631" s="141"/>
      <c r="Z1631" s="141"/>
    </row>
    <row r="1632">
      <c r="A1632" s="141"/>
      <c r="B1632" s="141"/>
      <c r="C1632" s="141"/>
      <c r="D1632" s="141"/>
      <c r="E1632" s="141"/>
      <c r="F1632" s="141"/>
      <c r="G1632" s="141"/>
      <c r="H1632" s="141"/>
      <c r="I1632" s="141"/>
      <c r="J1632" s="141"/>
      <c r="K1632" s="141"/>
      <c r="L1632" s="141"/>
      <c r="M1632" s="141"/>
      <c r="N1632" s="141"/>
      <c r="O1632" s="141"/>
      <c r="P1632" s="141"/>
      <c r="Q1632" s="141"/>
      <c r="R1632" s="141"/>
      <c r="S1632" s="141"/>
      <c r="T1632" s="141"/>
      <c r="U1632" s="141"/>
      <c r="V1632" s="141"/>
      <c r="W1632" s="141"/>
      <c r="X1632" s="141"/>
      <c r="Y1632" s="141"/>
      <c r="Z1632" s="141"/>
    </row>
    <row r="1633">
      <c r="A1633" s="141"/>
      <c r="B1633" s="141"/>
      <c r="C1633" s="141"/>
      <c r="D1633" s="141"/>
      <c r="E1633" s="141"/>
      <c r="F1633" s="141"/>
      <c r="G1633" s="141"/>
      <c r="H1633" s="141"/>
      <c r="I1633" s="141"/>
      <c r="J1633" s="141"/>
      <c r="K1633" s="141"/>
      <c r="L1633" s="141"/>
      <c r="M1633" s="141"/>
      <c r="N1633" s="141"/>
      <c r="O1633" s="141"/>
      <c r="P1633" s="141"/>
      <c r="Q1633" s="141"/>
      <c r="R1633" s="141"/>
      <c r="S1633" s="141"/>
      <c r="T1633" s="141"/>
      <c r="U1633" s="141"/>
      <c r="V1633" s="141"/>
      <c r="W1633" s="141"/>
      <c r="X1633" s="141"/>
      <c r="Y1633" s="141"/>
      <c r="Z1633" s="141"/>
    </row>
    <row r="1634">
      <c r="A1634" s="141"/>
      <c r="B1634" s="141"/>
      <c r="C1634" s="141"/>
      <c r="D1634" s="141"/>
      <c r="E1634" s="141"/>
      <c r="F1634" s="141"/>
      <c r="G1634" s="141"/>
      <c r="H1634" s="141"/>
      <c r="I1634" s="141"/>
      <c r="J1634" s="141"/>
      <c r="K1634" s="141"/>
      <c r="L1634" s="141"/>
      <c r="M1634" s="141"/>
      <c r="N1634" s="141"/>
      <c r="O1634" s="141"/>
      <c r="P1634" s="141"/>
      <c r="Q1634" s="141"/>
      <c r="R1634" s="141"/>
      <c r="S1634" s="141"/>
      <c r="T1634" s="141"/>
      <c r="U1634" s="141"/>
      <c r="V1634" s="141"/>
      <c r="W1634" s="141"/>
      <c r="X1634" s="141"/>
      <c r="Y1634" s="141"/>
      <c r="Z1634" s="141"/>
    </row>
    <row r="1635">
      <c r="A1635" s="141"/>
      <c r="B1635" s="141"/>
      <c r="C1635" s="141"/>
      <c r="D1635" s="141"/>
      <c r="E1635" s="141"/>
      <c r="F1635" s="141"/>
      <c r="G1635" s="141"/>
      <c r="H1635" s="141"/>
      <c r="I1635" s="141"/>
      <c r="J1635" s="141"/>
      <c r="K1635" s="141"/>
      <c r="L1635" s="141"/>
      <c r="M1635" s="141"/>
      <c r="N1635" s="141"/>
      <c r="O1635" s="141"/>
      <c r="P1635" s="141"/>
      <c r="Q1635" s="141"/>
      <c r="R1635" s="141"/>
      <c r="S1635" s="141"/>
      <c r="T1635" s="141"/>
      <c r="U1635" s="141"/>
      <c r="V1635" s="141"/>
      <c r="W1635" s="141"/>
      <c r="X1635" s="141"/>
      <c r="Y1635" s="141"/>
      <c r="Z1635" s="141"/>
    </row>
    <row r="1636">
      <c r="A1636" s="141"/>
      <c r="B1636" s="141"/>
      <c r="C1636" s="141"/>
      <c r="D1636" s="141"/>
      <c r="E1636" s="141"/>
      <c r="F1636" s="141"/>
      <c r="G1636" s="141"/>
      <c r="H1636" s="141"/>
      <c r="I1636" s="141"/>
      <c r="J1636" s="141"/>
      <c r="K1636" s="141"/>
      <c r="L1636" s="141"/>
      <c r="M1636" s="141"/>
      <c r="N1636" s="141"/>
      <c r="O1636" s="141"/>
      <c r="P1636" s="141"/>
      <c r="Q1636" s="141"/>
      <c r="R1636" s="141"/>
      <c r="S1636" s="141"/>
      <c r="T1636" s="141"/>
      <c r="U1636" s="141"/>
      <c r="V1636" s="141"/>
      <c r="W1636" s="141"/>
      <c r="X1636" s="141"/>
      <c r="Y1636" s="141"/>
      <c r="Z1636" s="141"/>
    </row>
    <row r="1637">
      <c r="A1637" s="141"/>
      <c r="B1637" s="141"/>
      <c r="C1637" s="141"/>
      <c r="D1637" s="141"/>
      <c r="E1637" s="141"/>
      <c r="F1637" s="141"/>
      <c r="G1637" s="141"/>
      <c r="H1637" s="141"/>
      <c r="I1637" s="141"/>
      <c r="J1637" s="141"/>
      <c r="K1637" s="141"/>
      <c r="L1637" s="141"/>
      <c r="M1637" s="141"/>
      <c r="N1637" s="141"/>
      <c r="O1637" s="141"/>
      <c r="P1637" s="141"/>
      <c r="Q1637" s="141"/>
      <c r="R1637" s="141"/>
      <c r="S1637" s="141"/>
      <c r="T1637" s="141"/>
      <c r="U1637" s="141"/>
      <c r="V1637" s="141"/>
      <c r="W1637" s="141"/>
      <c r="X1637" s="141"/>
      <c r="Y1637" s="141"/>
      <c r="Z1637" s="141"/>
    </row>
    <row r="1638">
      <c r="A1638" s="141"/>
      <c r="B1638" s="141"/>
      <c r="C1638" s="141"/>
      <c r="D1638" s="141"/>
      <c r="E1638" s="141"/>
      <c r="F1638" s="141"/>
      <c r="G1638" s="141"/>
      <c r="H1638" s="141"/>
      <c r="I1638" s="141"/>
      <c r="J1638" s="141"/>
      <c r="K1638" s="141"/>
      <c r="L1638" s="141"/>
      <c r="M1638" s="141"/>
      <c r="N1638" s="141"/>
      <c r="O1638" s="141"/>
      <c r="P1638" s="141"/>
      <c r="Q1638" s="141"/>
      <c r="R1638" s="141"/>
      <c r="S1638" s="141"/>
      <c r="T1638" s="141"/>
      <c r="U1638" s="141"/>
      <c r="V1638" s="141"/>
      <c r="W1638" s="141"/>
      <c r="X1638" s="141"/>
      <c r="Y1638" s="141"/>
      <c r="Z1638" s="141"/>
    </row>
    <row r="1639">
      <c r="A1639" s="141"/>
      <c r="B1639" s="141"/>
      <c r="C1639" s="141"/>
      <c r="D1639" s="141"/>
      <c r="E1639" s="141"/>
      <c r="F1639" s="141"/>
      <c r="G1639" s="141"/>
      <c r="H1639" s="141"/>
      <c r="I1639" s="141"/>
      <c r="J1639" s="141"/>
      <c r="K1639" s="141"/>
      <c r="L1639" s="141"/>
      <c r="M1639" s="141"/>
      <c r="N1639" s="141"/>
      <c r="O1639" s="141"/>
      <c r="P1639" s="141"/>
      <c r="Q1639" s="141"/>
      <c r="R1639" s="141"/>
      <c r="S1639" s="141"/>
      <c r="T1639" s="141"/>
      <c r="U1639" s="141"/>
      <c r="V1639" s="141"/>
      <c r="W1639" s="141"/>
      <c r="X1639" s="141"/>
      <c r="Y1639" s="141"/>
      <c r="Z1639" s="141"/>
    </row>
    <row r="1640">
      <c r="A1640" s="141"/>
      <c r="B1640" s="141"/>
      <c r="C1640" s="141"/>
      <c r="D1640" s="141"/>
      <c r="E1640" s="141"/>
      <c r="F1640" s="141"/>
      <c r="G1640" s="141"/>
      <c r="H1640" s="141"/>
      <c r="I1640" s="141"/>
      <c r="J1640" s="141"/>
      <c r="K1640" s="141"/>
      <c r="L1640" s="141"/>
      <c r="M1640" s="141"/>
      <c r="N1640" s="141"/>
      <c r="O1640" s="141"/>
      <c r="P1640" s="141"/>
      <c r="Q1640" s="141"/>
      <c r="R1640" s="141"/>
      <c r="S1640" s="141"/>
      <c r="T1640" s="141"/>
      <c r="U1640" s="141"/>
      <c r="V1640" s="141"/>
      <c r="W1640" s="141"/>
      <c r="X1640" s="141"/>
      <c r="Y1640" s="141"/>
      <c r="Z1640" s="141"/>
    </row>
    <row r="1641">
      <c r="A1641" s="141"/>
      <c r="B1641" s="141"/>
      <c r="C1641" s="141"/>
      <c r="D1641" s="141"/>
      <c r="E1641" s="141"/>
      <c r="F1641" s="141"/>
      <c r="G1641" s="141"/>
      <c r="H1641" s="141"/>
      <c r="I1641" s="141"/>
      <c r="J1641" s="141"/>
      <c r="K1641" s="141"/>
      <c r="L1641" s="141"/>
      <c r="M1641" s="141"/>
      <c r="N1641" s="141"/>
      <c r="O1641" s="141"/>
      <c r="P1641" s="141"/>
      <c r="Q1641" s="141"/>
      <c r="R1641" s="141"/>
      <c r="S1641" s="141"/>
      <c r="T1641" s="141"/>
      <c r="U1641" s="141"/>
      <c r="V1641" s="141"/>
      <c r="W1641" s="141"/>
      <c r="X1641" s="141"/>
      <c r="Y1641" s="141"/>
      <c r="Z1641" s="141"/>
    </row>
    <row r="1642">
      <c r="A1642" s="141"/>
      <c r="B1642" s="141"/>
      <c r="C1642" s="141"/>
      <c r="D1642" s="141"/>
      <c r="E1642" s="141"/>
      <c r="F1642" s="141"/>
      <c r="G1642" s="141"/>
      <c r="H1642" s="141"/>
      <c r="I1642" s="141"/>
      <c r="J1642" s="141"/>
      <c r="K1642" s="141"/>
      <c r="L1642" s="141"/>
      <c r="M1642" s="141"/>
      <c r="N1642" s="141"/>
      <c r="O1642" s="141"/>
      <c r="P1642" s="141"/>
      <c r="Q1642" s="141"/>
      <c r="R1642" s="141"/>
      <c r="S1642" s="141"/>
      <c r="T1642" s="141"/>
      <c r="U1642" s="141"/>
      <c r="V1642" s="141"/>
      <c r="W1642" s="141"/>
      <c r="X1642" s="141"/>
      <c r="Y1642" s="141"/>
      <c r="Z1642" s="141"/>
    </row>
    <row r="1643">
      <c r="A1643" s="141"/>
      <c r="B1643" s="141"/>
      <c r="C1643" s="141"/>
      <c r="D1643" s="141"/>
      <c r="E1643" s="141"/>
      <c r="F1643" s="141"/>
      <c r="G1643" s="141"/>
      <c r="H1643" s="141"/>
      <c r="I1643" s="141"/>
      <c r="J1643" s="141"/>
      <c r="K1643" s="141"/>
      <c r="L1643" s="141"/>
      <c r="M1643" s="141"/>
      <c r="N1643" s="141"/>
      <c r="O1643" s="141"/>
      <c r="P1643" s="141"/>
      <c r="Q1643" s="141"/>
      <c r="R1643" s="141"/>
      <c r="S1643" s="141"/>
      <c r="T1643" s="141"/>
      <c r="U1643" s="141"/>
      <c r="V1643" s="141"/>
      <c r="W1643" s="141"/>
      <c r="X1643" s="141"/>
      <c r="Y1643" s="141"/>
      <c r="Z1643" s="141"/>
    </row>
    <row r="1644">
      <c r="A1644" s="141"/>
      <c r="B1644" s="141"/>
      <c r="C1644" s="141"/>
      <c r="D1644" s="141"/>
      <c r="E1644" s="141"/>
      <c r="F1644" s="141"/>
      <c r="G1644" s="141"/>
      <c r="H1644" s="141"/>
      <c r="I1644" s="141"/>
      <c r="J1644" s="141"/>
      <c r="K1644" s="141"/>
      <c r="L1644" s="141"/>
      <c r="M1644" s="141"/>
      <c r="N1644" s="141"/>
      <c r="O1644" s="141"/>
      <c r="P1644" s="141"/>
      <c r="Q1644" s="141"/>
      <c r="R1644" s="141"/>
      <c r="S1644" s="141"/>
      <c r="T1644" s="141"/>
      <c r="U1644" s="141"/>
      <c r="V1644" s="141"/>
      <c r="W1644" s="141"/>
      <c r="X1644" s="141"/>
      <c r="Y1644" s="141"/>
      <c r="Z1644" s="141"/>
    </row>
    <row r="1645">
      <c r="A1645" s="141"/>
      <c r="B1645" s="141"/>
      <c r="C1645" s="141"/>
      <c r="D1645" s="141"/>
      <c r="E1645" s="141"/>
      <c r="F1645" s="141"/>
      <c r="G1645" s="141"/>
      <c r="H1645" s="141"/>
      <c r="I1645" s="141"/>
      <c r="J1645" s="141"/>
      <c r="K1645" s="141"/>
      <c r="L1645" s="141"/>
      <c r="M1645" s="141"/>
      <c r="N1645" s="141"/>
      <c r="O1645" s="141"/>
      <c r="P1645" s="141"/>
      <c r="Q1645" s="141"/>
      <c r="R1645" s="141"/>
      <c r="S1645" s="141"/>
      <c r="T1645" s="141"/>
      <c r="U1645" s="141"/>
      <c r="V1645" s="141"/>
      <c r="W1645" s="141"/>
      <c r="X1645" s="141"/>
      <c r="Y1645" s="141"/>
      <c r="Z1645" s="141"/>
    </row>
    <row r="1646">
      <c r="A1646" s="141"/>
      <c r="B1646" s="141"/>
      <c r="C1646" s="141"/>
      <c r="D1646" s="141"/>
      <c r="E1646" s="141"/>
      <c r="F1646" s="141"/>
      <c r="G1646" s="141"/>
      <c r="H1646" s="141"/>
      <c r="I1646" s="141"/>
      <c r="J1646" s="141"/>
      <c r="K1646" s="141"/>
      <c r="L1646" s="141"/>
      <c r="M1646" s="141"/>
      <c r="N1646" s="141"/>
      <c r="O1646" s="141"/>
      <c r="P1646" s="141"/>
      <c r="Q1646" s="141"/>
      <c r="R1646" s="141"/>
      <c r="S1646" s="141"/>
      <c r="T1646" s="141"/>
      <c r="U1646" s="141"/>
      <c r="V1646" s="141"/>
      <c r="W1646" s="141"/>
      <c r="X1646" s="141"/>
      <c r="Y1646" s="141"/>
      <c r="Z1646" s="141"/>
    </row>
    <row r="1647">
      <c r="A1647" s="141"/>
      <c r="B1647" s="141"/>
      <c r="C1647" s="141"/>
      <c r="D1647" s="141"/>
      <c r="E1647" s="141"/>
      <c r="F1647" s="141"/>
      <c r="G1647" s="141"/>
      <c r="H1647" s="141"/>
      <c r="I1647" s="141"/>
      <c r="J1647" s="141"/>
      <c r="K1647" s="141"/>
      <c r="L1647" s="141"/>
      <c r="M1647" s="141"/>
      <c r="N1647" s="141"/>
      <c r="O1647" s="141"/>
      <c r="P1647" s="141"/>
      <c r="Q1647" s="141"/>
      <c r="R1647" s="141"/>
      <c r="S1647" s="141"/>
      <c r="T1647" s="141"/>
      <c r="U1647" s="141"/>
      <c r="V1647" s="141"/>
      <c r="W1647" s="141"/>
      <c r="X1647" s="141"/>
      <c r="Y1647" s="141"/>
      <c r="Z1647" s="141"/>
    </row>
    <row r="1648">
      <c r="A1648" s="141"/>
      <c r="B1648" s="141"/>
      <c r="C1648" s="141"/>
      <c r="D1648" s="141"/>
      <c r="E1648" s="141"/>
      <c r="F1648" s="141"/>
      <c r="G1648" s="141"/>
      <c r="H1648" s="141"/>
      <c r="I1648" s="141"/>
      <c r="J1648" s="141"/>
      <c r="K1648" s="141"/>
      <c r="L1648" s="141"/>
      <c r="M1648" s="141"/>
      <c r="N1648" s="141"/>
      <c r="O1648" s="141"/>
      <c r="P1648" s="141"/>
      <c r="Q1648" s="141"/>
      <c r="R1648" s="141"/>
      <c r="S1648" s="141"/>
      <c r="T1648" s="141"/>
      <c r="U1648" s="141"/>
      <c r="V1648" s="141"/>
      <c r="W1648" s="141"/>
      <c r="X1648" s="141"/>
      <c r="Y1648" s="141"/>
      <c r="Z1648" s="141"/>
    </row>
    <row r="1649">
      <c r="A1649" s="141"/>
      <c r="B1649" s="141"/>
      <c r="C1649" s="141"/>
      <c r="D1649" s="141"/>
      <c r="E1649" s="141"/>
      <c r="F1649" s="141"/>
      <c r="G1649" s="141"/>
      <c r="H1649" s="141"/>
      <c r="I1649" s="141"/>
      <c r="J1649" s="141"/>
      <c r="K1649" s="141"/>
      <c r="L1649" s="141"/>
      <c r="M1649" s="141"/>
      <c r="N1649" s="141"/>
      <c r="O1649" s="141"/>
      <c r="P1649" s="141"/>
      <c r="Q1649" s="141"/>
      <c r="R1649" s="141"/>
      <c r="S1649" s="141"/>
      <c r="T1649" s="141"/>
      <c r="U1649" s="141"/>
      <c r="V1649" s="141"/>
      <c r="W1649" s="141"/>
      <c r="X1649" s="141"/>
      <c r="Y1649" s="141"/>
      <c r="Z1649" s="141"/>
    </row>
    <row r="1650">
      <c r="A1650" s="141"/>
      <c r="B1650" s="141"/>
      <c r="C1650" s="141"/>
      <c r="D1650" s="141"/>
      <c r="E1650" s="141"/>
      <c r="F1650" s="141"/>
      <c r="G1650" s="141"/>
      <c r="H1650" s="141"/>
      <c r="I1650" s="141"/>
      <c r="J1650" s="141"/>
      <c r="K1650" s="141"/>
      <c r="L1650" s="141"/>
      <c r="M1650" s="141"/>
      <c r="N1650" s="141"/>
      <c r="O1650" s="141"/>
      <c r="P1650" s="141"/>
      <c r="Q1650" s="141"/>
      <c r="R1650" s="141"/>
      <c r="S1650" s="141"/>
      <c r="T1650" s="141"/>
      <c r="U1650" s="141"/>
      <c r="V1650" s="141"/>
      <c r="W1650" s="141"/>
      <c r="X1650" s="141"/>
      <c r="Y1650" s="141"/>
      <c r="Z1650" s="141"/>
    </row>
    <row r="1651">
      <c r="A1651" s="141"/>
      <c r="B1651" s="141"/>
      <c r="C1651" s="141"/>
      <c r="D1651" s="141"/>
      <c r="E1651" s="141"/>
      <c r="F1651" s="141"/>
      <c r="G1651" s="141"/>
      <c r="H1651" s="141"/>
      <c r="I1651" s="141"/>
      <c r="J1651" s="141"/>
      <c r="K1651" s="141"/>
      <c r="L1651" s="141"/>
      <c r="M1651" s="141"/>
      <c r="N1651" s="141"/>
      <c r="O1651" s="141"/>
      <c r="P1651" s="141"/>
      <c r="Q1651" s="141"/>
      <c r="R1651" s="141"/>
      <c r="S1651" s="141"/>
      <c r="T1651" s="141"/>
      <c r="U1651" s="141"/>
      <c r="V1651" s="141"/>
      <c r="W1651" s="141"/>
      <c r="X1651" s="141"/>
      <c r="Y1651" s="141"/>
      <c r="Z1651" s="141"/>
    </row>
    <row r="1652">
      <c r="A1652" s="141"/>
      <c r="B1652" s="141"/>
      <c r="C1652" s="141"/>
      <c r="D1652" s="141"/>
      <c r="E1652" s="141"/>
      <c r="F1652" s="141"/>
      <c r="G1652" s="141"/>
      <c r="H1652" s="141"/>
      <c r="I1652" s="141"/>
      <c r="J1652" s="141"/>
      <c r="K1652" s="141"/>
      <c r="L1652" s="141"/>
      <c r="M1652" s="141"/>
      <c r="N1652" s="141"/>
      <c r="O1652" s="141"/>
      <c r="P1652" s="141"/>
      <c r="Q1652" s="141"/>
      <c r="R1652" s="141"/>
      <c r="S1652" s="141"/>
      <c r="T1652" s="141"/>
      <c r="U1652" s="141"/>
      <c r="V1652" s="141"/>
      <c r="W1652" s="141"/>
      <c r="X1652" s="141"/>
      <c r="Y1652" s="141"/>
      <c r="Z1652" s="141"/>
    </row>
    <row r="1653">
      <c r="A1653" s="141"/>
      <c r="B1653" s="141"/>
      <c r="C1653" s="141"/>
      <c r="D1653" s="141"/>
      <c r="E1653" s="141"/>
      <c r="F1653" s="141"/>
      <c r="G1653" s="141"/>
      <c r="H1653" s="141"/>
      <c r="I1653" s="141"/>
      <c r="J1653" s="141"/>
      <c r="K1653" s="141"/>
      <c r="L1653" s="141"/>
      <c r="M1653" s="141"/>
      <c r="N1653" s="141"/>
      <c r="O1653" s="141"/>
      <c r="P1653" s="141"/>
      <c r="Q1653" s="141"/>
      <c r="R1653" s="141"/>
      <c r="S1653" s="141"/>
      <c r="T1653" s="141"/>
      <c r="U1653" s="141"/>
      <c r="V1653" s="141"/>
      <c r="W1653" s="141"/>
      <c r="X1653" s="141"/>
      <c r="Y1653" s="141"/>
      <c r="Z1653" s="141"/>
    </row>
    <row r="1654">
      <c r="A1654" s="141"/>
      <c r="B1654" s="141"/>
      <c r="C1654" s="141"/>
      <c r="D1654" s="141"/>
      <c r="E1654" s="141"/>
      <c r="F1654" s="141"/>
      <c r="G1654" s="141"/>
      <c r="H1654" s="141"/>
      <c r="I1654" s="141"/>
      <c r="J1654" s="141"/>
      <c r="K1654" s="141"/>
      <c r="L1654" s="141"/>
      <c r="M1654" s="141"/>
      <c r="N1654" s="141"/>
      <c r="O1654" s="141"/>
      <c r="P1654" s="141"/>
      <c r="Q1654" s="141"/>
      <c r="R1654" s="141"/>
      <c r="S1654" s="141"/>
      <c r="T1654" s="141"/>
      <c r="U1654" s="141"/>
      <c r="V1654" s="141"/>
      <c r="W1654" s="141"/>
      <c r="X1654" s="141"/>
      <c r="Y1654" s="141"/>
      <c r="Z1654" s="141"/>
    </row>
    <row r="1655">
      <c r="A1655" s="141"/>
      <c r="B1655" s="141"/>
      <c r="C1655" s="141"/>
      <c r="D1655" s="141"/>
      <c r="E1655" s="141"/>
      <c r="F1655" s="141"/>
      <c r="G1655" s="141"/>
      <c r="H1655" s="141"/>
      <c r="I1655" s="141"/>
      <c r="J1655" s="141"/>
      <c r="K1655" s="141"/>
      <c r="L1655" s="141"/>
      <c r="M1655" s="141"/>
      <c r="N1655" s="141"/>
      <c r="O1655" s="141"/>
      <c r="P1655" s="141"/>
      <c r="Q1655" s="141"/>
      <c r="R1655" s="141"/>
      <c r="S1655" s="141"/>
      <c r="T1655" s="141"/>
      <c r="U1655" s="141"/>
      <c r="V1655" s="141"/>
      <c r="W1655" s="141"/>
      <c r="X1655" s="141"/>
      <c r="Y1655" s="141"/>
      <c r="Z1655" s="141"/>
    </row>
    <row r="1656">
      <c r="A1656" s="141"/>
      <c r="B1656" s="141"/>
      <c r="C1656" s="141"/>
      <c r="D1656" s="141"/>
      <c r="E1656" s="141"/>
      <c r="F1656" s="141"/>
      <c r="G1656" s="141"/>
      <c r="H1656" s="141"/>
      <c r="I1656" s="141"/>
      <c r="J1656" s="141"/>
      <c r="K1656" s="141"/>
      <c r="L1656" s="141"/>
      <c r="M1656" s="141"/>
      <c r="N1656" s="141"/>
      <c r="O1656" s="141"/>
      <c r="P1656" s="141"/>
      <c r="Q1656" s="141"/>
      <c r="R1656" s="141"/>
      <c r="S1656" s="141"/>
      <c r="T1656" s="141"/>
      <c r="U1656" s="141"/>
      <c r="V1656" s="141"/>
      <c r="W1656" s="141"/>
      <c r="X1656" s="141"/>
      <c r="Y1656" s="141"/>
      <c r="Z1656" s="141"/>
    </row>
    <row r="1657">
      <c r="A1657" s="141"/>
      <c r="B1657" s="141"/>
      <c r="C1657" s="141"/>
      <c r="D1657" s="141"/>
      <c r="E1657" s="141"/>
      <c r="F1657" s="141"/>
      <c r="G1657" s="141"/>
      <c r="H1657" s="141"/>
      <c r="I1657" s="141"/>
      <c r="J1657" s="141"/>
      <c r="K1657" s="141"/>
      <c r="L1657" s="141"/>
      <c r="M1657" s="141"/>
      <c r="N1657" s="141"/>
      <c r="O1657" s="141"/>
      <c r="P1657" s="141"/>
      <c r="Q1657" s="141"/>
      <c r="R1657" s="141"/>
      <c r="S1657" s="141"/>
      <c r="T1657" s="141"/>
      <c r="U1657" s="141"/>
      <c r="V1657" s="141"/>
      <c r="W1657" s="141"/>
      <c r="X1657" s="141"/>
      <c r="Y1657" s="141"/>
      <c r="Z1657" s="141"/>
    </row>
    <row r="1658">
      <c r="A1658" s="141"/>
      <c r="B1658" s="141"/>
      <c r="C1658" s="141"/>
      <c r="D1658" s="141"/>
      <c r="E1658" s="141"/>
      <c r="F1658" s="141"/>
      <c r="G1658" s="141"/>
      <c r="H1658" s="141"/>
      <c r="I1658" s="141"/>
      <c r="J1658" s="141"/>
      <c r="K1658" s="141"/>
      <c r="L1658" s="141"/>
      <c r="M1658" s="141"/>
      <c r="N1658" s="141"/>
      <c r="O1658" s="141"/>
      <c r="P1658" s="141"/>
      <c r="Q1658" s="141"/>
      <c r="R1658" s="141"/>
      <c r="S1658" s="141"/>
      <c r="T1658" s="141"/>
      <c r="U1658" s="141"/>
      <c r="V1658" s="141"/>
      <c r="W1658" s="141"/>
      <c r="X1658" s="141"/>
      <c r="Y1658" s="141"/>
      <c r="Z1658" s="141"/>
    </row>
    <row r="1659">
      <c r="A1659" s="141"/>
      <c r="B1659" s="141"/>
      <c r="C1659" s="141"/>
      <c r="D1659" s="141"/>
      <c r="E1659" s="141"/>
      <c r="F1659" s="141"/>
      <c r="G1659" s="141"/>
      <c r="H1659" s="141"/>
      <c r="I1659" s="141"/>
      <c r="J1659" s="141"/>
      <c r="K1659" s="141"/>
      <c r="L1659" s="141"/>
      <c r="M1659" s="141"/>
      <c r="N1659" s="141"/>
      <c r="O1659" s="141"/>
      <c r="P1659" s="141"/>
      <c r="Q1659" s="141"/>
      <c r="R1659" s="141"/>
      <c r="S1659" s="141"/>
      <c r="T1659" s="141"/>
      <c r="U1659" s="141"/>
      <c r="V1659" s="141"/>
      <c r="W1659" s="141"/>
      <c r="X1659" s="141"/>
      <c r="Y1659" s="141"/>
      <c r="Z1659" s="141"/>
    </row>
    <row r="1660">
      <c r="A1660" s="141"/>
      <c r="B1660" s="141"/>
      <c r="C1660" s="141"/>
      <c r="D1660" s="141"/>
      <c r="E1660" s="141"/>
      <c r="F1660" s="141"/>
      <c r="G1660" s="141"/>
      <c r="H1660" s="141"/>
      <c r="I1660" s="141"/>
      <c r="J1660" s="141"/>
      <c r="K1660" s="141"/>
      <c r="L1660" s="141"/>
      <c r="M1660" s="141"/>
      <c r="N1660" s="141"/>
      <c r="O1660" s="141"/>
      <c r="P1660" s="141"/>
      <c r="Q1660" s="141"/>
      <c r="R1660" s="141"/>
      <c r="S1660" s="141"/>
      <c r="T1660" s="141"/>
      <c r="U1660" s="141"/>
      <c r="V1660" s="141"/>
      <c r="W1660" s="141"/>
      <c r="X1660" s="141"/>
      <c r="Y1660" s="141"/>
      <c r="Z1660" s="141"/>
    </row>
    <row r="1661">
      <c r="A1661" s="141"/>
      <c r="B1661" s="141"/>
      <c r="C1661" s="141"/>
      <c r="D1661" s="141"/>
      <c r="E1661" s="141"/>
      <c r="F1661" s="141"/>
      <c r="G1661" s="141"/>
      <c r="H1661" s="141"/>
      <c r="I1661" s="141"/>
      <c r="J1661" s="141"/>
      <c r="K1661" s="141"/>
      <c r="L1661" s="141"/>
      <c r="M1661" s="141"/>
      <c r="N1661" s="141"/>
      <c r="O1661" s="141"/>
      <c r="P1661" s="141"/>
      <c r="Q1661" s="141"/>
      <c r="R1661" s="141"/>
      <c r="S1661" s="141"/>
      <c r="T1661" s="141"/>
      <c r="U1661" s="141"/>
      <c r="V1661" s="141"/>
      <c r="W1661" s="141"/>
      <c r="X1661" s="141"/>
      <c r="Y1661" s="141"/>
      <c r="Z1661" s="141"/>
    </row>
    <row r="1662">
      <c r="A1662" s="141"/>
      <c r="B1662" s="141"/>
      <c r="C1662" s="141"/>
      <c r="D1662" s="141"/>
      <c r="E1662" s="141"/>
      <c r="F1662" s="141"/>
      <c r="G1662" s="141"/>
      <c r="H1662" s="141"/>
      <c r="I1662" s="141"/>
      <c r="J1662" s="141"/>
      <c r="K1662" s="141"/>
      <c r="L1662" s="141"/>
      <c r="M1662" s="141"/>
      <c r="N1662" s="141"/>
      <c r="O1662" s="141"/>
      <c r="P1662" s="141"/>
      <c r="Q1662" s="141"/>
      <c r="R1662" s="141"/>
      <c r="S1662" s="141"/>
      <c r="T1662" s="141"/>
      <c r="U1662" s="141"/>
      <c r="V1662" s="141"/>
      <c r="W1662" s="141"/>
      <c r="X1662" s="141"/>
      <c r="Y1662" s="141"/>
      <c r="Z1662" s="141"/>
    </row>
    <row r="1663">
      <c r="A1663" s="141"/>
      <c r="B1663" s="141"/>
      <c r="C1663" s="141"/>
      <c r="D1663" s="141"/>
      <c r="E1663" s="141"/>
      <c r="F1663" s="141"/>
      <c r="G1663" s="141"/>
      <c r="H1663" s="141"/>
      <c r="I1663" s="141"/>
      <c r="J1663" s="141"/>
      <c r="K1663" s="141"/>
      <c r="L1663" s="141"/>
      <c r="M1663" s="141"/>
      <c r="N1663" s="141"/>
      <c r="O1663" s="141"/>
      <c r="P1663" s="141"/>
      <c r="Q1663" s="141"/>
      <c r="R1663" s="141"/>
      <c r="S1663" s="141"/>
      <c r="T1663" s="141"/>
      <c r="U1663" s="141"/>
      <c r="V1663" s="141"/>
      <c r="W1663" s="141"/>
      <c r="X1663" s="141"/>
      <c r="Y1663" s="141"/>
      <c r="Z1663" s="141"/>
    </row>
    <row r="1664">
      <c r="A1664" s="141"/>
      <c r="B1664" s="141"/>
      <c r="C1664" s="141"/>
      <c r="D1664" s="141"/>
      <c r="E1664" s="141"/>
      <c r="F1664" s="141"/>
      <c r="G1664" s="141"/>
      <c r="H1664" s="141"/>
      <c r="I1664" s="141"/>
      <c r="J1664" s="141"/>
      <c r="K1664" s="141"/>
      <c r="L1664" s="141"/>
      <c r="M1664" s="141"/>
      <c r="N1664" s="141"/>
      <c r="O1664" s="141"/>
      <c r="P1664" s="141"/>
      <c r="Q1664" s="141"/>
      <c r="R1664" s="141"/>
      <c r="S1664" s="141"/>
      <c r="T1664" s="141"/>
      <c r="U1664" s="141"/>
      <c r="V1664" s="141"/>
      <c r="W1664" s="141"/>
      <c r="X1664" s="141"/>
      <c r="Y1664" s="141"/>
      <c r="Z1664" s="141"/>
    </row>
    <row r="1665">
      <c r="A1665" s="141"/>
      <c r="B1665" s="141"/>
      <c r="C1665" s="141"/>
      <c r="D1665" s="141"/>
      <c r="E1665" s="141"/>
      <c r="F1665" s="141"/>
      <c r="G1665" s="141"/>
      <c r="H1665" s="141"/>
      <c r="I1665" s="141"/>
      <c r="J1665" s="141"/>
      <c r="K1665" s="141"/>
      <c r="L1665" s="141"/>
      <c r="M1665" s="141"/>
      <c r="N1665" s="141"/>
      <c r="O1665" s="141"/>
      <c r="P1665" s="141"/>
      <c r="Q1665" s="141"/>
      <c r="R1665" s="141"/>
      <c r="S1665" s="141"/>
      <c r="T1665" s="141"/>
      <c r="U1665" s="141"/>
      <c r="V1665" s="141"/>
      <c r="W1665" s="141"/>
      <c r="X1665" s="141"/>
      <c r="Y1665" s="141"/>
      <c r="Z1665" s="141"/>
    </row>
    <row r="1666">
      <c r="A1666" s="141"/>
      <c r="B1666" s="141"/>
      <c r="C1666" s="141"/>
      <c r="D1666" s="141"/>
      <c r="E1666" s="141"/>
      <c r="F1666" s="141"/>
      <c r="G1666" s="141"/>
      <c r="H1666" s="141"/>
      <c r="I1666" s="141"/>
      <c r="J1666" s="141"/>
      <c r="K1666" s="141"/>
      <c r="L1666" s="141"/>
      <c r="M1666" s="141"/>
      <c r="N1666" s="141"/>
      <c r="O1666" s="141"/>
      <c r="P1666" s="141"/>
      <c r="Q1666" s="141"/>
      <c r="R1666" s="141"/>
      <c r="S1666" s="141"/>
      <c r="T1666" s="141"/>
      <c r="U1666" s="141"/>
      <c r="V1666" s="141"/>
      <c r="W1666" s="141"/>
      <c r="X1666" s="141"/>
      <c r="Y1666" s="141"/>
      <c r="Z1666" s="141"/>
    </row>
    <row r="1667">
      <c r="A1667" s="141"/>
      <c r="B1667" s="141"/>
      <c r="C1667" s="141"/>
      <c r="D1667" s="141"/>
      <c r="E1667" s="141"/>
      <c r="F1667" s="141"/>
      <c r="G1667" s="141"/>
      <c r="H1667" s="141"/>
      <c r="I1667" s="141"/>
      <c r="J1667" s="141"/>
      <c r="K1667" s="141"/>
      <c r="L1667" s="141"/>
      <c r="M1667" s="141"/>
      <c r="N1667" s="141"/>
      <c r="O1667" s="141"/>
      <c r="P1667" s="141"/>
      <c r="Q1667" s="141"/>
      <c r="R1667" s="141"/>
      <c r="S1667" s="141"/>
      <c r="T1667" s="141"/>
      <c r="U1667" s="141"/>
      <c r="V1667" s="141"/>
      <c r="W1667" s="141"/>
      <c r="X1667" s="141"/>
      <c r="Y1667" s="141"/>
      <c r="Z1667" s="141"/>
    </row>
    <row r="1668">
      <c r="A1668" s="141"/>
      <c r="B1668" s="141"/>
      <c r="C1668" s="141"/>
      <c r="D1668" s="141"/>
      <c r="E1668" s="141"/>
      <c r="F1668" s="141"/>
      <c r="G1668" s="141"/>
      <c r="H1668" s="141"/>
      <c r="I1668" s="141"/>
      <c r="J1668" s="141"/>
      <c r="K1668" s="141"/>
      <c r="L1668" s="141"/>
      <c r="M1668" s="141"/>
      <c r="N1668" s="141"/>
      <c r="O1668" s="141"/>
      <c r="P1668" s="141"/>
      <c r="Q1668" s="141"/>
      <c r="R1668" s="141"/>
      <c r="S1668" s="141"/>
      <c r="T1668" s="141"/>
      <c r="U1668" s="141"/>
      <c r="V1668" s="141"/>
      <c r="W1668" s="141"/>
      <c r="X1668" s="141"/>
      <c r="Y1668" s="141"/>
      <c r="Z1668" s="141"/>
    </row>
    <row r="1669">
      <c r="A1669" s="141"/>
      <c r="B1669" s="141"/>
      <c r="C1669" s="141"/>
      <c r="D1669" s="141"/>
      <c r="E1669" s="141"/>
      <c r="F1669" s="141"/>
      <c r="G1669" s="141"/>
      <c r="H1669" s="141"/>
      <c r="I1669" s="141"/>
      <c r="J1669" s="141"/>
      <c r="K1669" s="141"/>
      <c r="L1669" s="141"/>
      <c r="M1669" s="141"/>
      <c r="N1669" s="141"/>
      <c r="O1669" s="141"/>
      <c r="P1669" s="141"/>
      <c r="Q1669" s="141"/>
      <c r="R1669" s="141"/>
      <c r="S1669" s="141"/>
      <c r="T1669" s="141"/>
      <c r="U1669" s="141"/>
      <c r="V1669" s="141"/>
      <c r="W1669" s="141"/>
      <c r="X1669" s="141"/>
      <c r="Y1669" s="141"/>
      <c r="Z1669" s="141"/>
    </row>
    <row r="1670">
      <c r="A1670" s="141"/>
      <c r="B1670" s="141"/>
      <c r="C1670" s="141"/>
      <c r="D1670" s="141"/>
      <c r="E1670" s="141"/>
      <c r="F1670" s="141"/>
      <c r="G1670" s="141"/>
      <c r="H1670" s="141"/>
      <c r="I1670" s="141"/>
      <c r="J1670" s="141"/>
      <c r="K1670" s="141"/>
      <c r="L1670" s="141"/>
      <c r="M1670" s="141"/>
      <c r="N1670" s="141"/>
      <c r="O1670" s="141"/>
      <c r="P1670" s="141"/>
      <c r="Q1670" s="141"/>
      <c r="R1670" s="141"/>
      <c r="S1670" s="141"/>
      <c r="T1670" s="141"/>
      <c r="U1670" s="141"/>
      <c r="V1670" s="141"/>
      <c r="W1670" s="141"/>
      <c r="X1670" s="141"/>
      <c r="Y1670" s="141"/>
      <c r="Z1670" s="141"/>
    </row>
    <row r="1671">
      <c r="A1671" s="141"/>
      <c r="B1671" s="141"/>
      <c r="C1671" s="141"/>
      <c r="D1671" s="141"/>
      <c r="E1671" s="141"/>
      <c r="F1671" s="141"/>
      <c r="G1671" s="141"/>
      <c r="H1671" s="141"/>
      <c r="I1671" s="141"/>
      <c r="J1671" s="141"/>
      <c r="K1671" s="141"/>
      <c r="L1671" s="141"/>
      <c r="M1671" s="141"/>
      <c r="N1671" s="141"/>
      <c r="O1671" s="141"/>
      <c r="P1671" s="141"/>
      <c r="Q1671" s="141"/>
      <c r="R1671" s="141"/>
      <c r="S1671" s="141"/>
      <c r="T1671" s="141"/>
      <c r="U1671" s="141"/>
      <c r="V1671" s="141"/>
      <c r="W1671" s="141"/>
      <c r="X1671" s="141"/>
      <c r="Y1671" s="141"/>
      <c r="Z1671" s="141"/>
    </row>
    <row r="1672">
      <c r="A1672" s="141"/>
      <c r="B1672" s="141"/>
      <c r="C1672" s="141"/>
      <c r="D1672" s="141"/>
      <c r="E1672" s="141"/>
      <c r="F1672" s="141"/>
      <c r="G1672" s="141"/>
      <c r="H1672" s="141"/>
      <c r="I1672" s="141"/>
      <c r="J1672" s="141"/>
      <c r="K1672" s="141"/>
      <c r="L1672" s="141"/>
      <c r="M1672" s="141"/>
      <c r="N1672" s="141"/>
      <c r="O1672" s="141"/>
      <c r="P1672" s="141"/>
      <c r="Q1672" s="141"/>
      <c r="R1672" s="141"/>
      <c r="S1672" s="141"/>
      <c r="T1672" s="141"/>
      <c r="U1672" s="141"/>
      <c r="V1672" s="141"/>
      <c r="W1672" s="141"/>
      <c r="X1672" s="141"/>
      <c r="Y1672" s="141"/>
      <c r="Z1672" s="141"/>
    </row>
    <row r="1673">
      <c r="A1673" s="141"/>
      <c r="B1673" s="141"/>
      <c r="C1673" s="141"/>
      <c r="D1673" s="141"/>
      <c r="E1673" s="141"/>
      <c r="F1673" s="141"/>
      <c r="G1673" s="141"/>
      <c r="H1673" s="141"/>
      <c r="I1673" s="141"/>
      <c r="J1673" s="141"/>
      <c r="K1673" s="141"/>
      <c r="L1673" s="141"/>
      <c r="M1673" s="141"/>
      <c r="N1673" s="141"/>
      <c r="O1673" s="141"/>
      <c r="P1673" s="141"/>
      <c r="Q1673" s="141"/>
      <c r="R1673" s="141"/>
      <c r="S1673" s="141"/>
      <c r="T1673" s="141"/>
      <c r="U1673" s="141"/>
      <c r="V1673" s="141"/>
      <c r="W1673" s="141"/>
      <c r="X1673" s="141"/>
      <c r="Y1673" s="141"/>
      <c r="Z1673" s="141"/>
    </row>
    <row r="1674">
      <c r="A1674" s="141"/>
      <c r="B1674" s="141"/>
      <c r="C1674" s="141"/>
      <c r="D1674" s="141"/>
      <c r="E1674" s="141"/>
      <c r="F1674" s="141"/>
      <c r="G1674" s="141"/>
      <c r="H1674" s="141"/>
      <c r="I1674" s="141"/>
      <c r="J1674" s="141"/>
      <c r="K1674" s="141"/>
      <c r="L1674" s="141"/>
      <c r="M1674" s="141"/>
      <c r="N1674" s="141"/>
      <c r="O1674" s="141"/>
      <c r="P1674" s="141"/>
      <c r="Q1674" s="141"/>
      <c r="R1674" s="141"/>
      <c r="S1674" s="141"/>
      <c r="T1674" s="141"/>
      <c r="U1674" s="141"/>
      <c r="V1674" s="141"/>
      <c r="W1674" s="141"/>
      <c r="X1674" s="141"/>
      <c r="Y1674" s="141"/>
      <c r="Z1674" s="141"/>
    </row>
    <row r="1675">
      <c r="A1675" s="141"/>
      <c r="B1675" s="141"/>
      <c r="C1675" s="141"/>
      <c r="D1675" s="141"/>
      <c r="E1675" s="141"/>
      <c r="F1675" s="141"/>
      <c r="G1675" s="141"/>
      <c r="H1675" s="141"/>
      <c r="I1675" s="141"/>
      <c r="J1675" s="141"/>
      <c r="K1675" s="141"/>
      <c r="L1675" s="141"/>
      <c r="M1675" s="141"/>
      <c r="N1675" s="141"/>
      <c r="O1675" s="141"/>
      <c r="P1675" s="141"/>
      <c r="Q1675" s="141"/>
      <c r="R1675" s="141"/>
      <c r="S1675" s="141"/>
      <c r="T1675" s="141"/>
      <c r="U1675" s="141"/>
      <c r="V1675" s="141"/>
      <c r="W1675" s="141"/>
      <c r="X1675" s="141"/>
      <c r="Y1675" s="141"/>
      <c r="Z1675" s="141"/>
    </row>
    <row r="1676">
      <c r="A1676" s="141"/>
      <c r="B1676" s="141"/>
      <c r="C1676" s="141"/>
      <c r="D1676" s="141"/>
      <c r="E1676" s="141"/>
      <c r="F1676" s="141"/>
      <c r="G1676" s="141"/>
      <c r="H1676" s="141"/>
      <c r="I1676" s="141"/>
      <c r="J1676" s="141"/>
      <c r="K1676" s="141"/>
      <c r="L1676" s="141"/>
      <c r="M1676" s="141"/>
      <c r="N1676" s="141"/>
      <c r="O1676" s="141"/>
      <c r="P1676" s="141"/>
      <c r="Q1676" s="141"/>
      <c r="R1676" s="141"/>
      <c r="S1676" s="141"/>
      <c r="T1676" s="141"/>
      <c r="U1676" s="141"/>
      <c r="V1676" s="141"/>
      <c r="W1676" s="141"/>
      <c r="X1676" s="141"/>
      <c r="Y1676" s="141"/>
      <c r="Z1676" s="141"/>
    </row>
    <row r="1677">
      <c r="A1677" s="141"/>
      <c r="B1677" s="141"/>
      <c r="C1677" s="141"/>
      <c r="D1677" s="141"/>
      <c r="E1677" s="141"/>
      <c r="F1677" s="141"/>
      <c r="G1677" s="141"/>
      <c r="H1677" s="141"/>
      <c r="I1677" s="141"/>
      <c r="J1677" s="141"/>
      <c r="K1677" s="141"/>
      <c r="L1677" s="141"/>
      <c r="M1677" s="141"/>
      <c r="N1677" s="141"/>
      <c r="O1677" s="141"/>
      <c r="P1677" s="141"/>
      <c r="Q1677" s="141"/>
      <c r="R1677" s="141"/>
      <c r="S1677" s="141"/>
      <c r="T1677" s="141"/>
      <c r="U1677" s="141"/>
      <c r="V1677" s="141"/>
      <c r="W1677" s="141"/>
      <c r="X1677" s="141"/>
      <c r="Y1677" s="141"/>
      <c r="Z1677" s="141"/>
    </row>
    <row r="1678">
      <c r="A1678" s="141"/>
      <c r="B1678" s="141"/>
      <c r="C1678" s="141"/>
      <c r="D1678" s="141"/>
      <c r="E1678" s="141"/>
      <c r="F1678" s="141"/>
      <c r="G1678" s="141"/>
      <c r="H1678" s="141"/>
      <c r="I1678" s="141"/>
      <c r="J1678" s="141"/>
      <c r="K1678" s="141"/>
      <c r="L1678" s="141"/>
      <c r="M1678" s="141"/>
      <c r="N1678" s="141"/>
      <c r="O1678" s="141"/>
      <c r="P1678" s="141"/>
      <c r="Q1678" s="141"/>
      <c r="R1678" s="141"/>
      <c r="S1678" s="141"/>
      <c r="T1678" s="141"/>
      <c r="U1678" s="141"/>
      <c r="V1678" s="141"/>
      <c r="W1678" s="141"/>
      <c r="X1678" s="141"/>
      <c r="Y1678" s="141"/>
      <c r="Z1678" s="141"/>
    </row>
    <row r="1679">
      <c r="A1679" s="141"/>
      <c r="B1679" s="141"/>
      <c r="C1679" s="141"/>
      <c r="D1679" s="141"/>
      <c r="E1679" s="141"/>
      <c r="F1679" s="141"/>
      <c r="G1679" s="141"/>
      <c r="H1679" s="141"/>
      <c r="I1679" s="141"/>
      <c r="J1679" s="141"/>
      <c r="K1679" s="141"/>
      <c r="L1679" s="141"/>
      <c r="M1679" s="141"/>
      <c r="N1679" s="141"/>
      <c r="O1679" s="141"/>
      <c r="P1679" s="141"/>
      <c r="Q1679" s="141"/>
      <c r="R1679" s="141"/>
      <c r="S1679" s="141"/>
      <c r="T1679" s="141"/>
      <c r="U1679" s="141"/>
      <c r="V1679" s="141"/>
      <c r="W1679" s="141"/>
      <c r="X1679" s="141"/>
      <c r="Y1679" s="141"/>
      <c r="Z1679" s="141"/>
    </row>
    <row r="1680">
      <c r="A1680" s="141"/>
      <c r="B1680" s="141"/>
      <c r="C1680" s="141"/>
      <c r="D1680" s="141"/>
      <c r="E1680" s="141"/>
      <c r="F1680" s="141"/>
      <c r="G1680" s="141"/>
      <c r="H1680" s="141"/>
      <c r="I1680" s="141"/>
      <c r="J1680" s="141"/>
      <c r="K1680" s="141"/>
      <c r="L1680" s="141"/>
      <c r="M1680" s="141"/>
      <c r="N1680" s="141"/>
      <c r="O1680" s="141"/>
      <c r="P1680" s="141"/>
      <c r="Q1680" s="141"/>
      <c r="R1680" s="141"/>
      <c r="S1680" s="141"/>
      <c r="T1680" s="141"/>
      <c r="U1680" s="141"/>
      <c r="V1680" s="141"/>
      <c r="W1680" s="141"/>
      <c r="X1680" s="141"/>
      <c r="Y1680" s="141"/>
      <c r="Z1680" s="141"/>
    </row>
    <row r="1681">
      <c r="A1681" s="141"/>
      <c r="B1681" s="141"/>
      <c r="C1681" s="141"/>
      <c r="D1681" s="141"/>
      <c r="E1681" s="141"/>
      <c r="F1681" s="141"/>
      <c r="G1681" s="141"/>
      <c r="H1681" s="141"/>
      <c r="I1681" s="141"/>
      <c r="J1681" s="141"/>
      <c r="K1681" s="141"/>
      <c r="L1681" s="141"/>
      <c r="M1681" s="141"/>
      <c r="N1681" s="141"/>
      <c r="O1681" s="141"/>
      <c r="P1681" s="141"/>
      <c r="Q1681" s="141"/>
      <c r="R1681" s="141"/>
      <c r="S1681" s="141"/>
      <c r="T1681" s="141"/>
      <c r="U1681" s="141"/>
      <c r="V1681" s="141"/>
      <c r="W1681" s="141"/>
      <c r="X1681" s="141"/>
      <c r="Y1681" s="141"/>
      <c r="Z1681" s="141"/>
    </row>
    <row r="1682">
      <c r="A1682" s="141"/>
      <c r="B1682" s="141"/>
      <c r="C1682" s="141"/>
      <c r="D1682" s="141"/>
      <c r="E1682" s="141"/>
      <c r="F1682" s="141"/>
      <c r="G1682" s="141"/>
      <c r="H1682" s="141"/>
      <c r="I1682" s="141"/>
      <c r="J1682" s="141"/>
      <c r="K1682" s="141"/>
      <c r="L1682" s="141"/>
      <c r="M1682" s="141"/>
      <c r="N1682" s="141"/>
      <c r="O1682" s="141"/>
      <c r="P1682" s="141"/>
      <c r="Q1682" s="141"/>
      <c r="R1682" s="141"/>
      <c r="S1682" s="141"/>
      <c r="T1682" s="141"/>
      <c r="U1682" s="141"/>
      <c r="V1682" s="141"/>
      <c r="W1682" s="141"/>
      <c r="X1682" s="141"/>
      <c r="Y1682" s="141"/>
      <c r="Z1682" s="141"/>
    </row>
    <row r="1683">
      <c r="A1683" s="141"/>
      <c r="B1683" s="141"/>
      <c r="C1683" s="141"/>
      <c r="D1683" s="141"/>
      <c r="E1683" s="141"/>
      <c r="F1683" s="141"/>
      <c r="G1683" s="141"/>
      <c r="H1683" s="141"/>
      <c r="I1683" s="141"/>
      <c r="J1683" s="141"/>
      <c r="K1683" s="141"/>
      <c r="L1683" s="141"/>
      <c r="M1683" s="141"/>
      <c r="N1683" s="141"/>
      <c r="O1683" s="141"/>
      <c r="P1683" s="141"/>
      <c r="Q1683" s="141"/>
      <c r="R1683" s="141"/>
      <c r="S1683" s="141"/>
      <c r="T1683" s="141"/>
      <c r="U1683" s="141"/>
      <c r="V1683" s="141"/>
      <c r="W1683" s="141"/>
      <c r="X1683" s="141"/>
      <c r="Y1683" s="141"/>
      <c r="Z1683" s="141"/>
    </row>
    <row r="1684">
      <c r="A1684" s="141"/>
      <c r="B1684" s="141"/>
      <c r="C1684" s="141"/>
      <c r="D1684" s="141"/>
      <c r="E1684" s="141"/>
      <c r="F1684" s="141"/>
      <c r="G1684" s="141"/>
      <c r="H1684" s="141"/>
      <c r="I1684" s="141"/>
      <c r="J1684" s="141"/>
      <c r="K1684" s="141"/>
      <c r="L1684" s="141"/>
      <c r="M1684" s="141"/>
      <c r="N1684" s="141"/>
      <c r="O1684" s="141"/>
      <c r="P1684" s="141"/>
      <c r="Q1684" s="141"/>
      <c r="R1684" s="141"/>
      <c r="S1684" s="141"/>
      <c r="T1684" s="141"/>
      <c r="U1684" s="141"/>
      <c r="V1684" s="141"/>
      <c r="W1684" s="141"/>
      <c r="X1684" s="141"/>
      <c r="Y1684" s="141"/>
      <c r="Z1684" s="141"/>
    </row>
    <row r="1685">
      <c r="A1685" s="141"/>
      <c r="B1685" s="141"/>
      <c r="C1685" s="141"/>
      <c r="D1685" s="141"/>
      <c r="E1685" s="141"/>
      <c r="F1685" s="141"/>
      <c r="G1685" s="141"/>
      <c r="H1685" s="141"/>
      <c r="I1685" s="141"/>
      <c r="J1685" s="141"/>
      <c r="K1685" s="141"/>
      <c r="L1685" s="141"/>
      <c r="M1685" s="141"/>
      <c r="N1685" s="141"/>
      <c r="O1685" s="141"/>
      <c r="P1685" s="141"/>
      <c r="Q1685" s="141"/>
      <c r="R1685" s="141"/>
      <c r="S1685" s="141"/>
      <c r="T1685" s="141"/>
      <c r="U1685" s="141"/>
      <c r="V1685" s="141"/>
      <c r="W1685" s="141"/>
      <c r="X1685" s="141"/>
      <c r="Y1685" s="141"/>
      <c r="Z1685" s="141"/>
    </row>
    <row r="1686">
      <c r="A1686" s="141"/>
      <c r="B1686" s="141"/>
      <c r="C1686" s="141"/>
      <c r="D1686" s="141"/>
      <c r="E1686" s="141"/>
      <c r="F1686" s="141"/>
      <c r="G1686" s="141"/>
      <c r="H1686" s="141"/>
      <c r="I1686" s="141"/>
      <c r="J1686" s="141"/>
      <c r="K1686" s="141"/>
      <c r="L1686" s="141"/>
      <c r="M1686" s="141"/>
      <c r="N1686" s="141"/>
      <c r="O1686" s="141"/>
      <c r="P1686" s="141"/>
      <c r="Q1686" s="141"/>
      <c r="R1686" s="141"/>
      <c r="S1686" s="141"/>
      <c r="T1686" s="141"/>
      <c r="U1686" s="141"/>
      <c r="V1686" s="141"/>
      <c r="W1686" s="141"/>
      <c r="X1686" s="141"/>
      <c r="Y1686" s="141"/>
      <c r="Z1686" s="141"/>
    </row>
    <row r="1687">
      <c r="A1687" s="141"/>
      <c r="B1687" s="141"/>
      <c r="C1687" s="141"/>
      <c r="D1687" s="141"/>
      <c r="E1687" s="141"/>
      <c r="F1687" s="141"/>
      <c r="G1687" s="141"/>
      <c r="H1687" s="141"/>
      <c r="I1687" s="141"/>
      <c r="J1687" s="141"/>
      <c r="K1687" s="141"/>
      <c r="L1687" s="141"/>
      <c r="M1687" s="141"/>
      <c r="N1687" s="141"/>
      <c r="O1687" s="141"/>
      <c r="P1687" s="141"/>
      <c r="Q1687" s="141"/>
      <c r="R1687" s="141"/>
      <c r="S1687" s="141"/>
      <c r="T1687" s="141"/>
      <c r="U1687" s="141"/>
      <c r="V1687" s="141"/>
      <c r="W1687" s="141"/>
      <c r="X1687" s="141"/>
      <c r="Y1687" s="141"/>
      <c r="Z1687" s="141"/>
    </row>
    <row r="1688">
      <c r="A1688" s="141"/>
      <c r="B1688" s="141"/>
      <c r="C1688" s="141"/>
      <c r="D1688" s="141"/>
      <c r="E1688" s="141"/>
      <c r="F1688" s="141"/>
      <c r="G1688" s="141"/>
      <c r="H1688" s="141"/>
      <c r="I1688" s="141"/>
      <c r="J1688" s="141"/>
      <c r="K1688" s="141"/>
      <c r="L1688" s="141"/>
      <c r="M1688" s="141"/>
      <c r="N1688" s="141"/>
      <c r="O1688" s="141"/>
      <c r="P1688" s="141"/>
      <c r="Q1688" s="141"/>
      <c r="R1688" s="141"/>
      <c r="S1688" s="141"/>
      <c r="T1688" s="141"/>
      <c r="U1688" s="141"/>
      <c r="V1688" s="141"/>
      <c r="W1688" s="141"/>
      <c r="X1688" s="141"/>
      <c r="Y1688" s="141"/>
      <c r="Z1688" s="141"/>
    </row>
    <row r="1689">
      <c r="A1689" s="141"/>
      <c r="B1689" s="141"/>
      <c r="C1689" s="141"/>
      <c r="D1689" s="141"/>
      <c r="E1689" s="141"/>
      <c r="F1689" s="141"/>
      <c r="G1689" s="141"/>
      <c r="H1689" s="141"/>
      <c r="I1689" s="141"/>
      <c r="J1689" s="141"/>
      <c r="K1689" s="141"/>
      <c r="L1689" s="141"/>
      <c r="M1689" s="141"/>
      <c r="N1689" s="141"/>
      <c r="O1689" s="141"/>
      <c r="P1689" s="141"/>
      <c r="Q1689" s="141"/>
      <c r="R1689" s="141"/>
      <c r="S1689" s="141"/>
      <c r="T1689" s="141"/>
      <c r="U1689" s="141"/>
      <c r="V1689" s="141"/>
      <c r="W1689" s="141"/>
      <c r="X1689" s="141"/>
      <c r="Y1689" s="141"/>
      <c r="Z1689" s="141"/>
    </row>
    <row r="1690">
      <c r="A1690" s="141"/>
      <c r="B1690" s="141"/>
      <c r="C1690" s="141"/>
      <c r="D1690" s="141"/>
      <c r="E1690" s="141"/>
      <c r="F1690" s="141"/>
      <c r="G1690" s="141"/>
      <c r="H1690" s="141"/>
      <c r="I1690" s="141"/>
      <c r="J1690" s="141"/>
      <c r="K1690" s="141"/>
      <c r="L1690" s="141"/>
      <c r="M1690" s="141"/>
      <c r="N1690" s="141"/>
      <c r="O1690" s="141"/>
      <c r="P1690" s="141"/>
      <c r="Q1690" s="141"/>
      <c r="R1690" s="141"/>
      <c r="S1690" s="141"/>
      <c r="T1690" s="141"/>
      <c r="U1690" s="141"/>
      <c r="V1690" s="141"/>
      <c r="W1690" s="141"/>
      <c r="X1690" s="141"/>
      <c r="Y1690" s="141"/>
      <c r="Z1690" s="141"/>
    </row>
    <row r="1691">
      <c r="A1691" s="141"/>
      <c r="B1691" s="141"/>
      <c r="C1691" s="141"/>
      <c r="D1691" s="141"/>
      <c r="E1691" s="141"/>
      <c r="F1691" s="141"/>
      <c r="G1691" s="141"/>
      <c r="H1691" s="141"/>
      <c r="I1691" s="141"/>
      <c r="J1691" s="141"/>
      <c r="K1691" s="141"/>
      <c r="L1691" s="141"/>
      <c r="M1691" s="141"/>
      <c r="N1691" s="141"/>
      <c r="O1691" s="141"/>
      <c r="P1691" s="141"/>
      <c r="Q1691" s="141"/>
      <c r="R1691" s="141"/>
      <c r="S1691" s="141"/>
      <c r="T1691" s="141"/>
      <c r="U1691" s="141"/>
      <c r="V1691" s="141"/>
      <c r="W1691" s="141"/>
      <c r="X1691" s="141"/>
      <c r="Y1691" s="141"/>
      <c r="Z1691" s="141"/>
    </row>
    <row r="1692">
      <c r="A1692" s="141"/>
      <c r="B1692" s="141"/>
      <c r="C1692" s="141"/>
      <c r="D1692" s="141"/>
      <c r="E1692" s="141"/>
      <c r="F1692" s="141"/>
      <c r="G1692" s="141"/>
      <c r="H1692" s="141"/>
      <c r="I1692" s="141"/>
      <c r="J1692" s="141"/>
      <c r="K1692" s="141"/>
      <c r="L1692" s="141"/>
      <c r="M1692" s="141"/>
      <c r="N1692" s="141"/>
      <c r="O1692" s="141"/>
      <c r="P1692" s="141"/>
      <c r="Q1692" s="141"/>
      <c r="R1692" s="141"/>
      <c r="S1692" s="141"/>
      <c r="T1692" s="141"/>
      <c r="U1692" s="141"/>
      <c r="V1692" s="141"/>
      <c r="W1692" s="141"/>
      <c r="X1692" s="141"/>
      <c r="Y1692" s="141"/>
      <c r="Z1692" s="141"/>
    </row>
    <row r="1693">
      <c r="A1693" s="141"/>
      <c r="B1693" s="141"/>
      <c r="C1693" s="141"/>
      <c r="D1693" s="141"/>
      <c r="E1693" s="141"/>
      <c r="F1693" s="141"/>
      <c r="G1693" s="141"/>
      <c r="H1693" s="141"/>
      <c r="I1693" s="141"/>
      <c r="J1693" s="141"/>
      <c r="K1693" s="141"/>
      <c r="L1693" s="141"/>
      <c r="M1693" s="141"/>
      <c r="N1693" s="141"/>
      <c r="O1693" s="141"/>
      <c r="P1693" s="141"/>
      <c r="Q1693" s="141"/>
      <c r="R1693" s="141"/>
      <c r="S1693" s="141"/>
      <c r="T1693" s="141"/>
      <c r="U1693" s="141"/>
      <c r="V1693" s="141"/>
      <c r="W1693" s="141"/>
      <c r="X1693" s="141"/>
      <c r="Y1693" s="141"/>
      <c r="Z1693" s="141"/>
    </row>
    <row r="1694">
      <c r="A1694" s="141"/>
      <c r="B1694" s="141"/>
      <c r="C1694" s="141"/>
      <c r="D1694" s="141"/>
      <c r="E1694" s="141"/>
      <c r="F1694" s="141"/>
      <c r="G1694" s="141"/>
      <c r="H1694" s="141"/>
      <c r="I1694" s="141"/>
      <c r="J1694" s="141"/>
      <c r="K1694" s="141"/>
      <c r="L1694" s="141"/>
      <c r="M1694" s="141"/>
      <c r="N1694" s="141"/>
      <c r="O1694" s="141"/>
      <c r="P1694" s="141"/>
      <c r="Q1694" s="141"/>
      <c r="R1694" s="141"/>
      <c r="S1694" s="141"/>
      <c r="T1694" s="141"/>
      <c r="U1694" s="141"/>
      <c r="V1694" s="141"/>
      <c r="W1694" s="141"/>
      <c r="X1694" s="141"/>
      <c r="Y1694" s="141"/>
      <c r="Z1694" s="141"/>
    </row>
    <row r="1695">
      <c r="A1695" s="141"/>
      <c r="B1695" s="141"/>
      <c r="C1695" s="141"/>
      <c r="D1695" s="141"/>
      <c r="E1695" s="141"/>
      <c r="F1695" s="141"/>
      <c r="G1695" s="141"/>
      <c r="H1695" s="141"/>
      <c r="I1695" s="141"/>
      <c r="J1695" s="141"/>
      <c r="K1695" s="141"/>
      <c r="L1695" s="141"/>
      <c r="M1695" s="141"/>
      <c r="N1695" s="141"/>
      <c r="O1695" s="141"/>
      <c r="P1695" s="141"/>
      <c r="Q1695" s="141"/>
      <c r="R1695" s="141"/>
      <c r="S1695" s="141"/>
      <c r="T1695" s="141"/>
      <c r="U1695" s="141"/>
      <c r="V1695" s="141"/>
      <c r="W1695" s="141"/>
      <c r="X1695" s="141"/>
      <c r="Y1695" s="141"/>
      <c r="Z1695" s="141"/>
    </row>
    <row r="1696">
      <c r="A1696" s="141"/>
      <c r="B1696" s="141"/>
      <c r="C1696" s="141"/>
      <c r="D1696" s="141"/>
      <c r="E1696" s="141"/>
      <c r="F1696" s="141"/>
      <c r="G1696" s="141"/>
      <c r="H1696" s="141"/>
      <c r="I1696" s="141"/>
      <c r="J1696" s="141"/>
      <c r="K1696" s="141"/>
      <c r="L1696" s="141"/>
      <c r="M1696" s="141"/>
      <c r="N1696" s="141"/>
      <c r="O1696" s="141"/>
      <c r="P1696" s="141"/>
      <c r="Q1696" s="141"/>
      <c r="R1696" s="141"/>
      <c r="S1696" s="141"/>
      <c r="T1696" s="141"/>
      <c r="U1696" s="141"/>
      <c r="V1696" s="141"/>
      <c r="W1696" s="141"/>
      <c r="X1696" s="141"/>
      <c r="Y1696" s="141"/>
      <c r="Z1696" s="141"/>
    </row>
    <row r="1697">
      <c r="A1697" s="141"/>
      <c r="B1697" s="141"/>
      <c r="C1697" s="141"/>
      <c r="D1697" s="141"/>
      <c r="E1697" s="141"/>
      <c r="F1697" s="141"/>
      <c r="G1697" s="141"/>
      <c r="H1697" s="141"/>
      <c r="I1697" s="141"/>
      <c r="J1697" s="141"/>
      <c r="K1697" s="141"/>
      <c r="L1697" s="141"/>
      <c r="M1697" s="141"/>
      <c r="N1697" s="141"/>
      <c r="O1697" s="141"/>
      <c r="P1697" s="141"/>
      <c r="Q1697" s="141"/>
      <c r="R1697" s="141"/>
      <c r="S1697" s="141"/>
      <c r="T1697" s="141"/>
      <c r="U1697" s="141"/>
      <c r="V1697" s="141"/>
      <c r="W1697" s="141"/>
      <c r="X1697" s="141"/>
      <c r="Y1697" s="141"/>
      <c r="Z1697" s="141"/>
    </row>
    <row r="1698">
      <c r="A1698" s="141"/>
      <c r="B1698" s="141"/>
      <c r="C1698" s="141"/>
      <c r="D1698" s="141"/>
      <c r="E1698" s="141"/>
      <c r="F1698" s="141"/>
      <c r="G1698" s="141"/>
      <c r="H1698" s="141"/>
      <c r="I1698" s="141"/>
      <c r="J1698" s="141"/>
      <c r="K1698" s="141"/>
      <c r="L1698" s="141"/>
      <c r="M1698" s="141"/>
      <c r="N1698" s="141"/>
      <c r="O1698" s="141"/>
      <c r="P1698" s="141"/>
      <c r="Q1698" s="141"/>
      <c r="R1698" s="141"/>
      <c r="S1698" s="141"/>
      <c r="T1698" s="141"/>
      <c r="U1698" s="141"/>
      <c r="V1698" s="141"/>
      <c r="W1698" s="141"/>
      <c r="X1698" s="141"/>
      <c r="Y1698" s="141"/>
      <c r="Z1698" s="141"/>
    </row>
    <row r="1699">
      <c r="A1699" s="141"/>
      <c r="B1699" s="141"/>
      <c r="C1699" s="141"/>
      <c r="D1699" s="141"/>
      <c r="E1699" s="141"/>
      <c r="F1699" s="141"/>
      <c r="G1699" s="141"/>
      <c r="H1699" s="141"/>
      <c r="I1699" s="141"/>
      <c r="J1699" s="141"/>
      <c r="K1699" s="141"/>
      <c r="L1699" s="141"/>
      <c r="M1699" s="141"/>
      <c r="N1699" s="141"/>
      <c r="O1699" s="141"/>
      <c r="P1699" s="141"/>
      <c r="Q1699" s="141"/>
      <c r="R1699" s="141"/>
      <c r="S1699" s="141"/>
      <c r="T1699" s="141"/>
      <c r="U1699" s="141"/>
      <c r="V1699" s="141"/>
      <c r="W1699" s="141"/>
      <c r="X1699" s="141"/>
      <c r="Y1699" s="141"/>
      <c r="Z1699" s="141"/>
    </row>
    <row r="1700">
      <c r="A1700" s="141"/>
      <c r="B1700" s="141"/>
      <c r="C1700" s="141"/>
      <c r="D1700" s="141"/>
      <c r="E1700" s="141"/>
      <c r="F1700" s="141"/>
      <c r="G1700" s="141"/>
      <c r="H1700" s="141"/>
      <c r="I1700" s="141"/>
      <c r="J1700" s="141"/>
      <c r="K1700" s="141"/>
      <c r="L1700" s="141"/>
      <c r="M1700" s="141"/>
      <c r="N1700" s="141"/>
      <c r="O1700" s="141"/>
      <c r="P1700" s="141"/>
      <c r="Q1700" s="141"/>
      <c r="R1700" s="141"/>
      <c r="S1700" s="141"/>
      <c r="T1700" s="141"/>
      <c r="U1700" s="141"/>
      <c r="V1700" s="141"/>
      <c r="W1700" s="141"/>
      <c r="X1700" s="141"/>
      <c r="Y1700" s="141"/>
      <c r="Z1700" s="141"/>
    </row>
    <row r="1701">
      <c r="A1701" s="141"/>
      <c r="B1701" s="141"/>
      <c r="C1701" s="141"/>
      <c r="D1701" s="141"/>
      <c r="E1701" s="141"/>
      <c r="F1701" s="141"/>
      <c r="G1701" s="141"/>
      <c r="H1701" s="141"/>
      <c r="I1701" s="141"/>
      <c r="J1701" s="141"/>
      <c r="K1701" s="141"/>
      <c r="L1701" s="141"/>
      <c r="M1701" s="141"/>
      <c r="N1701" s="141"/>
      <c r="O1701" s="141"/>
      <c r="P1701" s="141"/>
      <c r="Q1701" s="141"/>
      <c r="R1701" s="141"/>
      <c r="S1701" s="141"/>
      <c r="T1701" s="141"/>
      <c r="U1701" s="141"/>
      <c r="V1701" s="141"/>
      <c r="W1701" s="141"/>
      <c r="X1701" s="141"/>
      <c r="Y1701" s="141"/>
      <c r="Z1701" s="141"/>
    </row>
    <row r="1702">
      <c r="A1702" s="141"/>
      <c r="B1702" s="141"/>
      <c r="C1702" s="141"/>
      <c r="D1702" s="141"/>
      <c r="E1702" s="141"/>
      <c r="F1702" s="141"/>
      <c r="G1702" s="141"/>
      <c r="H1702" s="141"/>
      <c r="I1702" s="141"/>
      <c r="J1702" s="141"/>
      <c r="K1702" s="141"/>
      <c r="L1702" s="141"/>
      <c r="M1702" s="141"/>
      <c r="N1702" s="141"/>
      <c r="O1702" s="141"/>
      <c r="P1702" s="141"/>
      <c r="Q1702" s="141"/>
      <c r="R1702" s="141"/>
      <c r="S1702" s="141"/>
      <c r="T1702" s="141"/>
      <c r="U1702" s="141"/>
      <c r="V1702" s="141"/>
      <c r="W1702" s="141"/>
      <c r="X1702" s="141"/>
      <c r="Y1702" s="141"/>
      <c r="Z1702" s="141"/>
    </row>
    <row r="1703">
      <c r="A1703" s="141"/>
      <c r="B1703" s="141"/>
      <c r="C1703" s="141"/>
      <c r="D1703" s="141"/>
      <c r="E1703" s="141"/>
      <c r="F1703" s="141"/>
      <c r="G1703" s="141"/>
      <c r="H1703" s="141"/>
      <c r="I1703" s="141"/>
      <c r="J1703" s="141"/>
      <c r="K1703" s="141"/>
      <c r="L1703" s="141"/>
      <c r="M1703" s="141"/>
      <c r="N1703" s="141"/>
      <c r="O1703" s="141"/>
      <c r="P1703" s="141"/>
      <c r="Q1703" s="141"/>
      <c r="R1703" s="141"/>
      <c r="S1703" s="141"/>
      <c r="T1703" s="141"/>
      <c r="U1703" s="141"/>
      <c r="V1703" s="141"/>
      <c r="W1703" s="141"/>
      <c r="X1703" s="141"/>
      <c r="Y1703" s="141"/>
      <c r="Z1703" s="141"/>
    </row>
    <row r="1704">
      <c r="A1704" s="141"/>
      <c r="B1704" s="141"/>
      <c r="C1704" s="141"/>
      <c r="D1704" s="141"/>
      <c r="E1704" s="141"/>
      <c r="F1704" s="141"/>
      <c r="G1704" s="141"/>
      <c r="H1704" s="141"/>
      <c r="I1704" s="141"/>
      <c r="J1704" s="141"/>
      <c r="K1704" s="141"/>
      <c r="L1704" s="141"/>
      <c r="M1704" s="141"/>
      <c r="N1704" s="141"/>
      <c r="O1704" s="141"/>
      <c r="P1704" s="141"/>
      <c r="Q1704" s="141"/>
      <c r="R1704" s="141"/>
      <c r="S1704" s="141"/>
      <c r="T1704" s="141"/>
      <c r="U1704" s="141"/>
      <c r="V1704" s="141"/>
      <c r="W1704" s="141"/>
      <c r="X1704" s="141"/>
      <c r="Y1704" s="141"/>
      <c r="Z1704" s="141"/>
    </row>
    <row r="1705">
      <c r="A1705" s="141"/>
      <c r="B1705" s="141"/>
      <c r="C1705" s="141"/>
      <c r="D1705" s="141"/>
      <c r="E1705" s="141"/>
      <c r="F1705" s="141"/>
      <c r="G1705" s="141"/>
      <c r="H1705" s="141"/>
      <c r="I1705" s="141"/>
      <c r="J1705" s="141"/>
      <c r="K1705" s="141"/>
      <c r="L1705" s="141"/>
      <c r="M1705" s="141"/>
      <c r="N1705" s="141"/>
      <c r="O1705" s="141"/>
      <c r="P1705" s="141"/>
      <c r="Q1705" s="141"/>
      <c r="R1705" s="141"/>
      <c r="S1705" s="141"/>
      <c r="T1705" s="141"/>
      <c r="U1705" s="141"/>
      <c r="V1705" s="141"/>
      <c r="W1705" s="141"/>
      <c r="X1705" s="141"/>
      <c r="Y1705" s="141"/>
      <c r="Z1705" s="141"/>
    </row>
    <row r="1706">
      <c r="A1706" s="141"/>
      <c r="B1706" s="141"/>
      <c r="C1706" s="141"/>
      <c r="D1706" s="141"/>
      <c r="E1706" s="141"/>
      <c r="F1706" s="141"/>
      <c r="G1706" s="141"/>
      <c r="H1706" s="141"/>
      <c r="I1706" s="141"/>
      <c r="J1706" s="141"/>
      <c r="K1706" s="141"/>
      <c r="L1706" s="141"/>
      <c r="M1706" s="141"/>
      <c r="N1706" s="141"/>
      <c r="O1706" s="141"/>
      <c r="P1706" s="141"/>
      <c r="Q1706" s="141"/>
      <c r="R1706" s="141"/>
      <c r="S1706" s="141"/>
      <c r="T1706" s="141"/>
      <c r="U1706" s="141"/>
      <c r="V1706" s="141"/>
      <c r="W1706" s="141"/>
      <c r="X1706" s="141"/>
      <c r="Y1706" s="141"/>
      <c r="Z1706" s="141"/>
    </row>
    <row r="1707">
      <c r="A1707" s="141"/>
      <c r="B1707" s="141"/>
      <c r="C1707" s="141"/>
      <c r="D1707" s="141"/>
      <c r="E1707" s="141"/>
      <c r="F1707" s="141"/>
      <c r="G1707" s="141"/>
      <c r="H1707" s="141"/>
      <c r="I1707" s="141"/>
      <c r="J1707" s="141"/>
      <c r="K1707" s="141"/>
      <c r="L1707" s="141"/>
      <c r="M1707" s="141"/>
      <c r="N1707" s="141"/>
      <c r="O1707" s="141"/>
      <c r="P1707" s="141"/>
      <c r="Q1707" s="141"/>
      <c r="R1707" s="141"/>
      <c r="S1707" s="141"/>
      <c r="T1707" s="141"/>
      <c r="U1707" s="141"/>
      <c r="V1707" s="141"/>
      <c r="W1707" s="141"/>
      <c r="X1707" s="141"/>
      <c r="Y1707" s="141"/>
      <c r="Z1707" s="141"/>
    </row>
    <row r="1708">
      <c r="A1708" s="141"/>
      <c r="B1708" s="141"/>
      <c r="C1708" s="141"/>
      <c r="D1708" s="141"/>
      <c r="E1708" s="141"/>
      <c r="F1708" s="141"/>
      <c r="G1708" s="141"/>
      <c r="H1708" s="141"/>
      <c r="I1708" s="141"/>
      <c r="J1708" s="141"/>
      <c r="K1708" s="141"/>
      <c r="L1708" s="141"/>
      <c r="M1708" s="141"/>
      <c r="N1708" s="141"/>
      <c r="O1708" s="141"/>
      <c r="P1708" s="141"/>
      <c r="Q1708" s="141"/>
      <c r="R1708" s="141"/>
      <c r="S1708" s="141"/>
      <c r="T1708" s="141"/>
      <c r="U1708" s="141"/>
      <c r="V1708" s="141"/>
      <c r="W1708" s="141"/>
      <c r="X1708" s="141"/>
      <c r="Y1708" s="141"/>
      <c r="Z1708" s="141"/>
    </row>
    <row r="1709">
      <c r="A1709" s="141"/>
      <c r="B1709" s="141"/>
      <c r="C1709" s="141"/>
      <c r="D1709" s="141"/>
      <c r="E1709" s="141"/>
      <c r="F1709" s="141"/>
      <c r="G1709" s="141"/>
      <c r="H1709" s="141"/>
      <c r="I1709" s="141"/>
      <c r="J1709" s="141"/>
      <c r="K1709" s="141"/>
      <c r="L1709" s="141"/>
      <c r="M1709" s="141"/>
      <c r="N1709" s="141"/>
      <c r="O1709" s="141"/>
      <c r="P1709" s="141"/>
      <c r="Q1709" s="141"/>
      <c r="R1709" s="141"/>
      <c r="S1709" s="141"/>
      <c r="T1709" s="141"/>
      <c r="U1709" s="141"/>
      <c r="V1709" s="141"/>
      <c r="W1709" s="141"/>
      <c r="X1709" s="141"/>
      <c r="Y1709" s="141"/>
      <c r="Z1709" s="141"/>
    </row>
    <row r="1710">
      <c r="A1710" s="141"/>
      <c r="B1710" s="141"/>
      <c r="C1710" s="141"/>
      <c r="D1710" s="141"/>
      <c r="E1710" s="141"/>
      <c r="F1710" s="141"/>
      <c r="G1710" s="141"/>
      <c r="H1710" s="141"/>
      <c r="I1710" s="141"/>
      <c r="J1710" s="141"/>
      <c r="K1710" s="141"/>
      <c r="L1710" s="141"/>
      <c r="M1710" s="141"/>
      <c r="N1710" s="141"/>
      <c r="O1710" s="141"/>
      <c r="P1710" s="141"/>
      <c r="Q1710" s="141"/>
      <c r="R1710" s="141"/>
      <c r="S1710" s="141"/>
      <c r="T1710" s="141"/>
      <c r="U1710" s="141"/>
      <c r="V1710" s="141"/>
      <c r="W1710" s="141"/>
      <c r="X1710" s="141"/>
      <c r="Y1710" s="141"/>
      <c r="Z1710" s="141"/>
    </row>
    <row r="1711">
      <c r="A1711" s="141"/>
      <c r="B1711" s="141"/>
      <c r="C1711" s="141"/>
      <c r="D1711" s="141"/>
      <c r="E1711" s="141"/>
      <c r="F1711" s="141"/>
      <c r="G1711" s="141"/>
      <c r="H1711" s="141"/>
      <c r="I1711" s="141"/>
      <c r="J1711" s="141"/>
      <c r="K1711" s="141"/>
      <c r="L1711" s="141"/>
      <c r="M1711" s="141"/>
      <c r="N1711" s="141"/>
      <c r="O1711" s="141"/>
      <c r="P1711" s="141"/>
      <c r="Q1711" s="141"/>
      <c r="R1711" s="141"/>
      <c r="S1711" s="141"/>
      <c r="T1711" s="141"/>
      <c r="U1711" s="141"/>
      <c r="V1711" s="141"/>
      <c r="W1711" s="141"/>
      <c r="X1711" s="141"/>
      <c r="Y1711" s="141"/>
      <c r="Z1711" s="141"/>
    </row>
    <row r="1712">
      <c r="A1712" s="141"/>
      <c r="B1712" s="141"/>
      <c r="C1712" s="141"/>
      <c r="D1712" s="141"/>
      <c r="E1712" s="141"/>
      <c r="F1712" s="141"/>
      <c r="G1712" s="141"/>
      <c r="H1712" s="141"/>
      <c r="I1712" s="141"/>
      <c r="J1712" s="141"/>
      <c r="K1712" s="141"/>
      <c r="L1712" s="141"/>
      <c r="M1712" s="141"/>
      <c r="N1712" s="141"/>
      <c r="O1712" s="141"/>
      <c r="P1712" s="141"/>
      <c r="Q1712" s="141"/>
      <c r="R1712" s="141"/>
      <c r="S1712" s="141"/>
      <c r="T1712" s="141"/>
      <c r="U1712" s="141"/>
      <c r="V1712" s="141"/>
      <c r="W1712" s="141"/>
      <c r="X1712" s="141"/>
      <c r="Y1712" s="141"/>
      <c r="Z1712" s="141"/>
    </row>
    <row r="1713">
      <c r="A1713" s="141"/>
      <c r="B1713" s="141"/>
      <c r="C1713" s="141"/>
      <c r="D1713" s="141"/>
      <c r="E1713" s="141"/>
      <c r="F1713" s="141"/>
      <c r="G1713" s="141"/>
      <c r="H1713" s="141"/>
      <c r="I1713" s="141"/>
      <c r="J1713" s="141"/>
      <c r="K1713" s="141"/>
      <c r="L1713" s="141"/>
      <c r="M1713" s="141"/>
      <c r="N1713" s="141"/>
      <c r="O1713" s="141"/>
      <c r="P1713" s="141"/>
      <c r="Q1713" s="141"/>
      <c r="R1713" s="141"/>
      <c r="S1713" s="141"/>
      <c r="T1713" s="141"/>
      <c r="U1713" s="141"/>
      <c r="V1713" s="141"/>
      <c r="W1713" s="141"/>
      <c r="X1713" s="141"/>
      <c r="Y1713" s="141"/>
      <c r="Z1713" s="141"/>
    </row>
    <row r="1714">
      <c r="A1714" s="141"/>
      <c r="B1714" s="141"/>
      <c r="C1714" s="141"/>
      <c r="D1714" s="141"/>
      <c r="E1714" s="141"/>
      <c r="F1714" s="141"/>
      <c r="G1714" s="141"/>
      <c r="H1714" s="141"/>
      <c r="I1714" s="141"/>
      <c r="J1714" s="141"/>
      <c r="K1714" s="141"/>
      <c r="L1714" s="141"/>
      <c r="M1714" s="141"/>
      <c r="N1714" s="141"/>
      <c r="O1714" s="141"/>
      <c r="P1714" s="141"/>
      <c r="Q1714" s="141"/>
      <c r="R1714" s="141"/>
      <c r="S1714" s="141"/>
      <c r="T1714" s="141"/>
      <c r="U1714" s="141"/>
      <c r="V1714" s="141"/>
      <c r="W1714" s="141"/>
      <c r="X1714" s="141"/>
      <c r="Y1714" s="141"/>
      <c r="Z1714" s="141"/>
    </row>
    <row r="1715">
      <c r="A1715" s="141"/>
      <c r="B1715" s="141"/>
      <c r="C1715" s="141"/>
      <c r="D1715" s="141"/>
      <c r="E1715" s="141"/>
      <c r="F1715" s="141"/>
      <c r="G1715" s="141"/>
      <c r="H1715" s="141"/>
      <c r="I1715" s="141"/>
      <c r="J1715" s="141"/>
      <c r="K1715" s="141"/>
      <c r="L1715" s="141"/>
      <c r="M1715" s="141"/>
      <c r="N1715" s="141"/>
      <c r="O1715" s="141"/>
      <c r="P1715" s="141"/>
      <c r="Q1715" s="141"/>
      <c r="R1715" s="141"/>
      <c r="S1715" s="141"/>
      <c r="T1715" s="141"/>
      <c r="U1715" s="141"/>
      <c r="V1715" s="141"/>
      <c r="W1715" s="141"/>
      <c r="X1715" s="141"/>
      <c r="Y1715" s="141"/>
      <c r="Z1715" s="141"/>
    </row>
    <row r="1716">
      <c r="A1716" s="141"/>
      <c r="B1716" s="141"/>
      <c r="C1716" s="141"/>
      <c r="D1716" s="141"/>
      <c r="E1716" s="141"/>
      <c r="F1716" s="141"/>
      <c r="G1716" s="141"/>
      <c r="H1716" s="141"/>
      <c r="I1716" s="141"/>
      <c r="J1716" s="141"/>
      <c r="K1716" s="141"/>
      <c r="L1716" s="141"/>
      <c r="M1716" s="141"/>
      <c r="N1716" s="141"/>
      <c r="O1716" s="141"/>
      <c r="P1716" s="141"/>
      <c r="Q1716" s="141"/>
      <c r="R1716" s="141"/>
      <c r="S1716" s="141"/>
      <c r="T1716" s="141"/>
      <c r="U1716" s="141"/>
      <c r="V1716" s="141"/>
      <c r="W1716" s="141"/>
      <c r="X1716" s="141"/>
      <c r="Y1716" s="141"/>
      <c r="Z1716" s="141"/>
    </row>
    <row r="1717">
      <c r="A1717" s="141"/>
      <c r="B1717" s="141"/>
      <c r="C1717" s="141"/>
      <c r="D1717" s="141"/>
      <c r="E1717" s="141"/>
      <c r="F1717" s="141"/>
      <c r="G1717" s="141"/>
      <c r="H1717" s="141"/>
      <c r="I1717" s="141"/>
      <c r="J1717" s="141"/>
      <c r="K1717" s="141"/>
      <c r="L1717" s="141"/>
      <c r="M1717" s="141"/>
      <c r="N1717" s="141"/>
      <c r="O1717" s="141"/>
      <c r="P1717" s="141"/>
      <c r="Q1717" s="141"/>
      <c r="R1717" s="141"/>
      <c r="S1717" s="141"/>
      <c r="T1717" s="141"/>
      <c r="U1717" s="141"/>
      <c r="V1717" s="141"/>
      <c r="W1717" s="141"/>
      <c r="X1717" s="141"/>
      <c r="Y1717" s="141"/>
      <c r="Z1717" s="141"/>
    </row>
    <row r="1718">
      <c r="A1718" s="141"/>
      <c r="B1718" s="141"/>
      <c r="C1718" s="141"/>
      <c r="D1718" s="141"/>
      <c r="E1718" s="141"/>
      <c r="F1718" s="141"/>
      <c r="G1718" s="141"/>
      <c r="H1718" s="141"/>
      <c r="I1718" s="141"/>
      <c r="J1718" s="141"/>
      <c r="K1718" s="141"/>
      <c r="L1718" s="141"/>
      <c r="M1718" s="141"/>
      <c r="N1718" s="141"/>
      <c r="O1718" s="141"/>
      <c r="P1718" s="141"/>
      <c r="Q1718" s="141"/>
      <c r="R1718" s="141"/>
      <c r="S1718" s="141"/>
      <c r="T1718" s="141"/>
      <c r="U1718" s="141"/>
      <c r="V1718" s="141"/>
      <c r="W1718" s="141"/>
      <c r="X1718" s="141"/>
      <c r="Y1718" s="141"/>
      <c r="Z1718" s="141"/>
    </row>
    <row r="1719">
      <c r="A1719" s="141"/>
      <c r="B1719" s="141"/>
      <c r="C1719" s="141"/>
      <c r="D1719" s="141"/>
      <c r="E1719" s="141"/>
      <c r="F1719" s="141"/>
      <c r="G1719" s="141"/>
      <c r="H1719" s="141"/>
      <c r="I1719" s="141"/>
      <c r="J1719" s="141"/>
      <c r="K1719" s="141"/>
      <c r="L1719" s="141"/>
      <c r="M1719" s="141"/>
      <c r="N1719" s="141"/>
      <c r="O1719" s="141"/>
      <c r="P1719" s="141"/>
      <c r="Q1719" s="141"/>
      <c r="R1719" s="141"/>
      <c r="S1719" s="141"/>
      <c r="T1719" s="141"/>
      <c r="U1719" s="141"/>
      <c r="V1719" s="141"/>
      <c r="W1719" s="141"/>
      <c r="X1719" s="141"/>
      <c r="Y1719" s="141"/>
      <c r="Z1719" s="141"/>
    </row>
    <row r="1720">
      <c r="A1720" s="141"/>
      <c r="B1720" s="141"/>
      <c r="C1720" s="141"/>
      <c r="D1720" s="141"/>
      <c r="E1720" s="141"/>
      <c r="F1720" s="141"/>
      <c r="G1720" s="141"/>
      <c r="H1720" s="141"/>
      <c r="I1720" s="141"/>
      <c r="J1720" s="141"/>
      <c r="K1720" s="141"/>
      <c r="L1720" s="141"/>
      <c r="M1720" s="141"/>
      <c r="N1720" s="141"/>
      <c r="O1720" s="141"/>
      <c r="P1720" s="141"/>
      <c r="Q1720" s="141"/>
      <c r="R1720" s="141"/>
      <c r="S1720" s="141"/>
      <c r="T1720" s="141"/>
      <c r="U1720" s="141"/>
      <c r="V1720" s="141"/>
      <c r="W1720" s="141"/>
      <c r="X1720" s="141"/>
      <c r="Y1720" s="141"/>
      <c r="Z1720" s="141"/>
    </row>
    <row r="1721">
      <c r="A1721" s="141"/>
      <c r="B1721" s="141"/>
      <c r="C1721" s="141"/>
      <c r="D1721" s="141"/>
      <c r="E1721" s="141"/>
      <c r="F1721" s="141"/>
      <c r="G1721" s="141"/>
      <c r="H1721" s="141"/>
      <c r="I1721" s="141"/>
      <c r="J1721" s="141"/>
      <c r="K1721" s="141"/>
      <c r="L1721" s="141"/>
      <c r="M1721" s="141"/>
      <c r="N1721" s="141"/>
      <c r="O1721" s="141"/>
      <c r="P1721" s="141"/>
      <c r="Q1721" s="141"/>
      <c r="R1721" s="141"/>
      <c r="S1721" s="141"/>
      <c r="T1721" s="141"/>
      <c r="U1721" s="141"/>
      <c r="V1721" s="141"/>
      <c r="W1721" s="141"/>
      <c r="X1721" s="141"/>
      <c r="Y1721" s="141"/>
      <c r="Z1721" s="141"/>
    </row>
    <row r="1722">
      <c r="A1722" s="141"/>
      <c r="B1722" s="141"/>
      <c r="C1722" s="141"/>
      <c r="D1722" s="141"/>
      <c r="E1722" s="141"/>
      <c r="F1722" s="141"/>
      <c r="G1722" s="141"/>
      <c r="H1722" s="141"/>
      <c r="I1722" s="141"/>
      <c r="J1722" s="141"/>
      <c r="K1722" s="141"/>
      <c r="L1722" s="141"/>
      <c r="M1722" s="141"/>
      <c r="N1722" s="141"/>
      <c r="O1722" s="141"/>
      <c r="P1722" s="141"/>
      <c r="Q1722" s="141"/>
      <c r="R1722" s="141"/>
      <c r="S1722" s="141"/>
      <c r="T1722" s="141"/>
      <c r="U1722" s="141"/>
      <c r="V1722" s="141"/>
      <c r="W1722" s="141"/>
      <c r="X1722" s="141"/>
      <c r="Y1722" s="141"/>
      <c r="Z1722" s="141"/>
    </row>
    <row r="1723">
      <c r="A1723" s="141"/>
      <c r="B1723" s="141"/>
      <c r="C1723" s="141"/>
      <c r="D1723" s="141"/>
      <c r="E1723" s="141"/>
      <c r="F1723" s="141"/>
      <c r="G1723" s="141"/>
      <c r="H1723" s="141"/>
      <c r="I1723" s="141"/>
      <c r="J1723" s="141"/>
      <c r="K1723" s="141"/>
      <c r="L1723" s="141"/>
      <c r="M1723" s="141"/>
      <c r="N1723" s="141"/>
      <c r="O1723" s="141"/>
      <c r="P1723" s="141"/>
      <c r="Q1723" s="141"/>
      <c r="R1723" s="141"/>
      <c r="S1723" s="141"/>
      <c r="T1723" s="141"/>
      <c r="U1723" s="141"/>
      <c r="V1723" s="141"/>
      <c r="W1723" s="141"/>
      <c r="X1723" s="141"/>
      <c r="Y1723" s="141"/>
      <c r="Z1723" s="141"/>
    </row>
    <row r="1724">
      <c r="A1724" s="141"/>
      <c r="B1724" s="141"/>
      <c r="C1724" s="141"/>
      <c r="D1724" s="141"/>
      <c r="E1724" s="141"/>
      <c r="F1724" s="141"/>
      <c r="G1724" s="141"/>
      <c r="H1724" s="141"/>
      <c r="I1724" s="141"/>
      <c r="J1724" s="141"/>
      <c r="K1724" s="141"/>
      <c r="L1724" s="141"/>
      <c r="M1724" s="141"/>
      <c r="N1724" s="141"/>
      <c r="O1724" s="141"/>
      <c r="P1724" s="141"/>
      <c r="Q1724" s="141"/>
      <c r="R1724" s="141"/>
      <c r="S1724" s="141"/>
      <c r="T1724" s="141"/>
      <c r="U1724" s="141"/>
      <c r="V1724" s="141"/>
      <c r="W1724" s="141"/>
      <c r="X1724" s="141"/>
      <c r="Y1724" s="141"/>
      <c r="Z1724" s="141"/>
    </row>
    <row r="1725">
      <c r="A1725" s="141"/>
      <c r="B1725" s="141"/>
      <c r="C1725" s="141"/>
      <c r="D1725" s="141"/>
      <c r="E1725" s="141"/>
      <c r="F1725" s="141"/>
      <c r="G1725" s="141"/>
      <c r="H1725" s="141"/>
      <c r="I1725" s="141"/>
      <c r="J1725" s="141"/>
      <c r="K1725" s="141"/>
      <c r="L1725" s="141"/>
      <c r="M1725" s="141"/>
      <c r="N1725" s="141"/>
      <c r="O1725" s="141"/>
      <c r="P1725" s="141"/>
      <c r="Q1725" s="141"/>
      <c r="R1725" s="141"/>
      <c r="S1725" s="141"/>
      <c r="T1725" s="141"/>
      <c r="U1725" s="141"/>
      <c r="V1725" s="141"/>
      <c r="W1725" s="141"/>
      <c r="X1725" s="141"/>
      <c r="Y1725" s="141"/>
      <c r="Z1725" s="141"/>
    </row>
    <row r="1726">
      <c r="A1726" s="141"/>
      <c r="B1726" s="141"/>
      <c r="C1726" s="141"/>
      <c r="D1726" s="141"/>
      <c r="E1726" s="141"/>
      <c r="F1726" s="141"/>
      <c r="G1726" s="141"/>
      <c r="H1726" s="141"/>
      <c r="I1726" s="141"/>
      <c r="J1726" s="141"/>
      <c r="K1726" s="141"/>
      <c r="L1726" s="141"/>
      <c r="M1726" s="141"/>
      <c r="N1726" s="141"/>
      <c r="O1726" s="141"/>
      <c r="P1726" s="141"/>
      <c r="Q1726" s="141"/>
      <c r="R1726" s="141"/>
      <c r="S1726" s="141"/>
      <c r="T1726" s="141"/>
      <c r="U1726" s="141"/>
      <c r="V1726" s="141"/>
      <c r="W1726" s="141"/>
      <c r="X1726" s="141"/>
      <c r="Y1726" s="141"/>
      <c r="Z1726" s="141"/>
    </row>
    <row r="1727">
      <c r="A1727" s="141"/>
      <c r="B1727" s="141"/>
      <c r="C1727" s="141"/>
      <c r="D1727" s="141"/>
      <c r="E1727" s="141"/>
      <c r="F1727" s="141"/>
      <c r="G1727" s="141"/>
      <c r="H1727" s="141"/>
      <c r="I1727" s="141"/>
      <c r="J1727" s="141"/>
      <c r="K1727" s="141"/>
      <c r="L1727" s="141"/>
      <c r="M1727" s="141"/>
      <c r="N1727" s="141"/>
      <c r="O1727" s="141"/>
      <c r="P1727" s="141"/>
      <c r="Q1727" s="141"/>
      <c r="R1727" s="141"/>
      <c r="S1727" s="141"/>
      <c r="T1727" s="141"/>
      <c r="U1727" s="141"/>
      <c r="V1727" s="141"/>
      <c r="W1727" s="141"/>
      <c r="X1727" s="141"/>
      <c r="Y1727" s="141"/>
      <c r="Z1727" s="141"/>
    </row>
    <row r="1728">
      <c r="A1728" s="141"/>
      <c r="B1728" s="141"/>
      <c r="C1728" s="141"/>
      <c r="D1728" s="141"/>
      <c r="E1728" s="141"/>
      <c r="F1728" s="141"/>
      <c r="G1728" s="141"/>
      <c r="H1728" s="141"/>
      <c r="I1728" s="141"/>
      <c r="J1728" s="141"/>
      <c r="K1728" s="141"/>
      <c r="L1728" s="141"/>
      <c r="M1728" s="141"/>
      <c r="N1728" s="141"/>
      <c r="O1728" s="141"/>
      <c r="P1728" s="141"/>
      <c r="Q1728" s="141"/>
      <c r="R1728" s="141"/>
      <c r="S1728" s="141"/>
      <c r="T1728" s="141"/>
      <c r="U1728" s="141"/>
      <c r="V1728" s="141"/>
      <c r="W1728" s="141"/>
      <c r="X1728" s="141"/>
      <c r="Y1728" s="141"/>
      <c r="Z1728" s="141"/>
    </row>
    <row r="1729">
      <c r="A1729" s="141"/>
      <c r="B1729" s="141"/>
      <c r="C1729" s="141"/>
      <c r="D1729" s="141"/>
      <c r="E1729" s="141"/>
      <c r="F1729" s="141"/>
      <c r="G1729" s="141"/>
      <c r="H1729" s="141"/>
      <c r="I1729" s="141"/>
      <c r="J1729" s="141"/>
      <c r="K1729" s="141"/>
      <c r="L1729" s="141"/>
      <c r="M1729" s="141"/>
      <c r="N1729" s="141"/>
      <c r="O1729" s="141"/>
      <c r="P1729" s="141"/>
      <c r="Q1729" s="141"/>
      <c r="R1729" s="141"/>
      <c r="S1729" s="141"/>
      <c r="T1729" s="141"/>
      <c r="U1729" s="141"/>
      <c r="V1729" s="141"/>
      <c r="W1729" s="141"/>
      <c r="X1729" s="141"/>
      <c r="Y1729" s="141"/>
      <c r="Z1729" s="141"/>
    </row>
    <row r="1730">
      <c r="A1730" s="141"/>
      <c r="B1730" s="141"/>
      <c r="C1730" s="141"/>
      <c r="D1730" s="141"/>
      <c r="E1730" s="141"/>
      <c r="F1730" s="141"/>
      <c r="G1730" s="141"/>
      <c r="H1730" s="141"/>
      <c r="I1730" s="141"/>
      <c r="J1730" s="141"/>
      <c r="K1730" s="141"/>
      <c r="L1730" s="141"/>
      <c r="M1730" s="141"/>
      <c r="N1730" s="141"/>
      <c r="O1730" s="141"/>
      <c r="P1730" s="141"/>
      <c r="Q1730" s="141"/>
      <c r="R1730" s="141"/>
      <c r="S1730" s="141"/>
      <c r="T1730" s="141"/>
      <c r="U1730" s="141"/>
      <c r="V1730" s="141"/>
      <c r="W1730" s="141"/>
      <c r="X1730" s="141"/>
      <c r="Y1730" s="141"/>
      <c r="Z1730" s="141"/>
    </row>
    <row r="1731">
      <c r="A1731" s="141"/>
      <c r="B1731" s="141"/>
      <c r="C1731" s="141"/>
      <c r="D1731" s="141"/>
      <c r="E1731" s="141"/>
      <c r="F1731" s="141"/>
      <c r="G1731" s="141"/>
      <c r="H1731" s="141"/>
      <c r="I1731" s="141"/>
      <c r="J1731" s="141"/>
      <c r="K1731" s="141"/>
      <c r="L1731" s="141"/>
      <c r="M1731" s="141"/>
      <c r="N1731" s="141"/>
      <c r="O1731" s="141"/>
      <c r="P1731" s="141"/>
      <c r="Q1731" s="141"/>
      <c r="R1731" s="141"/>
      <c r="S1731" s="141"/>
      <c r="T1731" s="141"/>
      <c r="U1731" s="141"/>
      <c r="V1731" s="141"/>
      <c r="W1731" s="141"/>
      <c r="X1731" s="141"/>
      <c r="Y1731" s="141"/>
      <c r="Z1731" s="141"/>
    </row>
    <row r="1732">
      <c r="A1732" s="141"/>
      <c r="B1732" s="141"/>
      <c r="C1732" s="141"/>
      <c r="D1732" s="141"/>
      <c r="E1732" s="141"/>
      <c r="F1732" s="141"/>
      <c r="G1732" s="141"/>
      <c r="H1732" s="141"/>
      <c r="I1732" s="141"/>
      <c r="J1732" s="141"/>
      <c r="K1732" s="141"/>
      <c r="L1732" s="141"/>
      <c r="M1732" s="141"/>
      <c r="N1732" s="141"/>
      <c r="O1732" s="141"/>
      <c r="P1732" s="141"/>
      <c r="Q1732" s="141"/>
      <c r="R1732" s="141"/>
      <c r="S1732" s="141"/>
      <c r="T1732" s="141"/>
      <c r="U1732" s="141"/>
      <c r="V1732" s="141"/>
      <c r="W1732" s="141"/>
      <c r="X1732" s="141"/>
      <c r="Y1732" s="141"/>
      <c r="Z1732" s="141"/>
    </row>
    <row r="1733">
      <c r="A1733" s="141"/>
      <c r="B1733" s="141"/>
      <c r="C1733" s="141"/>
      <c r="D1733" s="141"/>
      <c r="E1733" s="141"/>
      <c r="F1733" s="141"/>
      <c r="G1733" s="141"/>
      <c r="H1733" s="141"/>
      <c r="I1733" s="141"/>
      <c r="J1733" s="141"/>
      <c r="K1733" s="141"/>
      <c r="L1733" s="141"/>
      <c r="M1733" s="141"/>
      <c r="N1733" s="141"/>
      <c r="O1733" s="141"/>
      <c r="P1733" s="141"/>
      <c r="Q1733" s="141"/>
      <c r="R1733" s="141"/>
      <c r="S1733" s="141"/>
      <c r="T1733" s="141"/>
      <c r="U1733" s="141"/>
      <c r="V1733" s="141"/>
      <c r="W1733" s="141"/>
      <c r="X1733" s="141"/>
      <c r="Y1733" s="141"/>
      <c r="Z1733" s="141"/>
    </row>
    <row r="1734">
      <c r="A1734" s="141"/>
      <c r="B1734" s="141"/>
      <c r="C1734" s="141"/>
      <c r="D1734" s="141"/>
      <c r="E1734" s="141"/>
      <c r="F1734" s="141"/>
      <c r="G1734" s="141"/>
      <c r="H1734" s="141"/>
      <c r="I1734" s="141"/>
      <c r="J1734" s="141"/>
      <c r="K1734" s="141"/>
      <c r="L1734" s="141"/>
      <c r="M1734" s="141"/>
      <c r="N1734" s="141"/>
      <c r="O1734" s="141"/>
      <c r="P1734" s="141"/>
      <c r="Q1734" s="141"/>
      <c r="R1734" s="141"/>
      <c r="S1734" s="141"/>
      <c r="T1734" s="141"/>
      <c r="U1734" s="141"/>
      <c r="V1734" s="141"/>
      <c r="W1734" s="141"/>
      <c r="X1734" s="141"/>
      <c r="Y1734" s="141"/>
      <c r="Z1734" s="141"/>
    </row>
    <row r="1735">
      <c r="A1735" s="141"/>
      <c r="B1735" s="141"/>
      <c r="C1735" s="141"/>
      <c r="D1735" s="141"/>
      <c r="E1735" s="141"/>
      <c r="F1735" s="141"/>
      <c r="G1735" s="141"/>
      <c r="H1735" s="141"/>
      <c r="I1735" s="141"/>
      <c r="J1735" s="141"/>
      <c r="K1735" s="141"/>
      <c r="L1735" s="141"/>
      <c r="M1735" s="141"/>
      <c r="N1735" s="141"/>
      <c r="O1735" s="141"/>
      <c r="P1735" s="141"/>
      <c r="Q1735" s="141"/>
      <c r="R1735" s="141"/>
      <c r="S1735" s="141"/>
      <c r="T1735" s="141"/>
      <c r="U1735" s="141"/>
      <c r="V1735" s="141"/>
      <c r="W1735" s="141"/>
      <c r="X1735" s="141"/>
      <c r="Y1735" s="141"/>
      <c r="Z1735" s="141"/>
    </row>
    <row r="1736">
      <c r="A1736" s="141"/>
      <c r="B1736" s="141"/>
      <c r="C1736" s="141"/>
      <c r="D1736" s="141"/>
      <c r="E1736" s="141"/>
      <c r="F1736" s="141"/>
      <c r="G1736" s="141"/>
      <c r="H1736" s="141"/>
      <c r="I1736" s="141"/>
      <c r="J1736" s="141"/>
      <c r="K1736" s="141"/>
      <c r="L1736" s="141"/>
      <c r="M1736" s="141"/>
      <c r="N1736" s="141"/>
      <c r="O1736" s="141"/>
      <c r="P1736" s="141"/>
      <c r="Q1736" s="141"/>
      <c r="R1736" s="141"/>
      <c r="S1736" s="141"/>
      <c r="T1736" s="141"/>
      <c r="U1736" s="141"/>
      <c r="V1736" s="141"/>
      <c r="W1736" s="141"/>
      <c r="X1736" s="141"/>
      <c r="Y1736" s="141"/>
      <c r="Z1736" s="141"/>
    </row>
    <row r="1737">
      <c r="A1737" s="141"/>
      <c r="B1737" s="141"/>
      <c r="C1737" s="141"/>
      <c r="D1737" s="141"/>
      <c r="E1737" s="141"/>
      <c r="F1737" s="141"/>
      <c r="G1737" s="141"/>
      <c r="H1737" s="141"/>
      <c r="I1737" s="141"/>
      <c r="J1737" s="141"/>
      <c r="K1737" s="141"/>
      <c r="L1737" s="141"/>
      <c r="M1737" s="141"/>
      <c r="N1737" s="141"/>
      <c r="O1737" s="141"/>
      <c r="P1737" s="141"/>
      <c r="Q1737" s="141"/>
      <c r="R1737" s="141"/>
      <c r="S1737" s="141"/>
      <c r="T1737" s="141"/>
      <c r="U1737" s="141"/>
      <c r="V1737" s="141"/>
      <c r="W1737" s="141"/>
      <c r="X1737" s="141"/>
      <c r="Y1737" s="141"/>
      <c r="Z1737" s="141"/>
    </row>
    <row r="1738">
      <c r="A1738" s="141"/>
      <c r="B1738" s="141"/>
      <c r="C1738" s="141"/>
      <c r="D1738" s="141"/>
      <c r="E1738" s="141"/>
      <c r="F1738" s="141"/>
      <c r="G1738" s="141"/>
      <c r="H1738" s="141"/>
      <c r="I1738" s="141"/>
      <c r="J1738" s="141"/>
      <c r="K1738" s="141"/>
      <c r="L1738" s="141"/>
      <c r="M1738" s="141"/>
      <c r="N1738" s="141"/>
      <c r="O1738" s="141"/>
      <c r="P1738" s="141"/>
      <c r="Q1738" s="141"/>
      <c r="R1738" s="141"/>
      <c r="S1738" s="141"/>
      <c r="T1738" s="141"/>
      <c r="U1738" s="141"/>
      <c r="V1738" s="141"/>
      <c r="W1738" s="141"/>
      <c r="X1738" s="141"/>
      <c r="Y1738" s="141"/>
      <c r="Z1738" s="141"/>
    </row>
    <row r="1739">
      <c r="A1739" s="141"/>
      <c r="B1739" s="141"/>
      <c r="C1739" s="141"/>
      <c r="D1739" s="141"/>
      <c r="E1739" s="141"/>
      <c r="F1739" s="141"/>
      <c r="G1739" s="141"/>
      <c r="H1739" s="141"/>
      <c r="I1739" s="141"/>
      <c r="J1739" s="141"/>
      <c r="K1739" s="141"/>
      <c r="L1739" s="141"/>
      <c r="M1739" s="141"/>
      <c r="N1739" s="141"/>
      <c r="O1739" s="141"/>
      <c r="P1739" s="141"/>
      <c r="Q1739" s="141"/>
      <c r="R1739" s="141"/>
      <c r="S1739" s="141"/>
      <c r="T1739" s="141"/>
      <c r="U1739" s="141"/>
      <c r="V1739" s="141"/>
      <c r="W1739" s="141"/>
      <c r="X1739" s="141"/>
      <c r="Y1739" s="141"/>
      <c r="Z1739" s="141"/>
    </row>
    <row r="1740">
      <c r="A1740" s="141"/>
      <c r="B1740" s="141"/>
      <c r="C1740" s="141"/>
      <c r="D1740" s="141"/>
      <c r="E1740" s="141"/>
      <c r="F1740" s="141"/>
      <c r="G1740" s="141"/>
      <c r="H1740" s="141"/>
      <c r="I1740" s="141"/>
      <c r="J1740" s="141"/>
      <c r="K1740" s="141"/>
      <c r="L1740" s="141"/>
      <c r="M1740" s="141"/>
      <c r="N1740" s="141"/>
      <c r="O1740" s="141"/>
      <c r="P1740" s="141"/>
      <c r="Q1740" s="141"/>
      <c r="R1740" s="141"/>
      <c r="S1740" s="141"/>
      <c r="T1740" s="141"/>
      <c r="U1740" s="141"/>
      <c r="V1740" s="141"/>
      <c r="W1740" s="141"/>
      <c r="X1740" s="141"/>
      <c r="Y1740" s="141"/>
      <c r="Z1740" s="141"/>
    </row>
    <row r="1741">
      <c r="A1741" s="141"/>
      <c r="B1741" s="141"/>
      <c r="C1741" s="141"/>
      <c r="D1741" s="141"/>
      <c r="E1741" s="141"/>
      <c r="F1741" s="141"/>
      <c r="G1741" s="141"/>
      <c r="H1741" s="141"/>
      <c r="I1741" s="141"/>
      <c r="J1741" s="141"/>
      <c r="K1741" s="141"/>
      <c r="L1741" s="141"/>
      <c r="M1741" s="141"/>
      <c r="N1741" s="141"/>
      <c r="O1741" s="141"/>
      <c r="P1741" s="141"/>
      <c r="Q1741" s="141"/>
      <c r="R1741" s="141"/>
      <c r="S1741" s="141"/>
      <c r="T1741" s="141"/>
      <c r="U1741" s="141"/>
      <c r="V1741" s="141"/>
      <c r="W1741" s="141"/>
      <c r="X1741" s="141"/>
      <c r="Y1741" s="141"/>
      <c r="Z1741" s="141"/>
    </row>
    <row r="1742">
      <c r="A1742" s="141"/>
      <c r="B1742" s="141"/>
      <c r="C1742" s="141"/>
      <c r="D1742" s="141"/>
      <c r="E1742" s="141"/>
      <c r="F1742" s="141"/>
      <c r="G1742" s="141"/>
      <c r="H1742" s="141"/>
      <c r="I1742" s="141"/>
      <c r="J1742" s="141"/>
      <c r="K1742" s="141"/>
      <c r="L1742" s="141"/>
      <c r="M1742" s="141"/>
      <c r="N1742" s="141"/>
      <c r="O1742" s="141"/>
      <c r="P1742" s="141"/>
      <c r="Q1742" s="141"/>
      <c r="R1742" s="141"/>
      <c r="S1742" s="141"/>
      <c r="T1742" s="141"/>
      <c r="U1742" s="141"/>
      <c r="V1742" s="141"/>
      <c r="W1742" s="141"/>
      <c r="X1742" s="141"/>
      <c r="Y1742" s="141"/>
      <c r="Z1742" s="141"/>
    </row>
    <row r="1743">
      <c r="A1743" s="141"/>
      <c r="B1743" s="141"/>
      <c r="C1743" s="141"/>
      <c r="D1743" s="141"/>
      <c r="E1743" s="141"/>
      <c r="F1743" s="141"/>
      <c r="G1743" s="141"/>
      <c r="H1743" s="141"/>
      <c r="I1743" s="141"/>
      <c r="J1743" s="141"/>
      <c r="K1743" s="141"/>
      <c r="L1743" s="141"/>
      <c r="M1743" s="141"/>
      <c r="N1743" s="141"/>
      <c r="O1743" s="141"/>
      <c r="P1743" s="141"/>
      <c r="Q1743" s="141"/>
      <c r="R1743" s="141"/>
      <c r="S1743" s="141"/>
      <c r="T1743" s="141"/>
      <c r="U1743" s="141"/>
      <c r="V1743" s="141"/>
      <c r="W1743" s="141"/>
      <c r="X1743" s="141"/>
      <c r="Y1743" s="141"/>
      <c r="Z1743" s="141"/>
    </row>
    <row r="1744">
      <c r="A1744" s="141"/>
      <c r="B1744" s="141"/>
      <c r="C1744" s="141"/>
      <c r="D1744" s="141"/>
      <c r="E1744" s="141"/>
      <c r="F1744" s="141"/>
      <c r="G1744" s="141"/>
      <c r="H1744" s="141"/>
      <c r="I1744" s="141"/>
      <c r="J1744" s="141"/>
      <c r="K1744" s="141"/>
      <c r="L1744" s="141"/>
      <c r="M1744" s="141"/>
      <c r="N1744" s="141"/>
      <c r="O1744" s="141"/>
      <c r="P1744" s="141"/>
      <c r="Q1744" s="141"/>
      <c r="R1744" s="141"/>
      <c r="S1744" s="141"/>
      <c r="T1744" s="141"/>
      <c r="U1744" s="141"/>
      <c r="V1744" s="141"/>
      <c r="W1744" s="141"/>
      <c r="X1744" s="141"/>
      <c r="Y1744" s="141"/>
      <c r="Z1744" s="141"/>
    </row>
    <row r="1745">
      <c r="A1745" s="141"/>
      <c r="B1745" s="141"/>
      <c r="C1745" s="141"/>
      <c r="D1745" s="141"/>
      <c r="E1745" s="141"/>
      <c r="F1745" s="141"/>
      <c r="G1745" s="141"/>
      <c r="H1745" s="141"/>
      <c r="I1745" s="141"/>
      <c r="J1745" s="141"/>
      <c r="K1745" s="141"/>
      <c r="L1745" s="141"/>
      <c r="M1745" s="141"/>
      <c r="N1745" s="141"/>
      <c r="O1745" s="141"/>
      <c r="P1745" s="141"/>
      <c r="Q1745" s="141"/>
      <c r="R1745" s="141"/>
      <c r="S1745" s="141"/>
      <c r="T1745" s="141"/>
      <c r="U1745" s="141"/>
      <c r="V1745" s="141"/>
      <c r="W1745" s="141"/>
      <c r="X1745" s="141"/>
      <c r="Y1745" s="141"/>
      <c r="Z1745" s="141"/>
    </row>
    <row r="1746">
      <c r="A1746" s="141"/>
      <c r="B1746" s="141"/>
      <c r="C1746" s="141"/>
      <c r="D1746" s="141"/>
      <c r="E1746" s="141"/>
      <c r="F1746" s="141"/>
      <c r="G1746" s="141"/>
      <c r="H1746" s="141"/>
      <c r="I1746" s="141"/>
      <c r="J1746" s="141"/>
      <c r="K1746" s="141"/>
      <c r="L1746" s="141"/>
      <c r="M1746" s="141"/>
      <c r="N1746" s="141"/>
      <c r="O1746" s="141"/>
      <c r="P1746" s="141"/>
      <c r="Q1746" s="141"/>
      <c r="R1746" s="141"/>
      <c r="S1746" s="141"/>
      <c r="T1746" s="141"/>
      <c r="U1746" s="141"/>
      <c r="V1746" s="141"/>
      <c r="W1746" s="141"/>
      <c r="X1746" s="141"/>
      <c r="Y1746" s="141"/>
      <c r="Z1746" s="141"/>
    </row>
    <row r="1747">
      <c r="A1747" s="141"/>
      <c r="B1747" s="141"/>
      <c r="C1747" s="141"/>
      <c r="D1747" s="141"/>
      <c r="E1747" s="141"/>
      <c r="F1747" s="141"/>
      <c r="G1747" s="141"/>
      <c r="H1747" s="141"/>
      <c r="I1747" s="141"/>
      <c r="J1747" s="141"/>
      <c r="K1747" s="141"/>
      <c r="L1747" s="141"/>
      <c r="M1747" s="141"/>
      <c r="N1747" s="141"/>
      <c r="O1747" s="141"/>
      <c r="P1747" s="141"/>
      <c r="Q1747" s="141"/>
      <c r="R1747" s="141"/>
      <c r="S1747" s="141"/>
      <c r="T1747" s="141"/>
      <c r="U1747" s="141"/>
      <c r="V1747" s="141"/>
      <c r="W1747" s="141"/>
      <c r="X1747" s="141"/>
      <c r="Y1747" s="141"/>
      <c r="Z1747" s="141"/>
    </row>
    <row r="1748">
      <c r="A1748" s="141"/>
      <c r="B1748" s="141"/>
      <c r="C1748" s="141"/>
      <c r="D1748" s="141"/>
      <c r="E1748" s="141"/>
      <c r="F1748" s="141"/>
      <c r="G1748" s="141"/>
      <c r="H1748" s="141"/>
      <c r="I1748" s="141"/>
      <c r="J1748" s="141"/>
      <c r="K1748" s="141"/>
      <c r="L1748" s="141"/>
      <c r="M1748" s="141"/>
      <c r="N1748" s="141"/>
      <c r="O1748" s="141"/>
      <c r="P1748" s="141"/>
      <c r="Q1748" s="141"/>
      <c r="R1748" s="141"/>
      <c r="S1748" s="141"/>
      <c r="T1748" s="141"/>
      <c r="U1748" s="141"/>
      <c r="V1748" s="141"/>
      <c r="W1748" s="141"/>
      <c r="X1748" s="141"/>
      <c r="Y1748" s="141"/>
      <c r="Z1748" s="141"/>
    </row>
    <row r="1749">
      <c r="A1749" s="141"/>
      <c r="B1749" s="141"/>
      <c r="C1749" s="141"/>
      <c r="D1749" s="141"/>
      <c r="E1749" s="141"/>
      <c r="F1749" s="141"/>
      <c r="G1749" s="141"/>
      <c r="H1749" s="141"/>
      <c r="I1749" s="141"/>
      <c r="J1749" s="141"/>
      <c r="K1749" s="141"/>
      <c r="L1749" s="141"/>
      <c r="M1749" s="141"/>
      <c r="N1749" s="141"/>
      <c r="O1749" s="141"/>
      <c r="P1749" s="141"/>
      <c r="Q1749" s="141"/>
      <c r="R1749" s="141"/>
      <c r="S1749" s="141"/>
      <c r="T1749" s="141"/>
      <c r="U1749" s="141"/>
      <c r="V1749" s="141"/>
      <c r="W1749" s="141"/>
      <c r="X1749" s="141"/>
      <c r="Y1749" s="141"/>
      <c r="Z1749" s="141"/>
    </row>
    <row r="1750">
      <c r="A1750" s="141"/>
      <c r="B1750" s="141"/>
      <c r="C1750" s="141"/>
      <c r="D1750" s="141"/>
      <c r="E1750" s="141"/>
      <c r="F1750" s="141"/>
      <c r="G1750" s="141"/>
      <c r="H1750" s="141"/>
      <c r="I1750" s="141"/>
      <c r="J1750" s="141"/>
      <c r="K1750" s="141"/>
      <c r="L1750" s="141"/>
      <c r="M1750" s="141"/>
      <c r="N1750" s="141"/>
      <c r="O1750" s="141"/>
      <c r="P1750" s="141"/>
      <c r="Q1750" s="141"/>
      <c r="R1750" s="141"/>
      <c r="S1750" s="141"/>
      <c r="T1750" s="141"/>
      <c r="U1750" s="141"/>
      <c r="V1750" s="141"/>
      <c r="W1750" s="141"/>
      <c r="X1750" s="141"/>
      <c r="Y1750" s="141"/>
      <c r="Z1750" s="141"/>
    </row>
    <row r="1751">
      <c r="A1751" s="141"/>
      <c r="B1751" s="141"/>
      <c r="C1751" s="141"/>
      <c r="D1751" s="141"/>
      <c r="E1751" s="141"/>
      <c r="F1751" s="141"/>
      <c r="G1751" s="141"/>
      <c r="H1751" s="141"/>
      <c r="I1751" s="141"/>
      <c r="J1751" s="141"/>
      <c r="K1751" s="141"/>
      <c r="L1751" s="141"/>
      <c r="M1751" s="141"/>
      <c r="N1751" s="141"/>
      <c r="O1751" s="141"/>
      <c r="P1751" s="141"/>
      <c r="Q1751" s="141"/>
      <c r="R1751" s="141"/>
      <c r="S1751" s="141"/>
      <c r="T1751" s="141"/>
      <c r="U1751" s="141"/>
      <c r="V1751" s="141"/>
      <c r="W1751" s="141"/>
      <c r="X1751" s="141"/>
      <c r="Y1751" s="141"/>
      <c r="Z1751" s="141"/>
    </row>
    <row r="1752">
      <c r="A1752" s="141"/>
      <c r="B1752" s="141"/>
      <c r="C1752" s="141"/>
      <c r="D1752" s="141"/>
      <c r="E1752" s="141"/>
      <c r="F1752" s="141"/>
      <c r="G1752" s="141"/>
      <c r="H1752" s="141"/>
      <c r="I1752" s="141"/>
      <c r="J1752" s="141"/>
      <c r="K1752" s="141"/>
      <c r="L1752" s="141"/>
      <c r="M1752" s="141"/>
      <c r="N1752" s="141"/>
      <c r="O1752" s="141"/>
      <c r="P1752" s="141"/>
      <c r="Q1752" s="141"/>
      <c r="R1752" s="141"/>
      <c r="S1752" s="141"/>
      <c r="T1752" s="141"/>
      <c r="U1752" s="141"/>
      <c r="V1752" s="141"/>
      <c r="W1752" s="141"/>
      <c r="X1752" s="141"/>
      <c r="Y1752" s="141"/>
      <c r="Z1752" s="141"/>
    </row>
    <row r="1753">
      <c r="A1753" s="141"/>
      <c r="B1753" s="141"/>
      <c r="C1753" s="141"/>
      <c r="D1753" s="141"/>
      <c r="E1753" s="141"/>
      <c r="F1753" s="141"/>
      <c r="G1753" s="141"/>
      <c r="H1753" s="141"/>
      <c r="I1753" s="141"/>
      <c r="J1753" s="141"/>
      <c r="K1753" s="141"/>
      <c r="L1753" s="141"/>
      <c r="M1753" s="141"/>
      <c r="N1753" s="141"/>
      <c r="O1753" s="141"/>
      <c r="P1753" s="141"/>
      <c r="Q1753" s="141"/>
      <c r="R1753" s="141"/>
      <c r="S1753" s="141"/>
      <c r="T1753" s="141"/>
      <c r="U1753" s="141"/>
      <c r="V1753" s="141"/>
      <c r="W1753" s="141"/>
      <c r="X1753" s="141"/>
      <c r="Y1753" s="141"/>
      <c r="Z1753" s="141"/>
    </row>
    <row r="1754">
      <c r="A1754" s="141"/>
      <c r="B1754" s="141"/>
      <c r="C1754" s="141"/>
      <c r="D1754" s="141"/>
      <c r="E1754" s="141"/>
      <c r="F1754" s="141"/>
      <c r="G1754" s="141"/>
      <c r="H1754" s="141"/>
      <c r="I1754" s="141"/>
      <c r="J1754" s="141"/>
      <c r="K1754" s="141"/>
      <c r="L1754" s="141"/>
      <c r="M1754" s="141"/>
      <c r="N1754" s="141"/>
      <c r="O1754" s="141"/>
      <c r="P1754" s="141"/>
      <c r="Q1754" s="141"/>
      <c r="R1754" s="141"/>
      <c r="S1754" s="141"/>
      <c r="T1754" s="141"/>
      <c r="U1754" s="141"/>
      <c r="V1754" s="141"/>
      <c r="W1754" s="141"/>
      <c r="X1754" s="141"/>
      <c r="Y1754" s="141"/>
      <c r="Z1754" s="141"/>
    </row>
    <row r="1755">
      <c r="A1755" s="141"/>
      <c r="B1755" s="141"/>
      <c r="C1755" s="141"/>
      <c r="D1755" s="141"/>
      <c r="E1755" s="141"/>
      <c r="F1755" s="141"/>
      <c r="G1755" s="141"/>
      <c r="H1755" s="141"/>
      <c r="I1755" s="141"/>
      <c r="J1755" s="141"/>
      <c r="K1755" s="141"/>
      <c r="L1755" s="141"/>
      <c r="M1755" s="141"/>
      <c r="N1755" s="141"/>
      <c r="O1755" s="141"/>
      <c r="P1755" s="141"/>
      <c r="Q1755" s="141"/>
      <c r="R1755" s="141"/>
      <c r="S1755" s="141"/>
      <c r="T1755" s="141"/>
      <c r="U1755" s="141"/>
      <c r="V1755" s="141"/>
      <c r="W1755" s="141"/>
      <c r="X1755" s="141"/>
      <c r="Y1755" s="141"/>
      <c r="Z1755" s="141"/>
    </row>
    <row r="1756">
      <c r="A1756" s="141"/>
      <c r="B1756" s="141"/>
      <c r="C1756" s="141"/>
      <c r="D1756" s="141"/>
      <c r="E1756" s="141"/>
      <c r="F1756" s="141"/>
      <c r="G1756" s="141"/>
      <c r="H1756" s="141"/>
      <c r="I1756" s="141"/>
      <c r="J1756" s="141"/>
      <c r="K1756" s="141"/>
      <c r="L1756" s="141"/>
      <c r="M1756" s="141"/>
      <c r="N1756" s="141"/>
      <c r="O1756" s="141"/>
      <c r="P1756" s="141"/>
      <c r="Q1756" s="141"/>
      <c r="R1756" s="141"/>
      <c r="S1756" s="141"/>
      <c r="T1756" s="141"/>
      <c r="U1756" s="141"/>
      <c r="V1756" s="141"/>
      <c r="W1756" s="141"/>
      <c r="X1756" s="141"/>
      <c r="Y1756" s="141"/>
      <c r="Z1756" s="141"/>
    </row>
    <row r="1757">
      <c r="A1757" s="141"/>
      <c r="B1757" s="141"/>
      <c r="C1757" s="141"/>
      <c r="D1757" s="141"/>
      <c r="E1757" s="141"/>
      <c r="F1757" s="141"/>
      <c r="G1757" s="141"/>
      <c r="H1757" s="141"/>
      <c r="I1757" s="141"/>
      <c r="J1757" s="141"/>
      <c r="K1757" s="141"/>
      <c r="L1757" s="141"/>
      <c r="M1757" s="141"/>
      <c r="N1757" s="141"/>
      <c r="O1757" s="141"/>
      <c r="P1757" s="141"/>
      <c r="Q1757" s="141"/>
      <c r="R1757" s="141"/>
      <c r="S1757" s="141"/>
      <c r="T1757" s="141"/>
      <c r="U1757" s="141"/>
      <c r="V1757" s="141"/>
      <c r="W1757" s="141"/>
      <c r="X1757" s="141"/>
      <c r="Y1757" s="141"/>
      <c r="Z1757" s="141"/>
    </row>
    <row r="1758">
      <c r="A1758" s="141"/>
      <c r="B1758" s="141"/>
      <c r="C1758" s="141"/>
      <c r="D1758" s="141"/>
      <c r="E1758" s="141"/>
      <c r="F1758" s="141"/>
      <c r="G1758" s="141"/>
      <c r="H1758" s="141"/>
      <c r="I1758" s="141"/>
      <c r="J1758" s="141"/>
      <c r="K1758" s="141"/>
      <c r="L1758" s="141"/>
      <c r="M1758" s="141"/>
      <c r="N1758" s="141"/>
      <c r="O1758" s="141"/>
      <c r="P1758" s="141"/>
      <c r="Q1758" s="141"/>
      <c r="R1758" s="141"/>
      <c r="S1758" s="141"/>
      <c r="T1758" s="141"/>
      <c r="U1758" s="141"/>
      <c r="V1758" s="141"/>
      <c r="W1758" s="141"/>
      <c r="X1758" s="141"/>
      <c r="Y1758" s="141"/>
      <c r="Z1758" s="141"/>
    </row>
    <row r="1759">
      <c r="A1759" s="141"/>
      <c r="B1759" s="141"/>
      <c r="C1759" s="141"/>
      <c r="D1759" s="141"/>
      <c r="E1759" s="141"/>
      <c r="F1759" s="141"/>
      <c r="G1759" s="141"/>
      <c r="H1759" s="141"/>
      <c r="I1759" s="141"/>
      <c r="J1759" s="141"/>
      <c r="K1759" s="141"/>
      <c r="L1759" s="141"/>
      <c r="M1759" s="141"/>
      <c r="N1759" s="141"/>
      <c r="O1759" s="141"/>
      <c r="P1759" s="141"/>
      <c r="Q1759" s="141"/>
      <c r="R1759" s="141"/>
      <c r="S1759" s="141"/>
      <c r="T1759" s="141"/>
      <c r="U1759" s="141"/>
      <c r="V1759" s="141"/>
      <c r="W1759" s="141"/>
      <c r="X1759" s="141"/>
      <c r="Y1759" s="141"/>
      <c r="Z1759" s="141"/>
    </row>
    <row r="1760">
      <c r="A1760" s="141"/>
      <c r="B1760" s="141"/>
      <c r="C1760" s="141"/>
      <c r="D1760" s="141"/>
      <c r="E1760" s="141"/>
      <c r="F1760" s="141"/>
      <c r="G1760" s="141"/>
      <c r="H1760" s="141"/>
      <c r="I1760" s="141"/>
      <c r="J1760" s="141"/>
      <c r="K1760" s="141"/>
      <c r="L1760" s="141"/>
      <c r="M1760" s="141"/>
      <c r="N1760" s="141"/>
      <c r="O1760" s="141"/>
      <c r="P1760" s="141"/>
      <c r="Q1760" s="141"/>
      <c r="R1760" s="141"/>
      <c r="S1760" s="141"/>
      <c r="T1760" s="141"/>
      <c r="U1760" s="141"/>
      <c r="V1760" s="141"/>
      <c r="W1760" s="141"/>
      <c r="X1760" s="141"/>
      <c r="Y1760" s="141"/>
      <c r="Z1760" s="141"/>
    </row>
    <row r="1761">
      <c r="A1761" s="141"/>
      <c r="B1761" s="141"/>
      <c r="C1761" s="141"/>
      <c r="D1761" s="141"/>
      <c r="E1761" s="141"/>
      <c r="F1761" s="141"/>
      <c r="G1761" s="141"/>
      <c r="H1761" s="141"/>
      <c r="I1761" s="141"/>
      <c r="J1761" s="141"/>
      <c r="K1761" s="141"/>
      <c r="L1761" s="141"/>
      <c r="M1761" s="141"/>
      <c r="N1761" s="141"/>
      <c r="O1761" s="141"/>
      <c r="P1761" s="141"/>
      <c r="Q1761" s="141"/>
      <c r="R1761" s="141"/>
      <c r="S1761" s="141"/>
      <c r="T1761" s="141"/>
      <c r="U1761" s="141"/>
      <c r="V1761" s="141"/>
      <c r="W1761" s="141"/>
      <c r="X1761" s="141"/>
      <c r="Y1761" s="141"/>
      <c r="Z1761" s="141"/>
    </row>
    <row r="1762">
      <c r="A1762" s="141"/>
      <c r="B1762" s="141"/>
      <c r="C1762" s="141"/>
      <c r="D1762" s="141"/>
      <c r="E1762" s="141"/>
      <c r="F1762" s="141"/>
      <c r="G1762" s="141"/>
      <c r="H1762" s="141"/>
      <c r="I1762" s="141"/>
      <c r="J1762" s="141"/>
      <c r="K1762" s="141"/>
      <c r="L1762" s="141"/>
      <c r="M1762" s="141"/>
      <c r="N1762" s="141"/>
      <c r="O1762" s="141"/>
      <c r="P1762" s="141"/>
      <c r="Q1762" s="141"/>
      <c r="R1762" s="141"/>
      <c r="S1762" s="141"/>
      <c r="T1762" s="141"/>
      <c r="U1762" s="141"/>
      <c r="V1762" s="141"/>
      <c r="W1762" s="141"/>
      <c r="X1762" s="141"/>
      <c r="Y1762" s="141"/>
      <c r="Z1762" s="141"/>
    </row>
    <row r="1763">
      <c r="A1763" s="141"/>
      <c r="B1763" s="141"/>
      <c r="C1763" s="141"/>
      <c r="D1763" s="141"/>
      <c r="E1763" s="141"/>
      <c r="F1763" s="141"/>
      <c r="G1763" s="141"/>
      <c r="H1763" s="141"/>
      <c r="I1763" s="141"/>
      <c r="J1763" s="141"/>
      <c r="K1763" s="141"/>
      <c r="L1763" s="141"/>
      <c r="M1763" s="141"/>
      <c r="N1763" s="141"/>
      <c r="O1763" s="141"/>
      <c r="P1763" s="141"/>
      <c r="Q1763" s="141"/>
      <c r="R1763" s="141"/>
      <c r="S1763" s="141"/>
      <c r="T1763" s="141"/>
      <c r="U1763" s="141"/>
      <c r="V1763" s="141"/>
      <c r="W1763" s="141"/>
      <c r="X1763" s="141"/>
      <c r="Y1763" s="141"/>
      <c r="Z1763" s="141"/>
    </row>
    <row r="1764">
      <c r="A1764" s="141"/>
      <c r="B1764" s="141"/>
      <c r="C1764" s="141"/>
      <c r="D1764" s="141"/>
      <c r="E1764" s="141"/>
      <c r="F1764" s="141"/>
      <c r="G1764" s="141"/>
      <c r="H1764" s="141"/>
      <c r="I1764" s="141"/>
      <c r="J1764" s="141"/>
      <c r="K1764" s="141"/>
      <c r="L1764" s="141"/>
      <c r="M1764" s="141"/>
      <c r="N1764" s="141"/>
      <c r="O1764" s="141"/>
      <c r="P1764" s="141"/>
      <c r="Q1764" s="141"/>
      <c r="R1764" s="141"/>
      <c r="S1764" s="141"/>
      <c r="T1764" s="141"/>
      <c r="U1764" s="141"/>
      <c r="V1764" s="141"/>
      <c r="W1764" s="141"/>
      <c r="X1764" s="141"/>
      <c r="Y1764" s="141"/>
      <c r="Z1764" s="141"/>
    </row>
    <row r="1765">
      <c r="A1765" s="141"/>
      <c r="B1765" s="141"/>
      <c r="C1765" s="141"/>
      <c r="D1765" s="141"/>
      <c r="E1765" s="141"/>
      <c r="F1765" s="141"/>
      <c r="G1765" s="141"/>
      <c r="H1765" s="141"/>
      <c r="I1765" s="141"/>
      <c r="J1765" s="141"/>
      <c r="K1765" s="141"/>
      <c r="L1765" s="141"/>
      <c r="M1765" s="141"/>
      <c r="N1765" s="141"/>
      <c r="O1765" s="141"/>
      <c r="P1765" s="141"/>
      <c r="Q1765" s="141"/>
      <c r="R1765" s="141"/>
      <c r="S1765" s="141"/>
      <c r="T1765" s="141"/>
      <c r="U1765" s="141"/>
      <c r="V1765" s="141"/>
      <c r="W1765" s="141"/>
      <c r="X1765" s="141"/>
      <c r="Y1765" s="141"/>
      <c r="Z1765" s="141"/>
    </row>
    <row r="1766">
      <c r="A1766" s="141"/>
      <c r="B1766" s="141"/>
      <c r="C1766" s="141"/>
      <c r="D1766" s="141"/>
      <c r="E1766" s="141"/>
      <c r="F1766" s="141"/>
      <c r="G1766" s="141"/>
      <c r="H1766" s="141"/>
      <c r="I1766" s="141"/>
      <c r="J1766" s="141"/>
      <c r="K1766" s="141"/>
      <c r="L1766" s="141"/>
      <c r="M1766" s="141"/>
      <c r="N1766" s="141"/>
      <c r="O1766" s="141"/>
      <c r="P1766" s="141"/>
      <c r="Q1766" s="141"/>
      <c r="R1766" s="141"/>
      <c r="S1766" s="141"/>
      <c r="T1766" s="141"/>
      <c r="U1766" s="141"/>
      <c r="V1766" s="141"/>
      <c r="W1766" s="141"/>
      <c r="X1766" s="141"/>
      <c r="Y1766" s="141"/>
      <c r="Z1766" s="141"/>
    </row>
    <row r="1767">
      <c r="A1767" s="141"/>
      <c r="B1767" s="141"/>
      <c r="C1767" s="141"/>
      <c r="D1767" s="141"/>
      <c r="E1767" s="141"/>
      <c r="F1767" s="141"/>
      <c r="G1767" s="141"/>
      <c r="H1767" s="141"/>
      <c r="I1767" s="141"/>
      <c r="J1767" s="141"/>
      <c r="K1767" s="141"/>
      <c r="L1767" s="141"/>
      <c r="M1767" s="141"/>
      <c r="N1767" s="141"/>
      <c r="O1767" s="141"/>
      <c r="P1767" s="141"/>
      <c r="Q1767" s="141"/>
      <c r="R1767" s="141"/>
      <c r="S1767" s="141"/>
      <c r="T1767" s="141"/>
      <c r="U1767" s="141"/>
      <c r="V1767" s="141"/>
      <c r="W1767" s="141"/>
      <c r="X1767" s="141"/>
      <c r="Y1767" s="141"/>
      <c r="Z1767" s="141"/>
    </row>
    <row r="1768">
      <c r="A1768" s="141"/>
      <c r="B1768" s="141"/>
      <c r="C1768" s="141"/>
      <c r="D1768" s="141"/>
      <c r="E1768" s="141"/>
      <c r="F1768" s="141"/>
      <c r="G1768" s="141"/>
      <c r="H1768" s="141"/>
      <c r="I1768" s="141"/>
      <c r="J1768" s="141"/>
      <c r="K1768" s="141"/>
      <c r="L1768" s="141"/>
      <c r="M1768" s="141"/>
      <c r="N1768" s="141"/>
      <c r="O1768" s="141"/>
      <c r="P1768" s="141"/>
      <c r="Q1768" s="141"/>
      <c r="R1768" s="141"/>
      <c r="S1768" s="141"/>
      <c r="T1768" s="141"/>
      <c r="U1768" s="141"/>
      <c r="V1768" s="141"/>
      <c r="W1768" s="141"/>
      <c r="X1768" s="141"/>
      <c r="Y1768" s="141"/>
      <c r="Z1768" s="141"/>
    </row>
    <row r="1769">
      <c r="A1769" s="141"/>
      <c r="B1769" s="141"/>
      <c r="C1769" s="141"/>
      <c r="D1769" s="141"/>
      <c r="E1769" s="141"/>
      <c r="F1769" s="141"/>
      <c r="G1769" s="141"/>
      <c r="H1769" s="141"/>
      <c r="I1769" s="141"/>
      <c r="J1769" s="141"/>
      <c r="K1769" s="141"/>
      <c r="L1769" s="141"/>
      <c r="M1769" s="141"/>
      <c r="N1769" s="141"/>
      <c r="O1769" s="141"/>
      <c r="P1769" s="141"/>
      <c r="Q1769" s="141"/>
      <c r="R1769" s="141"/>
      <c r="S1769" s="141"/>
      <c r="T1769" s="141"/>
      <c r="U1769" s="141"/>
      <c r="V1769" s="141"/>
      <c r="W1769" s="141"/>
      <c r="X1769" s="141"/>
      <c r="Y1769" s="141"/>
      <c r="Z1769" s="141"/>
    </row>
    <row r="1770">
      <c r="A1770" s="141"/>
      <c r="B1770" s="141"/>
      <c r="C1770" s="141"/>
      <c r="D1770" s="141"/>
      <c r="E1770" s="141"/>
      <c r="F1770" s="141"/>
      <c r="G1770" s="141"/>
      <c r="H1770" s="141"/>
      <c r="I1770" s="141"/>
      <c r="J1770" s="141"/>
      <c r="K1770" s="141"/>
      <c r="L1770" s="141"/>
      <c r="M1770" s="141"/>
      <c r="N1770" s="141"/>
      <c r="O1770" s="141"/>
      <c r="P1770" s="141"/>
      <c r="Q1770" s="141"/>
      <c r="R1770" s="141"/>
      <c r="S1770" s="141"/>
      <c r="T1770" s="141"/>
      <c r="U1770" s="141"/>
      <c r="V1770" s="141"/>
      <c r="W1770" s="141"/>
      <c r="X1770" s="141"/>
      <c r="Y1770" s="141"/>
      <c r="Z1770" s="141"/>
    </row>
    <row r="1771">
      <c r="A1771" s="141"/>
      <c r="B1771" s="141"/>
      <c r="C1771" s="141"/>
      <c r="D1771" s="141"/>
      <c r="E1771" s="141"/>
      <c r="F1771" s="141"/>
      <c r="G1771" s="141"/>
      <c r="H1771" s="141"/>
      <c r="I1771" s="141"/>
      <c r="J1771" s="141"/>
      <c r="K1771" s="141"/>
      <c r="L1771" s="141"/>
      <c r="M1771" s="141"/>
      <c r="N1771" s="141"/>
      <c r="O1771" s="141"/>
      <c r="P1771" s="141"/>
      <c r="Q1771" s="141"/>
      <c r="R1771" s="141"/>
      <c r="S1771" s="141"/>
      <c r="T1771" s="141"/>
      <c r="U1771" s="141"/>
      <c r="V1771" s="141"/>
      <c r="W1771" s="141"/>
      <c r="X1771" s="141"/>
      <c r="Y1771" s="141"/>
      <c r="Z1771" s="141"/>
    </row>
    <row r="1772">
      <c r="A1772" s="141"/>
      <c r="B1772" s="141"/>
      <c r="C1772" s="141"/>
      <c r="D1772" s="141"/>
      <c r="E1772" s="141"/>
      <c r="F1772" s="141"/>
      <c r="G1772" s="141"/>
      <c r="H1772" s="141"/>
      <c r="I1772" s="141"/>
      <c r="J1772" s="141"/>
      <c r="K1772" s="141"/>
      <c r="L1772" s="141"/>
      <c r="M1772" s="141"/>
      <c r="N1772" s="141"/>
      <c r="O1772" s="141"/>
      <c r="P1772" s="141"/>
      <c r="Q1772" s="141"/>
      <c r="R1772" s="141"/>
      <c r="S1772" s="141"/>
      <c r="T1772" s="141"/>
      <c r="U1772" s="141"/>
      <c r="V1772" s="141"/>
      <c r="W1772" s="141"/>
      <c r="X1772" s="141"/>
      <c r="Y1772" s="141"/>
      <c r="Z1772" s="141"/>
    </row>
    <row r="1773">
      <c r="A1773" s="141"/>
      <c r="B1773" s="141"/>
      <c r="C1773" s="141"/>
      <c r="D1773" s="141"/>
      <c r="E1773" s="141"/>
      <c r="F1773" s="141"/>
      <c r="G1773" s="141"/>
      <c r="H1773" s="141"/>
      <c r="I1773" s="141"/>
      <c r="J1773" s="141"/>
      <c r="K1773" s="141"/>
      <c r="L1773" s="141"/>
      <c r="M1773" s="141"/>
      <c r="N1773" s="141"/>
      <c r="O1773" s="141"/>
      <c r="P1773" s="141"/>
      <c r="Q1773" s="141"/>
      <c r="R1773" s="141"/>
      <c r="S1773" s="141"/>
      <c r="T1773" s="141"/>
      <c r="U1773" s="141"/>
      <c r="V1773" s="141"/>
      <c r="W1773" s="141"/>
      <c r="X1773" s="141"/>
      <c r="Y1773" s="141"/>
      <c r="Z1773" s="141"/>
    </row>
    <row r="1774">
      <c r="A1774" s="141"/>
      <c r="B1774" s="141"/>
      <c r="C1774" s="141"/>
      <c r="D1774" s="141"/>
      <c r="E1774" s="141"/>
      <c r="F1774" s="141"/>
      <c r="G1774" s="141"/>
      <c r="H1774" s="141"/>
      <c r="I1774" s="141"/>
      <c r="J1774" s="141"/>
      <c r="K1774" s="141"/>
      <c r="L1774" s="141"/>
      <c r="M1774" s="141"/>
      <c r="N1774" s="141"/>
      <c r="O1774" s="141"/>
      <c r="P1774" s="141"/>
      <c r="Q1774" s="141"/>
      <c r="R1774" s="141"/>
      <c r="S1774" s="141"/>
      <c r="T1774" s="141"/>
      <c r="U1774" s="141"/>
      <c r="V1774" s="141"/>
      <c r="W1774" s="141"/>
      <c r="X1774" s="141"/>
      <c r="Y1774" s="141"/>
      <c r="Z1774" s="141"/>
    </row>
    <row r="1775">
      <c r="A1775" s="141"/>
      <c r="B1775" s="141"/>
      <c r="C1775" s="141"/>
      <c r="D1775" s="141"/>
      <c r="E1775" s="141"/>
      <c r="F1775" s="141"/>
      <c r="G1775" s="141"/>
      <c r="H1775" s="141"/>
      <c r="I1775" s="141"/>
      <c r="J1775" s="141"/>
      <c r="K1775" s="141"/>
      <c r="L1775" s="141"/>
      <c r="M1775" s="141"/>
      <c r="N1775" s="141"/>
      <c r="O1775" s="141"/>
      <c r="P1775" s="141"/>
      <c r="Q1775" s="141"/>
      <c r="R1775" s="141"/>
      <c r="S1775" s="141"/>
      <c r="T1775" s="141"/>
      <c r="U1775" s="141"/>
      <c r="V1775" s="141"/>
      <c r="W1775" s="141"/>
      <c r="X1775" s="141"/>
      <c r="Y1775" s="141"/>
      <c r="Z1775" s="141"/>
    </row>
    <row r="1776">
      <c r="A1776" s="141"/>
      <c r="B1776" s="141"/>
      <c r="C1776" s="141"/>
      <c r="D1776" s="141"/>
      <c r="E1776" s="141"/>
      <c r="F1776" s="141"/>
      <c r="G1776" s="141"/>
      <c r="H1776" s="141"/>
      <c r="I1776" s="141"/>
      <c r="J1776" s="141"/>
      <c r="K1776" s="141"/>
      <c r="L1776" s="141"/>
      <c r="M1776" s="141"/>
      <c r="N1776" s="141"/>
      <c r="O1776" s="141"/>
      <c r="P1776" s="141"/>
      <c r="Q1776" s="141"/>
      <c r="R1776" s="141"/>
      <c r="S1776" s="141"/>
      <c r="T1776" s="141"/>
      <c r="U1776" s="141"/>
      <c r="V1776" s="141"/>
      <c r="W1776" s="141"/>
      <c r="X1776" s="141"/>
      <c r="Y1776" s="141"/>
      <c r="Z1776" s="141"/>
    </row>
    <row r="1777">
      <c r="A1777" s="141"/>
      <c r="B1777" s="141"/>
      <c r="C1777" s="141"/>
      <c r="D1777" s="141"/>
      <c r="E1777" s="141"/>
      <c r="F1777" s="141"/>
      <c r="G1777" s="141"/>
      <c r="H1777" s="141"/>
      <c r="I1777" s="141"/>
      <c r="J1777" s="141"/>
      <c r="K1777" s="141"/>
      <c r="L1777" s="141"/>
      <c r="M1777" s="141"/>
      <c r="N1777" s="141"/>
      <c r="O1777" s="141"/>
      <c r="P1777" s="141"/>
      <c r="Q1777" s="141"/>
      <c r="R1777" s="141"/>
      <c r="S1777" s="141"/>
      <c r="T1777" s="141"/>
      <c r="U1777" s="141"/>
      <c r="V1777" s="141"/>
      <c r="W1777" s="141"/>
      <c r="X1777" s="141"/>
      <c r="Y1777" s="141"/>
      <c r="Z1777" s="141"/>
    </row>
    <row r="1778">
      <c r="A1778" s="141"/>
      <c r="B1778" s="141"/>
      <c r="C1778" s="141"/>
      <c r="D1778" s="141"/>
      <c r="E1778" s="141"/>
      <c r="F1778" s="141"/>
      <c r="G1778" s="141"/>
      <c r="H1778" s="141"/>
      <c r="I1778" s="141"/>
      <c r="J1778" s="141"/>
      <c r="K1778" s="141"/>
      <c r="L1778" s="141"/>
      <c r="M1778" s="141"/>
      <c r="N1778" s="141"/>
      <c r="O1778" s="141"/>
      <c r="P1778" s="141"/>
      <c r="Q1778" s="141"/>
      <c r="R1778" s="141"/>
      <c r="S1778" s="141"/>
      <c r="T1778" s="141"/>
      <c r="U1778" s="141"/>
      <c r="V1778" s="141"/>
      <c r="W1778" s="141"/>
      <c r="X1778" s="141"/>
      <c r="Y1778" s="141"/>
      <c r="Z1778" s="141"/>
    </row>
    <row r="1779">
      <c r="A1779" s="141"/>
      <c r="B1779" s="141"/>
      <c r="C1779" s="141"/>
      <c r="D1779" s="141"/>
      <c r="E1779" s="141"/>
      <c r="F1779" s="141"/>
      <c r="G1779" s="141"/>
      <c r="H1779" s="141"/>
      <c r="I1779" s="141"/>
      <c r="J1779" s="141"/>
      <c r="K1779" s="141"/>
      <c r="L1779" s="141"/>
      <c r="M1779" s="141"/>
      <c r="N1779" s="141"/>
      <c r="O1779" s="141"/>
      <c r="P1779" s="141"/>
      <c r="Q1779" s="141"/>
      <c r="R1779" s="141"/>
      <c r="S1779" s="141"/>
      <c r="T1779" s="141"/>
      <c r="U1779" s="141"/>
      <c r="V1779" s="141"/>
      <c r="W1779" s="141"/>
      <c r="X1779" s="141"/>
      <c r="Y1779" s="141"/>
      <c r="Z1779" s="141"/>
    </row>
    <row r="1780">
      <c r="A1780" s="141"/>
      <c r="B1780" s="141"/>
      <c r="C1780" s="141"/>
      <c r="D1780" s="141"/>
      <c r="E1780" s="141"/>
      <c r="F1780" s="141"/>
      <c r="G1780" s="141"/>
      <c r="H1780" s="141"/>
      <c r="I1780" s="141"/>
      <c r="J1780" s="141"/>
      <c r="K1780" s="141"/>
      <c r="L1780" s="141"/>
      <c r="M1780" s="141"/>
      <c r="N1780" s="141"/>
      <c r="O1780" s="141"/>
      <c r="P1780" s="141"/>
      <c r="Q1780" s="141"/>
      <c r="R1780" s="141"/>
      <c r="S1780" s="141"/>
      <c r="T1780" s="141"/>
      <c r="U1780" s="141"/>
      <c r="V1780" s="141"/>
      <c r="W1780" s="141"/>
      <c r="X1780" s="141"/>
      <c r="Y1780" s="141"/>
      <c r="Z1780" s="141"/>
    </row>
    <row r="1781">
      <c r="A1781" s="141"/>
      <c r="B1781" s="141"/>
      <c r="C1781" s="141"/>
      <c r="D1781" s="141"/>
      <c r="E1781" s="141"/>
      <c r="F1781" s="141"/>
      <c r="G1781" s="141"/>
      <c r="H1781" s="141"/>
      <c r="I1781" s="141"/>
      <c r="J1781" s="141"/>
      <c r="K1781" s="141"/>
      <c r="L1781" s="141"/>
      <c r="M1781" s="141"/>
      <c r="N1781" s="141"/>
      <c r="O1781" s="141"/>
      <c r="P1781" s="141"/>
      <c r="Q1781" s="141"/>
      <c r="R1781" s="141"/>
      <c r="S1781" s="141"/>
      <c r="T1781" s="141"/>
      <c r="U1781" s="141"/>
      <c r="V1781" s="141"/>
      <c r="W1781" s="141"/>
      <c r="X1781" s="141"/>
      <c r="Y1781" s="141"/>
      <c r="Z1781" s="141"/>
    </row>
    <row r="1782">
      <c r="A1782" s="141"/>
      <c r="B1782" s="141"/>
      <c r="C1782" s="141"/>
      <c r="D1782" s="141"/>
      <c r="E1782" s="141"/>
      <c r="F1782" s="141"/>
      <c r="G1782" s="141"/>
      <c r="H1782" s="141"/>
      <c r="I1782" s="141"/>
      <c r="J1782" s="141"/>
      <c r="K1782" s="141"/>
      <c r="L1782" s="141"/>
      <c r="M1782" s="141"/>
      <c r="N1782" s="141"/>
      <c r="O1782" s="141"/>
      <c r="P1782" s="141"/>
      <c r="Q1782" s="141"/>
      <c r="R1782" s="141"/>
      <c r="S1782" s="141"/>
      <c r="T1782" s="141"/>
      <c r="U1782" s="141"/>
      <c r="V1782" s="141"/>
      <c r="W1782" s="141"/>
      <c r="X1782" s="141"/>
      <c r="Y1782" s="141"/>
      <c r="Z1782" s="141"/>
    </row>
    <row r="1783">
      <c r="A1783" s="141"/>
      <c r="B1783" s="141"/>
      <c r="C1783" s="141"/>
      <c r="D1783" s="141"/>
      <c r="E1783" s="141"/>
      <c r="F1783" s="141"/>
      <c r="G1783" s="141"/>
      <c r="H1783" s="141"/>
      <c r="I1783" s="141"/>
      <c r="J1783" s="141"/>
      <c r="K1783" s="141"/>
      <c r="L1783" s="141"/>
      <c r="M1783" s="141"/>
      <c r="N1783" s="141"/>
      <c r="O1783" s="141"/>
      <c r="P1783" s="141"/>
      <c r="Q1783" s="141"/>
      <c r="R1783" s="141"/>
      <c r="S1783" s="141"/>
      <c r="T1783" s="141"/>
      <c r="U1783" s="141"/>
      <c r="V1783" s="141"/>
      <c r="W1783" s="141"/>
      <c r="X1783" s="141"/>
      <c r="Y1783" s="141"/>
      <c r="Z1783" s="141"/>
    </row>
    <row r="1784">
      <c r="A1784" s="141"/>
      <c r="B1784" s="141"/>
      <c r="C1784" s="141"/>
      <c r="D1784" s="141"/>
      <c r="E1784" s="141"/>
      <c r="F1784" s="141"/>
      <c r="G1784" s="141"/>
      <c r="H1784" s="141"/>
      <c r="I1784" s="141"/>
      <c r="J1784" s="141"/>
      <c r="K1784" s="141"/>
      <c r="L1784" s="141"/>
      <c r="M1784" s="141"/>
      <c r="N1784" s="141"/>
      <c r="O1784" s="141"/>
      <c r="P1784" s="141"/>
      <c r="Q1784" s="141"/>
      <c r="R1784" s="141"/>
      <c r="S1784" s="141"/>
      <c r="T1784" s="141"/>
      <c r="U1784" s="141"/>
      <c r="V1784" s="141"/>
      <c r="W1784" s="141"/>
      <c r="X1784" s="141"/>
      <c r="Y1784" s="141"/>
      <c r="Z1784" s="141"/>
    </row>
    <row r="1785">
      <c r="A1785" s="141"/>
      <c r="B1785" s="141"/>
      <c r="C1785" s="141"/>
      <c r="D1785" s="141"/>
      <c r="E1785" s="141"/>
      <c r="F1785" s="141"/>
      <c r="G1785" s="141"/>
      <c r="H1785" s="141"/>
      <c r="I1785" s="141"/>
      <c r="J1785" s="141"/>
      <c r="K1785" s="141"/>
      <c r="L1785" s="141"/>
      <c r="M1785" s="141"/>
      <c r="N1785" s="141"/>
      <c r="O1785" s="141"/>
      <c r="P1785" s="141"/>
      <c r="Q1785" s="141"/>
      <c r="R1785" s="141"/>
      <c r="S1785" s="141"/>
      <c r="T1785" s="141"/>
      <c r="U1785" s="141"/>
      <c r="V1785" s="141"/>
      <c r="W1785" s="141"/>
      <c r="X1785" s="141"/>
      <c r="Y1785" s="141"/>
      <c r="Z1785" s="141"/>
    </row>
    <row r="1786">
      <c r="A1786" s="141"/>
      <c r="B1786" s="141"/>
      <c r="C1786" s="141"/>
      <c r="D1786" s="141"/>
      <c r="E1786" s="141"/>
      <c r="F1786" s="141"/>
      <c r="G1786" s="141"/>
      <c r="H1786" s="141"/>
      <c r="I1786" s="141"/>
      <c r="J1786" s="141"/>
      <c r="K1786" s="141"/>
      <c r="L1786" s="141"/>
      <c r="M1786" s="141"/>
      <c r="N1786" s="141"/>
      <c r="O1786" s="141"/>
      <c r="P1786" s="141"/>
      <c r="Q1786" s="141"/>
      <c r="R1786" s="141"/>
      <c r="S1786" s="141"/>
      <c r="T1786" s="141"/>
      <c r="U1786" s="141"/>
      <c r="V1786" s="141"/>
      <c r="W1786" s="141"/>
      <c r="X1786" s="141"/>
      <c r="Y1786" s="141"/>
      <c r="Z1786" s="141"/>
    </row>
    <row r="1787">
      <c r="A1787" s="141"/>
      <c r="B1787" s="141"/>
      <c r="C1787" s="141"/>
      <c r="D1787" s="141"/>
      <c r="E1787" s="141"/>
      <c r="F1787" s="141"/>
      <c r="G1787" s="141"/>
      <c r="H1787" s="141"/>
      <c r="I1787" s="141"/>
      <c r="J1787" s="141"/>
      <c r="K1787" s="141"/>
      <c r="L1787" s="141"/>
      <c r="M1787" s="141"/>
      <c r="N1787" s="141"/>
      <c r="O1787" s="141"/>
      <c r="P1787" s="141"/>
      <c r="Q1787" s="141"/>
      <c r="R1787" s="141"/>
      <c r="S1787" s="141"/>
      <c r="T1787" s="141"/>
      <c r="U1787" s="141"/>
      <c r="V1787" s="141"/>
      <c r="W1787" s="141"/>
      <c r="X1787" s="141"/>
      <c r="Y1787" s="141"/>
      <c r="Z1787" s="141"/>
    </row>
    <row r="1788">
      <c r="A1788" s="141"/>
      <c r="B1788" s="141"/>
      <c r="C1788" s="141"/>
      <c r="D1788" s="141"/>
      <c r="E1788" s="141"/>
      <c r="F1788" s="141"/>
      <c r="G1788" s="141"/>
      <c r="H1788" s="141"/>
      <c r="I1788" s="141"/>
      <c r="J1788" s="141"/>
      <c r="K1788" s="141"/>
      <c r="L1788" s="141"/>
      <c r="M1788" s="141"/>
      <c r="N1788" s="141"/>
      <c r="O1788" s="141"/>
      <c r="P1788" s="141"/>
      <c r="Q1788" s="141"/>
      <c r="R1788" s="141"/>
      <c r="S1788" s="141"/>
      <c r="T1788" s="141"/>
      <c r="U1788" s="141"/>
      <c r="V1788" s="141"/>
      <c r="W1788" s="141"/>
      <c r="X1788" s="141"/>
      <c r="Y1788" s="141"/>
      <c r="Z1788" s="141"/>
    </row>
    <row r="1789">
      <c r="A1789" s="141"/>
      <c r="B1789" s="141"/>
      <c r="C1789" s="141"/>
      <c r="D1789" s="141"/>
      <c r="E1789" s="141"/>
      <c r="F1789" s="141"/>
      <c r="G1789" s="141"/>
      <c r="H1789" s="141"/>
      <c r="I1789" s="141"/>
      <c r="J1789" s="141"/>
      <c r="K1789" s="141"/>
      <c r="L1789" s="141"/>
      <c r="M1789" s="141"/>
      <c r="N1789" s="141"/>
      <c r="O1789" s="141"/>
      <c r="P1789" s="141"/>
      <c r="Q1789" s="141"/>
      <c r="R1789" s="141"/>
      <c r="S1789" s="141"/>
      <c r="T1789" s="141"/>
      <c r="U1789" s="141"/>
      <c r="V1789" s="141"/>
      <c r="W1789" s="141"/>
      <c r="X1789" s="141"/>
      <c r="Y1789" s="141"/>
      <c r="Z1789" s="141"/>
    </row>
    <row r="1790">
      <c r="A1790" s="141"/>
      <c r="B1790" s="141"/>
      <c r="C1790" s="141"/>
      <c r="D1790" s="141"/>
      <c r="E1790" s="141"/>
      <c r="F1790" s="141"/>
      <c r="G1790" s="141"/>
      <c r="H1790" s="141"/>
      <c r="I1790" s="141"/>
      <c r="J1790" s="141"/>
      <c r="K1790" s="141"/>
      <c r="L1790" s="141"/>
      <c r="M1790" s="141"/>
      <c r="N1790" s="141"/>
      <c r="O1790" s="141"/>
      <c r="P1790" s="141"/>
      <c r="Q1790" s="141"/>
      <c r="R1790" s="141"/>
      <c r="S1790" s="141"/>
      <c r="T1790" s="141"/>
      <c r="U1790" s="141"/>
      <c r="V1790" s="141"/>
      <c r="W1790" s="141"/>
      <c r="X1790" s="141"/>
      <c r="Y1790" s="141"/>
      <c r="Z1790" s="141"/>
    </row>
    <row r="1791">
      <c r="A1791" s="141"/>
      <c r="B1791" s="141"/>
      <c r="C1791" s="141"/>
      <c r="D1791" s="141"/>
      <c r="E1791" s="141"/>
      <c r="F1791" s="141"/>
      <c r="G1791" s="141"/>
      <c r="H1791" s="141"/>
      <c r="I1791" s="141"/>
      <c r="J1791" s="141"/>
      <c r="K1791" s="141"/>
      <c r="L1791" s="141"/>
      <c r="M1791" s="141"/>
      <c r="N1791" s="141"/>
      <c r="O1791" s="141"/>
      <c r="P1791" s="141"/>
      <c r="Q1791" s="141"/>
      <c r="R1791" s="141"/>
      <c r="S1791" s="141"/>
      <c r="T1791" s="141"/>
      <c r="U1791" s="141"/>
      <c r="V1791" s="141"/>
      <c r="W1791" s="141"/>
      <c r="X1791" s="141"/>
      <c r="Y1791" s="141"/>
      <c r="Z1791" s="141"/>
    </row>
    <row r="1792">
      <c r="A1792" s="141"/>
      <c r="B1792" s="141"/>
      <c r="C1792" s="141"/>
      <c r="D1792" s="141"/>
      <c r="E1792" s="141"/>
      <c r="F1792" s="141"/>
      <c r="G1792" s="141"/>
      <c r="H1792" s="141"/>
      <c r="I1792" s="141"/>
      <c r="J1792" s="141"/>
      <c r="K1792" s="141"/>
      <c r="L1792" s="141"/>
      <c r="M1792" s="141"/>
      <c r="N1792" s="141"/>
      <c r="O1792" s="141"/>
      <c r="P1792" s="141"/>
      <c r="Q1792" s="141"/>
      <c r="R1792" s="141"/>
      <c r="S1792" s="141"/>
      <c r="T1792" s="141"/>
      <c r="U1792" s="141"/>
      <c r="V1792" s="141"/>
      <c r="W1792" s="141"/>
      <c r="X1792" s="141"/>
      <c r="Y1792" s="141"/>
      <c r="Z1792" s="141"/>
    </row>
    <row r="1793">
      <c r="A1793" s="141"/>
      <c r="B1793" s="141"/>
      <c r="C1793" s="141"/>
      <c r="D1793" s="141"/>
      <c r="E1793" s="141"/>
      <c r="F1793" s="141"/>
      <c r="G1793" s="141"/>
      <c r="H1793" s="141"/>
      <c r="I1793" s="141"/>
      <c r="J1793" s="141"/>
      <c r="K1793" s="141"/>
      <c r="L1793" s="141"/>
      <c r="M1793" s="141"/>
      <c r="N1793" s="141"/>
      <c r="O1793" s="141"/>
      <c r="P1793" s="141"/>
      <c r="Q1793" s="141"/>
      <c r="R1793" s="141"/>
      <c r="S1793" s="141"/>
      <c r="T1793" s="141"/>
      <c r="U1793" s="141"/>
      <c r="V1793" s="141"/>
      <c r="W1793" s="141"/>
      <c r="X1793" s="141"/>
      <c r="Y1793" s="141"/>
      <c r="Z1793" s="141"/>
    </row>
    <row r="1794">
      <c r="A1794" s="141"/>
      <c r="B1794" s="141"/>
      <c r="C1794" s="141"/>
      <c r="D1794" s="141"/>
      <c r="E1794" s="141"/>
      <c r="F1794" s="141"/>
      <c r="G1794" s="141"/>
      <c r="H1794" s="141"/>
      <c r="I1794" s="141"/>
      <c r="J1794" s="141"/>
      <c r="K1794" s="141"/>
      <c r="L1794" s="141"/>
      <c r="M1794" s="141"/>
      <c r="N1794" s="141"/>
      <c r="O1794" s="141"/>
      <c r="P1794" s="141"/>
      <c r="Q1794" s="141"/>
      <c r="R1794" s="141"/>
      <c r="S1794" s="141"/>
      <c r="T1794" s="141"/>
      <c r="U1794" s="141"/>
      <c r="V1794" s="141"/>
      <c r="W1794" s="141"/>
      <c r="X1794" s="141"/>
      <c r="Y1794" s="141"/>
      <c r="Z1794" s="141"/>
    </row>
    <row r="1795">
      <c r="A1795" s="141"/>
      <c r="B1795" s="141"/>
      <c r="C1795" s="141"/>
      <c r="D1795" s="141"/>
      <c r="E1795" s="141"/>
      <c r="F1795" s="141"/>
      <c r="G1795" s="141"/>
      <c r="H1795" s="141"/>
      <c r="I1795" s="141"/>
      <c r="J1795" s="141"/>
      <c r="K1795" s="141"/>
      <c r="L1795" s="141"/>
      <c r="M1795" s="141"/>
      <c r="N1795" s="141"/>
      <c r="O1795" s="141"/>
      <c r="P1795" s="141"/>
      <c r="Q1795" s="141"/>
      <c r="R1795" s="141"/>
      <c r="S1795" s="141"/>
      <c r="T1795" s="141"/>
      <c r="U1795" s="141"/>
      <c r="V1795" s="141"/>
      <c r="W1795" s="141"/>
      <c r="X1795" s="141"/>
      <c r="Y1795" s="141"/>
      <c r="Z1795" s="141"/>
    </row>
    <row r="1796">
      <c r="A1796" s="141"/>
      <c r="B1796" s="141"/>
      <c r="C1796" s="141"/>
      <c r="D1796" s="141"/>
      <c r="E1796" s="141"/>
      <c r="F1796" s="141"/>
      <c r="G1796" s="141"/>
      <c r="H1796" s="141"/>
      <c r="I1796" s="141"/>
      <c r="J1796" s="141"/>
      <c r="K1796" s="141"/>
      <c r="L1796" s="141"/>
      <c r="M1796" s="141"/>
      <c r="N1796" s="141"/>
      <c r="O1796" s="141"/>
      <c r="P1796" s="141"/>
      <c r="Q1796" s="141"/>
      <c r="R1796" s="141"/>
      <c r="S1796" s="141"/>
      <c r="T1796" s="141"/>
      <c r="U1796" s="141"/>
      <c r="V1796" s="141"/>
      <c r="W1796" s="141"/>
      <c r="X1796" s="141"/>
      <c r="Y1796" s="141"/>
      <c r="Z1796" s="141"/>
    </row>
    <row r="1797">
      <c r="A1797" s="141"/>
      <c r="B1797" s="141"/>
      <c r="C1797" s="141"/>
      <c r="D1797" s="141"/>
      <c r="E1797" s="141"/>
      <c r="F1797" s="141"/>
      <c r="G1797" s="141"/>
      <c r="H1797" s="141"/>
      <c r="I1797" s="141"/>
      <c r="J1797" s="141"/>
      <c r="K1797" s="141"/>
      <c r="L1797" s="141"/>
      <c r="M1797" s="141"/>
      <c r="N1797" s="141"/>
      <c r="O1797" s="141"/>
      <c r="P1797" s="141"/>
      <c r="Q1797" s="141"/>
      <c r="R1797" s="141"/>
      <c r="S1797" s="141"/>
      <c r="T1797" s="141"/>
      <c r="U1797" s="141"/>
      <c r="V1797" s="141"/>
      <c r="W1797" s="141"/>
      <c r="X1797" s="141"/>
      <c r="Y1797" s="141"/>
      <c r="Z1797" s="141"/>
    </row>
    <row r="1798">
      <c r="A1798" s="141"/>
      <c r="B1798" s="141"/>
      <c r="C1798" s="141"/>
      <c r="D1798" s="141"/>
      <c r="E1798" s="141"/>
      <c r="F1798" s="141"/>
      <c r="G1798" s="141"/>
      <c r="H1798" s="141"/>
      <c r="I1798" s="141"/>
      <c r="J1798" s="141"/>
      <c r="K1798" s="141"/>
      <c r="L1798" s="141"/>
      <c r="M1798" s="141"/>
      <c r="N1798" s="141"/>
      <c r="O1798" s="141"/>
      <c r="P1798" s="141"/>
      <c r="Q1798" s="141"/>
      <c r="R1798" s="141"/>
      <c r="S1798" s="141"/>
      <c r="T1798" s="141"/>
      <c r="U1798" s="141"/>
      <c r="V1798" s="141"/>
      <c r="W1798" s="141"/>
      <c r="X1798" s="141"/>
      <c r="Y1798" s="141"/>
      <c r="Z1798" s="141"/>
    </row>
    <row r="1799">
      <c r="A1799" s="141"/>
      <c r="B1799" s="141"/>
      <c r="C1799" s="141"/>
      <c r="D1799" s="141"/>
      <c r="E1799" s="141"/>
      <c r="F1799" s="141"/>
      <c r="G1799" s="141"/>
      <c r="H1799" s="141"/>
      <c r="I1799" s="141"/>
      <c r="J1799" s="141"/>
      <c r="K1799" s="141"/>
      <c r="L1799" s="141"/>
      <c r="M1799" s="141"/>
      <c r="N1799" s="141"/>
      <c r="O1799" s="141"/>
      <c r="P1799" s="141"/>
      <c r="Q1799" s="141"/>
      <c r="R1799" s="141"/>
      <c r="S1799" s="141"/>
      <c r="T1799" s="141"/>
      <c r="U1799" s="141"/>
      <c r="V1799" s="141"/>
      <c r="W1799" s="141"/>
      <c r="X1799" s="141"/>
      <c r="Y1799" s="141"/>
      <c r="Z1799" s="141"/>
    </row>
    <row r="1800">
      <c r="A1800" s="141"/>
      <c r="B1800" s="141"/>
      <c r="C1800" s="141"/>
      <c r="D1800" s="141"/>
      <c r="E1800" s="141"/>
      <c r="F1800" s="141"/>
      <c r="G1800" s="141"/>
      <c r="H1800" s="141"/>
      <c r="I1800" s="141"/>
      <c r="J1800" s="141"/>
      <c r="K1800" s="141"/>
      <c r="L1800" s="141"/>
      <c r="M1800" s="141"/>
      <c r="N1800" s="141"/>
      <c r="O1800" s="141"/>
      <c r="P1800" s="141"/>
      <c r="Q1800" s="141"/>
      <c r="R1800" s="141"/>
      <c r="S1800" s="141"/>
      <c r="T1800" s="141"/>
      <c r="U1800" s="141"/>
      <c r="V1800" s="141"/>
      <c r="W1800" s="141"/>
      <c r="X1800" s="141"/>
      <c r="Y1800" s="141"/>
      <c r="Z1800" s="141"/>
    </row>
    <row r="1801">
      <c r="A1801" s="141"/>
      <c r="B1801" s="141"/>
      <c r="C1801" s="141"/>
      <c r="D1801" s="141"/>
      <c r="E1801" s="141"/>
      <c r="F1801" s="141"/>
      <c r="G1801" s="141"/>
      <c r="H1801" s="141"/>
      <c r="I1801" s="141"/>
      <c r="J1801" s="141"/>
      <c r="K1801" s="141"/>
      <c r="L1801" s="141"/>
      <c r="M1801" s="141"/>
      <c r="N1801" s="141"/>
      <c r="O1801" s="141"/>
      <c r="P1801" s="141"/>
      <c r="Q1801" s="141"/>
      <c r="R1801" s="141"/>
      <c r="S1801" s="141"/>
      <c r="T1801" s="141"/>
      <c r="U1801" s="141"/>
      <c r="V1801" s="141"/>
      <c r="W1801" s="141"/>
      <c r="X1801" s="141"/>
      <c r="Y1801" s="141"/>
      <c r="Z1801" s="141"/>
    </row>
    <row r="1802">
      <c r="A1802" s="141"/>
      <c r="B1802" s="141"/>
      <c r="C1802" s="141"/>
      <c r="D1802" s="141"/>
      <c r="E1802" s="141"/>
      <c r="F1802" s="141"/>
      <c r="G1802" s="141"/>
      <c r="H1802" s="141"/>
      <c r="I1802" s="141"/>
      <c r="J1802" s="141"/>
      <c r="K1802" s="141"/>
      <c r="L1802" s="141"/>
      <c r="M1802" s="141"/>
      <c r="N1802" s="141"/>
      <c r="O1802" s="141"/>
      <c r="P1802" s="141"/>
      <c r="Q1802" s="141"/>
      <c r="R1802" s="141"/>
      <c r="S1802" s="141"/>
      <c r="T1802" s="141"/>
      <c r="U1802" s="141"/>
      <c r="V1802" s="141"/>
      <c r="W1802" s="141"/>
      <c r="X1802" s="141"/>
      <c r="Y1802" s="141"/>
      <c r="Z1802" s="141"/>
    </row>
    <row r="1803">
      <c r="A1803" s="141"/>
      <c r="B1803" s="141"/>
      <c r="C1803" s="141"/>
      <c r="D1803" s="141"/>
      <c r="E1803" s="141"/>
      <c r="F1803" s="141"/>
      <c r="G1803" s="141"/>
      <c r="H1803" s="141"/>
      <c r="I1803" s="141"/>
      <c r="J1803" s="141"/>
      <c r="K1803" s="141"/>
      <c r="L1803" s="141"/>
      <c r="M1803" s="141"/>
      <c r="N1803" s="141"/>
      <c r="O1803" s="141"/>
      <c r="P1803" s="141"/>
      <c r="Q1803" s="141"/>
      <c r="R1803" s="141"/>
      <c r="S1803" s="141"/>
      <c r="T1803" s="141"/>
      <c r="U1803" s="141"/>
      <c r="V1803" s="141"/>
      <c r="W1803" s="141"/>
      <c r="X1803" s="141"/>
      <c r="Y1803" s="141"/>
      <c r="Z1803" s="141"/>
    </row>
    <row r="1804">
      <c r="A1804" s="141"/>
      <c r="B1804" s="141"/>
      <c r="C1804" s="141"/>
      <c r="D1804" s="141"/>
      <c r="E1804" s="141"/>
      <c r="F1804" s="141"/>
      <c r="G1804" s="141"/>
      <c r="H1804" s="141"/>
      <c r="I1804" s="141"/>
      <c r="J1804" s="141"/>
      <c r="K1804" s="141"/>
      <c r="L1804" s="141"/>
      <c r="M1804" s="141"/>
      <c r="N1804" s="141"/>
      <c r="O1804" s="141"/>
      <c r="P1804" s="141"/>
      <c r="Q1804" s="141"/>
      <c r="R1804" s="141"/>
      <c r="S1804" s="141"/>
      <c r="T1804" s="141"/>
      <c r="U1804" s="141"/>
      <c r="V1804" s="141"/>
      <c r="W1804" s="141"/>
      <c r="X1804" s="141"/>
      <c r="Y1804" s="141"/>
      <c r="Z1804" s="141"/>
    </row>
    <row r="1805">
      <c r="A1805" s="141"/>
      <c r="B1805" s="141"/>
      <c r="C1805" s="141"/>
      <c r="D1805" s="141"/>
      <c r="E1805" s="141"/>
      <c r="F1805" s="141"/>
      <c r="G1805" s="141"/>
      <c r="H1805" s="141"/>
      <c r="I1805" s="141"/>
      <c r="J1805" s="141"/>
      <c r="K1805" s="141"/>
      <c r="L1805" s="141"/>
      <c r="M1805" s="141"/>
      <c r="N1805" s="141"/>
      <c r="O1805" s="141"/>
      <c r="P1805" s="141"/>
      <c r="Q1805" s="141"/>
      <c r="R1805" s="141"/>
      <c r="S1805" s="141"/>
      <c r="T1805" s="141"/>
      <c r="U1805" s="141"/>
      <c r="V1805" s="141"/>
      <c r="W1805" s="141"/>
      <c r="X1805" s="141"/>
      <c r="Y1805" s="141"/>
      <c r="Z1805" s="141"/>
    </row>
    <row r="1806">
      <c r="A1806" s="141"/>
      <c r="B1806" s="141"/>
      <c r="C1806" s="141"/>
      <c r="D1806" s="141"/>
      <c r="E1806" s="141"/>
      <c r="F1806" s="141"/>
      <c r="G1806" s="141"/>
      <c r="H1806" s="141"/>
      <c r="I1806" s="141"/>
      <c r="J1806" s="141"/>
      <c r="K1806" s="141"/>
      <c r="L1806" s="141"/>
      <c r="M1806" s="141"/>
      <c r="N1806" s="141"/>
      <c r="O1806" s="141"/>
      <c r="P1806" s="141"/>
      <c r="Q1806" s="141"/>
      <c r="R1806" s="141"/>
      <c r="S1806" s="141"/>
      <c r="T1806" s="141"/>
      <c r="U1806" s="141"/>
      <c r="V1806" s="141"/>
      <c r="W1806" s="141"/>
      <c r="X1806" s="141"/>
      <c r="Y1806" s="141"/>
      <c r="Z1806" s="141"/>
    </row>
    <row r="1807">
      <c r="A1807" s="141"/>
      <c r="B1807" s="141"/>
      <c r="C1807" s="141"/>
      <c r="D1807" s="141"/>
      <c r="E1807" s="141"/>
      <c r="F1807" s="141"/>
      <c r="G1807" s="141"/>
      <c r="H1807" s="141"/>
      <c r="I1807" s="141"/>
      <c r="J1807" s="141"/>
      <c r="K1807" s="141"/>
      <c r="L1807" s="141"/>
      <c r="M1807" s="141"/>
      <c r="N1807" s="141"/>
      <c r="O1807" s="141"/>
      <c r="P1807" s="141"/>
      <c r="Q1807" s="141"/>
      <c r="R1807" s="141"/>
      <c r="S1807" s="141"/>
      <c r="T1807" s="141"/>
      <c r="U1807" s="141"/>
      <c r="V1807" s="141"/>
      <c r="W1807" s="141"/>
      <c r="X1807" s="141"/>
      <c r="Y1807" s="141"/>
      <c r="Z1807" s="141"/>
    </row>
    <row r="1808">
      <c r="A1808" s="141"/>
      <c r="B1808" s="141"/>
      <c r="C1808" s="141"/>
      <c r="D1808" s="141"/>
      <c r="E1808" s="141"/>
      <c r="F1808" s="141"/>
      <c r="G1808" s="141"/>
      <c r="H1808" s="141"/>
      <c r="I1808" s="141"/>
      <c r="J1808" s="141"/>
      <c r="K1808" s="141"/>
      <c r="L1808" s="141"/>
      <c r="M1808" s="141"/>
      <c r="N1808" s="141"/>
      <c r="O1808" s="141"/>
      <c r="P1808" s="141"/>
      <c r="Q1808" s="141"/>
      <c r="R1808" s="141"/>
      <c r="S1808" s="141"/>
      <c r="T1808" s="141"/>
      <c r="U1808" s="141"/>
      <c r="V1808" s="141"/>
      <c r="W1808" s="141"/>
      <c r="X1808" s="141"/>
      <c r="Y1808" s="141"/>
      <c r="Z1808" s="141"/>
    </row>
    <row r="1809">
      <c r="A1809" s="141"/>
      <c r="B1809" s="141"/>
      <c r="C1809" s="141"/>
      <c r="D1809" s="141"/>
      <c r="E1809" s="141"/>
      <c r="F1809" s="141"/>
      <c r="G1809" s="141"/>
      <c r="H1809" s="141"/>
      <c r="I1809" s="141"/>
      <c r="J1809" s="141"/>
      <c r="K1809" s="141"/>
      <c r="L1809" s="141"/>
      <c r="M1809" s="141"/>
      <c r="N1809" s="141"/>
      <c r="O1809" s="141"/>
      <c r="P1809" s="141"/>
      <c r="Q1809" s="141"/>
      <c r="R1809" s="141"/>
      <c r="S1809" s="141"/>
      <c r="T1809" s="141"/>
      <c r="U1809" s="141"/>
      <c r="V1809" s="141"/>
      <c r="W1809" s="141"/>
      <c r="X1809" s="141"/>
      <c r="Y1809" s="141"/>
      <c r="Z1809" s="141"/>
    </row>
    <row r="1810">
      <c r="A1810" s="141"/>
      <c r="B1810" s="141"/>
      <c r="C1810" s="141"/>
      <c r="D1810" s="141"/>
      <c r="E1810" s="141"/>
      <c r="F1810" s="141"/>
      <c r="G1810" s="141"/>
      <c r="H1810" s="141"/>
      <c r="I1810" s="141"/>
      <c r="J1810" s="141"/>
      <c r="K1810" s="141"/>
      <c r="L1810" s="141"/>
      <c r="M1810" s="141"/>
      <c r="N1810" s="141"/>
      <c r="O1810" s="141"/>
      <c r="P1810" s="141"/>
      <c r="Q1810" s="141"/>
      <c r="R1810" s="141"/>
      <c r="S1810" s="141"/>
      <c r="T1810" s="141"/>
      <c r="U1810" s="141"/>
      <c r="V1810" s="141"/>
      <c r="W1810" s="141"/>
      <c r="X1810" s="141"/>
      <c r="Y1810" s="141"/>
      <c r="Z1810" s="141"/>
    </row>
    <row r="1811">
      <c r="A1811" s="141"/>
      <c r="B1811" s="141"/>
      <c r="C1811" s="141"/>
      <c r="D1811" s="141"/>
      <c r="E1811" s="141"/>
      <c r="F1811" s="141"/>
      <c r="G1811" s="141"/>
      <c r="H1811" s="141"/>
      <c r="I1811" s="141"/>
      <c r="J1811" s="141"/>
      <c r="K1811" s="141"/>
      <c r="L1811" s="141"/>
      <c r="M1811" s="141"/>
      <c r="N1811" s="141"/>
      <c r="O1811" s="141"/>
      <c r="P1811" s="141"/>
      <c r="Q1811" s="141"/>
      <c r="R1811" s="141"/>
      <c r="S1811" s="141"/>
      <c r="T1811" s="141"/>
      <c r="U1811" s="141"/>
      <c r="V1811" s="141"/>
      <c r="W1811" s="141"/>
      <c r="X1811" s="141"/>
      <c r="Y1811" s="141"/>
      <c r="Z1811" s="141"/>
    </row>
    <row r="1812">
      <c r="A1812" s="141"/>
      <c r="B1812" s="141"/>
      <c r="C1812" s="141"/>
      <c r="D1812" s="141"/>
      <c r="E1812" s="141"/>
      <c r="F1812" s="141"/>
      <c r="G1812" s="141"/>
      <c r="H1812" s="141"/>
      <c r="I1812" s="141"/>
      <c r="J1812" s="141"/>
      <c r="K1812" s="141"/>
      <c r="L1812" s="141"/>
      <c r="M1812" s="141"/>
      <c r="N1812" s="141"/>
      <c r="O1812" s="141"/>
      <c r="P1812" s="141"/>
      <c r="Q1812" s="141"/>
      <c r="R1812" s="141"/>
      <c r="S1812" s="141"/>
      <c r="T1812" s="141"/>
      <c r="U1812" s="141"/>
      <c r="V1812" s="141"/>
      <c r="W1812" s="141"/>
      <c r="X1812" s="141"/>
      <c r="Y1812" s="141"/>
      <c r="Z1812" s="141"/>
    </row>
    <row r="1813">
      <c r="A1813" s="141"/>
      <c r="B1813" s="141"/>
      <c r="C1813" s="141"/>
      <c r="D1813" s="141"/>
      <c r="E1813" s="141"/>
      <c r="F1813" s="141"/>
      <c r="G1813" s="141"/>
      <c r="H1813" s="141"/>
      <c r="I1813" s="141"/>
      <c r="J1813" s="141"/>
      <c r="K1813" s="141"/>
      <c r="L1813" s="141"/>
      <c r="M1813" s="141"/>
      <c r="N1813" s="141"/>
      <c r="O1813" s="141"/>
      <c r="P1813" s="141"/>
      <c r="Q1813" s="141"/>
      <c r="R1813" s="141"/>
      <c r="S1813" s="141"/>
      <c r="T1813" s="141"/>
      <c r="U1813" s="141"/>
      <c r="V1813" s="141"/>
      <c r="W1813" s="141"/>
      <c r="X1813" s="141"/>
      <c r="Y1813" s="141"/>
      <c r="Z1813" s="141"/>
    </row>
    <row r="1814">
      <c r="A1814" s="141"/>
      <c r="B1814" s="141"/>
      <c r="C1814" s="141"/>
      <c r="D1814" s="141"/>
      <c r="E1814" s="141"/>
      <c r="F1814" s="141"/>
      <c r="G1814" s="141"/>
      <c r="H1814" s="141"/>
      <c r="I1814" s="141"/>
      <c r="J1814" s="141"/>
      <c r="K1814" s="141"/>
      <c r="L1814" s="141"/>
      <c r="M1814" s="141"/>
      <c r="N1814" s="141"/>
      <c r="O1814" s="141"/>
      <c r="P1814" s="141"/>
      <c r="Q1814" s="141"/>
      <c r="R1814" s="141"/>
      <c r="S1814" s="141"/>
      <c r="T1814" s="141"/>
      <c r="U1814" s="141"/>
      <c r="V1814" s="141"/>
      <c r="W1814" s="141"/>
      <c r="X1814" s="141"/>
      <c r="Y1814" s="141"/>
      <c r="Z1814" s="141"/>
    </row>
    <row r="1815">
      <c r="A1815" s="141"/>
      <c r="B1815" s="141"/>
      <c r="C1815" s="141"/>
      <c r="D1815" s="141"/>
      <c r="E1815" s="141"/>
      <c r="F1815" s="141"/>
      <c r="G1815" s="141"/>
      <c r="H1815" s="141"/>
      <c r="I1815" s="141"/>
      <c r="J1815" s="141"/>
      <c r="K1815" s="141"/>
      <c r="L1815" s="141"/>
      <c r="M1815" s="141"/>
      <c r="N1815" s="141"/>
      <c r="O1815" s="141"/>
      <c r="P1815" s="141"/>
      <c r="Q1815" s="141"/>
      <c r="R1815" s="141"/>
      <c r="S1815" s="141"/>
      <c r="T1815" s="141"/>
      <c r="U1815" s="141"/>
      <c r="V1815" s="141"/>
      <c r="W1815" s="141"/>
      <c r="X1815" s="141"/>
      <c r="Y1815" s="141"/>
      <c r="Z1815" s="141"/>
    </row>
    <row r="1816">
      <c r="A1816" s="141"/>
      <c r="B1816" s="141"/>
      <c r="C1816" s="141"/>
      <c r="D1816" s="141"/>
      <c r="E1816" s="141"/>
      <c r="F1816" s="141"/>
      <c r="G1816" s="141"/>
      <c r="H1816" s="141"/>
      <c r="I1816" s="141"/>
      <c r="J1816" s="141"/>
      <c r="K1816" s="141"/>
      <c r="L1816" s="141"/>
      <c r="M1816" s="141"/>
      <c r="N1816" s="141"/>
      <c r="O1816" s="141"/>
      <c r="P1816" s="141"/>
      <c r="Q1816" s="141"/>
      <c r="R1816" s="141"/>
      <c r="S1816" s="141"/>
      <c r="T1816" s="141"/>
      <c r="U1816" s="141"/>
      <c r="V1816" s="141"/>
      <c r="W1816" s="141"/>
      <c r="X1816" s="141"/>
      <c r="Y1816" s="141"/>
      <c r="Z1816" s="141"/>
    </row>
    <row r="1817">
      <c r="A1817" s="141"/>
      <c r="B1817" s="141"/>
      <c r="C1817" s="141"/>
      <c r="D1817" s="141"/>
      <c r="E1817" s="141"/>
      <c r="F1817" s="141"/>
      <c r="G1817" s="141"/>
      <c r="H1817" s="141"/>
      <c r="I1817" s="141"/>
      <c r="J1817" s="141"/>
      <c r="K1817" s="141"/>
      <c r="L1817" s="141"/>
      <c r="M1817" s="141"/>
      <c r="N1817" s="141"/>
      <c r="O1817" s="141"/>
      <c r="P1817" s="141"/>
      <c r="Q1817" s="141"/>
      <c r="R1817" s="141"/>
      <c r="S1817" s="141"/>
      <c r="T1817" s="141"/>
      <c r="U1817" s="141"/>
      <c r="V1817" s="141"/>
      <c r="W1817" s="141"/>
      <c r="X1817" s="141"/>
      <c r="Y1817" s="141"/>
      <c r="Z1817" s="141"/>
    </row>
    <row r="1818">
      <c r="A1818" s="141"/>
      <c r="B1818" s="141"/>
      <c r="C1818" s="141"/>
      <c r="D1818" s="141"/>
      <c r="E1818" s="141"/>
      <c r="F1818" s="141"/>
      <c r="G1818" s="141"/>
      <c r="H1818" s="141"/>
      <c r="I1818" s="141"/>
      <c r="J1818" s="141"/>
      <c r="K1818" s="141"/>
      <c r="L1818" s="141"/>
      <c r="M1818" s="141"/>
      <c r="N1818" s="141"/>
      <c r="O1818" s="141"/>
      <c r="P1818" s="141"/>
      <c r="Q1818" s="141"/>
      <c r="R1818" s="141"/>
      <c r="S1818" s="141"/>
      <c r="T1818" s="141"/>
      <c r="U1818" s="141"/>
      <c r="V1818" s="141"/>
      <c r="W1818" s="141"/>
      <c r="X1818" s="141"/>
      <c r="Y1818" s="141"/>
      <c r="Z1818" s="141"/>
    </row>
    <row r="1819">
      <c r="A1819" s="141"/>
      <c r="B1819" s="141"/>
      <c r="C1819" s="141"/>
      <c r="D1819" s="141"/>
      <c r="E1819" s="141"/>
      <c r="F1819" s="141"/>
      <c r="G1819" s="141"/>
      <c r="H1819" s="141"/>
      <c r="I1819" s="141"/>
      <c r="J1819" s="141"/>
      <c r="K1819" s="141"/>
      <c r="L1819" s="141"/>
      <c r="M1819" s="141"/>
      <c r="N1819" s="141"/>
      <c r="O1819" s="141"/>
      <c r="P1819" s="141"/>
      <c r="Q1819" s="141"/>
      <c r="R1819" s="141"/>
      <c r="S1819" s="141"/>
      <c r="T1819" s="141"/>
      <c r="U1819" s="141"/>
      <c r="V1819" s="141"/>
      <c r="W1819" s="141"/>
      <c r="X1819" s="141"/>
      <c r="Y1819" s="141"/>
      <c r="Z1819" s="141"/>
    </row>
    <row r="1820">
      <c r="A1820" s="141"/>
      <c r="B1820" s="141"/>
      <c r="C1820" s="141"/>
      <c r="D1820" s="141"/>
      <c r="E1820" s="141"/>
      <c r="F1820" s="141"/>
      <c r="G1820" s="141"/>
      <c r="H1820" s="141"/>
      <c r="I1820" s="141"/>
      <c r="J1820" s="141"/>
      <c r="K1820" s="141"/>
      <c r="L1820" s="141"/>
      <c r="M1820" s="141"/>
      <c r="N1820" s="141"/>
      <c r="O1820" s="141"/>
      <c r="P1820" s="141"/>
      <c r="Q1820" s="141"/>
      <c r="R1820" s="141"/>
      <c r="S1820" s="141"/>
      <c r="T1820" s="141"/>
      <c r="U1820" s="141"/>
      <c r="V1820" s="141"/>
      <c r="W1820" s="141"/>
      <c r="X1820" s="141"/>
      <c r="Y1820" s="141"/>
      <c r="Z1820" s="141"/>
    </row>
    <row r="1821">
      <c r="A1821" s="141"/>
      <c r="B1821" s="141"/>
      <c r="C1821" s="141"/>
      <c r="D1821" s="141"/>
      <c r="E1821" s="141"/>
      <c r="F1821" s="141"/>
      <c r="G1821" s="141"/>
      <c r="H1821" s="141"/>
      <c r="I1821" s="141"/>
      <c r="J1821" s="141"/>
      <c r="K1821" s="141"/>
      <c r="L1821" s="141"/>
      <c r="M1821" s="141"/>
      <c r="N1821" s="141"/>
      <c r="O1821" s="141"/>
      <c r="P1821" s="141"/>
      <c r="Q1821" s="141"/>
      <c r="R1821" s="141"/>
      <c r="S1821" s="141"/>
      <c r="T1821" s="141"/>
      <c r="U1821" s="141"/>
      <c r="V1821" s="141"/>
      <c r="W1821" s="141"/>
      <c r="X1821" s="141"/>
      <c r="Y1821" s="141"/>
      <c r="Z1821" s="141"/>
    </row>
    <row r="1822">
      <c r="A1822" s="141"/>
      <c r="B1822" s="141"/>
      <c r="C1822" s="141"/>
      <c r="D1822" s="141"/>
      <c r="E1822" s="141"/>
      <c r="F1822" s="141"/>
      <c r="G1822" s="141"/>
      <c r="H1822" s="141"/>
      <c r="I1822" s="141"/>
      <c r="J1822" s="141"/>
      <c r="K1822" s="141"/>
      <c r="L1822" s="141"/>
      <c r="M1822" s="141"/>
      <c r="N1822" s="141"/>
      <c r="O1822" s="141"/>
      <c r="P1822" s="141"/>
      <c r="Q1822" s="141"/>
      <c r="R1822" s="141"/>
      <c r="S1822" s="141"/>
      <c r="T1822" s="141"/>
      <c r="U1822" s="141"/>
      <c r="V1822" s="141"/>
      <c r="W1822" s="141"/>
      <c r="X1822" s="141"/>
      <c r="Y1822" s="141"/>
      <c r="Z1822" s="141"/>
    </row>
    <row r="1823">
      <c r="A1823" s="141"/>
      <c r="B1823" s="141"/>
      <c r="C1823" s="141"/>
      <c r="D1823" s="141"/>
      <c r="E1823" s="141"/>
      <c r="F1823" s="141"/>
      <c r="G1823" s="141"/>
      <c r="H1823" s="141"/>
      <c r="I1823" s="141"/>
      <c r="J1823" s="141"/>
      <c r="K1823" s="141"/>
      <c r="L1823" s="141"/>
      <c r="M1823" s="141"/>
      <c r="N1823" s="141"/>
      <c r="O1823" s="141"/>
      <c r="P1823" s="141"/>
      <c r="Q1823" s="141"/>
      <c r="R1823" s="141"/>
      <c r="S1823" s="141"/>
      <c r="T1823" s="141"/>
      <c r="U1823" s="141"/>
      <c r="V1823" s="141"/>
      <c r="W1823" s="141"/>
      <c r="X1823" s="141"/>
      <c r="Y1823" s="141"/>
      <c r="Z1823" s="141"/>
    </row>
    <row r="1824">
      <c r="A1824" s="141"/>
      <c r="B1824" s="141"/>
      <c r="C1824" s="141"/>
      <c r="D1824" s="141"/>
      <c r="E1824" s="141"/>
      <c r="F1824" s="141"/>
      <c r="G1824" s="141"/>
      <c r="H1824" s="141"/>
      <c r="I1824" s="141"/>
      <c r="J1824" s="141"/>
      <c r="K1824" s="141"/>
      <c r="L1824" s="141"/>
      <c r="M1824" s="141"/>
      <c r="N1824" s="141"/>
      <c r="O1824" s="141"/>
      <c r="P1824" s="141"/>
      <c r="Q1824" s="141"/>
      <c r="R1824" s="141"/>
      <c r="S1824" s="141"/>
      <c r="T1824" s="141"/>
      <c r="U1824" s="141"/>
      <c r="V1824" s="141"/>
      <c r="W1824" s="141"/>
      <c r="X1824" s="141"/>
      <c r="Y1824" s="141"/>
      <c r="Z1824" s="141"/>
    </row>
    <row r="1825">
      <c r="A1825" s="141"/>
      <c r="B1825" s="141"/>
      <c r="C1825" s="141"/>
      <c r="D1825" s="141"/>
      <c r="E1825" s="141"/>
      <c r="F1825" s="141"/>
      <c r="G1825" s="141"/>
      <c r="H1825" s="141"/>
      <c r="I1825" s="141"/>
      <c r="J1825" s="141"/>
      <c r="K1825" s="141"/>
      <c r="L1825" s="141"/>
      <c r="M1825" s="141"/>
      <c r="N1825" s="141"/>
      <c r="O1825" s="141"/>
      <c r="P1825" s="141"/>
      <c r="Q1825" s="141"/>
      <c r="R1825" s="141"/>
      <c r="S1825" s="141"/>
      <c r="T1825" s="141"/>
      <c r="U1825" s="141"/>
      <c r="V1825" s="141"/>
      <c r="W1825" s="141"/>
      <c r="X1825" s="141"/>
      <c r="Y1825" s="141"/>
      <c r="Z1825" s="141"/>
    </row>
    <row r="1826">
      <c r="A1826" s="141"/>
      <c r="B1826" s="141"/>
      <c r="C1826" s="141"/>
      <c r="D1826" s="141"/>
      <c r="E1826" s="141"/>
      <c r="F1826" s="141"/>
      <c r="G1826" s="141"/>
      <c r="H1826" s="141"/>
      <c r="I1826" s="141"/>
      <c r="J1826" s="141"/>
      <c r="K1826" s="141"/>
      <c r="L1826" s="141"/>
      <c r="M1826" s="141"/>
      <c r="N1826" s="141"/>
      <c r="O1826" s="141"/>
      <c r="P1826" s="141"/>
      <c r="Q1826" s="141"/>
      <c r="R1826" s="141"/>
      <c r="S1826" s="141"/>
      <c r="T1826" s="141"/>
      <c r="U1826" s="141"/>
      <c r="V1826" s="141"/>
      <c r="W1826" s="141"/>
      <c r="X1826" s="141"/>
      <c r="Y1826" s="141"/>
      <c r="Z1826" s="141"/>
    </row>
    <row r="1827">
      <c r="A1827" s="141"/>
      <c r="B1827" s="141"/>
      <c r="C1827" s="141"/>
      <c r="D1827" s="141"/>
      <c r="E1827" s="141"/>
      <c r="F1827" s="141"/>
      <c r="G1827" s="141"/>
      <c r="H1827" s="141"/>
      <c r="I1827" s="141"/>
      <c r="J1827" s="141"/>
      <c r="K1827" s="141"/>
      <c r="L1827" s="141"/>
      <c r="M1827" s="141"/>
      <c r="N1827" s="141"/>
      <c r="O1827" s="141"/>
      <c r="P1827" s="141"/>
      <c r="Q1827" s="141"/>
      <c r="R1827" s="141"/>
      <c r="S1827" s="141"/>
      <c r="T1827" s="141"/>
      <c r="U1827" s="141"/>
      <c r="V1827" s="141"/>
      <c r="W1827" s="141"/>
      <c r="X1827" s="141"/>
      <c r="Y1827" s="141"/>
      <c r="Z1827" s="141"/>
    </row>
    <row r="1828">
      <c r="A1828" s="141"/>
      <c r="B1828" s="141"/>
      <c r="C1828" s="141"/>
      <c r="D1828" s="141"/>
      <c r="E1828" s="141"/>
      <c r="F1828" s="141"/>
      <c r="G1828" s="141"/>
      <c r="H1828" s="141"/>
      <c r="I1828" s="141"/>
      <c r="J1828" s="141"/>
      <c r="K1828" s="141"/>
      <c r="L1828" s="141"/>
      <c r="M1828" s="141"/>
      <c r="N1828" s="141"/>
      <c r="O1828" s="141"/>
      <c r="P1828" s="141"/>
      <c r="Q1828" s="141"/>
      <c r="R1828" s="141"/>
      <c r="S1828" s="141"/>
      <c r="T1828" s="141"/>
      <c r="U1828" s="141"/>
      <c r="V1828" s="141"/>
      <c r="W1828" s="141"/>
      <c r="X1828" s="141"/>
      <c r="Y1828" s="141"/>
      <c r="Z1828" s="141"/>
    </row>
    <row r="1829">
      <c r="A1829" s="141"/>
      <c r="B1829" s="141"/>
      <c r="C1829" s="141"/>
      <c r="D1829" s="141"/>
      <c r="E1829" s="141"/>
      <c r="F1829" s="141"/>
      <c r="G1829" s="141"/>
      <c r="H1829" s="141"/>
      <c r="I1829" s="141"/>
      <c r="J1829" s="141"/>
      <c r="K1829" s="141"/>
      <c r="L1829" s="141"/>
      <c r="M1829" s="141"/>
      <c r="N1829" s="141"/>
      <c r="O1829" s="141"/>
      <c r="P1829" s="141"/>
      <c r="Q1829" s="141"/>
      <c r="R1829" s="141"/>
      <c r="S1829" s="141"/>
      <c r="T1829" s="141"/>
      <c r="U1829" s="141"/>
      <c r="V1829" s="141"/>
      <c r="W1829" s="141"/>
      <c r="X1829" s="141"/>
      <c r="Y1829" s="141"/>
      <c r="Z1829" s="141"/>
    </row>
    <row r="1830">
      <c r="A1830" s="141"/>
      <c r="B1830" s="141"/>
      <c r="C1830" s="141"/>
      <c r="D1830" s="141"/>
      <c r="E1830" s="141"/>
      <c r="F1830" s="141"/>
      <c r="G1830" s="141"/>
      <c r="H1830" s="141"/>
      <c r="I1830" s="141"/>
      <c r="J1830" s="141"/>
      <c r="K1830" s="141"/>
      <c r="L1830" s="141"/>
      <c r="M1830" s="141"/>
      <c r="N1830" s="141"/>
      <c r="O1830" s="141"/>
      <c r="P1830" s="141"/>
      <c r="Q1830" s="141"/>
      <c r="R1830" s="141"/>
      <c r="S1830" s="141"/>
      <c r="T1830" s="141"/>
      <c r="U1830" s="141"/>
      <c r="V1830" s="141"/>
      <c r="W1830" s="141"/>
      <c r="X1830" s="141"/>
      <c r="Y1830" s="141"/>
      <c r="Z1830" s="141"/>
    </row>
    <row r="1831">
      <c r="A1831" s="141"/>
      <c r="B1831" s="141"/>
      <c r="C1831" s="141"/>
      <c r="D1831" s="141"/>
      <c r="E1831" s="141"/>
      <c r="F1831" s="141"/>
      <c r="G1831" s="141"/>
      <c r="H1831" s="141"/>
      <c r="I1831" s="141"/>
      <c r="J1831" s="141"/>
      <c r="K1831" s="141"/>
      <c r="L1831" s="141"/>
      <c r="M1831" s="141"/>
      <c r="N1831" s="141"/>
      <c r="O1831" s="141"/>
      <c r="P1831" s="141"/>
      <c r="Q1831" s="141"/>
      <c r="R1831" s="141"/>
      <c r="S1831" s="141"/>
      <c r="T1831" s="141"/>
      <c r="U1831" s="141"/>
      <c r="V1831" s="141"/>
      <c r="W1831" s="141"/>
      <c r="X1831" s="141"/>
      <c r="Y1831" s="141"/>
      <c r="Z1831" s="141"/>
    </row>
    <row r="1832">
      <c r="A1832" s="141"/>
      <c r="B1832" s="141"/>
      <c r="C1832" s="141"/>
      <c r="D1832" s="141"/>
      <c r="E1832" s="141"/>
      <c r="F1832" s="141"/>
      <c r="G1832" s="141"/>
      <c r="H1832" s="141"/>
      <c r="I1832" s="141"/>
      <c r="J1832" s="141"/>
      <c r="K1832" s="141"/>
      <c r="L1832" s="141"/>
      <c r="M1832" s="141"/>
      <c r="N1832" s="141"/>
      <c r="O1832" s="141"/>
      <c r="P1832" s="141"/>
      <c r="Q1832" s="141"/>
      <c r="R1832" s="141"/>
      <c r="S1832" s="141"/>
      <c r="T1832" s="141"/>
      <c r="U1832" s="141"/>
      <c r="V1832" s="141"/>
      <c r="W1832" s="141"/>
      <c r="X1832" s="141"/>
      <c r="Y1832" s="141"/>
      <c r="Z1832" s="141"/>
    </row>
    <row r="1833">
      <c r="A1833" s="141"/>
      <c r="B1833" s="141"/>
      <c r="C1833" s="141"/>
      <c r="D1833" s="141"/>
      <c r="E1833" s="141"/>
      <c r="F1833" s="141"/>
      <c r="G1833" s="141"/>
      <c r="H1833" s="141"/>
      <c r="I1833" s="141"/>
      <c r="J1833" s="141"/>
      <c r="K1833" s="141"/>
      <c r="L1833" s="141"/>
      <c r="M1833" s="141"/>
      <c r="N1833" s="141"/>
      <c r="O1833" s="141"/>
      <c r="P1833" s="141"/>
      <c r="Q1833" s="141"/>
      <c r="R1833" s="141"/>
      <c r="S1833" s="141"/>
      <c r="T1833" s="141"/>
      <c r="U1833" s="141"/>
      <c r="V1833" s="141"/>
      <c r="W1833" s="141"/>
      <c r="X1833" s="141"/>
      <c r="Y1833" s="141"/>
      <c r="Z1833" s="141"/>
    </row>
    <row r="1834">
      <c r="A1834" s="141"/>
      <c r="B1834" s="141"/>
      <c r="C1834" s="141"/>
      <c r="D1834" s="141"/>
      <c r="E1834" s="141"/>
      <c r="F1834" s="141"/>
      <c r="G1834" s="141"/>
      <c r="H1834" s="141"/>
      <c r="I1834" s="141"/>
      <c r="J1834" s="141"/>
      <c r="K1834" s="141"/>
      <c r="L1834" s="141"/>
      <c r="M1834" s="141"/>
      <c r="N1834" s="141"/>
      <c r="O1834" s="141"/>
      <c r="P1834" s="141"/>
      <c r="Q1834" s="141"/>
      <c r="R1834" s="141"/>
      <c r="S1834" s="141"/>
      <c r="T1834" s="141"/>
      <c r="U1834" s="141"/>
      <c r="V1834" s="141"/>
      <c r="W1834" s="141"/>
      <c r="X1834" s="141"/>
      <c r="Y1834" s="141"/>
      <c r="Z1834" s="141"/>
    </row>
    <row r="1835">
      <c r="A1835" s="141"/>
      <c r="B1835" s="141"/>
      <c r="C1835" s="141"/>
      <c r="D1835" s="141"/>
      <c r="E1835" s="141"/>
      <c r="F1835" s="141"/>
      <c r="G1835" s="141"/>
      <c r="H1835" s="141"/>
      <c r="I1835" s="141"/>
      <c r="J1835" s="141"/>
      <c r="K1835" s="141"/>
      <c r="L1835" s="141"/>
      <c r="M1835" s="141"/>
      <c r="N1835" s="141"/>
      <c r="O1835" s="141"/>
      <c r="P1835" s="141"/>
      <c r="Q1835" s="141"/>
      <c r="R1835" s="141"/>
      <c r="S1835" s="141"/>
      <c r="T1835" s="141"/>
      <c r="U1835" s="141"/>
      <c r="V1835" s="141"/>
      <c r="W1835" s="141"/>
      <c r="X1835" s="141"/>
      <c r="Y1835" s="141"/>
      <c r="Z1835" s="141"/>
    </row>
    <row r="1836">
      <c r="A1836" s="141"/>
      <c r="B1836" s="141"/>
      <c r="C1836" s="141"/>
      <c r="D1836" s="141"/>
      <c r="E1836" s="141"/>
      <c r="F1836" s="141"/>
      <c r="G1836" s="141"/>
      <c r="H1836" s="141"/>
      <c r="I1836" s="141"/>
      <c r="J1836" s="141"/>
      <c r="K1836" s="141"/>
      <c r="L1836" s="141"/>
      <c r="M1836" s="141"/>
      <c r="N1836" s="141"/>
      <c r="O1836" s="141"/>
      <c r="P1836" s="141"/>
      <c r="Q1836" s="141"/>
      <c r="R1836" s="141"/>
      <c r="S1836" s="141"/>
      <c r="T1836" s="141"/>
      <c r="U1836" s="141"/>
      <c r="V1836" s="141"/>
      <c r="W1836" s="141"/>
      <c r="X1836" s="141"/>
      <c r="Y1836" s="141"/>
      <c r="Z1836" s="141"/>
    </row>
    <row r="1837">
      <c r="A1837" s="141"/>
      <c r="B1837" s="141"/>
      <c r="C1837" s="141"/>
      <c r="D1837" s="141"/>
      <c r="E1837" s="141"/>
      <c r="F1837" s="141"/>
      <c r="G1837" s="141"/>
      <c r="H1837" s="141"/>
      <c r="I1837" s="141"/>
      <c r="J1837" s="141"/>
      <c r="K1837" s="141"/>
      <c r="L1837" s="141"/>
      <c r="M1837" s="141"/>
      <c r="N1837" s="141"/>
      <c r="O1837" s="141"/>
      <c r="P1837" s="141"/>
      <c r="Q1837" s="141"/>
      <c r="R1837" s="141"/>
      <c r="S1837" s="141"/>
      <c r="T1837" s="141"/>
      <c r="U1837" s="141"/>
      <c r="V1837" s="141"/>
      <c r="W1837" s="141"/>
      <c r="X1837" s="141"/>
      <c r="Y1837" s="141"/>
      <c r="Z1837" s="141"/>
    </row>
    <row r="1838">
      <c r="A1838" s="141"/>
      <c r="B1838" s="141"/>
      <c r="C1838" s="141"/>
      <c r="D1838" s="141"/>
      <c r="E1838" s="141"/>
      <c r="F1838" s="141"/>
      <c r="G1838" s="141"/>
      <c r="H1838" s="141"/>
      <c r="I1838" s="141"/>
      <c r="J1838" s="141"/>
      <c r="K1838" s="141"/>
      <c r="L1838" s="141"/>
      <c r="M1838" s="141"/>
      <c r="N1838" s="141"/>
      <c r="O1838" s="141"/>
      <c r="P1838" s="141"/>
      <c r="Q1838" s="141"/>
      <c r="R1838" s="141"/>
      <c r="S1838" s="141"/>
      <c r="T1838" s="141"/>
      <c r="U1838" s="141"/>
      <c r="V1838" s="141"/>
      <c r="W1838" s="141"/>
      <c r="X1838" s="141"/>
      <c r="Y1838" s="141"/>
      <c r="Z1838" s="141"/>
    </row>
    <row r="1839">
      <c r="A1839" s="141"/>
      <c r="B1839" s="141"/>
      <c r="C1839" s="141"/>
      <c r="D1839" s="141"/>
      <c r="E1839" s="141"/>
      <c r="F1839" s="141"/>
      <c r="G1839" s="141"/>
      <c r="H1839" s="141"/>
      <c r="I1839" s="141"/>
      <c r="J1839" s="141"/>
      <c r="K1839" s="141"/>
      <c r="L1839" s="141"/>
      <c r="M1839" s="141"/>
      <c r="N1839" s="141"/>
      <c r="O1839" s="141"/>
      <c r="P1839" s="141"/>
      <c r="Q1839" s="141"/>
      <c r="R1839" s="141"/>
      <c r="S1839" s="141"/>
      <c r="T1839" s="141"/>
      <c r="U1839" s="141"/>
      <c r="V1839" s="141"/>
      <c r="W1839" s="141"/>
      <c r="X1839" s="141"/>
      <c r="Y1839" s="141"/>
      <c r="Z1839" s="141"/>
    </row>
    <row r="1840">
      <c r="A1840" s="141"/>
      <c r="B1840" s="141"/>
      <c r="C1840" s="141"/>
      <c r="D1840" s="141"/>
      <c r="E1840" s="141"/>
      <c r="F1840" s="141"/>
      <c r="G1840" s="141"/>
      <c r="H1840" s="141"/>
      <c r="I1840" s="141"/>
      <c r="J1840" s="141"/>
      <c r="K1840" s="141"/>
      <c r="L1840" s="141"/>
      <c r="M1840" s="141"/>
      <c r="N1840" s="141"/>
      <c r="O1840" s="141"/>
      <c r="P1840" s="141"/>
      <c r="Q1840" s="141"/>
      <c r="R1840" s="141"/>
      <c r="S1840" s="141"/>
      <c r="T1840" s="141"/>
      <c r="U1840" s="141"/>
      <c r="V1840" s="141"/>
      <c r="W1840" s="141"/>
      <c r="X1840" s="141"/>
      <c r="Y1840" s="141"/>
      <c r="Z1840" s="141"/>
    </row>
    <row r="1841">
      <c r="A1841" s="141"/>
      <c r="B1841" s="141"/>
      <c r="C1841" s="141"/>
      <c r="D1841" s="141"/>
      <c r="E1841" s="141"/>
      <c r="F1841" s="141"/>
      <c r="G1841" s="141"/>
      <c r="H1841" s="141"/>
      <c r="I1841" s="141"/>
      <c r="J1841" s="141"/>
      <c r="K1841" s="141"/>
      <c r="L1841" s="141"/>
      <c r="M1841" s="141"/>
      <c r="N1841" s="141"/>
      <c r="O1841" s="141"/>
      <c r="P1841" s="141"/>
      <c r="Q1841" s="141"/>
      <c r="R1841" s="141"/>
      <c r="S1841" s="141"/>
      <c r="T1841" s="141"/>
      <c r="U1841" s="141"/>
      <c r="V1841" s="141"/>
      <c r="W1841" s="141"/>
      <c r="X1841" s="141"/>
      <c r="Y1841" s="141"/>
      <c r="Z1841" s="141"/>
    </row>
    <row r="1842">
      <c r="A1842" s="141"/>
      <c r="B1842" s="141"/>
      <c r="C1842" s="141"/>
      <c r="D1842" s="141"/>
      <c r="E1842" s="141"/>
      <c r="F1842" s="141"/>
      <c r="G1842" s="141"/>
      <c r="H1842" s="141"/>
      <c r="I1842" s="141"/>
      <c r="J1842" s="141"/>
      <c r="K1842" s="141"/>
      <c r="L1842" s="141"/>
      <c r="M1842" s="141"/>
      <c r="N1842" s="141"/>
      <c r="O1842" s="141"/>
      <c r="P1842" s="141"/>
      <c r="Q1842" s="141"/>
      <c r="R1842" s="141"/>
      <c r="S1842" s="141"/>
      <c r="T1842" s="141"/>
      <c r="U1842" s="141"/>
      <c r="V1842" s="141"/>
      <c r="W1842" s="141"/>
      <c r="X1842" s="141"/>
      <c r="Y1842" s="141"/>
      <c r="Z1842" s="141"/>
    </row>
    <row r="1843">
      <c r="A1843" s="141"/>
      <c r="B1843" s="141"/>
      <c r="C1843" s="141"/>
      <c r="D1843" s="141"/>
      <c r="E1843" s="141"/>
      <c r="F1843" s="141"/>
      <c r="G1843" s="141"/>
      <c r="H1843" s="141"/>
      <c r="I1843" s="141"/>
      <c r="J1843" s="141"/>
      <c r="K1843" s="141"/>
      <c r="L1843" s="141"/>
      <c r="M1843" s="141"/>
      <c r="N1843" s="141"/>
      <c r="O1843" s="141"/>
      <c r="P1843" s="141"/>
      <c r="Q1843" s="141"/>
      <c r="R1843" s="141"/>
      <c r="S1843" s="141"/>
      <c r="T1843" s="141"/>
      <c r="U1843" s="141"/>
      <c r="V1843" s="141"/>
      <c r="W1843" s="141"/>
      <c r="X1843" s="141"/>
      <c r="Y1843" s="141"/>
      <c r="Z1843" s="141"/>
    </row>
    <row r="1844">
      <c r="A1844" s="141"/>
      <c r="B1844" s="141"/>
      <c r="C1844" s="141"/>
      <c r="D1844" s="141"/>
      <c r="E1844" s="141"/>
      <c r="F1844" s="141"/>
      <c r="G1844" s="141"/>
      <c r="H1844" s="141"/>
      <c r="I1844" s="141"/>
      <c r="J1844" s="141"/>
      <c r="K1844" s="141"/>
      <c r="L1844" s="141"/>
      <c r="M1844" s="141"/>
      <c r="N1844" s="141"/>
      <c r="O1844" s="141"/>
      <c r="P1844" s="141"/>
      <c r="Q1844" s="141"/>
      <c r="R1844" s="141"/>
      <c r="S1844" s="141"/>
      <c r="T1844" s="141"/>
      <c r="U1844" s="141"/>
      <c r="V1844" s="141"/>
      <c r="W1844" s="141"/>
      <c r="X1844" s="141"/>
      <c r="Y1844" s="141"/>
      <c r="Z1844" s="141"/>
    </row>
    <row r="1845">
      <c r="A1845" s="141"/>
      <c r="B1845" s="141"/>
      <c r="C1845" s="141"/>
      <c r="D1845" s="141"/>
      <c r="E1845" s="141"/>
      <c r="F1845" s="141"/>
      <c r="G1845" s="141"/>
      <c r="H1845" s="141"/>
      <c r="I1845" s="141"/>
      <c r="J1845" s="141"/>
      <c r="K1845" s="141"/>
      <c r="L1845" s="141"/>
      <c r="M1845" s="141"/>
      <c r="N1845" s="141"/>
      <c r="O1845" s="141"/>
      <c r="P1845" s="141"/>
      <c r="Q1845" s="141"/>
      <c r="R1845" s="141"/>
      <c r="S1845" s="141"/>
      <c r="T1845" s="141"/>
      <c r="U1845" s="141"/>
      <c r="V1845" s="141"/>
      <c r="W1845" s="141"/>
      <c r="X1845" s="141"/>
      <c r="Y1845" s="141"/>
      <c r="Z1845" s="141"/>
    </row>
    <row r="1846">
      <c r="A1846" s="141"/>
      <c r="B1846" s="141"/>
      <c r="C1846" s="141"/>
      <c r="D1846" s="141"/>
      <c r="E1846" s="141"/>
      <c r="F1846" s="141"/>
      <c r="G1846" s="141"/>
      <c r="H1846" s="141"/>
      <c r="I1846" s="141"/>
      <c r="J1846" s="141"/>
      <c r="K1846" s="141"/>
      <c r="L1846" s="141"/>
      <c r="M1846" s="141"/>
      <c r="N1846" s="141"/>
      <c r="O1846" s="141"/>
      <c r="P1846" s="141"/>
      <c r="Q1846" s="141"/>
      <c r="R1846" s="141"/>
      <c r="S1846" s="141"/>
      <c r="T1846" s="141"/>
      <c r="U1846" s="141"/>
      <c r="V1846" s="141"/>
      <c r="W1846" s="141"/>
      <c r="X1846" s="141"/>
      <c r="Y1846" s="141"/>
      <c r="Z1846" s="141"/>
    </row>
    <row r="1847">
      <c r="A1847" s="141"/>
      <c r="B1847" s="141"/>
      <c r="C1847" s="141"/>
      <c r="D1847" s="141"/>
      <c r="E1847" s="141"/>
      <c r="F1847" s="141"/>
      <c r="G1847" s="141"/>
      <c r="H1847" s="141"/>
      <c r="I1847" s="141"/>
      <c r="J1847" s="141"/>
      <c r="K1847" s="141"/>
      <c r="L1847" s="141"/>
      <c r="M1847" s="141"/>
      <c r="N1847" s="141"/>
      <c r="O1847" s="141"/>
      <c r="P1847" s="141"/>
      <c r="Q1847" s="141"/>
      <c r="R1847" s="141"/>
      <c r="S1847" s="141"/>
      <c r="T1847" s="141"/>
      <c r="U1847" s="141"/>
      <c r="V1847" s="141"/>
      <c r="W1847" s="141"/>
      <c r="X1847" s="141"/>
      <c r="Y1847" s="141"/>
      <c r="Z1847" s="141"/>
    </row>
    <row r="1848">
      <c r="A1848" s="141"/>
      <c r="B1848" s="141"/>
      <c r="C1848" s="141"/>
      <c r="D1848" s="141"/>
      <c r="E1848" s="141"/>
      <c r="F1848" s="141"/>
      <c r="G1848" s="141"/>
      <c r="H1848" s="141"/>
      <c r="I1848" s="141"/>
      <c r="J1848" s="141"/>
      <c r="K1848" s="141"/>
      <c r="L1848" s="141"/>
      <c r="M1848" s="141"/>
      <c r="N1848" s="141"/>
      <c r="O1848" s="141"/>
      <c r="P1848" s="141"/>
      <c r="Q1848" s="141"/>
      <c r="R1848" s="141"/>
      <c r="S1848" s="141"/>
      <c r="T1848" s="141"/>
      <c r="U1848" s="141"/>
      <c r="V1848" s="141"/>
      <c r="W1848" s="141"/>
      <c r="X1848" s="141"/>
      <c r="Y1848" s="141"/>
      <c r="Z1848" s="141"/>
    </row>
    <row r="1849">
      <c r="A1849" s="141"/>
      <c r="B1849" s="141"/>
      <c r="C1849" s="141"/>
      <c r="D1849" s="141"/>
      <c r="E1849" s="141"/>
      <c r="F1849" s="141"/>
      <c r="G1849" s="141"/>
      <c r="H1849" s="141"/>
      <c r="I1849" s="141"/>
      <c r="J1849" s="141"/>
      <c r="K1849" s="141"/>
      <c r="L1849" s="141"/>
      <c r="M1849" s="141"/>
      <c r="N1849" s="141"/>
      <c r="O1849" s="141"/>
      <c r="P1849" s="141"/>
      <c r="Q1849" s="141"/>
      <c r="R1849" s="141"/>
      <c r="S1849" s="141"/>
      <c r="T1849" s="141"/>
      <c r="U1849" s="141"/>
      <c r="V1849" s="141"/>
      <c r="W1849" s="141"/>
      <c r="X1849" s="141"/>
      <c r="Y1849" s="141"/>
      <c r="Z1849" s="141"/>
    </row>
    <row r="1850">
      <c r="A1850" s="141"/>
      <c r="B1850" s="141"/>
      <c r="C1850" s="141"/>
      <c r="D1850" s="141"/>
      <c r="E1850" s="141"/>
      <c r="F1850" s="141"/>
      <c r="G1850" s="141"/>
      <c r="H1850" s="141"/>
      <c r="I1850" s="141"/>
      <c r="J1850" s="141"/>
      <c r="K1850" s="141"/>
      <c r="L1850" s="141"/>
      <c r="M1850" s="141"/>
      <c r="N1850" s="141"/>
      <c r="O1850" s="141"/>
      <c r="P1850" s="141"/>
      <c r="Q1850" s="141"/>
      <c r="R1850" s="141"/>
      <c r="S1850" s="141"/>
      <c r="T1850" s="141"/>
      <c r="U1850" s="141"/>
      <c r="V1850" s="141"/>
      <c r="W1850" s="141"/>
      <c r="X1850" s="141"/>
      <c r="Y1850" s="141"/>
      <c r="Z1850" s="141"/>
    </row>
    <row r="1851">
      <c r="A1851" s="141"/>
      <c r="B1851" s="141"/>
      <c r="C1851" s="141"/>
      <c r="D1851" s="141"/>
      <c r="E1851" s="141"/>
      <c r="F1851" s="141"/>
      <c r="G1851" s="141"/>
      <c r="H1851" s="141"/>
      <c r="I1851" s="141"/>
      <c r="J1851" s="141"/>
      <c r="K1851" s="141"/>
      <c r="L1851" s="141"/>
      <c r="M1851" s="141"/>
      <c r="N1851" s="141"/>
      <c r="O1851" s="141"/>
      <c r="P1851" s="141"/>
      <c r="Q1851" s="141"/>
      <c r="R1851" s="141"/>
      <c r="S1851" s="141"/>
      <c r="T1851" s="141"/>
      <c r="U1851" s="141"/>
      <c r="V1851" s="141"/>
      <c r="W1851" s="141"/>
      <c r="X1851" s="141"/>
      <c r="Y1851" s="141"/>
      <c r="Z1851" s="141"/>
    </row>
    <row r="1852">
      <c r="A1852" s="141"/>
      <c r="B1852" s="141"/>
      <c r="C1852" s="141"/>
      <c r="D1852" s="141"/>
      <c r="E1852" s="141"/>
      <c r="F1852" s="141"/>
      <c r="G1852" s="141"/>
      <c r="H1852" s="141"/>
      <c r="I1852" s="141"/>
      <c r="J1852" s="141"/>
      <c r="K1852" s="141"/>
      <c r="L1852" s="141"/>
      <c r="M1852" s="141"/>
      <c r="N1852" s="141"/>
      <c r="O1852" s="141"/>
      <c r="P1852" s="141"/>
      <c r="Q1852" s="141"/>
      <c r="R1852" s="141"/>
      <c r="S1852" s="141"/>
      <c r="T1852" s="141"/>
      <c r="U1852" s="141"/>
      <c r="V1852" s="141"/>
      <c r="W1852" s="141"/>
      <c r="X1852" s="141"/>
      <c r="Y1852" s="141"/>
      <c r="Z1852" s="141"/>
    </row>
    <row r="1853">
      <c r="A1853" s="141"/>
      <c r="B1853" s="141"/>
      <c r="C1853" s="141"/>
      <c r="D1853" s="141"/>
      <c r="E1853" s="141"/>
      <c r="F1853" s="141"/>
      <c r="G1853" s="141"/>
      <c r="H1853" s="141"/>
      <c r="I1853" s="141"/>
      <c r="J1853" s="141"/>
      <c r="K1853" s="141"/>
      <c r="L1853" s="141"/>
      <c r="M1853" s="141"/>
      <c r="N1853" s="141"/>
      <c r="O1853" s="141"/>
      <c r="P1853" s="141"/>
      <c r="Q1853" s="141"/>
      <c r="R1853" s="141"/>
      <c r="S1853" s="141"/>
      <c r="T1853" s="141"/>
      <c r="U1853" s="141"/>
      <c r="V1853" s="141"/>
      <c r="W1853" s="141"/>
      <c r="X1853" s="141"/>
      <c r="Y1853" s="141"/>
      <c r="Z1853" s="141"/>
    </row>
    <row r="1854">
      <c r="A1854" s="141"/>
      <c r="B1854" s="141"/>
      <c r="C1854" s="141"/>
      <c r="D1854" s="141"/>
      <c r="E1854" s="141"/>
      <c r="F1854" s="141"/>
      <c r="G1854" s="141"/>
      <c r="H1854" s="141"/>
      <c r="I1854" s="141"/>
      <c r="J1854" s="141"/>
      <c r="K1854" s="141"/>
      <c r="L1854" s="141"/>
      <c r="M1854" s="141"/>
      <c r="N1854" s="141"/>
      <c r="O1854" s="141"/>
      <c r="P1854" s="141"/>
      <c r="Q1854" s="141"/>
      <c r="R1854" s="141"/>
      <c r="S1854" s="141"/>
      <c r="T1854" s="141"/>
      <c r="U1854" s="141"/>
      <c r="V1854" s="141"/>
      <c r="W1854" s="141"/>
      <c r="X1854" s="141"/>
      <c r="Y1854" s="141"/>
      <c r="Z1854" s="141"/>
    </row>
    <row r="1855">
      <c r="A1855" s="141"/>
      <c r="B1855" s="141"/>
      <c r="C1855" s="141"/>
      <c r="D1855" s="141"/>
      <c r="E1855" s="141"/>
      <c r="F1855" s="141"/>
      <c r="G1855" s="141"/>
      <c r="H1855" s="141"/>
      <c r="I1855" s="141"/>
      <c r="J1855" s="141"/>
      <c r="K1855" s="141"/>
      <c r="L1855" s="141"/>
      <c r="M1855" s="141"/>
      <c r="N1855" s="141"/>
      <c r="O1855" s="141"/>
      <c r="P1855" s="141"/>
      <c r="Q1855" s="141"/>
      <c r="R1855" s="141"/>
      <c r="S1855" s="141"/>
      <c r="T1855" s="141"/>
      <c r="U1855" s="141"/>
      <c r="V1855" s="141"/>
      <c r="W1855" s="141"/>
      <c r="X1855" s="141"/>
      <c r="Y1855" s="141"/>
      <c r="Z1855" s="141"/>
    </row>
    <row r="1856">
      <c r="A1856" s="141"/>
      <c r="B1856" s="141"/>
      <c r="C1856" s="141"/>
      <c r="D1856" s="141"/>
      <c r="E1856" s="141"/>
      <c r="F1856" s="141"/>
      <c r="G1856" s="141"/>
      <c r="H1856" s="141"/>
      <c r="I1856" s="141"/>
      <c r="J1856" s="141"/>
      <c r="K1856" s="141"/>
      <c r="L1856" s="141"/>
      <c r="M1856" s="141"/>
      <c r="N1856" s="141"/>
      <c r="O1856" s="141"/>
      <c r="P1856" s="141"/>
      <c r="Q1856" s="141"/>
      <c r="R1856" s="141"/>
      <c r="S1856" s="141"/>
      <c r="T1856" s="141"/>
      <c r="U1856" s="141"/>
      <c r="V1856" s="141"/>
      <c r="W1856" s="141"/>
      <c r="X1856" s="141"/>
      <c r="Y1856" s="141"/>
      <c r="Z1856" s="141"/>
    </row>
    <row r="1857">
      <c r="A1857" s="141"/>
      <c r="B1857" s="141"/>
      <c r="C1857" s="141"/>
      <c r="D1857" s="141"/>
      <c r="E1857" s="141"/>
      <c r="F1857" s="141"/>
      <c r="G1857" s="141"/>
      <c r="H1857" s="141"/>
      <c r="I1857" s="141"/>
      <c r="J1857" s="141"/>
      <c r="K1857" s="141"/>
      <c r="L1857" s="141"/>
      <c r="M1857" s="141"/>
      <c r="N1857" s="141"/>
      <c r="O1857" s="141"/>
      <c r="P1857" s="141"/>
      <c r="Q1857" s="141"/>
      <c r="R1857" s="141"/>
      <c r="S1857" s="141"/>
      <c r="T1857" s="141"/>
      <c r="U1857" s="141"/>
      <c r="V1857" s="141"/>
      <c r="W1857" s="141"/>
      <c r="X1857" s="141"/>
      <c r="Y1857" s="141"/>
      <c r="Z1857" s="141"/>
    </row>
    <row r="1858">
      <c r="A1858" s="141"/>
      <c r="B1858" s="141"/>
      <c r="C1858" s="141"/>
      <c r="D1858" s="141"/>
      <c r="E1858" s="141"/>
      <c r="F1858" s="141"/>
      <c r="G1858" s="141"/>
      <c r="H1858" s="141"/>
      <c r="I1858" s="141"/>
      <c r="J1858" s="141"/>
      <c r="K1858" s="141"/>
      <c r="L1858" s="141"/>
      <c r="M1858" s="141"/>
      <c r="N1858" s="141"/>
      <c r="O1858" s="141"/>
      <c r="P1858" s="141"/>
      <c r="Q1858" s="141"/>
      <c r="R1858" s="141"/>
      <c r="S1858" s="141"/>
      <c r="T1858" s="141"/>
      <c r="U1858" s="141"/>
      <c r="V1858" s="141"/>
      <c r="W1858" s="141"/>
      <c r="X1858" s="141"/>
      <c r="Y1858" s="141"/>
      <c r="Z1858" s="141"/>
    </row>
    <row r="1859">
      <c r="A1859" s="141"/>
      <c r="B1859" s="141"/>
      <c r="C1859" s="141"/>
      <c r="D1859" s="141"/>
      <c r="E1859" s="141"/>
      <c r="F1859" s="141"/>
      <c r="G1859" s="141"/>
      <c r="H1859" s="141"/>
      <c r="I1859" s="141"/>
      <c r="J1859" s="141"/>
      <c r="K1859" s="141"/>
      <c r="L1859" s="141"/>
      <c r="M1859" s="141"/>
      <c r="N1859" s="141"/>
      <c r="O1859" s="141"/>
      <c r="P1859" s="141"/>
      <c r="Q1859" s="141"/>
      <c r="R1859" s="141"/>
      <c r="S1859" s="141"/>
      <c r="T1859" s="141"/>
      <c r="U1859" s="141"/>
      <c r="V1859" s="141"/>
      <c r="W1859" s="141"/>
      <c r="X1859" s="141"/>
      <c r="Y1859" s="141"/>
      <c r="Z1859" s="141"/>
    </row>
    <row r="1860">
      <c r="A1860" s="141"/>
      <c r="B1860" s="141"/>
      <c r="C1860" s="141"/>
      <c r="D1860" s="141"/>
      <c r="E1860" s="141"/>
      <c r="F1860" s="141"/>
      <c r="G1860" s="141"/>
      <c r="H1860" s="141"/>
      <c r="I1860" s="141"/>
      <c r="J1860" s="141"/>
      <c r="K1860" s="141"/>
      <c r="L1860" s="141"/>
      <c r="M1860" s="141"/>
      <c r="N1860" s="141"/>
      <c r="O1860" s="141"/>
      <c r="P1860" s="141"/>
      <c r="Q1860" s="141"/>
      <c r="R1860" s="141"/>
      <c r="S1860" s="141"/>
      <c r="T1860" s="141"/>
      <c r="U1860" s="141"/>
      <c r="V1860" s="141"/>
      <c r="W1860" s="141"/>
      <c r="X1860" s="141"/>
      <c r="Y1860" s="141"/>
      <c r="Z1860" s="141"/>
    </row>
    <row r="1861">
      <c r="A1861" s="141"/>
      <c r="B1861" s="141"/>
      <c r="C1861" s="141"/>
      <c r="D1861" s="141"/>
      <c r="E1861" s="141"/>
      <c r="F1861" s="141"/>
      <c r="G1861" s="141"/>
      <c r="H1861" s="141"/>
      <c r="I1861" s="141"/>
      <c r="J1861" s="141"/>
      <c r="K1861" s="141"/>
      <c r="L1861" s="141"/>
      <c r="M1861" s="141"/>
      <c r="N1861" s="141"/>
      <c r="O1861" s="141"/>
      <c r="P1861" s="141"/>
      <c r="Q1861" s="141"/>
      <c r="R1861" s="141"/>
      <c r="S1861" s="141"/>
      <c r="T1861" s="141"/>
      <c r="U1861" s="141"/>
      <c r="V1861" s="141"/>
      <c r="W1861" s="141"/>
      <c r="X1861" s="141"/>
      <c r="Y1861" s="141"/>
      <c r="Z1861" s="141"/>
    </row>
    <row r="1862">
      <c r="A1862" s="141"/>
      <c r="B1862" s="141"/>
      <c r="C1862" s="141"/>
      <c r="D1862" s="141"/>
      <c r="E1862" s="141"/>
      <c r="F1862" s="141"/>
      <c r="G1862" s="141"/>
      <c r="H1862" s="141"/>
      <c r="I1862" s="141"/>
      <c r="J1862" s="141"/>
      <c r="K1862" s="141"/>
      <c r="L1862" s="141"/>
      <c r="M1862" s="141"/>
      <c r="N1862" s="141"/>
      <c r="O1862" s="141"/>
      <c r="P1862" s="141"/>
      <c r="Q1862" s="141"/>
      <c r="R1862" s="141"/>
      <c r="S1862" s="141"/>
      <c r="T1862" s="141"/>
      <c r="U1862" s="141"/>
      <c r="V1862" s="141"/>
      <c r="W1862" s="141"/>
      <c r="X1862" s="141"/>
      <c r="Y1862" s="141"/>
      <c r="Z1862" s="141"/>
    </row>
    <row r="1863">
      <c r="A1863" s="141"/>
      <c r="B1863" s="141"/>
      <c r="C1863" s="141"/>
      <c r="D1863" s="141"/>
      <c r="E1863" s="141"/>
      <c r="F1863" s="141"/>
      <c r="G1863" s="141"/>
      <c r="H1863" s="141"/>
      <c r="I1863" s="141"/>
      <c r="J1863" s="141"/>
      <c r="K1863" s="141"/>
      <c r="L1863" s="141"/>
      <c r="M1863" s="141"/>
      <c r="N1863" s="141"/>
      <c r="O1863" s="141"/>
      <c r="P1863" s="141"/>
      <c r="Q1863" s="141"/>
      <c r="R1863" s="141"/>
      <c r="S1863" s="141"/>
      <c r="T1863" s="141"/>
      <c r="U1863" s="141"/>
      <c r="V1863" s="141"/>
      <c r="W1863" s="141"/>
      <c r="X1863" s="141"/>
      <c r="Y1863" s="141"/>
      <c r="Z1863" s="141"/>
    </row>
    <row r="1864">
      <c r="A1864" s="141"/>
      <c r="B1864" s="141"/>
      <c r="C1864" s="141"/>
      <c r="D1864" s="141"/>
      <c r="E1864" s="141"/>
      <c r="F1864" s="141"/>
      <c r="G1864" s="141"/>
      <c r="H1864" s="141"/>
      <c r="I1864" s="141"/>
      <c r="J1864" s="141"/>
      <c r="K1864" s="141"/>
      <c r="L1864" s="141"/>
      <c r="M1864" s="141"/>
      <c r="N1864" s="141"/>
      <c r="O1864" s="141"/>
      <c r="P1864" s="141"/>
      <c r="Q1864" s="141"/>
      <c r="R1864" s="141"/>
      <c r="S1864" s="141"/>
      <c r="T1864" s="141"/>
      <c r="U1864" s="141"/>
      <c r="V1864" s="141"/>
      <c r="W1864" s="141"/>
      <c r="X1864" s="141"/>
      <c r="Y1864" s="141"/>
      <c r="Z1864" s="141"/>
    </row>
    <row r="1865">
      <c r="A1865" s="141"/>
      <c r="B1865" s="141"/>
      <c r="C1865" s="141"/>
      <c r="D1865" s="141"/>
      <c r="E1865" s="141"/>
      <c r="F1865" s="141"/>
      <c r="G1865" s="141"/>
      <c r="H1865" s="141"/>
      <c r="I1865" s="141"/>
      <c r="J1865" s="141"/>
      <c r="K1865" s="141"/>
      <c r="L1865" s="141"/>
      <c r="M1865" s="141"/>
      <c r="N1865" s="141"/>
      <c r="O1865" s="141"/>
      <c r="P1865" s="141"/>
      <c r="Q1865" s="141"/>
      <c r="R1865" s="141"/>
      <c r="S1865" s="141"/>
      <c r="T1865" s="141"/>
      <c r="U1865" s="141"/>
      <c r="V1865" s="141"/>
      <c r="W1865" s="141"/>
      <c r="X1865" s="141"/>
      <c r="Y1865" s="141"/>
      <c r="Z1865" s="141"/>
    </row>
    <row r="1866">
      <c r="A1866" s="141"/>
      <c r="B1866" s="141"/>
      <c r="C1866" s="141"/>
      <c r="D1866" s="141"/>
      <c r="E1866" s="141"/>
      <c r="F1866" s="141"/>
      <c r="G1866" s="141"/>
      <c r="H1866" s="141"/>
      <c r="I1866" s="141"/>
      <c r="J1866" s="141"/>
      <c r="K1866" s="141"/>
      <c r="L1866" s="141"/>
      <c r="M1866" s="141"/>
      <c r="N1866" s="141"/>
      <c r="O1866" s="141"/>
      <c r="P1866" s="141"/>
      <c r="Q1866" s="141"/>
      <c r="R1866" s="141"/>
      <c r="S1866" s="141"/>
      <c r="T1866" s="141"/>
      <c r="U1866" s="141"/>
      <c r="V1866" s="141"/>
      <c r="W1866" s="141"/>
      <c r="X1866" s="141"/>
      <c r="Y1866" s="141"/>
      <c r="Z1866" s="141"/>
    </row>
    <row r="1867">
      <c r="A1867" s="141"/>
      <c r="B1867" s="141"/>
      <c r="C1867" s="141"/>
      <c r="D1867" s="141"/>
      <c r="E1867" s="141"/>
      <c r="F1867" s="141"/>
      <c r="G1867" s="141"/>
      <c r="H1867" s="141"/>
      <c r="I1867" s="141"/>
      <c r="J1867" s="141"/>
      <c r="K1867" s="141"/>
      <c r="L1867" s="141"/>
      <c r="M1867" s="141"/>
      <c r="N1867" s="141"/>
      <c r="O1867" s="141"/>
      <c r="P1867" s="141"/>
      <c r="Q1867" s="141"/>
      <c r="R1867" s="141"/>
      <c r="S1867" s="141"/>
      <c r="T1867" s="141"/>
      <c r="U1867" s="141"/>
      <c r="V1867" s="141"/>
      <c r="W1867" s="141"/>
      <c r="X1867" s="141"/>
      <c r="Y1867" s="141"/>
      <c r="Z1867" s="141"/>
    </row>
    <row r="1868">
      <c r="A1868" s="141"/>
      <c r="B1868" s="141"/>
      <c r="C1868" s="141"/>
      <c r="D1868" s="141"/>
      <c r="E1868" s="141"/>
      <c r="F1868" s="141"/>
      <c r="G1868" s="141"/>
      <c r="H1868" s="141"/>
      <c r="I1868" s="141"/>
      <c r="J1868" s="141"/>
      <c r="K1868" s="141"/>
      <c r="L1868" s="141"/>
      <c r="M1868" s="141"/>
      <c r="N1868" s="141"/>
      <c r="O1868" s="141"/>
      <c r="P1868" s="141"/>
      <c r="Q1868" s="141"/>
      <c r="R1868" s="141"/>
      <c r="S1868" s="141"/>
      <c r="T1868" s="141"/>
      <c r="U1868" s="141"/>
      <c r="V1868" s="141"/>
      <c r="W1868" s="141"/>
      <c r="X1868" s="141"/>
      <c r="Y1868" s="141"/>
      <c r="Z1868" s="141"/>
    </row>
    <row r="1869">
      <c r="A1869" s="141"/>
      <c r="B1869" s="141"/>
      <c r="C1869" s="141"/>
      <c r="D1869" s="141"/>
      <c r="E1869" s="141"/>
      <c r="F1869" s="141"/>
      <c r="G1869" s="141"/>
      <c r="H1869" s="141"/>
      <c r="I1869" s="141"/>
      <c r="J1869" s="141"/>
      <c r="K1869" s="141"/>
      <c r="L1869" s="141"/>
      <c r="M1869" s="141"/>
      <c r="N1869" s="141"/>
      <c r="O1869" s="141"/>
      <c r="P1869" s="141"/>
      <c r="Q1869" s="141"/>
      <c r="R1869" s="141"/>
      <c r="S1869" s="141"/>
      <c r="T1869" s="141"/>
      <c r="U1869" s="141"/>
      <c r="V1869" s="141"/>
      <c r="W1869" s="141"/>
      <c r="X1869" s="141"/>
      <c r="Y1869" s="141"/>
      <c r="Z1869" s="141"/>
    </row>
    <row r="1870">
      <c r="A1870" s="141"/>
      <c r="B1870" s="141"/>
      <c r="C1870" s="141"/>
      <c r="D1870" s="141"/>
      <c r="E1870" s="141"/>
      <c r="F1870" s="141"/>
      <c r="G1870" s="141"/>
      <c r="H1870" s="141"/>
      <c r="I1870" s="141"/>
      <c r="J1870" s="141"/>
      <c r="K1870" s="141"/>
      <c r="L1870" s="141"/>
      <c r="M1870" s="141"/>
      <c r="N1870" s="141"/>
      <c r="O1870" s="141"/>
      <c r="P1870" s="141"/>
      <c r="Q1870" s="141"/>
      <c r="R1870" s="141"/>
      <c r="S1870" s="141"/>
      <c r="T1870" s="141"/>
      <c r="U1870" s="141"/>
      <c r="V1870" s="141"/>
      <c r="W1870" s="141"/>
      <c r="X1870" s="141"/>
      <c r="Y1870" s="141"/>
      <c r="Z1870" s="141"/>
    </row>
    <row r="1871">
      <c r="A1871" s="141"/>
      <c r="B1871" s="141"/>
      <c r="C1871" s="141"/>
      <c r="D1871" s="141"/>
      <c r="E1871" s="141"/>
      <c r="F1871" s="141"/>
      <c r="G1871" s="141"/>
      <c r="H1871" s="141"/>
      <c r="I1871" s="141"/>
      <c r="J1871" s="141"/>
      <c r="K1871" s="141"/>
      <c r="L1871" s="141"/>
      <c r="M1871" s="141"/>
      <c r="N1871" s="141"/>
      <c r="O1871" s="141"/>
      <c r="P1871" s="141"/>
      <c r="Q1871" s="141"/>
      <c r="R1871" s="141"/>
      <c r="S1871" s="141"/>
      <c r="T1871" s="141"/>
      <c r="U1871" s="141"/>
      <c r="V1871" s="141"/>
      <c r="W1871" s="141"/>
      <c r="X1871" s="141"/>
      <c r="Y1871" s="141"/>
      <c r="Z1871" s="141"/>
    </row>
    <row r="1872">
      <c r="A1872" s="141"/>
      <c r="B1872" s="141"/>
      <c r="C1872" s="141"/>
      <c r="D1872" s="141"/>
      <c r="E1872" s="141"/>
      <c r="F1872" s="141"/>
      <c r="G1872" s="141"/>
      <c r="H1872" s="141"/>
      <c r="I1872" s="141"/>
      <c r="J1872" s="141"/>
      <c r="K1872" s="141"/>
      <c r="L1872" s="141"/>
      <c r="M1872" s="141"/>
      <c r="N1872" s="141"/>
      <c r="O1872" s="141"/>
      <c r="P1872" s="141"/>
      <c r="Q1872" s="141"/>
      <c r="R1872" s="141"/>
      <c r="S1872" s="141"/>
      <c r="T1872" s="141"/>
      <c r="U1872" s="141"/>
      <c r="V1872" s="141"/>
      <c r="W1872" s="141"/>
      <c r="X1872" s="141"/>
      <c r="Y1872" s="141"/>
      <c r="Z1872" s="141"/>
    </row>
    <row r="1873">
      <c r="A1873" s="141"/>
      <c r="B1873" s="141"/>
      <c r="C1873" s="141"/>
      <c r="D1873" s="141"/>
      <c r="E1873" s="141"/>
      <c r="F1873" s="141"/>
      <c r="G1873" s="141"/>
      <c r="H1873" s="141"/>
      <c r="I1873" s="141"/>
      <c r="J1873" s="141"/>
      <c r="K1873" s="141"/>
      <c r="L1873" s="141"/>
      <c r="M1873" s="141"/>
      <c r="N1873" s="141"/>
      <c r="O1873" s="141"/>
      <c r="P1873" s="141"/>
      <c r="Q1873" s="141"/>
      <c r="R1873" s="141"/>
      <c r="S1873" s="141"/>
      <c r="T1873" s="141"/>
      <c r="U1873" s="141"/>
      <c r="V1873" s="141"/>
      <c r="W1873" s="141"/>
      <c r="X1873" s="141"/>
      <c r="Y1873" s="141"/>
      <c r="Z1873" s="141"/>
    </row>
    <row r="1874">
      <c r="A1874" s="141"/>
      <c r="B1874" s="141"/>
      <c r="C1874" s="141"/>
      <c r="D1874" s="141"/>
      <c r="E1874" s="141"/>
      <c r="F1874" s="141"/>
      <c r="G1874" s="141"/>
      <c r="H1874" s="141"/>
      <c r="I1874" s="141"/>
      <c r="J1874" s="141"/>
      <c r="K1874" s="141"/>
      <c r="L1874" s="141"/>
      <c r="M1874" s="141"/>
      <c r="N1874" s="141"/>
      <c r="O1874" s="141"/>
      <c r="P1874" s="141"/>
      <c r="Q1874" s="141"/>
      <c r="R1874" s="141"/>
      <c r="S1874" s="141"/>
      <c r="T1874" s="141"/>
      <c r="U1874" s="141"/>
      <c r="V1874" s="141"/>
      <c r="W1874" s="141"/>
      <c r="X1874" s="141"/>
      <c r="Y1874" s="141"/>
      <c r="Z1874" s="141"/>
    </row>
    <row r="1875">
      <c r="A1875" s="141"/>
      <c r="B1875" s="141"/>
      <c r="C1875" s="141"/>
      <c r="D1875" s="141"/>
      <c r="E1875" s="141"/>
      <c r="F1875" s="141"/>
      <c r="G1875" s="141"/>
      <c r="H1875" s="141"/>
      <c r="I1875" s="141"/>
      <c r="J1875" s="141"/>
      <c r="K1875" s="141"/>
      <c r="L1875" s="141"/>
      <c r="M1875" s="141"/>
      <c r="N1875" s="141"/>
      <c r="O1875" s="141"/>
      <c r="P1875" s="141"/>
      <c r="Q1875" s="141"/>
      <c r="R1875" s="141"/>
      <c r="S1875" s="141"/>
      <c r="T1875" s="141"/>
      <c r="U1875" s="141"/>
      <c r="V1875" s="141"/>
      <c r="W1875" s="141"/>
      <c r="X1875" s="141"/>
      <c r="Y1875" s="141"/>
      <c r="Z1875" s="141"/>
    </row>
    <row r="1876">
      <c r="A1876" s="141"/>
      <c r="B1876" s="141"/>
      <c r="C1876" s="141"/>
      <c r="D1876" s="141"/>
      <c r="E1876" s="141"/>
      <c r="F1876" s="141"/>
      <c r="G1876" s="141"/>
      <c r="H1876" s="141"/>
      <c r="I1876" s="141"/>
      <c r="J1876" s="141"/>
      <c r="K1876" s="141"/>
      <c r="L1876" s="141"/>
      <c r="M1876" s="141"/>
      <c r="N1876" s="141"/>
      <c r="O1876" s="141"/>
      <c r="P1876" s="141"/>
      <c r="Q1876" s="141"/>
      <c r="R1876" s="141"/>
      <c r="S1876" s="141"/>
      <c r="T1876" s="141"/>
      <c r="U1876" s="141"/>
      <c r="V1876" s="141"/>
      <c r="W1876" s="141"/>
      <c r="X1876" s="141"/>
      <c r="Y1876" s="141"/>
      <c r="Z1876" s="141"/>
    </row>
    <row r="1877">
      <c r="A1877" s="141"/>
      <c r="B1877" s="141"/>
      <c r="C1877" s="141"/>
      <c r="D1877" s="141"/>
      <c r="E1877" s="141"/>
      <c r="F1877" s="141"/>
      <c r="G1877" s="141"/>
      <c r="H1877" s="141"/>
      <c r="I1877" s="141"/>
      <c r="J1877" s="141"/>
      <c r="K1877" s="141"/>
      <c r="L1877" s="141"/>
      <c r="M1877" s="141"/>
      <c r="N1877" s="141"/>
      <c r="O1877" s="141"/>
      <c r="P1877" s="141"/>
      <c r="Q1877" s="141"/>
      <c r="R1877" s="141"/>
      <c r="S1877" s="141"/>
      <c r="T1877" s="141"/>
      <c r="U1877" s="141"/>
      <c r="V1877" s="141"/>
      <c r="W1877" s="141"/>
      <c r="X1877" s="141"/>
      <c r="Y1877" s="141"/>
      <c r="Z1877" s="141"/>
    </row>
    <row r="1878">
      <c r="A1878" s="141"/>
      <c r="B1878" s="141"/>
      <c r="C1878" s="141"/>
      <c r="D1878" s="141"/>
      <c r="E1878" s="141"/>
      <c r="F1878" s="141"/>
      <c r="G1878" s="141"/>
      <c r="H1878" s="141"/>
      <c r="I1878" s="141"/>
      <c r="J1878" s="141"/>
      <c r="K1878" s="141"/>
      <c r="L1878" s="141"/>
      <c r="M1878" s="141"/>
      <c r="N1878" s="141"/>
      <c r="O1878" s="141"/>
      <c r="P1878" s="141"/>
      <c r="Q1878" s="141"/>
      <c r="R1878" s="141"/>
      <c r="S1878" s="141"/>
      <c r="T1878" s="141"/>
      <c r="U1878" s="141"/>
      <c r="V1878" s="141"/>
      <c r="W1878" s="141"/>
      <c r="X1878" s="141"/>
      <c r="Y1878" s="141"/>
      <c r="Z1878" s="141"/>
    </row>
    <row r="1879">
      <c r="A1879" s="141"/>
      <c r="B1879" s="141"/>
      <c r="C1879" s="141"/>
      <c r="D1879" s="141"/>
      <c r="E1879" s="141"/>
      <c r="F1879" s="141"/>
      <c r="G1879" s="141"/>
      <c r="H1879" s="141"/>
      <c r="I1879" s="141"/>
      <c r="J1879" s="141"/>
      <c r="K1879" s="141"/>
      <c r="L1879" s="141"/>
      <c r="M1879" s="141"/>
      <c r="N1879" s="141"/>
      <c r="O1879" s="141"/>
      <c r="P1879" s="141"/>
      <c r="Q1879" s="141"/>
      <c r="R1879" s="141"/>
      <c r="S1879" s="141"/>
      <c r="T1879" s="141"/>
      <c r="U1879" s="141"/>
      <c r="V1879" s="141"/>
      <c r="W1879" s="141"/>
      <c r="X1879" s="141"/>
      <c r="Y1879" s="141"/>
      <c r="Z1879" s="141"/>
    </row>
    <row r="1880">
      <c r="A1880" s="141"/>
      <c r="B1880" s="141"/>
      <c r="C1880" s="141"/>
      <c r="D1880" s="141"/>
      <c r="E1880" s="141"/>
      <c r="F1880" s="141"/>
      <c r="G1880" s="141"/>
      <c r="H1880" s="141"/>
      <c r="I1880" s="141"/>
      <c r="J1880" s="141"/>
      <c r="K1880" s="141"/>
      <c r="L1880" s="141"/>
      <c r="M1880" s="141"/>
      <c r="N1880" s="141"/>
      <c r="O1880" s="141"/>
      <c r="P1880" s="141"/>
      <c r="Q1880" s="141"/>
      <c r="R1880" s="141"/>
      <c r="S1880" s="141"/>
      <c r="T1880" s="141"/>
      <c r="U1880" s="141"/>
      <c r="V1880" s="141"/>
      <c r="W1880" s="141"/>
      <c r="X1880" s="141"/>
      <c r="Y1880" s="141"/>
      <c r="Z1880" s="141"/>
    </row>
    <row r="1881">
      <c r="A1881" s="141"/>
      <c r="B1881" s="141"/>
      <c r="C1881" s="141"/>
      <c r="D1881" s="141"/>
      <c r="E1881" s="141"/>
      <c r="F1881" s="141"/>
      <c r="G1881" s="141"/>
      <c r="H1881" s="141"/>
      <c r="I1881" s="141"/>
      <c r="J1881" s="141"/>
      <c r="K1881" s="141"/>
      <c r="L1881" s="141"/>
      <c r="M1881" s="141"/>
      <c r="N1881" s="141"/>
      <c r="O1881" s="141"/>
      <c r="P1881" s="141"/>
      <c r="Q1881" s="141"/>
      <c r="R1881" s="141"/>
      <c r="S1881" s="141"/>
      <c r="T1881" s="141"/>
      <c r="U1881" s="141"/>
      <c r="V1881" s="141"/>
      <c r="W1881" s="141"/>
      <c r="X1881" s="141"/>
      <c r="Y1881" s="141"/>
      <c r="Z1881" s="141"/>
    </row>
    <row r="1882">
      <c r="A1882" s="141"/>
      <c r="B1882" s="141"/>
      <c r="C1882" s="141"/>
      <c r="D1882" s="141"/>
      <c r="E1882" s="141"/>
      <c r="F1882" s="141"/>
      <c r="G1882" s="141"/>
      <c r="H1882" s="141"/>
      <c r="I1882" s="141"/>
      <c r="J1882" s="141"/>
      <c r="K1882" s="141"/>
      <c r="L1882" s="141"/>
      <c r="M1882" s="141"/>
      <c r="N1882" s="141"/>
      <c r="O1882" s="141"/>
      <c r="P1882" s="141"/>
      <c r="Q1882" s="141"/>
      <c r="R1882" s="141"/>
      <c r="S1882" s="141"/>
      <c r="T1882" s="141"/>
      <c r="U1882" s="141"/>
      <c r="V1882" s="141"/>
      <c r="W1882" s="141"/>
      <c r="X1882" s="141"/>
      <c r="Y1882" s="141"/>
      <c r="Z1882" s="141"/>
    </row>
    <row r="1883">
      <c r="A1883" s="141"/>
      <c r="B1883" s="141"/>
      <c r="C1883" s="141"/>
      <c r="D1883" s="141"/>
      <c r="E1883" s="141"/>
      <c r="F1883" s="141"/>
      <c r="G1883" s="141"/>
      <c r="H1883" s="141"/>
      <c r="I1883" s="141"/>
      <c r="J1883" s="141"/>
      <c r="K1883" s="141"/>
      <c r="L1883" s="141"/>
      <c r="M1883" s="141"/>
      <c r="N1883" s="141"/>
      <c r="O1883" s="141"/>
      <c r="P1883" s="141"/>
      <c r="Q1883" s="141"/>
      <c r="R1883" s="141"/>
      <c r="S1883" s="141"/>
      <c r="T1883" s="141"/>
      <c r="U1883" s="141"/>
      <c r="V1883" s="141"/>
      <c r="W1883" s="141"/>
      <c r="X1883" s="141"/>
      <c r="Y1883" s="141"/>
      <c r="Z1883" s="141"/>
    </row>
    <row r="1884">
      <c r="A1884" s="141"/>
      <c r="B1884" s="141"/>
      <c r="C1884" s="141"/>
      <c r="D1884" s="141"/>
      <c r="E1884" s="141"/>
      <c r="F1884" s="141"/>
      <c r="G1884" s="141"/>
      <c r="H1884" s="141"/>
      <c r="I1884" s="141"/>
      <c r="J1884" s="141"/>
      <c r="K1884" s="141"/>
      <c r="L1884" s="141"/>
      <c r="M1884" s="141"/>
      <c r="N1884" s="141"/>
      <c r="O1884" s="141"/>
      <c r="P1884" s="141"/>
      <c r="Q1884" s="141"/>
      <c r="R1884" s="141"/>
      <c r="S1884" s="141"/>
      <c r="T1884" s="141"/>
      <c r="U1884" s="141"/>
      <c r="V1884" s="141"/>
      <c r="W1884" s="141"/>
      <c r="X1884" s="141"/>
      <c r="Y1884" s="141"/>
      <c r="Z1884" s="141"/>
    </row>
    <row r="1885">
      <c r="A1885" s="141"/>
      <c r="B1885" s="141"/>
      <c r="C1885" s="141"/>
      <c r="D1885" s="141"/>
      <c r="E1885" s="141"/>
      <c r="F1885" s="141"/>
      <c r="G1885" s="141"/>
      <c r="H1885" s="141"/>
      <c r="I1885" s="141"/>
      <c r="J1885" s="141"/>
      <c r="K1885" s="141"/>
      <c r="L1885" s="141"/>
      <c r="M1885" s="141"/>
      <c r="N1885" s="141"/>
      <c r="O1885" s="141"/>
      <c r="P1885" s="141"/>
      <c r="Q1885" s="141"/>
      <c r="R1885" s="141"/>
      <c r="S1885" s="141"/>
      <c r="T1885" s="141"/>
      <c r="U1885" s="141"/>
      <c r="V1885" s="141"/>
      <c r="W1885" s="141"/>
      <c r="X1885" s="141"/>
      <c r="Y1885" s="141"/>
      <c r="Z1885" s="141"/>
    </row>
    <row r="1886">
      <c r="A1886" s="141"/>
      <c r="B1886" s="141"/>
      <c r="C1886" s="141"/>
      <c r="D1886" s="141"/>
      <c r="E1886" s="141"/>
      <c r="F1886" s="141"/>
      <c r="G1886" s="141"/>
      <c r="H1886" s="141"/>
      <c r="I1886" s="141"/>
      <c r="J1886" s="141"/>
      <c r="K1886" s="141"/>
      <c r="L1886" s="141"/>
      <c r="M1886" s="141"/>
      <c r="N1886" s="141"/>
      <c r="O1886" s="141"/>
      <c r="P1886" s="141"/>
      <c r="Q1886" s="141"/>
      <c r="R1886" s="141"/>
      <c r="S1886" s="141"/>
      <c r="T1886" s="141"/>
      <c r="U1886" s="141"/>
      <c r="V1886" s="141"/>
      <c r="W1886" s="141"/>
      <c r="X1886" s="141"/>
      <c r="Y1886" s="141"/>
      <c r="Z1886" s="141"/>
    </row>
    <row r="1887">
      <c r="A1887" s="141"/>
      <c r="B1887" s="141"/>
      <c r="C1887" s="141"/>
      <c r="D1887" s="141"/>
      <c r="E1887" s="141"/>
      <c r="F1887" s="141"/>
      <c r="G1887" s="141"/>
      <c r="H1887" s="141"/>
      <c r="I1887" s="141"/>
      <c r="J1887" s="141"/>
      <c r="K1887" s="141"/>
      <c r="L1887" s="141"/>
      <c r="M1887" s="141"/>
      <c r="N1887" s="141"/>
      <c r="O1887" s="141"/>
      <c r="P1887" s="141"/>
      <c r="Q1887" s="141"/>
      <c r="R1887" s="141"/>
      <c r="S1887" s="141"/>
      <c r="T1887" s="141"/>
      <c r="U1887" s="141"/>
      <c r="V1887" s="141"/>
      <c r="W1887" s="141"/>
      <c r="X1887" s="141"/>
      <c r="Y1887" s="141"/>
      <c r="Z1887" s="141"/>
    </row>
    <row r="1888">
      <c r="A1888" s="141"/>
      <c r="B1888" s="141"/>
      <c r="C1888" s="141"/>
      <c r="D1888" s="141"/>
      <c r="E1888" s="141"/>
      <c r="F1888" s="141"/>
      <c r="G1888" s="141"/>
      <c r="H1888" s="141"/>
      <c r="I1888" s="141"/>
      <c r="J1888" s="141"/>
      <c r="K1888" s="141"/>
      <c r="L1888" s="141"/>
      <c r="M1888" s="141"/>
      <c r="N1888" s="141"/>
      <c r="O1888" s="141"/>
      <c r="P1888" s="141"/>
      <c r="Q1888" s="141"/>
      <c r="R1888" s="141"/>
      <c r="S1888" s="141"/>
      <c r="T1888" s="141"/>
      <c r="U1888" s="141"/>
      <c r="V1888" s="141"/>
      <c r="W1888" s="141"/>
      <c r="X1888" s="141"/>
      <c r="Y1888" s="141"/>
      <c r="Z1888" s="141"/>
    </row>
    <row r="1889">
      <c r="A1889" s="141"/>
      <c r="B1889" s="141"/>
      <c r="C1889" s="141"/>
      <c r="D1889" s="141"/>
      <c r="E1889" s="141"/>
      <c r="F1889" s="141"/>
      <c r="G1889" s="141"/>
      <c r="H1889" s="141"/>
      <c r="I1889" s="141"/>
      <c r="J1889" s="141"/>
      <c r="K1889" s="141"/>
      <c r="L1889" s="141"/>
      <c r="M1889" s="141"/>
      <c r="N1889" s="141"/>
      <c r="O1889" s="141"/>
      <c r="P1889" s="141"/>
      <c r="Q1889" s="141"/>
      <c r="R1889" s="141"/>
      <c r="S1889" s="141"/>
      <c r="T1889" s="141"/>
      <c r="U1889" s="141"/>
      <c r="V1889" s="141"/>
      <c r="W1889" s="141"/>
      <c r="X1889" s="141"/>
      <c r="Y1889" s="141"/>
      <c r="Z1889" s="141"/>
    </row>
    <row r="1890">
      <c r="A1890" s="141"/>
      <c r="B1890" s="141"/>
      <c r="C1890" s="141"/>
      <c r="D1890" s="141"/>
      <c r="E1890" s="141"/>
      <c r="F1890" s="141"/>
      <c r="G1890" s="141"/>
      <c r="H1890" s="141"/>
      <c r="I1890" s="141"/>
      <c r="J1890" s="141"/>
      <c r="K1890" s="141"/>
      <c r="L1890" s="141"/>
      <c r="M1890" s="141"/>
      <c r="N1890" s="141"/>
      <c r="O1890" s="141"/>
      <c r="P1890" s="141"/>
      <c r="Q1890" s="141"/>
      <c r="R1890" s="141"/>
      <c r="S1890" s="141"/>
      <c r="T1890" s="141"/>
      <c r="U1890" s="141"/>
      <c r="V1890" s="141"/>
      <c r="W1890" s="141"/>
      <c r="X1890" s="141"/>
      <c r="Y1890" s="141"/>
      <c r="Z1890" s="141"/>
    </row>
    <row r="1891">
      <c r="A1891" s="141"/>
      <c r="B1891" s="141"/>
      <c r="C1891" s="141"/>
      <c r="D1891" s="141"/>
      <c r="E1891" s="141"/>
      <c r="F1891" s="141"/>
      <c r="G1891" s="141"/>
      <c r="H1891" s="141"/>
      <c r="I1891" s="141"/>
      <c r="J1891" s="141"/>
      <c r="K1891" s="141"/>
      <c r="L1891" s="141"/>
      <c r="M1891" s="141"/>
      <c r="N1891" s="141"/>
      <c r="O1891" s="141"/>
      <c r="P1891" s="141"/>
      <c r="Q1891" s="141"/>
      <c r="R1891" s="141"/>
      <c r="S1891" s="141"/>
      <c r="T1891" s="141"/>
      <c r="U1891" s="141"/>
      <c r="V1891" s="141"/>
      <c r="W1891" s="141"/>
      <c r="X1891" s="141"/>
      <c r="Y1891" s="141"/>
      <c r="Z1891" s="141"/>
    </row>
    <row r="1892">
      <c r="A1892" s="141"/>
      <c r="B1892" s="141"/>
      <c r="C1892" s="141"/>
      <c r="D1892" s="141"/>
      <c r="E1892" s="141"/>
      <c r="F1892" s="141"/>
      <c r="G1892" s="141"/>
      <c r="H1892" s="141"/>
      <c r="I1892" s="141"/>
      <c r="J1892" s="141"/>
      <c r="K1892" s="141"/>
      <c r="L1892" s="141"/>
      <c r="M1892" s="141"/>
      <c r="N1892" s="141"/>
      <c r="O1892" s="141"/>
      <c r="P1892" s="141"/>
      <c r="Q1892" s="141"/>
      <c r="R1892" s="141"/>
      <c r="S1892" s="141"/>
      <c r="T1892" s="141"/>
      <c r="U1892" s="141"/>
      <c r="V1892" s="141"/>
      <c r="W1892" s="141"/>
      <c r="X1892" s="141"/>
      <c r="Y1892" s="141"/>
      <c r="Z1892" s="141"/>
    </row>
    <row r="1893">
      <c r="A1893" s="141"/>
      <c r="B1893" s="141"/>
      <c r="C1893" s="141"/>
      <c r="D1893" s="141"/>
      <c r="E1893" s="141"/>
      <c r="F1893" s="141"/>
      <c r="G1893" s="141"/>
      <c r="H1893" s="141"/>
      <c r="I1893" s="141"/>
      <c r="J1893" s="141"/>
      <c r="K1893" s="141"/>
      <c r="L1893" s="141"/>
      <c r="M1893" s="141"/>
      <c r="N1893" s="141"/>
      <c r="O1893" s="141"/>
      <c r="P1893" s="141"/>
      <c r="Q1893" s="141"/>
      <c r="R1893" s="141"/>
      <c r="S1893" s="141"/>
      <c r="T1893" s="141"/>
      <c r="U1893" s="141"/>
      <c r="V1893" s="141"/>
      <c r="W1893" s="141"/>
      <c r="X1893" s="141"/>
      <c r="Y1893" s="141"/>
      <c r="Z1893" s="141"/>
    </row>
    <row r="1894">
      <c r="A1894" s="141"/>
      <c r="B1894" s="141"/>
      <c r="C1894" s="141"/>
      <c r="D1894" s="141"/>
      <c r="E1894" s="141"/>
      <c r="F1894" s="141"/>
      <c r="G1894" s="141"/>
      <c r="H1894" s="141"/>
      <c r="I1894" s="141"/>
      <c r="J1894" s="141"/>
      <c r="K1894" s="141"/>
      <c r="L1894" s="141"/>
      <c r="M1894" s="141"/>
      <c r="N1894" s="141"/>
      <c r="O1894" s="141"/>
      <c r="P1894" s="141"/>
      <c r="Q1894" s="141"/>
      <c r="R1894" s="141"/>
      <c r="S1894" s="141"/>
      <c r="T1894" s="141"/>
      <c r="U1894" s="141"/>
      <c r="V1894" s="141"/>
      <c r="W1894" s="141"/>
      <c r="X1894" s="141"/>
      <c r="Y1894" s="141"/>
      <c r="Z1894" s="141"/>
    </row>
    <row r="1895">
      <c r="A1895" s="141"/>
      <c r="B1895" s="141"/>
      <c r="C1895" s="141"/>
      <c r="D1895" s="141"/>
      <c r="E1895" s="141"/>
      <c r="F1895" s="141"/>
      <c r="G1895" s="141"/>
      <c r="H1895" s="141"/>
      <c r="I1895" s="141"/>
      <c r="J1895" s="141"/>
      <c r="K1895" s="141"/>
      <c r="L1895" s="141"/>
      <c r="M1895" s="141"/>
      <c r="N1895" s="141"/>
      <c r="O1895" s="141"/>
      <c r="P1895" s="141"/>
      <c r="Q1895" s="141"/>
      <c r="R1895" s="141"/>
      <c r="S1895" s="141"/>
      <c r="T1895" s="141"/>
      <c r="U1895" s="141"/>
      <c r="V1895" s="141"/>
      <c r="W1895" s="141"/>
      <c r="X1895" s="141"/>
      <c r="Y1895" s="141"/>
      <c r="Z1895" s="141"/>
    </row>
    <row r="1896">
      <c r="A1896" s="141"/>
      <c r="B1896" s="141"/>
      <c r="C1896" s="141"/>
      <c r="D1896" s="141"/>
      <c r="E1896" s="141"/>
      <c r="F1896" s="141"/>
      <c r="G1896" s="141"/>
      <c r="H1896" s="141"/>
      <c r="I1896" s="141"/>
      <c r="J1896" s="141"/>
      <c r="K1896" s="141"/>
      <c r="L1896" s="141"/>
      <c r="M1896" s="141"/>
      <c r="N1896" s="141"/>
      <c r="O1896" s="141"/>
      <c r="P1896" s="141"/>
      <c r="Q1896" s="141"/>
      <c r="R1896" s="141"/>
      <c r="S1896" s="141"/>
      <c r="T1896" s="141"/>
      <c r="U1896" s="141"/>
      <c r="V1896" s="141"/>
      <c r="W1896" s="141"/>
      <c r="X1896" s="141"/>
      <c r="Y1896" s="141"/>
      <c r="Z1896" s="141"/>
    </row>
    <row r="1897">
      <c r="A1897" s="141"/>
      <c r="B1897" s="141"/>
      <c r="C1897" s="141"/>
      <c r="D1897" s="141"/>
      <c r="E1897" s="141"/>
      <c r="F1897" s="141"/>
      <c r="G1897" s="141"/>
      <c r="H1897" s="141"/>
      <c r="I1897" s="141"/>
      <c r="J1897" s="141"/>
      <c r="K1897" s="141"/>
      <c r="L1897" s="141"/>
      <c r="M1897" s="141"/>
      <c r="N1897" s="141"/>
      <c r="O1897" s="141"/>
      <c r="P1897" s="141"/>
      <c r="Q1897" s="141"/>
      <c r="R1897" s="141"/>
      <c r="S1897" s="141"/>
      <c r="T1897" s="141"/>
      <c r="U1897" s="141"/>
      <c r="V1897" s="141"/>
      <c r="W1897" s="141"/>
      <c r="X1897" s="141"/>
      <c r="Y1897" s="141"/>
      <c r="Z1897" s="141"/>
    </row>
    <row r="1898">
      <c r="A1898" s="141"/>
      <c r="B1898" s="141"/>
      <c r="C1898" s="141"/>
      <c r="D1898" s="141"/>
      <c r="E1898" s="141"/>
      <c r="F1898" s="141"/>
      <c r="G1898" s="141"/>
      <c r="H1898" s="141"/>
      <c r="I1898" s="141"/>
      <c r="J1898" s="141"/>
      <c r="K1898" s="141"/>
      <c r="L1898" s="141"/>
      <c r="M1898" s="141"/>
      <c r="N1898" s="141"/>
      <c r="O1898" s="141"/>
      <c r="P1898" s="141"/>
      <c r="Q1898" s="141"/>
      <c r="R1898" s="141"/>
      <c r="S1898" s="141"/>
      <c r="T1898" s="141"/>
      <c r="U1898" s="141"/>
      <c r="V1898" s="141"/>
      <c r="W1898" s="141"/>
      <c r="X1898" s="141"/>
      <c r="Y1898" s="141"/>
      <c r="Z1898" s="141"/>
    </row>
    <row r="1899">
      <c r="A1899" s="141"/>
      <c r="B1899" s="141"/>
      <c r="C1899" s="141"/>
      <c r="D1899" s="141"/>
      <c r="E1899" s="141"/>
      <c r="F1899" s="141"/>
      <c r="G1899" s="141"/>
      <c r="H1899" s="141"/>
      <c r="I1899" s="141"/>
      <c r="J1899" s="141"/>
      <c r="K1899" s="141"/>
      <c r="L1899" s="141"/>
      <c r="M1899" s="141"/>
      <c r="N1899" s="141"/>
      <c r="O1899" s="141"/>
      <c r="P1899" s="141"/>
      <c r="Q1899" s="141"/>
      <c r="R1899" s="141"/>
      <c r="S1899" s="141"/>
      <c r="T1899" s="141"/>
      <c r="U1899" s="141"/>
      <c r="V1899" s="141"/>
      <c r="W1899" s="141"/>
      <c r="X1899" s="141"/>
      <c r="Y1899" s="141"/>
      <c r="Z1899" s="141"/>
    </row>
    <row r="1900">
      <c r="A1900" s="141"/>
      <c r="B1900" s="141"/>
      <c r="C1900" s="141"/>
      <c r="D1900" s="141"/>
      <c r="E1900" s="141"/>
      <c r="F1900" s="141"/>
      <c r="G1900" s="141"/>
      <c r="H1900" s="141"/>
      <c r="I1900" s="141"/>
      <c r="J1900" s="141"/>
      <c r="K1900" s="141"/>
      <c r="L1900" s="141"/>
      <c r="M1900" s="141"/>
      <c r="N1900" s="141"/>
      <c r="O1900" s="141"/>
      <c r="P1900" s="141"/>
      <c r="Q1900" s="141"/>
      <c r="R1900" s="141"/>
      <c r="S1900" s="141"/>
      <c r="T1900" s="141"/>
      <c r="U1900" s="141"/>
      <c r="V1900" s="141"/>
      <c r="W1900" s="141"/>
      <c r="X1900" s="141"/>
      <c r="Y1900" s="141"/>
      <c r="Z1900" s="141"/>
    </row>
    <row r="1901">
      <c r="A1901" s="141"/>
      <c r="B1901" s="141"/>
      <c r="C1901" s="141"/>
      <c r="D1901" s="141"/>
      <c r="E1901" s="141"/>
      <c r="F1901" s="141"/>
      <c r="G1901" s="141"/>
      <c r="H1901" s="141"/>
      <c r="I1901" s="141"/>
      <c r="J1901" s="141"/>
      <c r="K1901" s="141"/>
      <c r="L1901" s="141"/>
      <c r="M1901" s="141"/>
      <c r="N1901" s="141"/>
      <c r="O1901" s="141"/>
      <c r="P1901" s="141"/>
      <c r="Q1901" s="141"/>
      <c r="R1901" s="141"/>
      <c r="S1901" s="141"/>
      <c r="T1901" s="141"/>
      <c r="U1901" s="141"/>
      <c r="V1901" s="141"/>
      <c r="W1901" s="141"/>
      <c r="X1901" s="141"/>
      <c r="Y1901" s="141"/>
      <c r="Z1901" s="141"/>
    </row>
    <row r="1902">
      <c r="A1902" s="141"/>
      <c r="B1902" s="141"/>
      <c r="C1902" s="141"/>
      <c r="D1902" s="141"/>
      <c r="E1902" s="141"/>
      <c r="F1902" s="141"/>
      <c r="G1902" s="141"/>
      <c r="H1902" s="141"/>
      <c r="I1902" s="141"/>
      <c r="J1902" s="141"/>
      <c r="K1902" s="141"/>
      <c r="L1902" s="141"/>
      <c r="M1902" s="141"/>
      <c r="N1902" s="141"/>
      <c r="O1902" s="141"/>
      <c r="P1902" s="141"/>
      <c r="Q1902" s="141"/>
      <c r="R1902" s="141"/>
      <c r="S1902" s="141"/>
      <c r="T1902" s="141"/>
      <c r="U1902" s="141"/>
      <c r="V1902" s="141"/>
      <c r="W1902" s="141"/>
      <c r="X1902" s="141"/>
      <c r="Y1902" s="141"/>
      <c r="Z1902" s="141"/>
    </row>
    <row r="1903">
      <c r="A1903" s="141"/>
      <c r="B1903" s="141"/>
      <c r="C1903" s="141"/>
      <c r="D1903" s="141"/>
      <c r="E1903" s="141"/>
      <c r="F1903" s="141"/>
      <c r="G1903" s="141"/>
      <c r="H1903" s="141"/>
      <c r="I1903" s="141"/>
      <c r="J1903" s="141"/>
      <c r="K1903" s="141"/>
      <c r="L1903" s="141"/>
      <c r="M1903" s="141"/>
      <c r="N1903" s="141"/>
      <c r="O1903" s="141"/>
      <c r="P1903" s="141"/>
      <c r="Q1903" s="141"/>
      <c r="R1903" s="141"/>
      <c r="S1903" s="141"/>
      <c r="T1903" s="141"/>
      <c r="U1903" s="141"/>
      <c r="V1903" s="141"/>
      <c r="W1903" s="141"/>
      <c r="X1903" s="141"/>
      <c r="Y1903" s="141"/>
      <c r="Z1903" s="141"/>
    </row>
    <row r="1904">
      <c r="A1904" s="141"/>
      <c r="B1904" s="141"/>
      <c r="C1904" s="141"/>
      <c r="D1904" s="141"/>
      <c r="E1904" s="141"/>
      <c r="F1904" s="141"/>
      <c r="G1904" s="141"/>
      <c r="H1904" s="141"/>
      <c r="I1904" s="141"/>
      <c r="J1904" s="141"/>
      <c r="K1904" s="141"/>
      <c r="L1904" s="141"/>
      <c r="M1904" s="141"/>
      <c r="N1904" s="141"/>
      <c r="O1904" s="141"/>
      <c r="P1904" s="141"/>
      <c r="Q1904" s="141"/>
      <c r="R1904" s="141"/>
      <c r="S1904" s="141"/>
      <c r="T1904" s="141"/>
      <c r="U1904" s="141"/>
      <c r="V1904" s="141"/>
      <c r="W1904" s="141"/>
      <c r="X1904" s="141"/>
      <c r="Y1904" s="141"/>
      <c r="Z1904" s="141"/>
    </row>
    <row r="1905">
      <c r="A1905" s="141"/>
      <c r="B1905" s="141"/>
      <c r="C1905" s="141"/>
      <c r="D1905" s="141"/>
      <c r="E1905" s="141"/>
      <c r="F1905" s="141"/>
      <c r="G1905" s="141"/>
      <c r="H1905" s="141"/>
      <c r="I1905" s="141"/>
      <c r="J1905" s="141"/>
      <c r="K1905" s="141"/>
      <c r="L1905" s="141"/>
      <c r="M1905" s="141"/>
      <c r="N1905" s="141"/>
      <c r="O1905" s="141"/>
      <c r="P1905" s="141"/>
      <c r="Q1905" s="141"/>
      <c r="R1905" s="141"/>
      <c r="S1905" s="141"/>
      <c r="T1905" s="141"/>
      <c r="U1905" s="141"/>
      <c r="V1905" s="141"/>
      <c r="W1905" s="141"/>
      <c r="X1905" s="141"/>
      <c r="Y1905" s="141"/>
      <c r="Z1905" s="141"/>
    </row>
    <row r="1906">
      <c r="A1906" s="141"/>
      <c r="B1906" s="141"/>
      <c r="C1906" s="141"/>
      <c r="D1906" s="141"/>
      <c r="E1906" s="141"/>
      <c r="F1906" s="141"/>
      <c r="G1906" s="141"/>
      <c r="H1906" s="141"/>
      <c r="I1906" s="141"/>
      <c r="J1906" s="141"/>
      <c r="K1906" s="141"/>
      <c r="L1906" s="141"/>
      <c r="M1906" s="141"/>
      <c r="N1906" s="141"/>
      <c r="O1906" s="141"/>
      <c r="P1906" s="141"/>
      <c r="Q1906" s="141"/>
      <c r="R1906" s="141"/>
      <c r="S1906" s="141"/>
      <c r="T1906" s="141"/>
      <c r="U1906" s="141"/>
      <c r="V1906" s="141"/>
      <c r="W1906" s="141"/>
      <c r="X1906" s="141"/>
      <c r="Y1906" s="141"/>
      <c r="Z1906" s="141"/>
    </row>
    <row r="1907">
      <c r="A1907" s="141"/>
      <c r="B1907" s="141"/>
      <c r="C1907" s="141"/>
      <c r="D1907" s="141"/>
      <c r="E1907" s="141"/>
      <c r="F1907" s="141"/>
      <c r="G1907" s="141"/>
      <c r="H1907" s="141"/>
      <c r="I1907" s="141"/>
      <c r="J1907" s="141"/>
      <c r="K1907" s="141"/>
      <c r="L1907" s="141"/>
      <c r="M1907" s="141"/>
      <c r="N1907" s="141"/>
      <c r="O1907" s="141"/>
      <c r="P1907" s="141"/>
      <c r="Q1907" s="141"/>
      <c r="R1907" s="141"/>
      <c r="S1907" s="141"/>
      <c r="T1907" s="141"/>
      <c r="U1907" s="141"/>
      <c r="V1907" s="141"/>
      <c r="W1907" s="141"/>
      <c r="X1907" s="141"/>
      <c r="Y1907" s="141"/>
      <c r="Z1907" s="141"/>
    </row>
    <row r="1908">
      <c r="A1908" s="141"/>
      <c r="B1908" s="141"/>
      <c r="C1908" s="141"/>
      <c r="D1908" s="141"/>
      <c r="E1908" s="141"/>
      <c r="F1908" s="141"/>
      <c r="G1908" s="141"/>
      <c r="H1908" s="141"/>
      <c r="I1908" s="141"/>
      <c r="J1908" s="141"/>
      <c r="K1908" s="141"/>
      <c r="L1908" s="141"/>
      <c r="M1908" s="141"/>
      <c r="N1908" s="141"/>
      <c r="O1908" s="141"/>
      <c r="P1908" s="141"/>
      <c r="Q1908" s="141"/>
      <c r="R1908" s="141"/>
      <c r="S1908" s="141"/>
      <c r="T1908" s="141"/>
      <c r="U1908" s="141"/>
      <c r="V1908" s="141"/>
      <c r="W1908" s="141"/>
      <c r="X1908" s="141"/>
      <c r="Y1908" s="141"/>
      <c r="Z1908" s="141"/>
    </row>
    <row r="1909">
      <c r="A1909" s="141"/>
      <c r="B1909" s="141"/>
      <c r="C1909" s="141"/>
      <c r="D1909" s="141"/>
      <c r="E1909" s="141"/>
      <c r="F1909" s="141"/>
      <c r="G1909" s="141"/>
      <c r="H1909" s="141"/>
      <c r="I1909" s="141"/>
      <c r="J1909" s="141"/>
      <c r="K1909" s="141"/>
      <c r="L1909" s="141"/>
      <c r="M1909" s="141"/>
      <c r="N1909" s="141"/>
      <c r="O1909" s="141"/>
      <c r="P1909" s="141"/>
      <c r="Q1909" s="141"/>
      <c r="R1909" s="141"/>
      <c r="S1909" s="141"/>
      <c r="T1909" s="141"/>
      <c r="U1909" s="141"/>
      <c r="V1909" s="141"/>
      <c r="W1909" s="141"/>
      <c r="X1909" s="141"/>
      <c r="Y1909" s="141"/>
      <c r="Z1909" s="141"/>
    </row>
    <row r="1910">
      <c r="A1910" s="141"/>
      <c r="B1910" s="141"/>
      <c r="C1910" s="141"/>
      <c r="D1910" s="141"/>
      <c r="E1910" s="141"/>
      <c r="F1910" s="141"/>
      <c r="G1910" s="141"/>
      <c r="H1910" s="141"/>
      <c r="I1910" s="141"/>
      <c r="J1910" s="141"/>
      <c r="K1910" s="141"/>
      <c r="L1910" s="141"/>
      <c r="M1910" s="141"/>
      <c r="N1910" s="141"/>
      <c r="O1910" s="141"/>
      <c r="P1910" s="141"/>
      <c r="Q1910" s="141"/>
      <c r="R1910" s="141"/>
      <c r="S1910" s="141"/>
      <c r="T1910" s="141"/>
      <c r="U1910" s="141"/>
      <c r="V1910" s="141"/>
      <c r="W1910" s="141"/>
      <c r="X1910" s="141"/>
      <c r="Y1910" s="141"/>
      <c r="Z1910" s="141"/>
    </row>
    <row r="1911">
      <c r="A1911" s="141"/>
      <c r="B1911" s="141"/>
      <c r="C1911" s="141"/>
      <c r="D1911" s="141"/>
      <c r="E1911" s="141"/>
      <c r="F1911" s="141"/>
      <c r="G1911" s="141"/>
      <c r="H1911" s="141"/>
      <c r="I1911" s="141"/>
      <c r="J1911" s="141"/>
      <c r="K1911" s="141"/>
      <c r="L1911" s="141"/>
      <c r="M1911" s="141"/>
      <c r="N1911" s="141"/>
      <c r="O1911" s="141"/>
      <c r="P1911" s="141"/>
      <c r="Q1911" s="141"/>
      <c r="R1911" s="141"/>
      <c r="S1911" s="141"/>
      <c r="T1911" s="141"/>
      <c r="U1911" s="141"/>
      <c r="V1911" s="141"/>
      <c r="W1911" s="141"/>
      <c r="X1911" s="141"/>
      <c r="Y1911" s="141"/>
      <c r="Z1911" s="141"/>
    </row>
    <row r="1912">
      <c r="A1912" s="141"/>
      <c r="B1912" s="141"/>
      <c r="C1912" s="141"/>
      <c r="D1912" s="141"/>
      <c r="E1912" s="141"/>
      <c r="F1912" s="141"/>
      <c r="G1912" s="141"/>
      <c r="H1912" s="141"/>
      <c r="I1912" s="141"/>
      <c r="J1912" s="141"/>
      <c r="K1912" s="141"/>
      <c r="L1912" s="141"/>
      <c r="M1912" s="141"/>
      <c r="N1912" s="141"/>
      <c r="O1912" s="141"/>
      <c r="P1912" s="141"/>
      <c r="Q1912" s="141"/>
      <c r="R1912" s="141"/>
      <c r="S1912" s="141"/>
      <c r="T1912" s="141"/>
      <c r="U1912" s="141"/>
      <c r="V1912" s="141"/>
      <c r="W1912" s="141"/>
      <c r="X1912" s="141"/>
      <c r="Y1912" s="141"/>
      <c r="Z1912" s="141"/>
    </row>
    <row r="1913">
      <c r="A1913" s="141"/>
      <c r="B1913" s="141"/>
      <c r="C1913" s="141"/>
      <c r="D1913" s="141"/>
      <c r="E1913" s="141"/>
      <c r="F1913" s="141"/>
      <c r="G1913" s="141"/>
      <c r="H1913" s="141"/>
      <c r="I1913" s="141"/>
      <c r="J1913" s="141"/>
      <c r="K1913" s="141"/>
      <c r="L1913" s="141"/>
      <c r="M1913" s="141"/>
      <c r="N1913" s="141"/>
      <c r="O1913" s="141"/>
      <c r="P1913" s="141"/>
      <c r="Q1913" s="141"/>
      <c r="R1913" s="141"/>
      <c r="S1913" s="141"/>
      <c r="T1913" s="141"/>
      <c r="U1913" s="141"/>
      <c r="V1913" s="141"/>
      <c r="W1913" s="141"/>
      <c r="X1913" s="141"/>
      <c r="Y1913" s="141"/>
      <c r="Z1913" s="141"/>
    </row>
    <row r="1914">
      <c r="A1914" s="141"/>
      <c r="B1914" s="141"/>
      <c r="C1914" s="141"/>
      <c r="D1914" s="141"/>
      <c r="E1914" s="141"/>
      <c r="F1914" s="141"/>
      <c r="G1914" s="141"/>
      <c r="H1914" s="141"/>
      <c r="I1914" s="141"/>
      <c r="J1914" s="141"/>
      <c r="K1914" s="141"/>
      <c r="L1914" s="141"/>
      <c r="M1914" s="141"/>
      <c r="N1914" s="141"/>
      <c r="O1914" s="141"/>
      <c r="P1914" s="141"/>
      <c r="Q1914" s="141"/>
      <c r="R1914" s="141"/>
      <c r="S1914" s="141"/>
      <c r="T1914" s="141"/>
      <c r="U1914" s="141"/>
      <c r="V1914" s="141"/>
      <c r="W1914" s="141"/>
      <c r="X1914" s="141"/>
      <c r="Y1914" s="141"/>
      <c r="Z1914" s="141"/>
    </row>
    <row r="1915">
      <c r="A1915" s="141"/>
      <c r="B1915" s="141"/>
      <c r="C1915" s="141"/>
      <c r="D1915" s="141"/>
      <c r="E1915" s="141"/>
      <c r="F1915" s="141"/>
      <c r="G1915" s="141"/>
      <c r="H1915" s="141"/>
      <c r="I1915" s="141"/>
      <c r="J1915" s="141"/>
      <c r="K1915" s="141"/>
      <c r="L1915" s="141"/>
      <c r="M1915" s="141"/>
      <c r="N1915" s="141"/>
      <c r="O1915" s="141"/>
      <c r="P1915" s="141"/>
      <c r="Q1915" s="141"/>
      <c r="R1915" s="141"/>
      <c r="S1915" s="141"/>
      <c r="T1915" s="141"/>
      <c r="U1915" s="141"/>
      <c r="V1915" s="141"/>
      <c r="W1915" s="141"/>
      <c r="X1915" s="141"/>
      <c r="Y1915" s="141"/>
      <c r="Z1915" s="141"/>
    </row>
    <row r="1916">
      <c r="A1916" s="141"/>
      <c r="B1916" s="141"/>
      <c r="C1916" s="141"/>
      <c r="D1916" s="141"/>
      <c r="E1916" s="141"/>
      <c r="F1916" s="141"/>
      <c r="G1916" s="141"/>
      <c r="H1916" s="141"/>
      <c r="I1916" s="141"/>
      <c r="J1916" s="141"/>
      <c r="K1916" s="141"/>
      <c r="L1916" s="141"/>
      <c r="M1916" s="141"/>
      <c r="N1916" s="141"/>
      <c r="O1916" s="141"/>
      <c r="P1916" s="141"/>
      <c r="Q1916" s="141"/>
      <c r="R1916" s="141"/>
      <c r="S1916" s="141"/>
      <c r="T1916" s="141"/>
      <c r="U1916" s="141"/>
      <c r="V1916" s="141"/>
      <c r="W1916" s="141"/>
      <c r="X1916" s="141"/>
      <c r="Y1916" s="141"/>
      <c r="Z1916" s="141"/>
    </row>
    <row r="1917">
      <c r="A1917" s="141"/>
      <c r="B1917" s="141"/>
      <c r="C1917" s="141"/>
      <c r="D1917" s="141"/>
      <c r="E1917" s="141"/>
      <c r="F1917" s="141"/>
      <c r="G1917" s="141"/>
      <c r="H1917" s="141"/>
      <c r="I1917" s="141"/>
      <c r="J1917" s="141"/>
      <c r="K1917" s="141"/>
      <c r="L1917" s="141"/>
      <c r="M1917" s="141"/>
      <c r="N1917" s="141"/>
      <c r="O1917" s="141"/>
      <c r="P1917" s="141"/>
      <c r="Q1917" s="141"/>
      <c r="R1917" s="141"/>
      <c r="S1917" s="141"/>
      <c r="T1917" s="141"/>
      <c r="U1917" s="141"/>
      <c r="V1917" s="141"/>
      <c r="W1917" s="141"/>
      <c r="X1917" s="141"/>
      <c r="Y1917" s="141"/>
      <c r="Z1917" s="141"/>
    </row>
    <row r="1918">
      <c r="A1918" s="141"/>
      <c r="B1918" s="141"/>
      <c r="C1918" s="141"/>
      <c r="D1918" s="141"/>
      <c r="E1918" s="141"/>
      <c r="F1918" s="141"/>
      <c r="G1918" s="141"/>
      <c r="H1918" s="141"/>
      <c r="I1918" s="141"/>
      <c r="J1918" s="141"/>
      <c r="K1918" s="141"/>
      <c r="L1918" s="141"/>
      <c r="M1918" s="141"/>
      <c r="N1918" s="141"/>
      <c r="O1918" s="141"/>
      <c r="P1918" s="141"/>
      <c r="Q1918" s="141"/>
      <c r="R1918" s="141"/>
      <c r="S1918" s="141"/>
      <c r="T1918" s="141"/>
      <c r="U1918" s="141"/>
      <c r="V1918" s="141"/>
      <c r="W1918" s="141"/>
      <c r="X1918" s="141"/>
      <c r="Y1918" s="141"/>
      <c r="Z1918" s="141"/>
    </row>
    <row r="1919">
      <c r="A1919" s="141"/>
      <c r="B1919" s="141"/>
      <c r="C1919" s="141"/>
      <c r="D1919" s="141"/>
      <c r="E1919" s="141"/>
      <c r="F1919" s="141"/>
      <c r="G1919" s="141"/>
      <c r="H1919" s="141"/>
      <c r="I1919" s="141"/>
      <c r="J1919" s="141"/>
      <c r="K1919" s="141"/>
      <c r="L1919" s="141"/>
      <c r="M1919" s="141"/>
      <c r="N1919" s="141"/>
      <c r="O1919" s="141"/>
      <c r="P1919" s="141"/>
      <c r="Q1919" s="141"/>
      <c r="R1919" s="141"/>
      <c r="S1919" s="141"/>
      <c r="T1919" s="141"/>
      <c r="U1919" s="141"/>
      <c r="V1919" s="141"/>
      <c r="W1919" s="141"/>
      <c r="X1919" s="141"/>
      <c r="Y1919" s="141"/>
      <c r="Z1919" s="141"/>
    </row>
    <row r="1920">
      <c r="A1920" s="141"/>
      <c r="B1920" s="141"/>
      <c r="C1920" s="141"/>
      <c r="D1920" s="141"/>
      <c r="E1920" s="141"/>
      <c r="F1920" s="141"/>
      <c r="G1920" s="141"/>
      <c r="H1920" s="141"/>
      <c r="I1920" s="141"/>
      <c r="J1920" s="141"/>
      <c r="K1920" s="141"/>
      <c r="L1920" s="141"/>
      <c r="M1920" s="141"/>
      <c r="N1920" s="141"/>
      <c r="O1920" s="141"/>
      <c r="P1920" s="141"/>
      <c r="Q1920" s="141"/>
      <c r="R1920" s="141"/>
      <c r="S1920" s="141"/>
      <c r="T1920" s="141"/>
      <c r="U1920" s="141"/>
      <c r="V1920" s="141"/>
      <c r="W1920" s="141"/>
      <c r="X1920" s="141"/>
      <c r="Y1920" s="141"/>
      <c r="Z1920" s="141"/>
    </row>
    <row r="1921">
      <c r="A1921" s="141"/>
      <c r="B1921" s="141"/>
      <c r="C1921" s="141"/>
      <c r="D1921" s="141"/>
      <c r="E1921" s="141"/>
      <c r="F1921" s="141"/>
      <c r="G1921" s="141"/>
      <c r="H1921" s="141"/>
      <c r="I1921" s="141"/>
      <c r="J1921" s="141"/>
      <c r="K1921" s="141"/>
      <c r="L1921" s="141"/>
      <c r="M1921" s="141"/>
      <c r="N1921" s="141"/>
      <c r="O1921" s="141"/>
      <c r="P1921" s="141"/>
      <c r="Q1921" s="141"/>
      <c r="R1921" s="141"/>
      <c r="S1921" s="141"/>
      <c r="T1921" s="141"/>
      <c r="U1921" s="141"/>
      <c r="V1921" s="141"/>
      <c r="W1921" s="141"/>
      <c r="X1921" s="141"/>
      <c r="Y1921" s="141"/>
      <c r="Z1921" s="141"/>
    </row>
    <row r="1922">
      <c r="A1922" s="141"/>
      <c r="B1922" s="141"/>
      <c r="C1922" s="141"/>
      <c r="D1922" s="141"/>
      <c r="E1922" s="141"/>
      <c r="F1922" s="141"/>
      <c r="G1922" s="141"/>
      <c r="H1922" s="141"/>
      <c r="I1922" s="141"/>
      <c r="J1922" s="141"/>
      <c r="K1922" s="141"/>
      <c r="L1922" s="141"/>
      <c r="M1922" s="141"/>
      <c r="N1922" s="141"/>
      <c r="O1922" s="141"/>
      <c r="P1922" s="141"/>
      <c r="Q1922" s="141"/>
      <c r="R1922" s="141"/>
      <c r="S1922" s="141"/>
      <c r="T1922" s="141"/>
      <c r="U1922" s="141"/>
      <c r="V1922" s="141"/>
      <c r="W1922" s="141"/>
      <c r="X1922" s="141"/>
      <c r="Y1922" s="141"/>
      <c r="Z1922" s="141"/>
    </row>
    <row r="1923">
      <c r="A1923" s="141"/>
      <c r="B1923" s="141"/>
      <c r="C1923" s="141"/>
      <c r="D1923" s="141"/>
      <c r="E1923" s="141"/>
      <c r="F1923" s="141"/>
      <c r="G1923" s="141"/>
      <c r="H1923" s="141"/>
      <c r="I1923" s="141"/>
      <c r="J1923" s="141"/>
      <c r="K1923" s="141"/>
      <c r="L1923" s="141"/>
      <c r="M1923" s="141"/>
      <c r="N1923" s="141"/>
      <c r="O1923" s="141"/>
      <c r="P1923" s="141"/>
      <c r="Q1923" s="141"/>
      <c r="R1923" s="141"/>
      <c r="S1923" s="141"/>
      <c r="T1923" s="141"/>
      <c r="U1923" s="141"/>
      <c r="V1923" s="141"/>
      <c r="W1923" s="141"/>
      <c r="X1923" s="141"/>
      <c r="Y1923" s="141"/>
      <c r="Z1923" s="141"/>
    </row>
    <row r="1924">
      <c r="A1924" s="141"/>
      <c r="B1924" s="141"/>
      <c r="C1924" s="141"/>
      <c r="D1924" s="141"/>
      <c r="E1924" s="141"/>
      <c r="F1924" s="141"/>
      <c r="G1924" s="141"/>
      <c r="H1924" s="141"/>
      <c r="I1924" s="141"/>
      <c r="J1924" s="141"/>
      <c r="K1924" s="141"/>
      <c r="L1924" s="141"/>
      <c r="M1924" s="141"/>
      <c r="N1924" s="141"/>
      <c r="O1924" s="141"/>
      <c r="P1924" s="141"/>
      <c r="Q1924" s="141"/>
      <c r="R1924" s="141"/>
      <c r="S1924" s="141"/>
      <c r="T1924" s="141"/>
      <c r="U1924" s="141"/>
      <c r="V1924" s="141"/>
      <c r="W1924" s="141"/>
      <c r="X1924" s="141"/>
      <c r="Y1924" s="141"/>
      <c r="Z1924" s="141"/>
    </row>
    <row r="1925">
      <c r="A1925" s="141"/>
      <c r="B1925" s="141"/>
      <c r="C1925" s="141"/>
      <c r="D1925" s="141"/>
      <c r="E1925" s="141"/>
      <c r="F1925" s="141"/>
      <c r="G1925" s="141"/>
      <c r="H1925" s="141"/>
      <c r="I1925" s="141"/>
      <c r="J1925" s="141"/>
      <c r="K1925" s="141"/>
      <c r="L1925" s="141"/>
      <c r="M1925" s="141"/>
      <c r="N1925" s="141"/>
      <c r="O1925" s="141"/>
      <c r="P1925" s="141"/>
      <c r="Q1925" s="141"/>
      <c r="R1925" s="141"/>
      <c r="S1925" s="141"/>
      <c r="T1925" s="141"/>
      <c r="U1925" s="141"/>
      <c r="V1925" s="141"/>
      <c r="W1925" s="141"/>
      <c r="X1925" s="141"/>
      <c r="Y1925" s="141"/>
      <c r="Z1925" s="141"/>
    </row>
    <row r="1926">
      <c r="A1926" s="141"/>
      <c r="B1926" s="141"/>
      <c r="C1926" s="141"/>
      <c r="D1926" s="141"/>
      <c r="E1926" s="141"/>
      <c r="F1926" s="141"/>
      <c r="G1926" s="141"/>
      <c r="H1926" s="141"/>
      <c r="I1926" s="141"/>
      <c r="J1926" s="141"/>
      <c r="K1926" s="141"/>
      <c r="L1926" s="141"/>
      <c r="M1926" s="141"/>
      <c r="N1926" s="141"/>
      <c r="O1926" s="141"/>
      <c r="P1926" s="141"/>
      <c r="Q1926" s="141"/>
      <c r="R1926" s="141"/>
      <c r="S1926" s="141"/>
      <c r="T1926" s="141"/>
      <c r="U1926" s="141"/>
      <c r="V1926" s="141"/>
      <c r="W1926" s="141"/>
      <c r="X1926" s="141"/>
      <c r="Y1926" s="141"/>
      <c r="Z1926" s="141"/>
    </row>
    <row r="1927">
      <c r="A1927" s="141"/>
      <c r="B1927" s="141"/>
      <c r="C1927" s="141"/>
      <c r="D1927" s="141"/>
      <c r="E1927" s="141"/>
      <c r="F1927" s="141"/>
      <c r="G1927" s="141"/>
      <c r="H1927" s="141"/>
      <c r="I1927" s="141"/>
      <c r="J1927" s="141"/>
      <c r="K1927" s="141"/>
      <c r="L1927" s="141"/>
      <c r="M1927" s="141"/>
      <c r="N1927" s="141"/>
      <c r="O1927" s="141"/>
      <c r="P1927" s="141"/>
      <c r="Q1927" s="141"/>
      <c r="R1927" s="141"/>
      <c r="S1927" s="141"/>
      <c r="T1927" s="141"/>
      <c r="U1927" s="141"/>
      <c r="V1927" s="141"/>
      <c r="W1927" s="141"/>
      <c r="X1927" s="141"/>
      <c r="Y1927" s="141"/>
      <c r="Z1927" s="141"/>
    </row>
    <row r="1928">
      <c r="A1928" s="141"/>
      <c r="B1928" s="141"/>
      <c r="C1928" s="141"/>
      <c r="D1928" s="141"/>
      <c r="E1928" s="141"/>
      <c r="F1928" s="141"/>
      <c r="G1928" s="141"/>
      <c r="H1928" s="141"/>
      <c r="I1928" s="141"/>
      <c r="J1928" s="141"/>
      <c r="K1928" s="141"/>
      <c r="L1928" s="141"/>
      <c r="M1928" s="141"/>
      <c r="N1928" s="141"/>
      <c r="O1928" s="141"/>
      <c r="P1928" s="141"/>
      <c r="Q1928" s="141"/>
      <c r="R1928" s="141"/>
      <c r="S1928" s="141"/>
      <c r="T1928" s="141"/>
      <c r="U1928" s="141"/>
      <c r="V1928" s="141"/>
      <c r="W1928" s="141"/>
      <c r="X1928" s="141"/>
      <c r="Y1928" s="141"/>
      <c r="Z1928" s="141"/>
    </row>
    <row r="1929">
      <c r="A1929" s="141"/>
      <c r="B1929" s="141"/>
      <c r="C1929" s="141"/>
      <c r="D1929" s="141"/>
      <c r="E1929" s="141"/>
      <c r="F1929" s="141"/>
      <c r="G1929" s="141"/>
      <c r="H1929" s="141"/>
      <c r="I1929" s="141"/>
      <c r="J1929" s="141"/>
      <c r="K1929" s="141"/>
      <c r="L1929" s="141"/>
      <c r="M1929" s="141"/>
      <c r="N1929" s="141"/>
      <c r="O1929" s="141"/>
      <c r="P1929" s="141"/>
      <c r="Q1929" s="141"/>
      <c r="R1929" s="141"/>
      <c r="S1929" s="141"/>
      <c r="T1929" s="141"/>
      <c r="U1929" s="141"/>
      <c r="V1929" s="141"/>
      <c r="W1929" s="141"/>
      <c r="X1929" s="141"/>
      <c r="Y1929" s="141"/>
      <c r="Z1929" s="141"/>
    </row>
    <row r="1930">
      <c r="A1930" s="141"/>
      <c r="B1930" s="141"/>
      <c r="C1930" s="141"/>
      <c r="D1930" s="141"/>
      <c r="E1930" s="141"/>
      <c r="F1930" s="141"/>
      <c r="G1930" s="141"/>
      <c r="H1930" s="141"/>
      <c r="I1930" s="141"/>
      <c r="J1930" s="141"/>
      <c r="K1930" s="141"/>
      <c r="L1930" s="141"/>
      <c r="M1930" s="141"/>
      <c r="N1930" s="141"/>
      <c r="O1930" s="141"/>
      <c r="P1930" s="141"/>
      <c r="Q1930" s="141"/>
      <c r="R1930" s="141"/>
      <c r="S1930" s="141"/>
      <c r="T1930" s="141"/>
      <c r="U1930" s="141"/>
      <c r="V1930" s="141"/>
      <c r="W1930" s="141"/>
      <c r="X1930" s="141"/>
      <c r="Y1930" s="141"/>
      <c r="Z1930" s="141"/>
    </row>
    <row r="1931">
      <c r="A1931" s="141"/>
      <c r="B1931" s="141"/>
      <c r="C1931" s="141"/>
      <c r="D1931" s="141"/>
      <c r="E1931" s="141"/>
      <c r="F1931" s="141"/>
      <c r="G1931" s="141"/>
      <c r="H1931" s="141"/>
      <c r="I1931" s="141"/>
      <c r="J1931" s="141"/>
      <c r="K1931" s="141"/>
      <c r="L1931" s="141"/>
      <c r="M1931" s="141"/>
      <c r="N1931" s="141"/>
      <c r="O1931" s="141"/>
      <c r="P1931" s="141"/>
      <c r="Q1931" s="141"/>
      <c r="R1931" s="141"/>
      <c r="S1931" s="141"/>
      <c r="T1931" s="141"/>
      <c r="U1931" s="141"/>
      <c r="V1931" s="141"/>
      <c r="W1931" s="141"/>
      <c r="X1931" s="141"/>
      <c r="Y1931" s="141"/>
      <c r="Z1931" s="141"/>
    </row>
    <row r="1932">
      <c r="A1932" s="141"/>
      <c r="B1932" s="141"/>
      <c r="C1932" s="141"/>
      <c r="D1932" s="141"/>
      <c r="E1932" s="141"/>
      <c r="F1932" s="141"/>
      <c r="G1932" s="141"/>
      <c r="H1932" s="141"/>
      <c r="I1932" s="141"/>
      <c r="J1932" s="141"/>
      <c r="K1932" s="141"/>
      <c r="L1932" s="141"/>
      <c r="M1932" s="141"/>
      <c r="N1932" s="141"/>
      <c r="O1932" s="141"/>
      <c r="P1932" s="141"/>
      <c r="Q1932" s="141"/>
      <c r="R1932" s="141"/>
      <c r="S1932" s="141"/>
      <c r="T1932" s="141"/>
      <c r="U1932" s="141"/>
      <c r="V1932" s="141"/>
      <c r="W1932" s="141"/>
      <c r="X1932" s="141"/>
      <c r="Y1932" s="141"/>
      <c r="Z1932" s="141"/>
    </row>
    <row r="1933">
      <c r="A1933" s="141"/>
      <c r="B1933" s="141"/>
      <c r="C1933" s="141"/>
      <c r="D1933" s="141"/>
      <c r="E1933" s="141"/>
      <c r="F1933" s="141"/>
      <c r="G1933" s="141"/>
      <c r="H1933" s="141"/>
      <c r="I1933" s="141"/>
      <c r="J1933" s="141"/>
      <c r="K1933" s="141"/>
      <c r="L1933" s="141"/>
      <c r="M1933" s="141"/>
      <c r="N1933" s="141"/>
      <c r="O1933" s="141"/>
      <c r="P1933" s="141"/>
      <c r="Q1933" s="141"/>
      <c r="R1933" s="141"/>
      <c r="S1933" s="141"/>
      <c r="T1933" s="141"/>
      <c r="U1933" s="141"/>
      <c r="V1933" s="141"/>
      <c r="W1933" s="141"/>
      <c r="X1933" s="141"/>
      <c r="Y1933" s="141"/>
      <c r="Z1933" s="141"/>
    </row>
    <row r="1934">
      <c r="A1934" s="141"/>
      <c r="B1934" s="141"/>
      <c r="C1934" s="141"/>
      <c r="D1934" s="141"/>
      <c r="E1934" s="141"/>
      <c r="F1934" s="141"/>
      <c r="G1934" s="141"/>
      <c r="H1934" s="141"/>
      <c r="I1934" s="141"/>
      <c r="J1934" s="141"/>
      <c r="K1934" s="141"/>
      <c r="L1934" s="141"/>
      <c r="M1934" s="141"/>
      <c r="N1934" s="141"/>
      <c r="O1934" s="141"/>
      <c r="P1934" s="141"/>
      <c r="Q1934" s="141"/>
      <c r="R1934" s="141"/>
      <c r="S1934" s="141"/>
      <c r="T1934" s="141"/>
      <c r="U1934" s="141"/>
      <c r="V1934" s="141"/>
      <c r="W1934" s="141"/>
      <c r="X1934" s="141"/>
      <c r="Y1934" s="141"/>
      <c r="Z1934" s="141"/>
    </row>
    <row r="1935">
      <c r="A1935" s="141"/>
      <c r="B1935" s="141"/>
      <c r="C1935" s="141"/>
      <c r="D1935" s="141"/>
      <c r="E1935" s="141"/>
      <c r="F1935" s="141"/>
      <c r="G1935" s="141"/>
      <c r="H1935" s="141"/>
      <c r="I1935" s="141"/>
      <c r="J1935" s="141"/>
      <c r="K1935" s="141"/>
      <c r="L1935" s="141"/>
      <c r="M1935" s="141"/>
      <c r="N1935" s="141"/>
      <c r="O1935" s="141"/>
      <c r="P1935" s="141"/>
      <c r="Q1935" s="141"/>
      <c r="R1935" s="141"/>
      <c r="S1935" s="141"/>
      <c r="T1935" s="141"/>
      <c r="U1935" s="141"/>
      <c r="V1935" s="141"/>
      <c r="W1935" s="141"/>
      <c r="X1935" s="141"/>
      <c r="Y1935" s="141"/>
      <c r="Z1935" s="141"/>
    </row>
    <row r="1936">
      <c r="A1936" s="141"/>
      <c r="B1936" s="141"/>
      <c r="C1936" s="141"/>
      <c r="D1936" s="141"/>
      <c r="E1936" s="141"/>
      <c r="F1936" s="141"/>
      <c r="G1936" s="141"/>
      <c r="H1936" s="141"/>
      <c r="I1936" s="141"/>
      <c r="J1936" s="141"/>
      <c r="K1936" s="141"/>
      <c r="L1936" s="141"/>
      <c r="M1936" s="141"/>
      <c r="N1936" s="141"/>
      <c r="O1936" s="141"/>
      <c r="P1936" s="141"/>
      <c r="Q1936" s="141"/>
      <c r="R1936" s="141"/>
      <c r="S1936" s="141"/>
      <c r="T1936" s="141"/>
      <c r="U1936" s="141"/>
      <c r="V1936" s="141"/>
      <c r="W1936" s="141"/>
      <c r="X1936" s="141"/>
      <c r="Y1936" s="141"/>
      <c r="Z1936" s="141"/>
    </row>
    <row r="1937">
      <c r="A1937" s="141"/>
      <c r="B1937" s="141"/>
      <c r="C1937" s="141"/>
      <c r="D1937" s="141"/>
      <c r="E1937" s="141"/>
      <c r="F1937" s="141"/>
      <c r="G1937" s="141"/>
      <c r="H1937" s="141"/>
      <c r="I1937" s="141"/>
      <c r="J1937" s="141"/>
      <c r="K1937" s="141"/>
      <c r="L1937" s="141"/>
      <c r="M1937" s="141"/>
      <c r="N1937" s="141"/>
      <c r="O1937" s="141"/>
      <c r="P1937" s="141"/>
      <c r="Q1937" s="141"/>
      <c r="R1937" s="141"/>
      <c r="S1937" s="141"/>
      <c r="T1937" s="141"/>
      <c r="U1937" s="141"/>
      <c r="V1937" s="141"/>
      <c r="W1937" s="141"/>
      <c r="X1937" s="141"/>
      <c r="Y1937" s="141"/>
      <c r="Z1937" s="141"/>
    </row>
    <row r="1938">
      <c r="A1938" s="141"/>
      <c r="B1938" s="141"/>
      <c r="C1938" s="141"/>
      <c r="D1938" s="141"/>
      <c r="E1938" s="141"/>
      <c r="F1938" s="141"/>
      <c r="G1938" s="141"/>
      <c r="H1938" s="141"/>
      <c r="I1938" s="141"/>
      <c r="J1938" s="141"/>
      <c r="K1938" s="141"/>
      <c r="L1938" s="141"/>
      <c r="M1938" s="141"/>
      <c r="N1938" s="141"/>
      <c r="O1938" s="141"/>
      <c r="P1938" s="141"/>
      <c r="Q1938" s="141"/>
      <c r="R1938" s="141"/>
      <c r="S1938" s="141"/>
      <c r="T1938" s="141"/>
      <c r="U1938" s="141"/>
      <c r="V1938" s="141"/>
      <c r="W1938" s="141"/>
      <c r="X1938" s="141"/>
      <c r="Y1938" s="141"/>
      <c r="Z1938" s="141"/>
    </row>
    <row r="1939">
      <c r="A1939" s="141"/>
      <c r="B1939" s="141"/>
      <c r="C1939" s="141"/>
      <c r="D1939" s="141"/>
      <c r="E1939" s="141"/>
      <c r="F1939" s="141"/>
      <c r="G1939" s="141"/>
      <c r="H1939" s="141"/>
      <c r="I1939" s="141"/>
      <c r="J1939" s="141"/>
      <c r="K1939" s="141"/>
      <c r="L1939" s="141"/>
      <c r="M1939" s="141"/>
      <c r="N1939" s="141"/>
      <c r="O1939" s="141"/>
      <c r="P1939" s="141"/>
      <c r="Q1939" s="141"/>
      <c r="R1939" s="141"/>
      <c r="S1939" s="141"/>
      <c r="T1939" s="141"/>
      <c r="U1939" s="141"/>
      <c r="V1939" s="141"/>
      <c r="W1939" s="141"/>
      <c r="X1939" s="141"/>
      <c r="Y1939" s="141"/>
      <c r="Z1939" s="141"/>
    </row>
    <row r="1940">
      <c r="A1940" s="141"/>
      <c r="B1940" s="141"/>
      <c r="C1940" s="141"/>
      <c r="D1940" s="141"/>
      <c r="E1940" s="141"/>
      <c r="F1940" s="141"/>
      <c r="G1940" s="141"/>
      <c r="H1940" s="141"/>
      <c r="I1940" s="141"/>
      <c r="J1940" s="141"/>
      <c r="K1940" s="141"/>
      <c r="L1940" s="141"/>
      <c r="M1940" s="141"/>
      <c r="N1940" s="141"/>
      <c r="O1940" s="141"/>
      <c r="P1940" s="141"/>
      <c r="Q1940" s="141"/>
      <c r="R1940" s="141"/>
      <c r="S1940" s="141"/>
      <c r="T1940" s="141"/>
      <c r="U1940" s="141"/>
      <c r="V1940" s="141"/>
      <c r="W1940" s="141"/>
      <c r="X1940" s="141"/>
      <c r="Y1940" s="141"/>
      <c r="Z1940" s="141"/>
    </row>
    <row r="1941">
      <c r="A1941" s="141"/>
      <c r="B1941" s="141"/>
      <c r="C1941" s="141"/>
      <c r="D1941" s="141"/>
      <c r="E1941" s="141"/>
      <c r="F1941" s="141"/>
      <c r="G1941" s="141"/>
      <c r="H1941" s="141"/>
      <c r="I1941" s="141"/>
      <c r="J1941" s="141"/>
      <c r="K1941" s="141"/>
      <c r="L1941" s="141"/>
      <c r="M1941" s="141"/>
      <c r="N1941" s="141"/>
      <c r="O1941" s="141"/>
      <c r="P1941" s="141"/>
      <c r="Q1941" s="141"/>
      <c r="R1941" s="141"/>
      <c r="S1941" s="141"/>
      <c r="T1941" s="141"/>
      <c r="U1941" s="141"/>
      <c r="V1941" s="141"/>
      <c r="W1941" s="141"/>
      <c r="X1941" s="141"/>
      <c r="Y1941" s="141"/>
      <c r="Z1941" s="141"/>
    </row>
    <row r="1942">
      <c r="A1942" s="141"/>
      <c r="B1942" s="141"/>
      <c r="C1942" s="141"/>
      <c r="D1942" s="141"/>
      <c r="E1942" s="141"/>
      <c r="F1942" s="141"/>
      <c r="G1942" s="141"/>
      <c r="H1942" s="141"/>
      <c r="I1942" s="141"/>
      <c r="J1942" s="141"/>
      <c r="K1942" s="141"/>
      <c r="L1942" s="141"/>
      <c r="M1942" s="141"/>
      <c r="N1942" s="141"/>
      <c r="O1942" s="141"/>
      <c r="P1942" s="141"/>
      <c r="Q1942" s="141"/>
      <c r="R1942" s="141"/>
      <c r="S1942" s="141"/>
      <c r="T1942" s="141"/>
      <c r="U1942" s="141"/>
      <c r="V1942" s="141"/>
      <c r="W1942" s="141"/>
      <c r="X1942" s="141"/>
      <c r="Y1942" s="141"/>
      <c r="Z1942" s="141"/>
    </row>
    <row r="1943">
      <c r="A1943" s="141"/>
      <c r="B1943" s="141"/>
      <c r="C1943" s="141"/>
      <c r="D1943" s="141"/>
      <c r="E1943" s="141"/>
      <c r="F1943" s="141"/>
      <c r="G1943" s="141"/>
      <c r="H1943" s="141"/>
      <c r="I1943" s="141"/>
      <c r="J1943" s="141"/>
      <c r="K1943" s="141"/>
      <c r="L1943" s="141"/>
      <c r="M1943" s="141"/>
      <c r="N1943" s="141"/>
      <c r="O1943" s="141"/>
      <c r="P1943" s="141"/>
      <c r="Q1943" s="141"/>
      <c r="R1943" s="141"/>
      <c r="S1943" s="141"/>
      <c r="T1943" s="141"/>
      <c r="U1943" s="141"/>
      <c r="V1943" s="141"/>
      <c r="W1943" s="141"/>
      <c r="X1943" s="141"/>
      <c r="Y1943" s="141"/>
      <c r="Z1943" s="141"/>
    </row>
    <row r="1944">
      <c r="A1944" s="141"/>
      <c r="B1944" s="141"/>
      <c r="C1944" s="141"/>
      <c r="D1944" s="141"/>
      <c r="E1944" s="141"/>
      <c r="F1944" s="141"/>
      <c r="G1944" s="141"/>
      <c r="H1944" s="141"/>
      <c r="I1944" s="141"/>
      <c r="J1944" s="141"/>
      <c r="K1944" s="141"/>
      <c r="L1944" s="141"/>
      <c r="M1944" s="141"/>
      <c r="N1944" s="141"/>
      <c r="O1944" s="141"/>
      <c r="P1944" s="141"/>
      <c r="Q1944" s="141"/>
      <c r="R1944" s="141"/>
      <c r="S1944" s="141"/>
      <c r="T1944" s="141"/>
      <c r="U1944" s="141"/>
      <c r="V1944" s="141"/>
      <c r="W1944" s="141"/>
      <c r="X1944" s="141"/>
      <c r="Y1944" s="141"/>
      <c r="Z1944" s="141"/>
    </row>
    <row r="1945">
      <c r="A1945" s="141"/>
      <c r="B1945" s="141"/>
      <c r="C1945" s="141"/>
      <c r="D1945" s="141"/>
      <c r="E1945" s="141"/>
      <c r="F1945" s="141"/>
      <c r="G1945" s="141"/>
      <c r="H1945" s="141"/>
      <c r="I1945" s="141"/>
      <c r="J1945" s="141"/>
      <c r="K1945" s="141"/>
      <c r="L1945" s="141"/>
      <c r="M1945" s="141"/>
      <c r="N1945" s="141"/>
      <c r="O1945" s="141"/>
      <c r="P1945" s="141"/>
      <c r="Q1945" s="141"/>
      <c r="R1945" s="141"/>
      <c r="S1945" s="141"/>
      <c r="T1945" s="141"/>
      <c r="U1945" s="141"/>
      <c r="V1945" s="141"/>
      <c r="W1945" s="141"/>
      <c r="X1945" s="141"/>
      <c r="Y1945" s="141"/>
      <c r="Z1945" s="141"/>
    </row>
    <row r="1946">
      <c r="A1946" s="141"/>
      <c r="B1946" s="141"/>
      <c r="C1946" s="141"/>
      <c r="D1946" s="141"/>
      <c r="E1946" s="141"/>
      <c r="F1946" s="141"/>
      <c r="G1946" s="141"/>
      <c r="H1946" s="141"/>
      <c r="I1946" s="141"/>
      <c r="J1946" s="141"/>
      <c r="K1946" s="141"/>
      <c r="L1946" s="141"/>
      <c r="M1946" s="141"/>
      <c r="N1946" s="141"/>
      <c r="O1946" s="141"/>
      <c r="P1946" s="141"/>
      <c r="Q1946" s="141"/>
      <c r="R1946" s="141"/>
      <c r="S1946" s="141"/>
      <c r="T1946" s="141"/>
      <c r="U1946" s="141"/>
      <c r="V1946" s="141"/>
      <c r="W1946" s="141"/>
      <c r="X1946" s="141"/>
      <c r="Y1946" s="141"/>
      <c r="Z1946" s="141"/>
    </row>
    <row r="1947">
      <c r="A1947" s="141"/>
      <c r="B1947" s="141"/>
      <c r="C1947" s="141"/>
      <c r="D1947" s="141"/>
      <c r="E1947" s="141"/>
      <c r="F1947" s="141"/>
      <c r="G1947" s="141"/>
      <c r="H1947" s="141"/>
      <c r="I1947" s="141"/>
      <c r="J1947" s="141"/>
      <c r="K1947" s="141"/>
      <c r="L1947" s="141"/>
      <c r="M1947" s="141"/>
      <c r="N1947" s="141"/>
      <c r="O1947" s="141"/>
      <c r="P1947" s="141"/>
      <c r="Q1947" s="141"/>
      <c r="R1947" s="141"/>
      <c r="S1947" s="141"/>
      <c r="T1947" s="141"/>
      <c r="U1947" s="141"/>
      <c r="V1947" s="141"/>
      <c r="W1947" s="141"/>
      <c r="X1947" s="141"/>
      <c r="Y1947" s="141"/>
      <c r="Z1947" s="141"/>
    </row>
    <row r="1948">
      <c r="A1948" s="141"/>
      <c r="B1948" s="141"/>
      <c r="C1948" s="141"/>
      <c r="D1948" s="141"/>
      <c r="E1948" s="141"/>
      <c r="F1948" s="141"/>
      <c r="G1948" s="141"/>
      <c r="H1948" s="141"/>
      <c r="I1948" s="141"/>
      <c r="J1948" s="141"/>
      <c r="K1948" s="141"/>
      <c r="L1948" s="141"/>
      <c r="M1948" s="141"/>
      <c r="N1948" s="141"/>
      <c r="O1948" s="141"/>
      <c r="P1948" s="141"/>
      <c r="Q1948" s="141"/>
      <c r="R1948" s="141"/>
      <c r="S1948" s="141"/>
      <c r="T1948" s="141"/>
      <c r="U1948" s="141"/>
      <c r="V1948" s="141"/>
      <c r="W1948" s="141"/>
      <c r="X1948" s="141"/>
      <c r="Y1948" s="141"/>
      <c r="Z1948" s="141"/>
    </row>
    <row r="1949">
      <c r="A1949" s="141"/>
      <c r="B1949" s="141"/>
      <c r="C1949" s="141"/>
      <c r="D1949" s="141"/>
      <c r="E1949" s="141"/>
      <c r="F1949" s="141"/>
      <c r="G1949" s="141"/>
      <c r="H1949" s="141"/>
      <c r="I1949" s="141"/>
      <c r="J1949" s="141"/>
      <c r="K1949" s="141"/>
      <c r="L1949" s="141"/>
      <c r="M1949" s="141"/>
      <c r="N1949" s="141"/>
      <c r="O1949" s="141"/>
      <c r="P1949" s="141"/>
      <c r="Q1949" s="141"/>
      <c r="R1949" s="141"/>
      <c r="S1949" s="141"/>
      <c r="T1949" s="141"/>
      <c r="U1949" s="141"/>
      <c r="V1949" s="141"/>
      <c r="W1949" s="141"/>
      <c r="X1949" s="141"/>
      <c r="Y1949" s="141"/>
      <c r="Z1949" s="141"/>
    </row>
    <row r="1950">
      <c r="A1950" s="141"/>
      <c r="B1950" s="141"/>
      <c r="C1950" s="141"/>
      <c r="D1950" s="141"/>
      <c r="E1950" s="141"/>
      <c r="F1950" s="141"/>
      <c r="G1950" s="141"/>
      <c r="H1950" s="141"/>
      <c r="I1950" s="141"/>
      <c r="J1950" s="141"/>
      <c r="K1950" s="141"/>
      <c r="L1950" s="141"/>
      <c r="M1950" s="141"/>
      <c r="N1950" s="141"/>
      <c r="O1950" s="141"/>
      <c r="P1950" s="141"/>
      <c r="Q1950" s="141"/>
      <c r="R1950" s="141"/>
      <c r="S1950" s="141"/>
      <c r="T1950" s="141"/>
      <c r="U1950" s="141"/>
      <c r="V1950" s="141"/>
      <c r="W1950" s="141"/>
      <c r="X1950" s="141"/>
      <c r="Y1950" s="141"/>
      <c r="Z1950" s="141"/>
    </row>
    <row r="1951">
      <c r="A1951" s="141"/>
      <c r="B1951" s="141"/>
      <c r="C1951" s="141"/>
      <c r="D1951" s="141"/>
      <c r="E1951" s="141"/>
      <c r="F1951" s="141"/>
      <c r="G1951" s="141"/>
      <c r="H1951" s="141"/>
      <c r="I1951" s="141"/>
      <c r="J1951" s="141"/>
      <c r="K1951" s="141"/>
      <c r="L1951" s="141"/>
      <c r="M1951" s="141"/>
      <c r="N1951" s="141"/>
      <c r="O1951" s="141"/>
      <c r="P1951" s="141"/>
      <c r="Q1951" s="141"/>
      <c r="R1951" s="141"/>
      <c r="S1951" s="141"/>
      <c r="T1951" s="141"/>
      <c r="U1951" s="141"/>
      <c r="V1951" s="141"/>
      <c r="W1951" s="141"/>
      <c r="X1951" s="141"/>
      <c r="Y1951" s="141"/>
      <c r="Z1951" s="141"/>
    </row>
    <row r="1952">
      <c r="A1952" s="141"/>
      <c r="B1952" s="141"/>
      <c r="C1952" s="141"/>
      <c r="D1952" s="141"/>
      <c r="E1952" s="141"/>
      <c r="F1952" s="141"/>
      <c r="G1952" s="141"/>
      <c r="H1952" s="141"/>
      <c r="I1952" s="141"/>
      <c r="J1952" s="141"/>
      <c r="K1952" s="141"/>
      <c r="L1952" s="141"/>
      <c r="M1952" s="141"/>
      <c r="N1952" s="141"/>
      <c r="O1952" s="141"/>
      <c r="P1952" s="141"/>
      <c r="Q1952" s="141"/>
      <c r="R1952" s="141"/>
      <c r="S1952" s="141"/>
      <c r="T1952" s="141"/>
      <c r="U1952" s="141"/>
      <c r="V1952" s="141"/>
      <c r="W1952" s="141"/>
      <c r="X1952" s="141"/>
      <c r="Y1952" s="141"/>
      <c r="Z1952" s="141"/>
    </row>
    <row r="1953">
      <c r="A1953" s="141"/>
      <c r="B1953" s="141"/>
      <c r="C1953" s="141"/>
      <c r="D1953" s="141"/>
      <c r="E1953" s="141"/>
      <c r="F1953" s="141"/>
      <c r="G1953" s="141"/>
      <c r="H1953" s="141"/>
      <c r="I1953" s="141"/>
      <c r="J1953" s="141"/>
      <c r="K1953" s="141"/>
      <c r="L1953" s="141"/>
      <c r="M1953" s="141"/>
      <c r="N1953" s="141"/>
      <c r="O1953" s="141"/>
      <c r="P1953" s="141"/>
      <c r="Q1953" s="141"/>
      <c r="R1953" s="141"/>
      <c r="S1953" s="141"/>
      <c r="T1953" s="141"/>
      <c r="U1953" s="141"/>
      <c r="V1953" s="141"/>
      <c r="W1953" s="141"/>
      <c r="X1953" s="141"/>
      <c r="Y1953" s="141"/>
      <c r="Z1953" s="141"/>
    </row>
    <row r="1954">
      <c r="A1954" s="141"/>
      <c r="B1954" s="141"/>
      <c r="C1954" s="141"/>
      <c r="D1954" s="141"/>
      <c r="E1954" s="141"/>
      <c r="F1954" s="141"/>
      <c r="G1954" s="141"/>
      <c r="H1954" s="141"/>
      <c r="I1954" s="141"/>
      <c r="J1954" s="141"/>
      <c r="K1954" s="141"/>
      <c r="L1954" s="141"/>
      <c r="M1954" s="141"/>
      <c r="N1954" s="141"/>
      <c r="O1954" s="141"/>
      <c r="P1954" s="141"/>
      <c r="Q1954" s="141"/>
      <c r="R1954" s="141"/>
      <c r="S1954" s="141"/>
      <c r="T1954" s="141"/>
      <c r="U1954" s="141"/>
      <c r="V1954" s="141"/>
      <c r="W1954" s="141"/>
      <c r="X1954" s="141"/>
      <c r="Y1954" s="141"/>
      <c r="Z1954" s="141"/>
    </row>
    <row r="1955">
      <c r="A1955" s="141"/>
      <c r="B1955" s="141"/>
      <c r="C1955" s="141"/>
      <c r="D1955" s="141"/>
      <c r="E1955" s="141"/>
      <c r="F1955" s="141"/>
      <c r="G1955" s="141"/>
      <c r="H1955" s="141"/>
      <c r="I1955" s="141"/>
      <c r="J1955" s="141"/>
      <c r="K1955" s="141"/>
      <c r="L1955" s="141"/>
      <c r="M1955" s="141"/>
      <c r="N1955" s="141"/>
      <c r="O1955" s="141"/>
      <c r="P1955" s="141"/>
      <c r="Q1955" s="141"/>
      <c r="R1955" s="141"/>
      <c r="S1955" s="141"/>
      <c r="T1955" s="141"/>
      <c r="U1955" s="141"/>
      <c r="V1955" s="141"/>
      <c r="W1955" s="141"/>
      <c r="X1955" s="141"/>
      <c r="Y1955" s="141"/>
      <c r="Z1955" s="141"/>
    </row>
    <row r="1956">
      <c r="A1956" s="141"/>
      <c r="B1956" s="141"/>
      <c r="C1956" s="141"/>
      <c r="D1956" s="141"/>
      <c r="E1956" s="141"/>
      <c r="F1956" s="141"/>
      <c r="G1956" s="141"/>
      <c r="H1956" s="141"/>
      <c r="I1956" s="141"/>
      <c r="J1956" s="141"/>
      <c r="K1956" s="141"/>
      <c r="L1956" s="141"/>
      <c r="M1956" s="141"/>
      <c r="N1956" s="141"/>
      <c r="O1956" s="141"/>
      <c r="P1956" s="141"/>
      <c r="Q1956" s="141"/>
      <c r="R1956" s="141"/>
      <c r="S1956" s="141"/>
      <c r="T1956" s="141"/>
      <c r="U1956" s="141"/>
      <c r="V1956" s="141"/>
      <c r="W1956" s="141"/>
      <c r="X1956" s="141"/>
      <c r="Y1956" s="141"/>
      <c r="Z1956" s="141"/>
    </row>
    <row r="1957">
      <c r="A1957" s="141"/>
      <c r="B1957" s="141"/>
      <c r="C1957" s="141"/>
      <c r="D1957" s="141"/>
      <c r="E1957" s="141"/>
      <c r="F1957" s="141"/>
      <c r="G1957" s="141"/>
      <c r="H1957" s="141"/>
      <c r="I1957" s="141"/>
      <c r="J1957" s="141"/>
      <c r="K1957" s="141"/>
      <c r="L1957" s="141"/>
      <c r="M1957" s="141"/>
      <c r="N1957" s="141"/>
      <c r="O1957" s="141"/>
      <c r="P1957" s="141"/>
      <c r="Q1957" s="141"/>
      <c r="R1957" s="141"/>
      <c r="S1957" s="141"/>
      <c r="T1957" s="141"/>
      <c r="U1957" s="141"/>
      <c r="V1957" s="141"/>
      <c r="W1957" s="141"/>
      <c r="X1957" s="141"/>
      <c r="Y1957" s="141"/>
      <c r="Z1957" s="141"/>
    </row>
    <row r="1958">
      <c r="A1958" s="141"/>
      <c r="B1958" s="141"/>
      <c r="C1958" s="141"/>
      <c r="D1958" s="141"/>
      <c r="E1958" s="141"/>
      <c r="F1958" s="141"/>
      <c r="G1958" s="141"/>
      <c r="H1958" s="141"/>
      <c r="I1958" s="141"/>
      <c r="J1958" s="141"/>
      <c r="K1958" s="141"/>
      <c r="L1958" s="141"/>
      <c r="M1958" s="141"/>
      <c r="N1958" s="141"/>
      <c r="O1958" s="141"/>
      <c r="P1958" s="141"/>
      <c r="Q1958" s="141"/>
      <c r="R1958" s="141"/>
      <c r="S1958" s="141"/>
      <c r="T1958" s="141"/>
      <c r="U1958" s="141"/>
      <c r="V1958" s="141"/>
      <c r="W1958" s="141"/>
      <c r="X1958" s="141"/>
      <c r="Y1958" s="141"/>
      <c r="Z1958" s="141"/>
    </row>
    <row r="1959">
      <c r="A1959" s="141"/>
      <c r="B1959" s="141"/>
      <c r="C1959" s="141"/>
      <c r="D1959" s="141"/>
      <c r="E1959" s="141"/>
      <c r="F1959" s="141"/>
      <c r="G1959" s="141"/>
      <c r="H1959" s="141"/>
      <c r="I1959" s="141"/>
      <c r="J1959" s="141"/>
      <c r="K1959" s="141"/>
      <c r="L1959" s="141"/>
      <c r="M1959" s="141"/>
      <c r="N1959" s="141"/>
      <c r="O1959" s="141"/>
      <c r="P1959" s="141"/>
      <c r="Q1959" s="141"/>
      <c r="R1959" s="141"/>
      <c r="S1959" s="141"/>
      <c r="T1959" s="141"/>
      <c r="U1959" s="141"/>
      <c r="V1959" s="141"/>
      <c r="W1959" s="141"/>
      <c r="X1959" s="141"/>
      <c r="Y1959" s="141"/>
      <c r="Z1959" s="141"/>
    </row>
    <row r="1960">
      <c r="A1960" s="141"/>
      <c r="B1960" s="141"/>
      <c r="C1960" s="141"/>
      <c r="D1960" s="141"/>
      <c r="E1960" s="141"/>
      <c r="F1960" s="141"/>
      <c r="G1960" s="141"/>
      <c r="H1960" s="141"/>
      <c r="I1960" s="141"/>
      <c r="J1960" s="141"/>
      <c r="K1960" s="141"/>
      <c r="L1960" s="141"/>
      <c r="M1960" s="141"/>
      <c r="N1960" s="141"/>
      <c r="O1960" s="141"/>
      <c r="P1960" s="141"/>
      <c r="Q1960" s="141"/>
      <c r="R1960" s="141"/>
      <c r="S1960" s="141"/>
      <c r="T1960" s="141"/>
      <c r="U1960" s="141"/>
      <c r="V1960" s="141"/>
      <c r="W1960" s="141"/>
      <c r="X1960" s="141"/>
      <c r="Y1960" s="141"/>
      <c r="Z1960" s="141"/>
    </row>
    <row r="1961">
      <c r="A1961" s="141"/>
      <c r="B1961" s="141"/>
      <c r="C1961" s="141"/>
      <c r="D1961" s="141"/>
      <c r="E1961" s="141"/>
      <c r="F1961" s="141"/>
      <c r="G1961" s="141"/>
      <c r="H1961" s="141"/>
      <c r="I1961" s="141"/>
      <c r="J1961" s="141"/>
      <c r="K1961" s="141"/>
      <c r="L1961" s="141"/>
      <c r="M1961" s="141"/>
      <c r="N1961" s="141"/>
      <c r="O1961" s="141"/>
      <c r="P1961" s="141"/>
      <c r="Q1961" s="141"/>
      <c r="R1961" s="141"/>
      <c r="S1961" s="141"/>
      <c r="T1961" s="141"/>
      <c r="U1961" s="141"/>
      <c r="V1961" s="141"/>
      <c r="W1961" s="141"/>
      <c r="X1961" s="141"/>
      <c r="Y1961" s="141"/>
      <c r="Z1961" s="141"/>
    </row>
    <row r="1962">
      <c r="A1962" s="141"/>
      <c r="B1962" s="141"/>
      <c r="C1962" s="141"/>
      <c r="D1962" s="141"/>
      <c r="E1962" s="141"/>
      <c r="F1962" s="141"/>
      <c r="G1962" s="141"/>
      <c r="H1962" s="141"/>
      <c r="I1962" s="141"/>
      <c r="J1962" s="141"/>
      <c r="K1962" s="141"/>
      <c r="L1962" s="141"/>
      <c r="M1962" s="141"/>
      <c r="N1962" s="141"/>
      <c r="O1962" s="141"/>
      <c r="P1962" s="141"/>
      <c r="Q1962" s="141"/>
      <c r="R1962" s="141"/>
      <c r="S1962" s="141"/>
      <c r="T1962" s="141"/>
      <c r="U1962" s="141"/>
      <c r="V1962" s="141"/>
      <c r="W1962" s="141"/>
      <c r="X1962" s="141"/>
      <c r="Y1962" s="141"/>
      <c r="Z1962" s="141"/>
    </row>
    <row r="1963">
      <c r="A1963" s="141"/>
      <c r="B1963" s="141"/>
      <c r="C1963" s="141"/>
      <c r="D1963" s="141"/>
      <c r="E1963" s="141"/>
      <c r="F1963" s="141"/>
      <c r="G1963" s="141"/>
      <c r="H1963" s="141"/>
      <c r="I1963" s="141"/>
      <c r="J1963" s="141"/>
      <c r="K1963" s="141"/>
      <c r="L1963" s="141"/>
      <c r="M1963" s="141"/>
      <c r="N1963" s="141"/>
      <c r="O1963" s="141"/>
      <c r="P1963" s="141"/>
      <c r="Q1963" s="141"/>
      <c r="R1963" s="141"/>
      <c r="S1963" s="141"/>
      <c r="T1963" s="141"/>
      <c r="U1963" s="141"/>
      <c r="V1963" s="141"/>
      <c r="W1963" s="141"/>
      <c r="X1963" s="141"/>
      <c r="Y1963" s="141"/>
      <c r="Z1963" s="141"/>
    </row>
    <row r="1964">
      <c r="A1964" s="141"/>
      <c r="B1964" s="141"/>
      <c r="C1964" s="141"/>
      <c r="D1964" s="141"/>
      <c r="E1964" s="141"/>
      <c r="F1964" s="141"/>
      <c r="G1964" s="141"/>
      <c r="H1964" s="141"/>
      <c r="I1964" s="141"/>
      <c r="J1964" s="141"/>
      <c r="K1964" s="141"/>
      <c r="L1964" s="141"/>
      <c r="M1964" s="141"/>
      <c r="N1964" s="141"/>
      <c r="O1964" s="141"/>
      <c r="P1964" s="141"/>
      <c r="Q1964" s="141"/>
      <c r="R1964" s="141"/>
      <c r="S1964" s="141"/>
      <c r="T1964" s="141"/>
      <c r="U1964" s="141"/>
      <c r="V1964" s="141"/>
      <c r="W1964" s="141"/>
      <c r="X1964" s="141"/>
      <c r="Y1964" s="141"/>
      <c r="Z1964" s="141"/>
    </row>
    <row r="1965">
      <c r="A1965" s="141"/>
      <c r="B1965" s="141"/>
      <c r="C1965" s="141"/>
      <c r="D1965" s="141"/>
      <c r="E1965" s="141"/>
      <c r="F1965" s="141"/>
      <c r="G1965" s="141"/>
      <c r="H1965" s="141"/>
      <c r="I1965" s="141"/>
      <c r="J1965" s="141"/>
      <c r="K1965" s="141"/>
      <c r="L1965" s="141"/>
      <c r="M1965" s="141"/>
      <c r="N1965" s="141"/>
      <c r="O1965" s="141"/>
      <c r="P1965" s="141"/>
      <c r="Q1965" s="141"/>
      <c r="R1965" s="141"/>
      <c r="S1965" s="141"/>
      <c r="T1965" s="141"/>
      <c r="U1965" s="141"/>
      <c r="V1965" s="141"/>
      <c r="W1965" s="141"/>
      <c r="X1965" s="141"/>
      <c r="Y1965" s="141"/>
      <c r="Z1965" s="141"/>
    </row>
    <row r="1966">
      <c r="A1966" s="141"/>
      <c r="B1966" s="141"/>
      <c r="C1966" s="141"/>
      <c r="D1966" s="141"/>
      <c r="E1966" s="141"/>
      <c r="F1966" s="141"/>
      <c r="G1966" s="141"/>
      <c r="H1966" s="141"/>
      <c r="I1966" s="141"/>
      <c r="J1966" s="141"/>
      <c r="K1966" s="141"/>
      <c r="L1966" s="141"/>
      <c r="M1966" s="141"/>
      <c r="N1966" s="141"/>
      <c r="O1966" s="141"/>
      <c r="P1966" s="141"/>
      <c r="Q1966" s="141"/>
      <c r="R1966" s="141"/>
      <c r="S1966" s="141"/>
      <c r="T1966" s="141"/>
      <c r="U1966" s="141"/>
      <c r="V1966" s="141"/>
      <c r="W1966" s="141"/>
      <c r="X1966" s="141"/>
      <c r="Y1966" s="141"/>
      <c r="Z1966" s="141"/>
    </row>
    <row r="1967">
      <c r="A1967" s="141"/>
      <c r="B1967" s="141"/>
      <c r="C1967" s="141"/>
      <c r="D1967" s="141"/>
      <c r="E1967" s="141"/>
      <c r="F1967" s="141"/>
      <c r="G1967" s="141"/>
      <c r="H1967" s="141"/>
      <c r="I1967" s="141"/>
      <c r="J1967" s="141"/>
      <c r="K1967" s="141"/>
      <c r="L1967" s="141"/>
      <c r="M1967" s="141"/>
      <c r="N1967" s="141"/>
      <c r="O1967" s="141"/>
      <c r="P1967" s="141"/>
      <c r="Q1967" s="141"/>
      <c r="R1967" s="141"/>
      <c r="S1967" s="141"/>
      <c r="T1967" s="141"/>
      <c r="U1967" s="141"/>
      <c r="V1967" s="141"/>
      <c r="W1967" s="141"/>
      <c r="X1967" s="141"/>
      <c r="Y1967" s="141"/>
      <c r="Z1967" s="141"/>
    </row>
    <row r="1968">
      <c r="A1968" s="141"/>
      <c r="B1968" s="141"/>
      <c r="C1968" s="141"/>
      <c r="D1968" s="141"/>
      <c r="E1968" s="141"/>
      <c r="F1968" s="141"/>
      <c r="G1968" s="141"/>
      <c r="H1968" s="141"/>
      <c r="I1968" s="141"/>
      <c r="J1968" s="141"/>
      <c r="K1968" s="141"/>
      <c r="L1968" s="141"/>
      <c r="M1968" s="141"/>
      <c r="N1968" s="141"/>
      <c r="O1968" s="141"/>
      <c r="P1968" s="141"/>
      <c r="Q1968" s="141"/>
      <c r="R1968" s="141"/>
      <c r="S1968" s="141"/>
      <c r="T1968" s="141"/>
      <c r="U1968" s="141"/>
      <c r="V1968" s="141"/>
      <c r="W1968" s="141"/>
      <c r="X1968" s="141"/>
      <c r="Y1968" s="141"/>
      <c r="Z1968" s="141"/>
    </row>
    <row r="1969">
      <c r="A1969" s="141"/>
      <c r="B1969" s="141"/>
      <c r="C1969" s="141"/>
      <c r="D1969" s="141"/>
      <c r="E1969" s="141"/>
      <c r="F1969" s="141"/>
      <c r="G1969" s="141"/>
      <c r="H1969" s="141"/>
      <c r="I1969" s="141"/>
      <c r="J1969" s="141"/>
      <c r="K1969" s="141"/>
      <c r="L1969" s="141"/>
      <c r="M1969" s="141"/>
      <c r="N1969" s="141"/>
      <c r="O1969" s="141"/>
      <c r="P1969" s="141"/>
      <c r="Q1969" s="141"/>
      <c r="R1969" s="141"/>
      <c r="S1969" s="141"/>
      <c r="T1969" s="141"/>
      <c r="U1969" s="141"/>
      <c r="V1969" s="141"/>
      <c r="W1969" s="141"/>
      <c r="X1969" s="141"/>
      <c r="Y1969" s="141"/>
      <c r="Z1969" s="141"/>
    </row>
    <row r="1970">
      <c r="A1970" s="141"/>
      <c r="B1970" s="141"/>
      <c r="C1970" s="141"/>
      <c r="D1970" s="141"/>
      <c r="E1970" s="141"/>
      <c r="F1970" s="141"/>
      <c r="G1970" s="141"/>
      <c r="H1970" s="141"/>
      <c r="I1970" s="141"/>
      <c r="J1970" s="141"/>
      <c r="K1970" s="141"/>
      <c r="L1970" s="141"/>
      <c r="M1970" s="141"/>
      <c r="N1970" s="141"/>
      <c r="O1970" s="141"/>
      <c r="P1970" s="141"/>
      <c r="Q1970" s="141"/>
      <c r="R1970" s="141"/>
      <c r="S1970" s="141"/>
      <c r="T1970" s="141"/>
      <c r="U1970" s="141"/>
      <c r="V1970" s="141"/>
      <c r="W1970" s="141"/>
      <c r="X1970" s="141"/>
      <c r="Y1970" s="141"/>
      <c r="Z1970" s="141"/>
    </row>
    <row r="1971">
      <c r="A1971" s="141"/>
      <c r="B1971" s="141"/>
      <c r="C1971" s="141"/>
      <c r="D1971" s="141"/>
      <c r="E1971" s="141"/>
      <c r="F1971" s="141"/>
      <c r="G1971" s="141"/>
      <c r="H1971" s="141"/>
      <c r="I1971" s="141"/>
      <c r="J1971" s="141"/>
      <c r="K1971" s="141"/>
      <c r="L1971" s="141"/>
      <c r="M1971" s="141"/>
      <c r="N1971" s="141"/>
      <c r="O1971" s="141"/>
      <c r="P1971" s="141"/>
      <c r="Q1971" s="141"/>
      <c r="R1971" s="141"/>
      <c r="S1971" s="141"/>
      <c r="T1971" s="141"/>
      <c r="U1971" s="141"/>
      <c r="V1971" s="141"/>
      <c r="W1971" s="141"/>
      <c r="X1971" s="141"/>
      <c r="Y1971" s="141"/>
      <c r="Z1971" s="141"/>
    </row>
    <row r="1972">
      <c r="A1972" s="141"/>
      <c r="B1972" s="141"/>
      <c r="C1972" s="141"/>
      <c r="D1972" s="141"/>
      <c r="E1972" s="141"/>
      <c r="F1972" s="141"/>
      <c r="G1972" s="141"/>
      <c r="H1972" s="141"/>
      <c r="I1972" s="141"/>
      <c r="J1972" s="141"/>
      <c r="K1972" s="141"/>
      <c r="L1972" s="141"/>
      <c r="M1972" s="141"/>
      <c r="N1972" s="141"/>
      <c r="O1972" s="141"/>
      <c r="P1972" s="141"/>
      <c r="Q1972" s="141"/>
      <c r="R1972" s="141"/>
      <c r="S1972" s="141"/>
      <c r="T1972" s="141"/>
      <c r="U1972" s="141"/>
      <c r="V1972" s="141"/>
      <c r="W1972" s="141"/>
      <c r="X1972" s="141"/>
      <c r="Y1972" s="141"/>
      <c r="Z1972" s="141"/>
    </row>
    <row r="1973">
      <c r="A1973" s="141"/>
      <c r="B1973" s="141"/>
      <c r="C1973" s="141"/>
      <c r="D1973" s="141"/>
      <c r="E1973" s="141"/>
      <c r="F1973" s="141"/>
      <c r="G1973" s="141"/>
      <c r="H1973" s="141"/>
      <c r="I1973" s="141"/>
      <c r="J1973" s="141"/>
      <c r="K1973" s="141"/>
      <c r="L1973" s="141"/>
      <c r="M1973" s="141"/>
      <c r="N1973" s="141"/>
      <c r="O1973" s="141"/>
      <c r="P1973" s="141"/>
      <c r="Q1973" s="141"/>
      <c r="R1973" s="141"/>
      <c r="S1973" s="141"/>
      <c r="T1973" s="141"/>
      <c r="U1973" s="141"/>
      <c r="V1973" s="141"/>
      <c r="W1973" s="141"/>
      <c r="X1973" s="141"/>
      <c r="Y1973" s="141"/>
      <c r="Z1973" s="141"/>
    </row>
    <row r="1974">
      <c r="A1974" s="141"/>
      <c r="B1974" s="141"/>
      <c r="C1974" s="141"/>
      <c r="D1974" s="141"/>
      <c r="E1974" s="141"/>
      <c r="F1974" s="141"/>
      <c r="G1974" s="141"/>
      <c r="H1974" s="141"/>
      <c r="I1974" s="141"/>
      <c r="J1974" s="141"/>
      <c r="K1974" s="141"/>
      <c r="L1974" s="141"/>
      <c r="M1974" s="141"/>
      <c r="N1974" s="141"/>
      <c r="O1974" s="141"/>
      <c r="P1974" s="141"/>
      <c r="Q1974" s="141"/>
      <c r="R1974" s="141"/>
      <c r="S1974" s="141"/>
      <c r="T1974" s="141"/>
      <c r="U1974" s="141"/>
      <c r="V1974" s="141"/>
      <c r="W1974" s="141"/>
      <c r="X1974" s="141"/>
      <c r="Y1974" s="141"/>
      <c r="Z1974" s="141"/>
    </row>
    <row r="1975">
      <c r="A1975" s="141"/>
      <c r="B1975" s="141"/>
      <c r="C1975" s="141"/>
      <c r="D1975" s="141"/>
      <c r="E1975" s="141"/>
      <c r="F1975" s="141"/>
      <c r="G1975" s="141"/>
      <c r="H1975" s="141"/>
      <c r="I1975" s="141"/>
      <c r="J1975" s="141"/>
      <c r="K1975" s="141"/>
      <c r="L1975" s="141"/>
      <c r="M1975" s="141"/>
      <c r="N1975" s="141"/>
      <c r="O1975" s="141"/>
      <c r="P1975" s="141"/>
      <c r="Q1975" s="141"/>
      <c r="R1975" s="141"/>
      <c r="S1975" s="141"/>
      <c r="T1975" s="141"/>
      <c r="U1975" s="141"/>
      <c r="V1975" s="141"/>
      <c r="W1975" s="141"/>
      <c r="X1975" s="141"/>
      <c r="Y1975" s="141"/>
      <c r="Z1975" s="141"/>
    </row>
    <row r="1976">
      <c r="A1976" s="141"/>
      <c r="B1976" s="141"/>
      <c r="C1976" s="141"/>
      <c r="D1976" s="141"/>
      <c r="E1976" s="141"/>
      <c r="F1976" s="141"/>
      <c r="G1976" s="141"/>
      <c r="H1976" s="141"/>
      <c r="I1976" s="141"/>
      <c r="J1976" s="141"/>
      <c r="K1976" s="141"/>
      <c r="L1976" s="141"/>
      <c r="M1976" s="141"/>
      <c r="N1976" s="141"/>
      <c r="O1976" s="141"/>
      <c r="P1976" s="141"/>
      <c r="Q1976" s="141"/>
      <c r="R1976" s="141"/>
      <c r="S1976" s="141"/>
      <c r="T1976" s="141"/>
      <c r="U1976" s="141"/>
      <c r="V1976" s="141"/>
      <c r="W1976" s="141"/>
      <c r="X1976" s="141"/>
      <c r="Y1976" s="141"/>
      <c r="Z1976" s="141"/>
    </row>
    <row r="1977">
      <c r="A1977" s="141"/>
      <c r="B1977" s="141"/>
      <c r="C1977" s="141"/>
      <c r="D1977" s="141"/>
      <c r="E1977" s="141"/>
      <c r="F1977" s="141"/>
      <c r="G1977" s="141"/>
      <c r="H1977" s="141"/>
      <c r="I1977" s="141"/>
      <c r="J1977" s="141"/>
      <c r="K1977" s="141"/>
      <c r="L1977" s="141"/>
      <c r="M1977" s="141"/>
      <c r="N1977" s="141"/>
      <c r="O1977" s="141"/>
      <c r="P1977" s="141"/>
      <c r="Q1977" s="141"/>
      <c r="R1977" s="141"/>
      <c r="S1977" s="141"/>
      <c r="T1977" s="141"/>
      <c r="U1977" s="141"/>
      <c r="V1977" s="141"/>
      <c r="W1977" s="141"/>
      <c r="X1977" s="141"/>
      <c r="Y1977" s="141"/>
      <c r="Z1977" s="141"/>
    </row>
    <row r="1978">
      <c r="A1978" s="141"/>
      <c r="B1978" s="141"/>
      <c r="C1978" s="141"/>
      <c r="D1978" s="141"/>
      <c r="E1978" s="141"/>
      <c r="F1978" s="141"/>
      <c r="G1978" s="141"/>
      <c r="H1978" s="141"/>
      <c r="I1978" s="141"/>
      <c r="J1978" s="141"/>
      <c r="K1978" s="141"/>
      <c r="L1978" s="141"/>
      <c r="M1978" s="141"/>
      <c r="N1978" s="141"/>
      <c r="O1978" s="141"/>
      <c r="P1978" s="141"/>
      <c r="Q1978" s="141"/>
      <c r="R1978" s="141"/>
      <c r="S1978" s="141"/>
      <c r="T1978" s="141"/>
      <c r="U1978" s="141"/>
      <c r="V1978" s="141"/>
      <c r="W1978" s="141"/>
      <c r="X1978" s="141"/>
      <c r="Y1978" s="141"/>
      <c r="Z1978" s="141"/>
    </row>
    <row r="1979">
      <c r="A1979" s="141"/>
      <c r="B1979" s="141"/>
      <c r="C1979" s="141"/>
      <c r="D1979" s="141"/>
      <c r="E1979" s="141"/>
      <c r="F1979" s="141"/>
      <c r="G1979" s="141"/>
      <c r="H1979" s="141"/>
      <c r="I1979" s="141"/>
      <c r="J1979" s="141"/>
      <c r="K1979" s="141"/>
      <c r="L1979" s="141"/>
      <c r="M1979" s="141"/>
      <c r="N1979" s="141"/>
      <c r="O1979" s="141"/>
      <c r="P1979" s="141"/>
      <c r="Q1979" s="141"/>
      <c r="R1979" s="141"/>
      <c r="S1979" s="141"/>
      <c r="T1979" s="141"/>
      <c r="U1979" s="141"/>
      <c r="V1979" s="141"/>
      <c r="W1979" s="141"/>
      <c r="X1979" s="141"/>
      <c r="Y1979" s="141"/>
      <c r="Z1979" s="141"/>
    </row>
    <row r="1980">
      <c r="A1980" s="141"/>
      <c r="B1980" s="141"/>
      <c r="C1980" s="141"/>
      <c r="D1980" s="141"/>
      <c r="E1980" s="141"/>
      <c r="F1980" s="141"/>
      <c r="G1980" s="141"/>
      <c r="H1980" s="141"/>
      <c r="I1980" s="141"/>
      <c r="J1980" s="141"/>
      <c r="K1980" s="141"/>
      <c r="L1980" s="141"/>
      <c r="M1980" s="141"/>
      <c r="N1980" s="141"/>
      <c r="O1980" s="141"/>
      <c r="P1980" s="141"/>
      <c r="Q1980" s="141"/>
      <c r="R1980" s="141"/>
      <c r="S1980" s="141"/>
      <c r="T1980" s="141"/>
      <c r="U1980" s="141"/>
      <c r="V1980" s="141"/>
      <c r="W1980" s="141"/>
      <c r="X1980" s="141"/>
      <c r="Y1980" s="141"/>
      <c r="Z1980" s="141"/>
    </row>
    <row r="1981">
      <c r="A1981" s="141"/>
      <c r="B1981" s="141"/>
      <c r="C1981" s="141"/>
      <c r="D1981" s="141"/>
      <c r="E1981" s="141"/>
      <c r="F1981" s="141"/>
      <c r="G1981" s="141"/>
      <c r="H1981" s="141"/>
      <c r="I1981" s="141"/>
      <c r="J1981" s="141"/>
      <c r="K1981" s="141"/>
      <c r="L1981" s="141"/>
      <c r="M1981" s="141"/>
      <c r="N1981" s="141"/>
      <c r="O1981" s="141"/>
      <c r="P1981" s="141"/>
      <c r="Q1981" s="141"/>
      <c r="R1981" s="141"/>
      <c r="S1981" s="141"/>
      <c r="T1981" s="141"/>
      <c r="U1981" s="141"/>
      <c r="V1981" s="141"/>
      <c r="W1981" s="141"/>
      <c r="X1981" s="141"/>
      <c r="Y1981" s="141"/>
      <c r="Z1981" s="141"/>
    </row>
    <row r="1982">
      <c r="A1982" s="141"/>
      <c r="B1982" s="141"/>
      <c r="C1982" s="141"/>
      <c r="D1982" s="141"/>
      <c r="E1982" s="141"/>
      <c r="F1982" s="141"/>
      <c r="G1982" s="141"/>
      <c r="H1982" s="141"/>
      <c r="I1982" s="141"/>
      <c r="J1982" s="141"/>
      <c r="K1982" s="141"/>
      <c r="L1982" s="141"/>
      <c r="M1982" s="141"/>
      <c r="N1982" s="141"/>
      <c r="O1982" s="141"/>
      <c r="P1982" s="141"/>
      <c r="Q1982" s="141"/>
      <c r="R1982" s="141"/>
      <c r="S1982" s="141"/>
      <c r="T1982" s="141"/>
      <c r="U1982" s="141"/>
      <c r="V1982" s="141"/>
      <c r="W1982" s="141"/>
      <c r="X1982" s="141"/>
      <c r="Y1982" s="141"/>
      <c r="Z1982" s="141"/>
    </row>
    <row r="1983">
      <c r="A1983" s="141"/>
      <c r="B1983" s="141"/>
      <c r="C1983" s="141"/>
      <c r="D1983" s="141"/>
      <c r="E1983" s="141"/>
      <c r="F1983" s="141"/>
      <c r="G1983" s="141"/>
      <c r="H1983" s="141"/>
      <c r="I1983" s="141"/>
      <c r="J1983" s="141"/>
      <c r="K1983" s="141"/>
      <c r="L1983" s="141"/>
      <c r="M1983" s="141"/>
      <c r="N1983" s="141"/>
      <c r="O1983" s="141"/>
      <c r="P1983" s="141"/>
      <c r="Q1983" s="141"/>
      <c r="R1983" s="141"/>
      <c r="S1983" s="141"/>
      <c r="T1983" s="141"/>
      <c r="U1983" s="141"/>
      <c r="V1983" s="141"/>
      <c r="W1983" s="141"/>
      <c r="X1983" s="141"/>
      <c r="Y1983" s="141"/>
      <c r="Z1983" s="141"/>
    </row>
    <row r="1984">
      <c r="A1984" s="141"/>
      <c r="B1984" s="141"/>
      <c r="C1984" s="141"/>
      <c r="D1984" s="141"/>
      <c r="E1984" s="141"/>
      <c r="F1984" s="141"/>
      <c r="G1984" s="141"/>
      <c r="H1984" s="141"/>
      <c r="I1984" s="141"/>
      <c r="J1984" s="141"/>
      <c r="K1984" s="141"/>
      <c r="L1984" s="141"/>
      <c r="M1984" s="141"/>
      <c r="N1984" s="141"/>
      <c r="O1984" s="141"/>
      <c r="P1984" s="141"/>
      <c r="Q1984" s="141"/>
      <c r="R1984" s="141"/>
      <c r="S1984" s="141"/>
      <c r="T1984" s="141"/>
      <c r="U1984" s="141"/>
      <c r="V1984" s="141"/>
      <c r="W1984" s="141"/>
      <c r="X1984" s="141"/>
      <c r="Y1984" s="141"/>
      <c r="Z1984" s="141"/>
    </row>
    <row r="1985">
      <c r="A1985" s="141"/>
      <c r="B1985" s="141"/>
      <c r="C1985" s="141"/>
      <c r="D1985" s="141"/>
      <c r="E1985" s="141"/>
      <c r="F1985" s="141"/>
      <c r="G1985" s="141"/>
      <c r="H1985" s="141"/>
      <c r="I1985" s="141"/>
      <c r="J1985" s="141"/>
      <c r="K1985" s="141"/>
      <c r="L1985" s="141"/>
      <c r="M1985" s="141"/>
      <c r="N1985" s="141"/>
      <c r="O1985" s="141"/>
      <c r="P1985" s="141"/>
      <c r="Q1985" s="141"/>
      <c r="R1985" s="141"/>
      <c r="S1985" s="141"/>
      <c r="T1985" s="141"/>
      <c r="U1985" s="141"/>
      <c r="V1985" s="141"/>
      <c r="W1985" s="141"/>
      <c r="X1985" s="141"/>
      <c r="Y1985" s="141"/>
      <c r="Z1985" s="141"/>
    </row>
    <row r="1986">
      <c r="A1986" s="141"/>
      <c r="B1986" s="141"/>
      <c r="C1986" s="141"/>
      <c r="D1986" s="141"/>
      <c r="E1986" s="141"/>
      <c r="F1986" s="141"/>
      <c r="G1986" s="141"/>
      <c r="H1986" s="141"/>
      <c r="I1986" s="141"/>
      <c r="J1986" s="141"/>
      <c r="K1986" s="141"/>
      <c r="L1986" s="141"/>
      <c r="M1986" s="141"/>
      <c r="N1986" s="141"/>
      <c r="O1986" s="141"/>
      <c r="P1986" s="141"/>
      <c r="Q1986" s="141"/>
      <c r="R1986" s="141"/>
      <c r="S1986" s="141"/>
      <c r="T1986" s="141"/>
      <c r="U1986" s="141"/>
      <c r="V1986" s="141"/>
      <c r="W1986" s="141"/>
      <c r="X1986" s="141"/>
      <c r="Y1986" s="141"/>
      <c r="Z1986" s="141"/>
    </row>
    <row r="1987">
      <c r="A1987" s="141"/>
      <c r="B1987" s="141"/>
      <c r="C1987" s="141"/>
      <c r="D1987" s="141"/>
      <c r="E1987" s="141"/>
      <c r="F1987" s="141"/>
      <c r="G1987" s="141"/>
      <c r="H1987" s="141"/>
      <c r="I1987" s="141"/>
      <c r="J1987" s="141"/>
      <c r="K1987" s="141"/>
      <c r="L1987" s="141"/>
      <c r="M1987" s="141"/>
      <c r="N1987" s="141"/>
      <c r="O1987" s="141"/>
      <c r="P1987" s="141"/>
      <c r="Q1987" s="141"/>
      <c r="R1987" s="141"/>
      <c r="S1987" s="141"/>
      <c r="T1987" s="141"/>
      <c r="U1987" s="141"/>
      <c r="V1987" s="141"/>
      <c r="W1987" s="141"/>
      <c r="X1987" s="141"/>
      <c r="Y1987" s="141"/>
      <c r="Z1987" s="141"/>
    </row>
    <row r="1988">
      <c r="A1988" s="141"/>
      <c r="B1988" s="141"/>
      <c r="C1988" s="141"/>
      <c r="D1988" s="141"/>
      <c r="E1988" s="141"/>
      <c r="F1988" s="141"/>
      <c r="G1988" s="141"/>
      <c r="H1988" s="141"/>
      <c r="I1988" s="141"/>
      <c r="J1988" s="141"/>
      <c r="K1988" s="141"/>
      <c r="L1988" s="141"/>
      <c r="M1988" s="141"/>
      <c r="N1988" s="141"/>
      <c r="O1988" s="141"/>
      <c r="P1988" s="141"/>
      <c r="Q1988" s="141"/>
      <c r="R1988" s="141"/>
      <c r="S1988" s="141"/>
      <c r="T1988" s="141"/>
      <c r="U1988" s="141"/>
      <c r="V1988" s="141"/>
      <c r="W1988" s="141"/>
      <c r="X1988" s="141"/>
      <c r="Y1988" s="141"/>
      <c r="Z1988" s="141"/>
    </row>
    <row r="1989">
      <c r="A1989" s="141"/>
      <c r="B1989" s="141"/>
      <c r="C1989" s="141"/>
      <c r="D1989" s="141"/>
      <c r="E1989" s="141"/>
      <c r="F1989" s="141"/>
      <c r="G1989" s="141"/>
      <c r="H1989" s="141"/>
      <c r="I1989" s="141"/>
      <c r="J1989" s="141"/>
      <c r="K1989" s="141"/>
      <c r="L1989" s="141"/>
      <c r="M1989" s="141"/>
      <c r="N1989" s="141"/>
      <c r="O1989" s="141"/>
      <c r="P1989" s="141"/>
      <c r="Q1989" s="141"/>
      <c r="R1989" s="141"/>
      <c r="S1989" s="141"/>
      <c r="T1989" s="141"/>
      <c r="U1989" s="141"/>
      <c r="V1989" s="141"/>
      <c r="W1989" s="141"/>
      <c r="X1989" s="141"/>
      <c r="Y1989" s="141"/>
      <c r="Z1989" s="141"/>
    </row>
    <row r="1990">
      <c r="A1990" s="141"/>
      <c r="B1990" s="141"/>
      <c r="C1990" s="141"/>
      <c r="D1990" s="141"/>
      <c r="E1990" s="141"/>
      <c r="F1990" s="141"/>
      <c r="G1990" s="141"/>
      <c r="H1990" s="141"/>
      <c r="I1990" s="141"/>
      <c r="J1990" s="141"/>
      <c r="K1990" s="141"/>
      <c r="L1990" s="141"/>
      <c r="M1990" s="141"/>
      <c r="N1990" s="141"/>
      <c r="O1990" s="141"/>
      <c r="P1990" s="141"/>
      <c r="Q1990" s="141"/>
      <c r="R1990" s="141"/>
      <c r="S1990" s="141"/>
      <c r="T1990" s="141"/>
      <c r="U1990" s="141"/>
      <c r="V1990" s="141"/>
      <c r="W1990" s="141"/>
      <c r="X1990" s="141"/>
      <c r="Y1990" s="141"/>
      <c r="Z1990" s="141"/>
    </row>
    <row r="1991">
      <c r="A1991" s="141"/>
      <c r="B1991" s="141"/>
      <c r="C1991" s="141"/>
      <c r="D1991" s="141"/>
      <c r="E1991" s="141"/>
      <c r="F1991" s="141"/>
      <c r="G1991" s="141"/>
      <c r="H1991" s="141"/>
      <c r="I1991" s="141"/>
      <c r="J1991" s="141"/>
      <c r="K1991" s="141"/>
      <c r="L1991" s="141"/>
      <c r="M1991" s="141"/>
      <c r="N1991" s="141"/>
      <c r="O1991" s="141"/>
      <c r="P1991" s="141"/>
      <c r="Q1991" s="141"/>
      <c r="R1991" s="141"/>
      <c r="S1991" s="141"/>
      <c r="T1991" s="141"/>
      <c r="U1991" s="141"/>
      <c r="V1991" s="141"/>
      <c r="W1991" s="141"/>
      <c r="X1991" s="141"/>
      <c r="Y1991" s="141"/>
      <c r="Z1991" s="141"/>
    </row>
    <row r="1992">
      <c r="A1992" s="141"/>
      <c r="B1992" s="141"/>
      <c r="C1992" s="141"/>
      <c r="D1992" s="141"/>
      <c r="E1992" s="141"/>
      <c r="F1992" s="141"/>
      <c r="G1992" s="141"/>
      <c r="H1992" s="141"/>
      <c r="I1992" s="141"/>
      <c r="J1992" s="141"/>
      <c r="K1992" s="141"/>
      <c r="L1992" s="141"/>
      <c r="M1992" s="141"/>
      <c r="N1992" s="141"/>
      <c r="O1992" s="141"/>
      <c r="P1992" s="141"/>
      <c r="Q1992" s="141"/>
      <c r="R1992" s="141"/>
      <c r="S1992" s="141"/>
      <c r="T1992" s="141"/>
      <c r="U1992" s="141"/>
      <c r="V1992" s="141"/>
      <c r="W1992" s="141"/>
      <c r="X1992" s="141"/>
      <c r="Y1992" s="141"/>
      <c r="Z1992" s="141"/>
    </row>
    <row r="1993">
      <c r="A1993" s="141"/>
      <c r="B1993" s="141"/>
      <c r="C1993" s="141"/>
      <c r="D1993" s="141"/>
      <c r="E1993" s="141"/>
      <c r="F1993" s="141"/>
      <c r="G1993" s="141"/>
      <c r="H1993" s="141"/>
      <c r="I1993" s="141"/>
      <c r="J1993" s="141"/>
      <c r="K1993" s="141"/>
      <c r="L1993" s="141"/>
      <c r="M1993" s="141"/>
      <c r="N1993" s="141"/>
      <c r="O1993" s="141"/>
      <c r="P1993" s="141"/>
      <c r="Q1993" s="141"/>
      <c r="R1993" s="141"/>
      <c r="S1993" s="141"/>
      <c r="T1993" s="141"/>
      <c r="U1993" s="141"/>
      <c r="V1993" s="141"/>
      <c r="W1993" s="141"/>
      <c r="X1993" s="141"/>
      <c r="Y1993" s="141"/>
      <c r="Z1993" s="141"/>
    </row>
    <row r="1994">
      <c r="A1994" s="141"/>
      <c r="B1994" s="141"/>
      <c r="C1994" s="141"/>
      <c r="D1994" s="141"/>
      <c r="E1994" s="141"/>
      <c r="F1994" s="141"/>
      <c r="G1994" s="141"/>
      <c r="H1994" s="141"/>
      <c r="I1994" s="141"/>
      <c r="J1994" s="141"/>
      <c r="K1994" s="141"/>
      <c r="L1994" s="141"/>
      <c r="M1994" s="141"/>
      <c r="N1994" s="141"/>
      <c r="O1994" s="141"/>
      <c r="P1994" s="141"/>
      <c r="Q1994" s="141"/>
      <c r="R1994" s="141"/>
      <c r="S1994" s="141"/>
      <c r="T1994" s="141"/>
      <c r="U1994" s="141"/>
      <c r="V1994" s="141"/>
      <c r="W1994" s="141"/>
      <c r="X1994" s="141"/>
      <c r="Y1994" s="141"/>
      <c r="Z1994" s="141"/>
    </row>
    <row r="1995">
      <c r="A1995" s="141"/>
      <c r="B1995" s="141"/>
      <c r="C1995" s="141"/>
      <c r="D1995" s="141"/>
      <c r="E1995" s="141"/>
      <c r="F1995" s="141"/>
      <c r="G1995" s="141"/>
      <c r="H1995" s="141"/>
      <c r="I1995" s="141"/>
      <c r="J1995" s="141"/>
      <c r="K1995" s="141"/>
      <c r="L1995" s="141"/>
      <c r="M1995" s="141"/>
      <c r="N1995" s="141"/>
      <c r="O1995" s="141"/>
      <c r="P1995" s="141"/>
      <c r="Q1995" s="141"/>
      <c r="R1995" s="141"/>
      <c r="S1995" s="141"/>
      <c r="T1995" s="141"/>
      <c r="U1995" s="141"/>
      <c r="V1995" s="141"/>
      <c r="W1995" s="141"/>
      <c r="X1995" s="141"/>
      <c r="Y1995" s="141"/>
      <c r="Z1995" s="141"/>
    </row>
    <row r="1996">
      <c r="A1996" s="141"/>
      <c r="B1996" s="141"/>
      <c r="C1996" s="141"/>
      <c r="D1996" s="141"/>
      <c r="E1996" s="141"/>
      <c r="F1996" s="141"/>
      <c r="G1996" s="141"/>
      <c r="H1996" s="141"/>
      <c r="I1996" s="141"/>
      <c r="J1996" s="141"/>
      <c r="K1996" s="141"/>
      <c r="L1996" s="141"/>
      <c r="M1996" s="141"/>
      <c r="N1996" s="141"/>
      <c r="O1996" s="141"/>
      <c r="P1996" s="141"/>
      <c r="Q1996" s="141"/>
      <c r="R1996" s="141"/>
      <c r="S1996" s="141"/>
      <c r="T1996" s="141"/>
      <c r="U1996" s="141"/>
      <c r="V1996" s="141"/>
      <c r="W1996" s="141"/>
      <c r="X1996" s="141"/>
      <c r="Y1996" s="141"/>
      <c r="Z1996" s="141"/>
    </row>
    <row r="1997">
      <c r="A1997" s="141"/>
      <c r="B1997" s="141"/>
      <c r="C1997" s="141"/>
      <c r="D1997" s="141"/>
      <c r="E1997" s="141"/>
      <c r="F1997" s="141"/>
      <c r="G1997" s="141"/>
      <c r="H1997" s="141"/>
      <c r="I1997" s="141"/>
      <c r="J1997" s="141"/>
      <c r="K1997" s="141"/>
      <c r="L1997" s="141"/>
      <c r="M1997" s="141"/>
      <c r="N1997" s="141"/>
      <c r="O1997" s="141"/>
      <c r="P1997" s="141"/>
      <c r="Q1997" s="141"/>
      <c r="R1997" s="141"/>
      <c r="S1997" s="141"/>
      <c r="T1997" s="141"/>
      <c r="U1997" s="141"/>
      <c r="V1997" s="141"/>
      <c r="W1997" s="141"/>
      <c r="X1997" s="141"/>
      <c r="Y1997" s="141"/>
      <c r="Z1997" s="141"/>
    </row>
    <row r="1998">
      <c r="A1998" s="141"/>
      <c r="B1998" s="141"/>
      <c r="C1998" s="141"/>
      <c r="D1998" s="141"/>
      <c r="E1998" s="141"/>
      <c r="F1998" s="141"/>
      <c r="G1998" s="141"/>
      <c r="H1998" s="141"/>
      <c r="I1998" s="141"/>
      <c r="J1998" s="141"/>
      <c r="K1998" s="141"/>
      <c r="L1998" s="141"/>
      <c r="M1998" s="141"/>
      <c r="N1998" s="141"/>
      <c r="O1998" s="141"/>
      <c r="P1998" s="141"/>
      <c r="Q1998" s="141"/>
      <c r="R1998" s="141"/>
      <c r="S1998" s="141"/>
      <c r="T1998" s="141"/>
      <c r="U1998" s="141"/>
      <c r="V1998" s="141"/>
      <c r="W1998" s="141"/>
      <c r="X1998" s="141"/>
      <c r="Y1998" s="141"/>
      <c r="Z1998" s="141"/>
    </row>
    <row r="1999">
      <c r="A1999" s="141"/>
      <c r="B1999" s="141"/>
      <c r="C1999" s="141"/>
      <c r="D1999" s="141"/>
      <c r="E1999" s="141"/>
      <c r="F1999" s="141"/>
      <c r="G1999" s="141"/>
      <c r="H1999" s="141"/>
      <c r="I1999" s="141"/>
      <c r="J1999" s="141"/>
      <c r="K1999" s="141"/>
      <c r="L1999" s="141"/>
      <c r="M1999" s="141"/>
      <c r="N1999" s="141"/>
      <c r="O1999" s="141"/>
      <c r="P1999" s="141"/>
      <c r="Q1999" s="141"/>
      <c r="R1999" s="141"/>
      <c r="S1999" s="141"/>
      <c r="T1999" s="141"/>
      <c r="U1999" s="141"/>
      <c r="V1999" s="141"/>
      <c r="W1999" s="141"/>
      <c r="X1999" s="141"/>
      <c r="Y1999" s="141"/>
      <c r="Z1999" s="141"/>
    </row>
    <row r="2000">
      <c r="A2000" s="141"/>
      <c r="B2000" s="141"/>
      <c r="C2000" s="141"/>
      <c r="D2000" s="141"/>
      <c r="E2000" s="141"/>
      <c r="F2000" s="141"/>
      <c r="G2000" s="141"/>
      <c r="H2000" s="141"/>
      <c r="I2000" s="141"/>
      <c r="J2000" s="141"/>
      <c r="K2000" s="141"/>
      <c r="L2000" s="141"/>
      <c r="M2000" s="141"/>
      <c r="N2000" s="141"/>
      <c r="O2000" s="141"/>
      <c r="P2000" s="141"/>
      <c r="Q2000" s="141"/>
      <c r="R2000" s="141"/>
      <c r="S2000" s="141"/>
      <c r="T2000" s="141"/>
      <c r="U2000" s="141"/>
      <c r="V2000" s="141"/>
      <c r="W2000" s="141"/>
      <c r="X2000" s="141"/>
      <c r="Y2000" s="141"/>
      <c r="Z2000" s="141"/>
    </row>
    <row r="2001">
      <c r="A2001" s="141"/>
      <c r="B2001" s="141"/>
      <c r="C2001" s="141"/>
      <c r="D2001" s="141"/>
      <c r="E2001" s="141"/>
      <c r="F2001" s="141"/>
      <c r="G2001" s="141"/>
      <c r="H2001" s="141"/>
      <c r="I2001" s="141"/>
      <c r="J2001" s="141"/>
      <c r="K2001" s="141"/>
      <c r="L2001" s="141"/>
      <c r="M2001" s="141"/>
      <c r="N2001" s="141"/>
      <c r="O2001" s="141"/>
      <c r="P2001" s="141"/>
      <c r="Q2001" s="141"/>
      <c r="R2001" s="141"/>
      <c r="S2001" s="141"/>
      <c r="T2001" s="141"/>
      <c r="U2001" s="141"/>
      <c r="V2001" s="141"/>
      <c r="W2001" s="141"/>
      <c r="X2001" s="141"/>
      <c r="Y2001" s="141"/>
      <c r="Z2001" s="141"/>
    </row>
    <row r="2002">
      <c r="A2002" s="141"/>
      <c r="B2002" s="141"/>
      <c r="C2002" s="141"/>
      <c r="D2002" s="141"/>
      <c r="E2002" s="141"/>
      <c r="F2002" s="141"/>
      <c r="G2002" s="141"/>
      <c r="H2002" s="141"/>
      <c r="I2002" s="141"/>
      <c r="J2002" s="141"/>
      <c r="K2002" s="141"/>
      <c r="L2002" s="141"/>
      <c r="M2002" s="141"/>
      <c r="N2002" s="141"/>
      <c r="O2002" s="141"/>
      <c r="P2002" s="141"/>
      <c r="Q2002" s="141"/>
      <c r="R2002" s="141"/>
      <c r="S2002" s="141"/>
      <c r="T2002" s="141"/>
      <c r="U2002" s="141"/>
      <c r="V2002" s="141"/>
      <c r="W2002" s="141"/>
      <c r="X2002" s="141"/>
      <c r="Y2002" s="141"/>
      <c r="Z2002" s="141"/>
    </row>
    <row r="2003">
      <c r="A2003" s="141"/>
      <c r="B2003" s="141"/>
      <c r="C2003" s="141"/>
      <c r="D2003" s="141"/>
      <c r="E2003" s="141"/>
      <c r="F2003" s="141"/>
      <c r="G2003" s="141"/>
      <c r="H2003" s="141"/>
      <c r="I2003" s="141"/>
      <c r="J2003" s="141"/>
      <c r="K2003" s="141"/>
      <c r="L2003" s="141"/>
      <c r="M2003" s="141"/>
      <c r="N2003" s="141"/>
      <c r="O2003" s="141"/>
      <c r="P2003" s="141"/>
      <c r="Q2003" s="141"/>
      <c r="R2003" s="141"/>
      <c r="S2003" s="141"/>
      <c r="T2003" s="141"/>
      <c r="U2003" s="141"/>
      <c r="V2003" s="141"/>
      <c r="W2003" s="141"/>
      <c r="X2003" s="141"/>
      <c r="Y2003" s="141"/>
      <c r="Z2003" s="141"/>
    </row>
    <row r="2004">
      <c r="A2004" s="141"/>
      <c r="B2004" s="141"/>
      <c r="C2004" s="141"/>
      <c r="D2004" s="141"/>
      <c r="E2004" s="141"/>
      <c r="F2004" s="141"/>
      <c r="G2004" s="141"/>
      <c r="H2004" s="141"/>
      <c r="I2004" s="141"/>
      <c r="J2004" s="141"/>
      <c r="K2004" s="141"/>
      <c r="L2004" s="141"/>
      <c r="M2004" s="141"/>
      <c r="N2004" s="141"/>
      <c r="O2004" s="141"/>
      <c r="P2004" s="141"/>
      <c r="Q2004" s="141"/>
      <c r="R2004" s="141"/>
      <c r="S2004" s="141"/>
      <c r="T2004" s="141"/>
      <c r="U2004" s="141"/>
      <c r="V2004" s="141"/>
      <c r="W2004" s="141"/>
      <c r="X2004" s="141"/>
      <c r="Y2004" s="141"/>
      <c r="Z2004" s="141"/>
    </row>
    <row r="2005">
      <c r="A2005" s="141"/>
      <c r="B2005" s="141"/>
      <c r="C2005" s="141"/>
      <c r="D2005" s="141"/>
      <c r="E2005" s="141"/>
      <c r="F2005" s="141"/>
      <c r="G2005" s="141"/>
      <c r="H2005" s="141"/>
      <c r="I2005" s="141"/>
      <c r="J2005" s="141"/>
      <c r="K2005" s="141"/>
      <c r="L2005" s="141"/>
      <c r="M2005" s="141"/>
      <c r="N2005" s="141"/>
      <c r="O2005" s="141"/>
      <c r="P2005" s="141"/>
      <c r="Q2005" s="141"/>
      <c r="R2005" s="141"/>
      <c r="S2005" s="141"/>
      <c r="T2005" s="141"/>
      <c r="U2005" s="141"/>
      <c r="V2005" s="141"/>
      <c r="W2005" s="141"/>
      <c r="X2005" s="141"/>
      <c r="Y2005" s="141"/>
      <c r="Z2005" s="141"/>
    </row>
    <row r="2006">
      <c r="A2006" s="141"/>
      <c r="B2006" s="141"/>
      <c r="C2006" s="141"/>
      <c r="D2006" s="141"/>
      <c r="E2006" s="141"/>
      <c r="F2006" s="141"/>
      <c r="G2006" s="141"/>
      <c r="H2006" s="141"/>
      <c r="I2006" s="141"/>
      <c r="J2006" s="141"/>
      <c r="K2006" s="141"/>
      <c r="L2006" s="141"/>
      <c r="M2006" s="141"/>
      <c r="N2006" s="141"/>
      <c r="O2006" s="141"/>
      <c r="P2006" s="141"/>
      <c r="Q2006" s="141"/>
      <c r="R2006" s="141"/>
      <c r="S2006" s="141"/>
      <c r="T2006" s="141"/>
      <c r="U2006" s="141"/>
      <c r="V2006" s="141"/>
      <c r="W2006" s="141"/>
      <c r="X2006" s="141"/>
      <c r="Y2006" s="141"/>
      <c r="Z2006" s="141"/>
    </row>
    <row r="2007">
      <c r="A2007" s="141"/>
      <c r="B2007" s="141"/>
      <c r="C2007" s="141"/>
      <c r="D2007" s="141"/>
      <c r="E2007" s="141"/>
      <c r="F2007" s="141"/>
      <c r="G2007" s="141"/>
      <c r="H2007" s="141"/>
      <c r="I2007" s="141"/>
      <c r="J2007" s="141"/>
      <c r="K2007" s="141"/>
      <c r="L2007" s="141"/>
      <c r="M2007" s="141"/>
      <c r="N2007" s="141"/>
      <c r="O2007" s="141"/>
      <c r="P2007" s="141"/>
      <c r="Q2007" s="141"/>
      <c r="R2007" s="141"/>
      <c r="S2007" s="141"/>
      <c r="T2007" s="141"/>
      <c r="U2007" s="141"/>
      <c r="V2007" s="141"/>
      <c r="W2007" s="141"/>
      <c r="X2007" s="141"/>
      <c r="Y2007" s="141"/>
      <c r="Z2007" s="141"/>
    </row>
    <row r="2008">
      <c r="A2008" s="141"/>
      <c r="B2008" s="141"/>
      <c r="C2008" s="141"/>
      <c r="D2008" s="141"/>
      <c r="E2008" s="141"/>
      <c r="F2008" s="141"/>
      <c r="G2008" s="141"/>
      <c r="H2008" s="141"/>
      <c r="I2008" s="141"/>
      <c r="J2008" s="141"/>
      <c r="K2008" s="141"/>
      <c r="L2008" s="141"/>
      <c r="M2008" s="141"/>
      <c r="N2008" s="141"/>
      <c r="O2008" s="141"/>
      <c r="P2008" s="141"/>
      <c r="Q2008" s="141"/>
      <c r="R2008" s="141"/>
      <c r="S2008" s="141"/>
      <c r="T2008" s="141"/>
      <c r="U2008" s="141"/>
      <c r="V2008" s="141"/>
      <c r="W2008" s="141"/>
      <c r="X2008" s="141"/>
      <c r="Y2008" s="141"/>
      <c r="Z2008" s="141"/>
    </row>
    <row r="2009">
      <c r="A2009" s="141"/>
      <c r="B2009" s="141"/>
      <c r="C2009" s="141"/>
      <c r="D2009" s="141"/>
      <c r="E2009" s="141"/>
      <c r="F2009" s="141"/>
      <c r="G2009" s="141"/>
      <c r="H2009" s="141"/>
      <c r="I2009" s="141"/>
      <c r="J2009" s="141"/>
      <c r="K2009" s="141"/>
      <c r="L2009" s="141"/>
      <c r="M2009" s="141"/>
      <c r="N2009" s="141"/>
      <c r="O2009" s="141"/>
      <c r="P2009" s="141"/>
      <c r="Q2009" s="141"/>
      <c r="R2009" s="141"/>
      <c r="S2009" s="141"/>
      <c r="T2009" s="141"/>
      <c r="U2009" s="141"/>
      <c r="V2009" s="141"/>
      <c r="W2009" s="141"/>
      <c r="X2009" s="141"/>
      <c r="Y2009" s="141"/>
      <c r="Z2009" s="141"/>
    </row>
    <row r="2010">
      <c r="A2010" s="141"/>
      <c r="B2010" s="141"/>
      <c r="C2010" s="141"/>
      <c r="D2010" s="141"/>
      <c r="E2010" s="141"/>
      <c r="F2010" s="141"/>
      <c r="G2010" s="141"/>
      <c r="H2010" s="141"/>
      <c r="I2010" s="141"/>
      <c r="J2010" s="141"/>
      <c r="K2010" s="141"/>
      <c r="L2010" s="141"/>
      <c r="M2010" s="141"/>
      <c r="N2010" s="141"/>
      <c r="O2010" s="141"/>
      <c r="P2010" s="141"/>
      <c r="Q2010" s="141"/>
      <c r="R2010" s="141"/>
      <c r="S2010" s="141"/>
      <c r="T2010" s="141"/>
      <c r="U2010" s="141"/>
      <c r="V2010" s="141"/>
      <c r="W2010" s="141"/>
      <c r="X2010" s="141"/>
      <c r="Y2010" s="141"/>
      <c r="Z2010" s="141"/>
    </row>
    <row r="2011">
      <c r="A2011" s="141"/>
      <c r="B2011" s="141"/>
      <c r="C2011" s="141"/>
      <c r="D2011" s="141"/>
      <c r="E2011" s="141"/>
      <c r="F2011" s="141"/>
      <c r="G2011" s="141"/>
      <c r="H2011" s="141"/>
      <c r="I2011" s="141"/>
      <c r="J2011" s="141"/>
      <c r="K2011" s="141"/>
      <c r="L2011" s="141"/>
      <c r="M2011" s="141"/>
      <c r="N2011" s="141"/>
      <c r="O2011" s="141"/>
      <c r="P2011" s="141"/>
      <c r="Q2011" s="141"/>
      <c r="R2011" s="141"/>
      <c r="S2011" s="141"/>
      <c r="T2011" s="141"/>
      <c r="U2011" s="141"/>
      <c r="V2011" s="141"/>
      <c r="W2011" s="141"/>
      <c r="X2011" s="141"/>
      <c r="Y2011" s="141"/>
      <c r="Z2011" s="141"/>
    </row>
    <row r="2012">
      <c r="A2012" s="141"/>
      <c r="B2012" s="141"/>
      <c r="C2012" s="141"/>
      <c r="D2012" s="141"/>
      <c r="E2012" s="141"/>
      <c r="F2012" s="141"/>
      <c r="G2012" s="141"/>
      <c r="H2012" s="141"/>
      <c r="I2012" s="141"/>
      <c r="J2012" s="141"/>
      <c r="K2012" s="141"/>
      <c r="L2012" s="141"/>
      <c r="M2012" s="141"/>
      <c r="N2012" s="141"/>
      <c r="O2012" s="141"/>
      <c r="P2012" s="141"/>
      <c r="Q2012" s="141"/>
      <c r="R2012" s="141"/>
      <c r="S2012" s="141"/>
      <c r="T2012" s="141"/>
      <c r="U2012" s="141"/>
      <c r="V2012" s="141"/>
      <c r="W2012" s="141"/>
      <c r="X2012" s="141"/>
      <c r="Y2012" s="141"/>
      <c r="Z2012" s="141"/>
    </row>
    <row r="2013">
      <c r="A2013" s="141"/>
      <c r="B2013" s="141"/>
      <c r="C2013" s="141"/>
      <c r="D2013" s="141"/>
      <c r="E2013" s="141"/>
      <c r="F2013" s="141"/>
      <c r="G2013" s="141"/>
      <c r="H2013" s="141"/>
      <c r="I2013" s="141"/>
      <c r="J2013" s="141"/>
      <c r="K2013" s="141"/>
      <c r="L2013" s="141"/>
      <c r="M2013" s="141"/>
      <c r="N2013" s="141"/>
      <c r="O2013" s="141"/>
      <c r="P2013" s="141"/>
      <c r="Q2013" s="141"/>
      <c r="R2013" s="141"/>
      <c r="S2013" s="141"/>
      <c r="T2013" s="141"/>
      <c r="U2013" s="141"/>
      <c r="V2013" s="141"/>
      <c r="W2013" s="141"/>
      <c r="X2013" s="141"/>
      <c r="Y2013" s="141"/>
      <c r="Z2013" s="141"/>
    </row>
    <row r="2014">
      <c r="A2014" s="141"/>
      <c r="B2014" s="141"/>
      <c r="C2014" s="141"/>
      <c r="D2014" s="141"/>
      <c r="E2014" s="141"/>
      <c r="F2014" s="141"/>
      <c r="G2014" s="141"/>
      <c r="H2014" s="141"/>
      <c r="I2014" s="141"/>
      <c r="J2014" s="141"/>
      <c r="K2014" s="141"/>
      <c r="L2014" s="141"/>
      <c r="M2014" s="141"/>
      <c r="N2014" s="141"/>
      <c r="O2014" s="141"/>
      <c r="P2014" s="141"/>
      <c r="Q2014" s="141"/>
      <c r="R2014" s="141"/>
      <c r="S2014" s="141"/>
      <c r="T2014" s="141"/>
      <c r="U2014" s="141"/>
      <c r="V2014" s="141"/>
      <c r="W2014" s="141"/>
      <c r="X2014" s="141"/>
      <c r="Y2014" s="141"/>
      <c r="Z2014" s="141"/>
    </row>
    <row r="2015">
      <c r="A2015" s="141"/>
      <c r="B2015" s="141"/>
      <c r="C2015" s="141"/>
      <c r="D2015" s="141"/>
      <c r="E2015" s="141"/>
      <c r="F2015" s="141"/>
      <c r="G2015" s="141"/>
      <c r="H2015" s="141"/>
      <c r="I2015" s="141"/>
      <c r="J2015" s="141"/>
      <c r="K2015" s="141"/>
      <c r="L2015" s="141"/>
      <c r="M2015" s="141"/>
      <c r="N2015" s="141"/>
      <c r="O2015" s="141"/>
      <c r="P2015" s="141"/>
      <c r="Q2015" s="141"/>
      <c r="R2015" s="141"/>
      <c r="S2015" s="141"/>
      <c r="T2015" s="141"/>
      <c r="U2015" s="141"/>
      <c r="V2015" s="141"/>
      <c r="W2015" s="141"/>
      <c r="X2015" s="141"/>
      <c r="Y2015" s="141"/>
      <c r="Z2015" s="141"/>
    </row>
    <row r="2016">
      <c r="A2016" s="141"/>
      <c r="B2016" s="141"/>
      <c r="C2016" s="141"/>
      <c r="D2016" s="141"/>
      <c r="E2016" s="141"/>
      <c r="F2016" s="141"/>
      <c r="G2016" s="141"/>
      <c r="H2016" s="141"/>
      <c r="I2016" s="141"/>
      <c r="J2016" s="141"/>
      <c r="K2016" s="141"/>
      <c r="L2016" s="141"/>
      <c r="M2016" s="141"/>
      <c r="N2016" s="141"/>
      <c r="O2016" s="141"/>
      <c r="P2016" s="141"/>
      <c r="Q2016" s="141"/>
      <c r="R2016" s="141"/>
      <c r="S2016" s="141"/>
      <c r="T2016" s="141"/>
      <c r="U2016" s="141"/>
      <c r="V2016" s="141"/>
      <c r="W2016" s="141"/>
      <c r="X2016" s="141"/>
      <c r="Y2016" s="141"/>
      <c r="Z2016" s="141"/>
    </row>
    <row r="2017">
      <c r="A2017" s="141"/>
      <c r="B2017" s="141"/>
      <c r="C2017" s="141"/>
      <c r="D2017" s="141"/>
      <c r="E2017" s="141"/>
      <c r="F2017" s="141"/>
      <c r="G2017" s="141"/>
      <c r="H2017" s="141"/>
      <c r="I2017" s="141"/>
      <c r="J2017" s="141"/>
      <c r="K2017" s="141"/>
      <c r="L2017" s="141"/>
      <c r="M2017" s="141"/>
      <c r="N2017" s="141"/>
      <c r="O2017" s="141"/>
      <c r="P2017" s="141"/>
      <c r="Q2017" s="141"/>
      <c r="R2017" s="141"/>
      <c r="S2017" s="141"/>
      <c r="T2017" s="141"/>
      <c r="U2017" s="141"/>
      <c r="V2017" s="141"/>
      <c r="W2017" s="141"/>
      <c r="X2017" s="141"/>
      <c r="Y2017" s="141"/>
      <c r="Z2017" s="141"/>
    </row>
    <row r="2018">
      <c r="A2018" s="141"/>
      <c r="B2018" s="141"/>
      <c r="C2018" s="141"/>
      <c r="D2018" s="141"/>
      <c r="E2018" s="141"/>
      <c r="F2018" s="141"/>
      <c r="G2018" s="141"/>
      <c r="H2018" s="141"/>
      <c r="I2018" s="141"/>
      <c r="J2018" s="141"/>
      <c r="K2018" s="141"/>
      <c r="L2018" s="141"/>
      <c r="M2018" s="141"/>
      <c r="N2018" s="141"/>
      <c r="O2018" s="141"/>
      <c r="P2018" s="141"/>
      <c r="Q2018" s="141"/>
      <c r="R2018" s="141"/>
      <c r="S2018" s="141"/>
      <c r="T2018" s="141"/>
      <c r="U2018" s="141"/>
      <c r="V2018" s="141"/>
      <c r="W2018" s="141"/>
      <c r="X2018" s="141"/>
      <c r="Y2018" s="141"/>
      <c r="Z2018" s="141"/>
    </row>
    <row r="2019">
      <c r="A2019" s="141"/>
      <c r="B2019" s="141"/>
      <c r="C2019" s="141"/>
      <c r="D2019" s="141"/>
      <c r="E2019" s="141"/>
      <c r="F2019" s="141"/>
      <c r="G2019" s="141"/>
      <c r="H2019" s="141"/>
      <c r="I2019" s="141"/>
      <c r="J2019" s="141"/>
      <c r="K2019" s="141"/>
      <c r="L2019" s="141"/>
      <c r="M2019" s="141"/>
      <c r="N2019" s="141"/>
      <c r="O2019" s="141"/>
      <c r="P2019" s="141"/>
      <c r="Q2019" s="141"/>
      <c r="R2019" s="141"/>
      <c r="S2019" s="141"/>
      <c r="T2019" s="141"/>
      <c r="U2019" s="141"/>
      <c r="V2019" s="141"/>
      <c r="W2019" s="141"/>
      <c r="X2019" s="141"/>
      <c r="Y2019" s="141"/>
      <c r="Z2019" s="141"/>
    </row>
    <row r="2020">
      <c r="A2020" s="141"/>
      <c r="B2020" s="141"/>
      <c r="C2020" s="141"/>
      <c r="D2020" s="141"/>
      <c r="E2020" s="141"/>
      <c r="F2020" s="141"/>
      <c r="G2020" s="141"/>
      <c r="H2020" s="141"/>
      <c r="I2020" s="141"/>
      <c r="J2020" s="141"/>
      <c r="K2020" s="141"/>
      <c r="L2020" s="141"/>
      <c r="M2020" s="141"/>
      <c r="N2020" s="141"/>
      <c r="O2020" s="141"/>
      <c r="P2020" s="141"/>
      <c r="Q2020" s="141"/>
      <c r="R2020" s="141"/>
      <c r="S2020" s="141"/>
      <c r="T2020" s="141"/>
      <c r="U2020" s="141"/>
      <c r="V2020" s="141"/>
      <c r="W2020" s="141"/>
      <c r="X2020" s="141"/>
      <c r="Y2020" s="141"/>
      <c r="Z2020" s="141"/>
    </row>
    <row r="2021">
      <c r="A2021" s="141"/>
      <c r="B2021" s="141"/>
      <c r="C2021" s="141"/>
      <c r="D2021" s="141"/>
      <c r="E2021" s="141"/>
      <c r="F2021" s="141"/>
      <c r="G2021" s="141"/>
      <c r="H2021" s="141"/>
      <c r="I2021" s="141"/>
      <c r="J2021" s="141"/>
      <c r="K2021" s="141"/>
      <c r="L2021" s="141"/>
      <c r="M2021" s="141"/>
      <c r="N2021" s="141"/>
      <c r="O2021" s="141"/>
      <c r="P2021" s="141"/>
      <c r="Q2021" s="141"/>
      <c r="R2021" s="141"/>
      <c r="S2021" s="141"/>
      <c r="T2021" s="141"/>
      <c r="U2021" s="141"/>
      <c r="V2021" s="141"/>
      <c r="W2021" s="141"/>
      <c r="X2021" s="141"/>
      <c r="Y2021" s="141"/>
      <c r="Z2021" s="141"/>
    </row>
    <row r="2022">
      <c r="A2022" s="141"/>
      <c r="B2022" s="141"/>
      <c r="C2022" s="141"/>
      <c r="D2022" s="141"/>
      <c r="E2022" s="141"/>
      <c r="F2022" s="141"/>
      <c r="G2022" s="141"/>
      <c r="H2022" s="141"/>
      <c r="I2022" s="141"/>
      <c r="J2022" s="141"/>
      <c r="K2022" s="141"/>
      <c r="L2022" s="141"/>
      <c r="M2022" s="141"/>
      <c r="N2022" s="141"/>
      <c r="O2022" s="141"/>
      <c r="P2022" s="141"/>
      <c r="Q2022" s="141"/>
      <c r="R2022" s="141"/>
      <c r="S2022" s="141"/>
      <c r="T2022" s="141"/>
      <c r="U2022" s="141"/>
      <c r="V2022" s="141"/>
      <c r="W2022" s="141"/>
      <c r="X2022" s="141"/>
      <c r="Y2022" s="141"/>
      <c r="Z2022" s="141"/>
    </row>
    <row r="2023">
      <c r="A2023" s="141"/>
      <c r="B2023" s="141"/>
      <c r="C2023" s="141"/>
      <c r="D2023" s="141"/>
      <c r="E2023" s="141"/>
      <c r="F2023" s="141"/>
      <c r="G2023" s="141"/>
      <c r="H2023" s="141"/>
      <c r="I2023" s="141"/>
      <c r="J2023" s="141"/>
      <c r="K2023" s="141"/>
      <c r="L2023" s="141"/>
      <c r="M2023" s="141"/>
      <c r="N2023" s="141"/>
      <c r="O2023" s="141"/>
      <c r="P2023" s="141"/>
      <c r="Q2023" s="141"/>
      <c r="R2023" s="141"/>
      <c r="S2023" s="141"/>
      <c r="T2023" s="141"/>
      <c r="U2023" s="141"/>
      <c r="V2023" s="141"/>
      <c r="W2023" s="141"/>
      <c r="X2023" s="141"/>
      <c r="Y2023" s="141"/>
      <c r="Z2023" s="141"/>
    </row>
    <row r="2024">
      <c r="A2024" s="141"/>
      <c r="B2024" s="141"/>
      <c r="C2024" s="141"/>
      <c r="D2024" s="141"/>
      <c r="E2024" s="141"/>
      <c r="F2024" s="141"/>
      <c r="G2024" s="141"/>
      <c r="H2024" s="141"/>
      <c r="I2024" s="141"/>
      <c r="J2024" s="141"/>
      <c r="K2024" s="141"/>
      <c r="L2024" s="141"/>
      <c r="M2024" s="141"/>
      <c r="N2024" s="141"/>
      <c r="O2024" s="141"/>
      <c r="P2024" s="141"/>
      <c r="Q2024" s="141"/>
      <c r="R2024" s="141"/>
      <c r="S2024" s="141"/>
      <c r="T2024" s="141"/>
      <c r="U2024" s="141"/>
      <c r="V2024" s="141"/>
      <c r="W2024" s="141"/>
      <c r="X2024" s="141"/>
      <c r="Y2024" s="141"/>
      <c r="Z2024" s="141"/>
    </row>
    <row r="2025">
      <c r="A2025" s="141"/>
      <c r="B2025" s="141"/>
      <c r="C2025" s="141"/>
      <c r="D2025" s="141"/>
      <c r="E2025" s="141"/>
      <c r="F2025" s="141"/>
      <c r="G2025" s="141"/>
      <c r="H2025" s="141"/>
      <c r="I2025" s="141"/>
      <c r="J2025" s="141"/>
      <c r="K2025" s="141"/>
      <c r="L2025" s="141"/>
      <c r="M2025" s="141"/>
      <c r="N2025" s="141"/>
      <c r="O2025" s="141"/>
      <c r="P2025" s="141"/>
      <c r="Q2025" s="141"/>
      <c r="R2025" s="141"/>
      <c r="S2025" s="141"/>
      <c r="T2025" s="141"/>
      <c r="U2025" s="141"/>
      <c r="V2025" s="141"/>
      <c r="W2025" s="141"/>
      <c r="X2025" s="141"/>
      <c r="Y2025" s="141"/>
      <c r="Z2025" s="141"/>
    </row>
    <row r="2026">
      <c r="A2026" s="141"/>
      <c r="B2026" s="141"/>
      <c r="C2026" s="141"/>
      <c r="D2026" s="141"/>
      <c r="E2026" s="141"/>
      <c r="F2026" s="141"/>
      <c r="G2026" s="141"/>
      <c r="H2026" s="141"/>
      <c r="I2026" s="141"/>
      <c r="J2026" s="141"/>
      <c r="K2026" s="141"/>
      <c r="L2026" s="141"/>
      <c r="M2026" s="141"/>
      <c r="N2026" s="141"/>
      <c r="O2026" s="141"/>
      <c r="P2026" s="141"/>
      <c r="Q2026" s="141"/>
      <c r="R2026" s="141"/>
      <c r="S2026" s="141"/>
      <c r="T2026" s="141"/>
      <c r="U2026" s="141"/>
      <c r="V2026" s="141"/>
      <c r="W2026" s="141"/>
      <c r="X2026" s="141"/>
      <c r="Y2026" s="141"/>
      <c r="Z2026" s="141"/>
    </row>
    <row r="2027">
      <c r="A2027" s="141"/>
      <c r="B2027" s="141"/>
      <c r="C2027" s="141"/>
      <c r="D2027" s="141"/>
      <c r="E2027" s="141"/>
      <c r="F2027" s="141"/>
      <c r="G2027" s="141"/>
      <c r="H2027" s="141"/>
      <c r="I2027" s="141"/>
      <c r="J2027" s="141"/>
      <c r="K2027" s="141"/>
      <c r="L2027" s="141"/>
      <c r="M2027" s="141"/>
      <c r="N2027" s="141"/>
      <c r="O2027" s="141"/>
      <c r="P2027" s="141"/>
      <c r="Q2027" s="141"/>
      <c r="R2027" s="141"/>
      <c r="S2027" s="141"/>
      <c r="T2027" s="141"/>
      <c r="U2027" s="141"/>
      <c r="V2027" s="141"/>
      <c r="W2027" s="141"/>
      <c r="X2027" s="141"/>
      <c r="Y2027" s="141"/>
      <c r="Z2027" s="141"/>
    </row>
    <row r="2028">
      <c r="A2028" s="141"/>
      <c r="B2028" s="141"/>
      <c r="C2028" s="141"/>
      <c r="D2028" s="141"/>
      <c r="E2028" s="141"/>
      <c r="F2028" s="141"/>
      <c r="G2028" s="141"/>
      <c r="H2028" s="141"/>
      <c r="I2028" s="141"/>
      <c r="J2028" s="141"/>
      <c r="K2028" s="141"/>
      <c r="L2028" s="141"/>
      <c r="M2028" s="141"/>
      <c r="N2028" s="141"/>
      <c r="O2028" s="141"/>
      <c r="P2028" s="141"/>
      <c r="Q2028" s="141"/>
      <c r="R2028" s="141"/>
      <c r="S2028" s="141"/>
      <c r="T2028" s="141"/>
      <c r="U2028" s="141"/>
      <c r="V2028" s="141"/>
      <c r="W2028" s="141"/>
      <c r="X2028" s="141"/>
      <c r="Y2028" s="141"/>
      <c r="Z2028" s="141"/>
    </row>
    <row r="2029">
      <c r="A2029" s="141"/>
      <c r="B2029" s="141"/>
      <c r="C2029" s="141"/>
      <c r="D2029" s="141"/>
      <c r="E2029" s="141"/>
      <c r="F2029" s="141"/>
      <c r="G2029" s="141"/>
      <c r="H2029" s="141"/>
      <c r="I2029" s="141"/>
      <c r="J2029" s="141"/>
      <c r="K2029" s="141"/>
      <c r="L2029" s="141"/>
      <c r="M2029" s="141"/>
      <c r="N2029" s="141"/>
      <c r="O2029" s="141"/>
      <c r="P2029" s="141"/>
      <c r="Q2029" s="141"/>
      <c r="R2029" s="141"/>
      <c r="S2029" s="141"/>
      <c r="T2029" s="141"/>
      <c r="U2029" s="141"/>
      <c r="V2029" s="141"/>
      <c r="W2029" s="141"/>
      <c r="X2029" s="141"/>
      <c r="Y2029" s="141"/>
      <c r="Z2029" s="141"/>
    </row>
    <row r="2030">
      <c r="A2030" s="141"/>
      <c r="B2030" s="141"/>
      <c r="C2030" s="141"/>
      <c r="D2030" s="141"/>
      <c r="E2030" s="141"/>
      <c r="F2030" s="141"/>
      <c r="G2030" s="141"/>
      <c r="H2030" s="141"/>
      <c r="I2030" s="141"/>
      <c r="J2030" s="141"/>
      <c r="K2030" s="141"/>
      <c r="L2030" s="141"/>
      <c r="M2030" s="141"/>
      <c r="N2030" s="141"/>
      <c r="O2030" s="141"/>
      <c r="P2030" s="141"/>
      <c r="Q2030" s="141"/>
      <c r="R2030" s="141"/>
      <c r="S2030" s="141"/>
      <c r="T2030" s="141"/>
      <c r="U2030" s="141"/>
      <c r="V2030" s="141"/>
      <c r="W2030" s="141"/>
      <c r="X2030" s="141"/>
      <c r="Y2030" s="141"/>
      <c r="Z2030" s="141"/>
    </row>
    <row r="2031">
      <c r="A2031" s="141"/>
      <c r="B2031" s="141"/>
      <c r="C2031" s="141"/>
      <c r="D2031" s="141"/>
      <c r="E2031" s="141"/>
      <c r="F2031" s="141"/>
      <c r="G2031" s="141"/>
      <c r="H2031" s="141"/>
      <c r="I2031" s="141"/>
      <c r="J2031" s="141"/>
      <c r="K2031" s="141"/>
      <c r="L2031" s="141"/>
      <c r="M2031" s="141"/>
      <c r="N2031" s="141"/>
      <c r="O2031" s="141"/>
      <c r="P2031" s="141"/>
      <c r="Q2031" s="141"/>
      <c r="R2031" s="141"/>
      <c r="S2031" s="141"/>
      <c r="T2031" s="141"/>
      <c r="U2031" s="141"/>
      <c r="V2031" s="141"/>
      <c r="W2031" s="141"/>
      <c r="X2031" s="141"/>
      <c r="Y2031" s="141"/>
      <c r="Z2031" s="141"/>
    </row>
    <row r="2032">
      <c r="A2032" s="141"/>
      <c r="B2032" s="141"/>
      <c r="C2032" s="141"/>
      <c r="D2032" s="141"/>
      <c r="E2032" s="141"/>
      <c r="F2032" s="141"/>
      <c r="G2032" s="141"/>
      <c r="H2032" s="141"/>
      <c r="I2032" s="141"/>
      <c r="J2032" s="141"/>
      <c r="K2032" s="141"/>
      <c r="L2032" s="141"/>
      <c r="M2032" s="141"/>
      <c r="N2032" s="141"/>
      <c r="O2032" s="141"/>
      <c r="P2032" s="141"/>
      <c r="Q2032" s="141"/>
      <c r="R2032" s="141"/>
      <c r="S2032" s="141"/>
      <c r="T2032" s="141"/>
      <c r="U2032" s="141"/>
      <c r="V2032" s="141"/>
      <c r="W2032" s="141"/>
      <c r="X2032" s="141"/>
      <c r="Y2032" s="141"/>
      <c r="Z2032" s="141"/>
    </row>
    <row r="2033">
      <c r="A2033" s="141"/>
      <c r="B2033" s="141"/>
      <c r="C2033" s="141"/>
      <c r="D2033" s="141"/>
      <c r="E2033" s="141"/>
      <c r="F2033" s="141"/>
      <c r="G2033" s="141"/>
      <c r="H2033" s="141"/>
      <c r="I2033" s="141"/>
      <c r="J2033" s="141"/>
      <c r="K2033" s="141"/>
      <c r="L2033" s="141"/>
      <c r="M2033" s="141"/>
      <c r="N2033" s="141"/>
      <c r="O2033" s="141"/>
      <c r="P2033" s="141"/>
      <c r="Q2033" s="141"/>
      <c r="R2033" s="141"/>
      <c r="S2033" s="141"/>
      <c r="T2033" s="141"/>
      <c r="U2033" s="141"/>
      <c r="V2033" s="141"/>
      <c r="W2033" s="141"/>
      <c r="X2033" s="141"/>
      <c r="Y2033" s="141"/>
      <c r="Z2033" s="141"/>
    </row>
    <row r="2034">
      <c r="A2034" s="141"/>
      <c r="B2034" s="141"/>
      <c r="C2034" s="141"/>
      <c r="D2034" s="141"/>
      <c r="E2034" s="141"/>
      <c r="F2034" s="141"/>
      <c r="G2034" s="141"/>
      <c r="H2034" s="141"/>
      <c r="I2034" s="141"/>
      <c r="J2034" s="141"/>
      <c r="K2034" s="141"/>
      <c r="L2034" s="141"/>
      <c r="M2034" s="141"/>
      <c r="N2034" s="141"/>
      <c r="O2034" s="141"/>
      <c r="P2034" s="141"/>
      <c r="Q2034" s="141"/>
      <c r="R2034" s="141"/>
      <c r="S2034" s="141"/>
      <c r="T2034" s="141"/>
      <c r="U2034" s="141"/>
      <c r="V2034" s="141"/>
      <c r="W2034" s="141"/>
      <c r="X2034" s="141"/>
      <c r="Y2034" s="141"/>
      <c r="Z2034" s="141"/>
    </row>
    <row r="2035">
      <c r="A2035" s="141"/>
      <c r="B2035" s="141"/>
      <c r="C2035" s="141"/>
      <c r="D2035" s="141"/>
      <c r="E2035" s="141"/>
      <c r="F2035" s="141"/>
      <c r="G2035" s="141"/>
      <c r="H2035" s="141"/>
      <c r="I2035" s="141"/>
      <c r="J2035" s="141"/>
      <c r="K2035" s="141"/>
      <c r="L2035" s="141"/>
      <c r="M2035" s="141"/>
      <c r="N2035" s="141"/>
      <c r="O2035" s="141"/>
      <c r="P2035" s="141"/>
      <c r="Q2035" s="141"/>
      <c r="R2035" s="141"/>
      <c r="S2035" s="141"/>
      <c r="T2035" s="141"/>
      <c r="U2035" s="141"/>
      <c r="V2035" s="141"/>
      <c r="W2035" s="141"/>
      <c r="X2035" s="141"/>
      <c r="Y2035" s="141"/>
      <c r="Z2035" s="141"/>
    </row>
    <row r="2036">
      <c r="A2036" s="141"/>
      <c r="B2036" s="141"/>
      <c r="C2036" s="141"/>
      <c r="D2036" s="141"/>
      <c r="E2036" s="141"/>
      <c r="F2036" s="141"/>
      <c r="G2036" s="141"/>
      <c r="H2036" s="141"/>
      <c r="I2036" s="141"/>
      <c r="J2036" s="141"/>
      <c r="K2036" s="141"/>
      <c r="L2036" s="141"/>
      <c r="M2036" s="141"/>
      <c r="N2036" s="141"/>
      <c r="O2036" s="141"/>
      <c r="P2036" s="141"/>
      <c r="Q2036" s="141"/>
      <c r="R2036" s="141"/>
      <c r="S2036" s="141"/>
      <c r="T2036" s="141"/>
      <c r="U2036" s="141"/>
      <c r="V2036" s="141"/>
      <c r="W2036" s="141"/>
      <c r="X2036" s="141"/>
      <c r="Y2036" s="141"/>
      <c r="Z2036" s="141"/>
    </row>
    <row r="2037">
      <c r="A2037" s="141"/>
      <c r="B2037" s="141"/>
      <c r="C2037" s="141"/>
      <c r="D2037" s="141"/>
      <c r="E2037" s="141"/>
      <c r="F2037" s="141"/>
      <c r="G2037" s="141"/>
      <c r="H2037" s="141"/>
      <c r="I2037" s="141"/>
      <c r="J2037" s="141"/>
      <c r="K2037" s="141"/>
      <c r="L2037" s="141"/>
      <c r="M2037" s="141"/>
      <c r="N2037" s="141"/>
      <c r="O2037" s="141"/>
      <c r="P2037" s="141"/>
      <c r="Q2037" s="141"/>
      <c r="R2037" s="141"/>
      <c r="S2037" s="141"/>
      <c r="T2037" s="141"/>
      <c r="U2037" s="141"/>
      <c r="V2037" s="141"/>
      <c r="W2037" s="141"/>
      <c r="X2037" s="141"/>
      <c r="Y2037" s="141"/>
      <c r="Z2037" s="141"/>
    </row>
    <row r="2038">
      <c r="A2038" s="141"/>
      <c r="B2038" s="141"/>
      <c r="C2038" s="141"/>
      <c r="D2038" s="141"/>
      <c r="E2038" s="141"/>
      <c r="F2038" s="141"/>
      <c r="G2038" s="141"/>
      <c r="H2038" s="141"/>
      <c r="I2038" s="141"/>
      <c r="J2038" s="141"/>
      <c r="K2038" s="141"/>
      <c r="L2038" s="141"/>
      <c r="M2038" s="141"/>
      <c r="N2038" s="141"/>
      <c r="O2038" s="141"/>
      <c r="P2038" s="141"/>
      <c r="Q2038" s="141"/>
      <c r="R2038" s="141"/>
      <c r="S2038" s="141"/>
      <c r="T2038" s="141"/>
      <c r="U2038" s="141"/>
      <c r="V2038" s="141"/>
      <c r="W2038" s="141"/>
      <c r="X2038" s="141"/>
      <c r="Y2038" s="141"/>
      <c r="Z2038" s="141"/>
    </row>
    <row r="2039">
      <c r="A2039" s="141"/>
      <c r="B2039" s="141"/>
      <c r="C2039" s="141"/>
      <c r="D2039" s="141"/>
      <c r="E2039" s="141"/>
      <c r="F2039" s="141"/>
      <c r="G2039" s="141"/>
      <c r="H2039" s="141"/>
      <c r="I2039" s="141"/>
      <c r="J2039" s="141"/>
      <c r="K2039" s="141"/>
      <c r="L2039" s="141"/>
      <c r="M2039" s="141"/>
      <c r="N2039" s="141"/>
      <c r="O2039" s="141"/>
      <c r="P2039" s="141"/>
      <c r="Q2039" s="141"/>
      <c r="R2039" s="141"/>
      <c r="S2039" s="141"/>
      <c r="T2039" s="141"/>
      <c r="U2039" s="141"/>
      <c r="V2039" s="141"/>
      <c r="W2039" s="141"/>
      <c r="X2039" s="141"/>
      <c r="Y2039" s="141"/>
      <c r="Z2039" s="141"/>
    </row>
    <row r="2040">
      <c r="A2040" s="141"/>
      <c r="B2040" s="141"/>
      <c r="C2040" s="141"/>
      <c r="D2040" s="141"/>
      <c r="E2040" s="141"/>
      <c r="F2040" s="141"/>
      <c r="G2040" s="141"/>
      <c r="H2040" s="141"/>
      <c r="I2040" s="141"/>
      <c r="J2040" s="141"/>
      <c r="K2040" s="141"/>
      <c r="L2040" s="141"/>
      <c r="M2040" s="141"/>
      <c r="N2040" s="141"/>
      <c r="O2040" s="141"/>
      <c r="P2040" s="141"/>
      <c r="Q2040" s="141"/>
      <c r="R2040" s="141"/>
      <c r="S2040" s="141"/>
      <c r="T2040" s="141"/>
      <c r="U2040" s="141"/>
      <c r="V2040" s="141"/>
      <c r="W2040" s="141"/>
      <c r="X2040" s="141"/>
      <c r="Y2040" s="141"/>
      <c r="Z2040" s="141"/>
    </row>
    <row r="2041">
      <c r="A2041" s="141"/>
      <c r="B2041" s="141"/>
      <c r="C2041" s="141"/>
      <c r="D2041" s="141"/>
      <c r="E2041" s="141"/>
      <c r="F2041" s="141"/>
      <c r="G2041" s="141"/>
      <c r="H2041" s="141"/>
      <c r="I2041" s="141"/>
      <c r="J2041" s="141"/>
      <c r="K2041" s="141"/>
      <c r="L2041" s="141"/>
      <c r="M2041" s="141"/>
      <c r="N2041" s="141"/>
      <c r="O2041" s="141"/>
      <c r="P2041" s="141"/>
      <c r="Q2041" s="141"/>
      <c r="R2041" s="141"/>
      <c r="S2041" s="141"/>
      <c r="T2041" s="141"/>
      <c r="U2041" s="141"/>
      <c r="V2041" s="141"/>
      <c r="W2041" s="141"/>
      <c r="X2041" s="141"/>
      <c r="Y2041" s="141"/>
      <c r="Z2041" s="141"/>
    </row>
    <row r="2042">
      <c r="A2042" s="141"/>
      <c r="B2042" s="141"/>
      <c r="C2042" s="141"/>
      <c r="D2042" s="141"/>
      <c r="E2042" s="141"/>
      <c r="F2042" s="141"/>
      <c r="G2042" s="141"/>
      <c r="H2042" s="141"/>
      <c r="I2042" s="141"/>
      <c r="J2042" s="141"/>
      <c r="K2042" s="141"/>
      <c r="L2042" s="141"/>
      <c r="M2042" s="141"/>
      <c r="N2042" s="141"/>
      <c r="O2042" s="141"/>
      <c r="P2042" s="141"/>
      <c r="Q2042" s="141"/>
      <c r="R2042" s="141"/>
      <c r="S2042" s="141"/>
      <c r="T2042" s="141"/>
      <c r="U2042" s="141"/>
      <c r="V2042" s="141"/>
      <c r="W2042" s="141"/>
      <c r="X2042" s="141"/>
      <c r="Y2042" s="141"/>
      <c r="Z2042" s="141"/>
    </row>
    <row r="2043">
      <c r="A2043" s="141"/>
      <c r="B2043" s="141"/>
      <c r="C2043" s="141"/>
      <c r="D2043" s="141"/>
      <c r="E2043" s="141"/>
      <c r="F2043" s="141"/>
      <c r="G2043" s="141"/>
      <c r="H2043" s="141"/>
      <c r="I2043" s="141"/>
      <c r="J2043" s="141"/>
      <c r="K2043" s="141"/>
      <c r="L2043" s="141"/>
      <c r="M2043" s="141"/>
      <c r="N2043" s="141"/>
      <c r="O2043" s="141"/>
      <c r="P2043" s="141"/>
      <c r="Q2043" s="141"/>
      <c r="R2043" s="141"/>
      <c r="S2043" s="141"/>
      <c r="T2043" s="141"/>
      <c r="U2043" s="141"/>
      <c r="V2043" s="141"/>
      <c r="W2043" s="141"/>
      <c r="X2043" s="141"/>
      <c r="Y2043" s="141"/>
      <c r="Z2043" s="141"/>
    </row>
    <row r="2044">
      <c r="A2044" s="141"/>
      <c r="B2044" s="141"/>
      <c r="C2044" s="141"/>
      <c r="D2044" s="141"/>
      <c r="E2044" s="141"/>
      <c r="F2044" s="141"/>
      <c r="G2044" s="141"/>
      <c r="H2044" s="141"/>
      <c r="I2044" s="141"/>
      <c r="J2044" s="141"/>
      <c r="K2044" s="141"/>
      <c r="L2044" s="141"/>
      <c r="M2044" s="141"/>
      <c r="N2044" s="141"/>
      <c r="O2044" s="141"/>
      <c r="P2044" s="141"/>
      <c r="Q2044" s="141"/>
      <c r="R2044" s="141"/>
      <c r="S2044" s="141"/>
      <c r="T2044" s="141"/>
      <c r="U2044" s="141"/>
      <c r="V2044" s="141"/>
      <c r="W2044" s="141"/>
      <c r="X2044" s="141"/>
      <c r="Y2044" s="141"/>
      <c r="Z2044" s="141"/>
    </row>
    <row r="2045">
      <c r="A2045" s="141"/>
      <c r="B2045" s="141"/>
      <c r="C2045" s="141"/>
      <c r="D2045" s="141"/>
      <c r="E2045" s="141"/>
      <c r="F2045" s="141"/>
      <c r="G2045" s="141"/>
      <c r="H2045" s="141"/>
      <c r="I2045" s="141"/>
      <c r="J2045" s="141"/>
      <c r="K2045" s="141"/>
      <c r="L2045" s="141"/>
      <c r="M2045" s="141"/>
      <c r="N2045" s="141"/>
      <c r="O2045" s="141"/>
      <c r="P2045" s="141"/>
      <c r="Q2045" s="141"/>
      <c r="R2045" s="141"/>
      <c r="S2045" s="141"/>
      <c r="T2045" s="141"/>
      <c r="U2045" s="141"/>
      <c r="V2045" s="141"/>
      <c r="W2045" s="141"/>
      <c r="X2045" s="141"/>
      <c r="Y2045" s="141"/>
      <c r="Z2045" s="141"/>
    </row>
    <row r="2046">
      <c r="A2046" s="141"/>
      <c r="B2046" s="141"/>
      <c r="C2046" s="141"/>
      <c r="D2046" s="141"/>
      <c r="E2046" s="141"/>
      <c r="F2046" s="141"/>
      <c r="G2046" s="141"/>
      <c r="H2046" s="141"/>
      <c r="I2046" s="141"/>
      <c r="J2046" s="141"/>
      <c r="K2046" s="141"/>
      <c r="L2046" s="141"/>
      <c r="M2046" s="141"/>
      <c r="N2046" s="141"/>
      <c r="O2046" s="141"/>
      <c r="P2046" s="141"/>
      <c r="Q2046" s="141"/>
      <c r="R2046" s="141"/>
      <c r="S2046" s="141"/>
      <c r="T2046" s="141"/>
      <c r="U2046" s="141"/>
      <c r="V2046" s="141"/>
      <c r="W2046" s="141"/>
      <c r="X2046" s="141"/>
      <c r="Y2046" s="141"/>
      <c r="Z2046" s="141"/>
    </row>
    <row r="2047">
      <c r="A2047" s="141"/>
      <c r="B2047" s="141"/>
      <c r="C2047" s="141"/>
      <c r="D2047" s="141"/>
      <c r="E2047" s="141"/>
      <c r="F2047" s="141"/>
      <c r="G2047" s="141"/>
      <c r="H2047" s="141"/>
      <c r="I2047" s="141"/>
      <c r="J2047" s="141"/>
      <c r="K2047" s="141"/>
      <c r="L2047" s="141"/>
      <c r="M2047" s="141"/>
      <c r="N2047" s="141"/>
      <c r="O2047" s="141"/>
      <c r="P2047" s="141"/>
      <c r="Q2047" s="141"/>
      <c r="R2047" s="141"/>
      <c r="S2047" s="141"/>
      <c r="T2047" s="141"/>
      <c r="U2047" s="141"/>
      <c r="V2047" s="141"/>
      <c r="W2047" s="141"/>
      <c r="X2047" s="141"/>
      <c r="Y2047" s="141"/>
      <c r="Z2047" s="141"/>
    </row>
    <row r="2048">
      <c r="A2048" s="141"/>
      <c r="B2048" s="141"/>
      <c r="C2048" s="141"/>
      <c r="D2048" s="141"/>
      <c r="E2048" s="141"/>
      <c r="F2048" s="141"/>
      <c r="G2048" s="141"/>
      <c r="H2048" s="141"/>
      <c r="I2048" s="141"/>
      <c r="J2048" s="141"/>
      <c r="K2048" s="141"/>
      <c r="L2048" s="141"/>
      <c r="M2048" s="141"/>
      <c r="N2048" s="141"/>
      <c r="O2048" s="141"/>
      <c r="P2048" s="141"/>
      <c r="Q2048" s="141"/>
      <c r="R2048" s="141"/>
      <c r="S2048" s="141"/>
      <c r="T2048" s="141"/>
      <c r="U2048" s="141"/>
      <c r="V2048" s="141"/>
      <c r="W2048" s="141"/>
      <c r="X2048" s="141"/>
      <c r="Y2048" s="141"/>
      <c r="Z2048" s="141"/>
    </row>
    <row r="2049">
      <c r="A2049" s="141"/>
      <c r="B2049" s="141"/>
      <c r="C2049" s="141"/>
      <c r="D2049" s="141"/>
      <c r="E2049" s="141"/>
      <c r="F2049" s="141"/>
      <c r="G2049" s="141"/>
      <c r="H2049" s="141"/>
      <c r="I2049" s="141"/>
      <c r="J2049" s="141"/>
      <c r="K2049" s="141"/>
      <c r="L2049" s="141"/>
      <c r="M2049" s="141"/>
      <c r="N2049" s="141"/>
      <c r="O2049" s="141"/>
      <c r="P2049" s="141"/>
      <c r="Q2049" s="141"/>
      <c r="R2049" s="141"/>
      <c r="S2049" s="141"/>
      <c r="T2049" s="141"/>
      <c r="U2049" s="141"/>
      <c r="V2049" s="141"/>
      <c r="W2049" s="141"/>
      <c r="X2049" s="141"/>
      <c r="Y2049" s="141"/>
      <c r="Z2049" s="141"/>
    </row>
    <row r="2050">
      <c r="A2050" s="141"/>
      <c r="B2050" s="141"/>
      <c r="C2050" s="141"/>
      <c r="D2050" s="141"/>
      <c r="E2050" s="141"/>
      <c r="F2050" s="141"/>
      <c r="G2050" s="141"/>
      <c r="H2050" s="141"/>
      <c r="I2050" s="141"/>
      <c r="J2050" s="141"/>
      <c r="K2050" s="141"/>
      <c r="L2050" s="141"/>
      <c r="M2050" s="141"/>
      <c r="N2050" s="141"/>
      <c r="O2050" s="141"/>
      <c r="P2050" s="141"/>
      <c r="Q2050" s="141"/>
      <c r="R2050" s="141"/>
      <c r="S2050" s="141"/>
      <c r="T2050" s="141"/>
      <c r="U2050" s="141"/>
      <c r="V2050" s="141"/>
      <c r="W2050" s="141"/>
      <c r="X2050" s="141"/>
      <c r="Y2050" s="141"/>
      <c r="Z2050" s="141"/>
    </row>
    <row r="2051">
      <c r="A2051" s="141"/>
      <c r="B2051" s="141"/>
      <c r="C2051" s="141"/>
      <c r="D2051" s="141"/>
      <c r="E2051" s="141"/>
      <c r="F2051" s="141"/>
      <c r="G2051" s="141"/>
      <c r="H2051" s="141"/>
      <c r="I2051" s="141"/>
      <c r="J2051" s="141"/>
      <c r="K2051" s="141"/>
      <c r="L2051" s="141"/>
      <c r="M2051" s="141"/>
      <c r="N2051" s="141"/>
      <c r="O2051" s="141"/>
      <c r="P2051" s="141"/>
      <c r="Q2051" s="141"/>
      <c r="R2051" s="141"/>
      <c r="S2051" s="141"/>
      <c r="T2051" s="141"/>
      <c r="U2051" s="141"/>
      <c r="V2051" s="141"/>
      <c r="W2051" s="141"/>
      <c r="X2051" s="141"/>
      <c r="Y2051" s="141"/>
      <c r="Z2051" s="141"/>
    </row>
    <row r="2052">
      <c r="A2052" s="141"/>
      <c r="B2052" s="141"/>
      <c r="C2052" s="141"/>
      <c r="D2052" s="141"/>
      <c r="E2052" s="141"/>
      <c r="F2052" s="141"/>
      <c r="G2052" s="141"/>
      <c r="H2052" s="141"/>
      <c r="I2052" s="141"/>
      <c r="J2052" s="141"/>
      <c r="K2052" s="141"/>
      <c r="L2052" s="141"/>
      <c r="M2052" s="141"/>
      <c r="N2052" s="141"/>
      <c r="O2052" s="141"/>
      <c r="P2052" s="141"/>
      <c r="Q2052" s="141"/>
      <c r="R2052" s="141"/>
      <c r="S2052" s="141"/>
      <c r="T2052" s="141"/>
      <c r="U2052" s="141"/>
      <c r="V2052" s="141"/>
      <c r="W2052" s="141"/>
      <c r="X2052" s="141"/>
      <c r="Y2052" s="141"/>
      <c r="Z2052" s="141"/>
    </row>
    <row r="2053">
      <c r="A2053" s="141"/>
      <c r="B2053" s="141"/>
      <c r="C2053" s="141"/>
      <c r="D2053" s="141"/>
      <c r="E2053" s="141"/>
      <c r="F2053" s="141"/>
      <c r="G2053" s="141"/>
      <c r="H2053" s="141"/>
      <c r="I2053" s="141"/>
      <c r="J2053" s="141"/>
      <c r="K2053" s="141"/>
      <c r="L2053" s="141"/>
      <c r="M2053" s="141"/>
      <c r="N2053" s="141"/>
      <c r="O2053" s="141"/>
      <c r="P2053" s="141"/>
      <c r="Q2053" s="141"/>
      <c r="R2053" s="141"/>
      <c r="S2053" s="141"/>
      <c r="T2053" s="141"/>
      <c r="U2053" s="141"/>
      <c r="V2053" s="141"/>
      <c r="W2053" s="141"/>
      <c r="X2053" s="141"/>
      <c r="Y2053" s="141"/>
      <c r="Z2053" s="141"/>
    </row>
    <row r="2054">
      <c r="A2054" s="141"/>
      <c r="B2054" s="141"/>
      <c r="C2054" s="141"/>
      <c r="D2054" s="141"/>
      <c r="E2054" s="141"/>
      <c r="F2054" s="141"/>
      <c r="G2054" s="141"/>
      <c r="H2054" s="141"/>
      <c r="I2054" s="141"/>
      <c r="J2054" s="141"/>
      <c r="K2054" s="141"/>
      <c r="L2054" s="141"/>
      <c r="M2054" s="141"/>
      <c r="N2054" s="141"/>
      <c r="O2054" s="141"/>
      <c r="P2054" s="141"/>
      <c r="Q2054" s="141"/>
      <c r="R2054" s="141"/>
      <c r="S2054" s="141"/>
      <c r="T2054" s="141"/>
      <c r="U2054" s="141"/>
      <c r="V2054" s="141"/>
      <c r="W2054" s="141"/>
      <c r="X2054" s="141"/>
      <c r="Y2054" s="141"/>
      <c r="Z2054" s="141"/>
    </row>
    <row r="2055">
      <c r="A2055" s="141"/>
      <c r="B2055" s="141"/>
      <c r="C2055" s="141"/>
      <c r="D2055" s="141"/>
      <c r="E2055" s="141"/>
      <c r="F2055" s="141"/>
      <c r="G2055" s="141"/>
      <c r="H2055" s="141"/>
      <c r="I2055" s="141"/>
      <c r="J2055" s="141"/>
      <c r="K2055" s="141"/>
      <c r="L2055" s="141"/>
      <c r="M2055" s="141"/>
      <c r="N2055" s="141"/>
      <c r="O2055" s="141"/>
      <c r="P2055" s="141"/>
      <c r="Q2055" s="141"/>
      <c r="R2055" s="141"/>
      <c r="S2055" s="141"/>
      <c r="T2055" s="141"/>
      <c r="U2055" s="141"/>
      <c r="V2055" s="141"/>
      <c r="W2055" s="141"/>
      <c r="X2055" s="141"/>
      <c r="Y2055" s="141"/>
      <c r="Z2055" s="141"/>
    </row>
    <row r="2056">
      <c r="A2056" s="141"/>
      <c r="B2056" s="141"/>
      <c r="C2056" s="141"/>
      <c r="D2056" s="141"/>
      <c r="E2056" s="141"/>
      <c r="F2056" s="141"/>
      <c r="G2056" s="141"/>
      <c r="H2056" s="141"/>
      <c r="I2056" s="141"/>
      <c r="J2056" s="141"/>
      <c r="K2056" s="141"/>
      <c r="L2056" s="141"/>
      <c r="M2056" s="141"/>
      <c r="N2056" s="141"/>
      <c r="O2056" s="141"/>
      <c r="P2056" s="141"/>
      <c r="Q2056" s="141"/>
      <c r="R2056" s="141"/>
      <c r="S2056" s="141"/>
      <c r="T2056" s="141"/>
      <c r="U2056" s="141"/>
      <c r="V2056" s="141"/>
      <c r="W2056" s="141"/>
      <c r="X2056" s="141"/>
      <c r="Y2056" s="141"/>
      <c r="Z2056" s="141"/>
    </row>
    <row r="2057">
      <c r="A2057" s="141"/>
      <c r="B2057" s="141"/>
      <c r="C2057" s="141"/>
      <c r="D2057" s="141"/>
      <c r="E2057" s="141"/>
      <c r="F2057" s="141"/>
      <c r="G2057" s="141"/>
      <c r="H2057" s="141"/>
      <c r="I2057" s="141"/>
      <c r="J2057" s="141"/>
      <c r="K2057" s="141"/>
      <c r="L2057" s="141"/>
      <c r="M2057" s="141"/>
      <c r="N2057" s="141"/>
      <c r="O2057" s="141"/>
      <c r="P2057" s="141"/>
      <c r="Q2057" s="141"/>
      <c r="R2057" s="141"/>
      <c r="S2057" s="141"/>
      <c r="T2057" s="141"/>
      <c r="U2057" s="141"/>
      <c r="V2057" s="141"/>
      <c r="W2057" s="141"/>
      <c r="X2057" s="141"/>
      <c r="Y2057" s="141"/>
      <c r="Z2057" s="141"/>
    </row>
    <row r="2058">
      <c r="A2058" s="141"/>
      <c r="B2058" s="141"/>
      <c r="C2058" s="141"/>
      <c r="D2058" s="141"/>
      <c r="E2058" s="141"/>
      <c r="F2058" s="141"/>
      <c r="G2058" s="141"/>
      <c r="H2058" s="141"/>
      <c r="I2058" s="141"/>
      <c r="J2058" s="141"/>
      <c r="K2058" s="141"/>
      <c r="L2058" s="141"/>
      <c r="M2058" s="141"/>
      <c r="N2058" s="141"/>
      <c r="O2058" s="141"/>
      <c r="P2058" s="141"/>
      <c r="Q2058" s="141"/>
      <c r="R2058" s="141"/>
      <c r="S2058" s="141"/>
      <c r="T2058" s="141"/>
      <c r="U2058" s="141"/>
      <c r="V2058" s="141"/>
      <c r="W2058" s="141"/>
      <c r="X2058" s="141"/>
      <c r="Y2058" s="141"/>
      <c r="Z2058" s="141"/>
    </row>
    <row r="2059">
      <c r="A2059" s="141"/>
      <c r="B2059" s="141"/>
      <c r="C2059" s="141"/>
      <c r="D2059" s="141"/>
      <c r="E2059" s="141"/>
      <c r="F2059" s="141"/>
      <c r="G2059" s="141"/>
      <c r="H2059" s="141"/>
      <c r="I2059" s="141"/>
      <c r="J2059" s="141"/>
      <c r="K2059" s="141"/>
      <c r="L2059" s="141"/>
      <c r="M2059" s="141"/>
      <c r="N2059" s="141"/>
      <c r="O2059" s="141"/>
      <c r="P2059" s="141"/>
      <c r="Q2059" s="141"/>
      <c r="R2059" s="141"/>
      <c r="S2059" s="141"/>
      <c r="T2059" s="141"/>
      <c r="U2059" s="141"/>
      <c r="V2059" s="141"/>
      <c r="W2059" s="141"/>
      <c r="X2059" s="141"/>
      <c r="Y2059" s="141"/>
      <c r="Z2059" s="141"/>
    </row>
    <row r="2060">
      <c r="A2060" s="141"/>
      <c r="B2060" s="141"/>
      <c r="C2060" s="141"/>
      <c r="D2060" s="141"/>
      <c r="E2060" s="141"/>
      <c r="F2060" s="141"/>
      <c r="G2060" s="141"/>
      <c r="H2060" s="141"/>
      <c r="I2060" s="141"/>
      <c r="J2060" s="141"/>
      <c r="K2060" s="141"/>
      <c r="L2060" s="141"/>
      <c r="M2060" s="141"/>
      <c r="N2060" s="141"/>
      <c r="O2060" s="141"/>
      <c r="P2060" s="141"/>
      <c r="Q2060" s="141"/>
      <c r="R2060" s="141"/>
      <c r="S2060" s="141"/>
      <c r="T2060" s="141"/>
      <c r="U2060" s="141"/>
      <c r="V2060" s="141"/>
      <c r="W2060" s="141"/>
      <c r="X2060" s="141"/>
      <c r="Y2060" s="141"/>
      <c r="Z2060" s="141"/>
    </row>
    <row r="2061">
      <c r="A2061" s="141"/>
      <c r="B2061" s="141"/>
      <c r="C2061" s="141"/>
      <c r="D2061" s="141"/>
      <c r="E2061" s="141"/>
      <c r="F2061" s="141"/>
      <c r="G2061" s="141"/>
      <c r="H2061" s="141"/>
      <c r="I2061" s="141"/>
      <c r="J2061" s="141"/>
      <c r="K2061" s="141"/>
      <c r="L2061" s="141"/>
      <c r="M2061" s="141"/>
      <c r="N2061" s="141"/>
      <c r="O2061" s="141"/>
      <c r="P2061" s="141"/>
      <c r="Q2061" s="141"/>
      <c r="R2061" s="141"/>
      <c r="S2061" s="141"/>
      <c r="T2061" s="141"/>
      <c r="U2061" s="141"/>
      <c r="V2061" s="141"/>
      <c r="W2061" s="141"/>
      <c r="X2061" s="141"/>
      <c r="Y2061" s="141"/>
      <c r="Z2061" s="141"/>
    </row>
    <row r="2062">
      <c r="A2062" s="141"/>
      <c r="B2062" s="141"/>
      <c r="C2062" s="141"/>
      <c r="D2062" s="141"/>
      <c r="E2062" s="141"/>
      <c r="F2062" s="141"/>
      <c r="G2062" s="141"/>
      <c r="H2062" s="141"/>
      <c r="I2062" s="141"/>
      <c r="J2062" s="141"/>
      <c r="K2062" s="141"/>
      <c r="L2062" s="141"/>
      <c r="M2062" s="141"/>
      <c r="N2062" s="141"/>
      <c r="O2062" s="141"/>
      <c r="P2062" s="141"/>
      <c r="Q2062" s="141"/>
      <c r="R2062" s="141"/>
      <c r="S2062" s="141"/>
      <c r="T2062" s="141"/>
      <c r="U2062" s="141"/>
      <c r="V2062" s="141"/>
      <c r="W2062" s="141"/>
      <c r="X2062" s="141"/>
      <c r="Y2062" s="141"/>
      <c r="Z2062" s="141"/>
    </row>
    <row r="2063">
      <c r="A2063" s="141"/>
      <c r="B2063" s="141"/>
      <c r="C2063" s="141"/>
      <c r="D2063" s="141"/>
      <c r="E2063" s="141"/>
      <c r="F2063" s="141"/>
      <c r="G2063" s="141"/>
      <c r="H2063" s="141"/>
      <c r="I2063" s="141"/>
      <c r="J2063" s="141"/>
      <c r="K2063" s="141"/>
      <c r="L2063" s="141"/>
      <c r="M2063" s="141"/>
      <c r="N2063" s="141"/>
      <c r="O2063" s="141"/>
      <c r="P2063" s="141"/>
      <c r="Q2063" s="141"/>
      <c r="R2063" s="141"/>
      <c r="S2063" s="141"/>
      <c r="T2063" s="141"/>
      <c r="U2063" s="141"/>
      <c r="V2063" s="141"/>
      <c r="W2063" s="141"/>
      <c r="X2063" s="141"/>
      <c r="Y2063" s="141"/>
      <c r="Z2063" s="141"/>
    </row>
    <row r="2064">
      <c r="A2064" s="141"/>
      <c r="B2064" s="141"/>
      <c r="C2064" s="141"/>
      <c r="D2064" s="141"/>
      <c r="E2064" s="141"/>
      <c r="F2064" s="141"/>
      <c r="G2064" s="141"/>
      <c r="H2064" s="141"/>
      <c r="I2064" s="141"/>
      <c r="J2064" s="141"/>
      <c r="K2064" s="141"/>
      <c r="L2064" s="141"/>
      <c r="M2064" s="141"/>
      <c r="N2064" s="141"/>
      <c r="O2064" s="141"/>
      <c r="P2064" s="141"/>
      <c r="Q2064" s="141"/>
      <c r="R2064" s="141"/>
      <c r="S2064" s="141"/>
      <c r="T2064" s="141"/>
      <c r="U2064" s="141"/>
      <c r="V2064" s="141"/>
      <c r="W2064" s="141"/>
      <c r="X2064" s="141"/>
      <c r="Y2064" s="141"/>
      <c r="Z2064" s="141"/>
    </row>
    <row r="2065">
      <c r="A2065" s="141"/>
      <c r="B2065" s="141"/>
      <c r="C2065" s="141"/>
      <c r="D2065" s="141"/>
      <c r="E2065" s="141"/>
      <c r="F2065" s="141"/>
      <c r="G2065" s="141"/>
      <c r="H2065" s="141"/>
      <c r="I2065" s="141"/>
      <c r="J2065" s="141"/>
      <c r="K2065" s="141"/>
      <c r="L2065" s="141"/>
      <c r="M2065" s="141"/>
      <c r="N2065" s="141"/>
      <c r="O2065" s="141"/>
      <c r="P2065" s="141"/>
      <c r="Q2065" s="141"/>
      <c r="R2065" s="141"/>
      <c r="S2065" s="141"/>
      <c r="T2065" s="141"/>
      <c r="U2065" s="141"/>
      <c r="V2065" s="141"/>
      <c r="W2065" s="141"/>
      <c r="X2065" s="141"/>
      <c r="Y2065" s="141"/>
      <c r="Z2065" s="141"/>
    </row>
    <row r="2066">
      <c r="A2066" s="141"/>
      <c r="B2066" s="141"/>
      <c r="C2066" s="141"/>
      <c r="D2066" s="141"/>
      <c r="E2066" s="141"/>
      <c r="F2066" s="141"/>
      <c r="G2066" s="141"/>
      <c r="H2066" s="141"/>
      <c r="I2066" s="141"/>
      <c r="J2066" s="141"/>
      <c r="K2066" s="141"/>
      <c r="L2066" s="141"/>
      <c r="M2066" s="141"/>
      <c r="N2066" s="141"/>
      <c r="O2066" s="141"/>
      <c r="P2066" s="141"/>
      <c r="Q2066" s="141"/>
      <c r="R2066" s="141"/>
      <c r="S2066" s="141"/>
      <c r="T2066" s="141"/>
      <c r="U2066" s="141"/>
      <c r="V2066" s="141"/>
      <c r="W2066" s="141"/>
      <c r="X2066" s="141"/>
      <c r="Y2066" s="141"/>
      <c r="Z2066" s="141"/>
    </row>
    <row r="2067">
      <c r="A2067" s="141"/>
      <c r="B2067" s="141"/>
      <c r="C2067" s="141"/>
      <c r="D2067" s="141"/>
      <c r="E2067" s="141"/>
      <c r="F2067" s="141"/>
      <c r="G2067" s="141"/>
      <c r="H2067" s="141"/>
      <c r="I2067" s="141"/>
      <c r="J2067" s="141"/>
      <c r="K2067" s="141"/>
      <c r="L2067" s="141"/>
      <c r="M2067" s="141"/>
      <c r="N2067" s="141"/>
      <c r="O2067" s="141"/>
      <c r="P2067" s="141"/>
      <c r="Q2067" s="141"/>
      <c r="R2067" s="141"/>
      <c r="S2067" s="141"/>
      <c r="T2067" s="141"/>
      <c r="U2067" s="141"/>
      <c r="V2067" s="141"/>
      <c r="W2067" s="141"/>
      <c r="X2067" s="141"/>
      <c r="Y2067" s="141"/>
      <c r="Z2067" s="141"/>
    </row>
    <row r="2068">
      <c r="A2068" s="141"/>
      <c r="B2068" s="141"/>
      <c r="C2068" s="141"/>
      <c r="D2068" s="141"/>
      <c r="E2068" s="141"/>
      <c r="F2068" s="141"/>
      <c r="G2068" s="141"/>
      <c r="H2068" s="141"/>
      <c r="I2068" s="141"/>
      <c r="J2068" s="141"/>
      <c r="K2068" s="141"/>
      <c r="L2068" s="141"/>
      <c r="M2068" s="141"/>
      <c r="N2068" s="141"/>
      <c r="O2068" s="141"/>
      <c r="P2068" s="141"/>
      <c r="Q2068" s="141"/>
      <c r="R2068" s="141"/>
      <c r="S2068" s="141"/>
      <c r="T2068" s="141"/>
      <c r="U2068" s="141"/>
      <c r="V2068" s="141"/>
      <c r="W2068" s="141"/>
      <c r="X2068" s="141"/>
      <c r="Y2068" s="141"/>
      <c r="Z2068" s="141"/>
    </row>
    <row r="2069">
      <c r="A2069" s="141"/>
      <c r="B2069" s="141"/>
      <c r="C2069" s="141"/>
      <c r="D2069" s="141"/>
      <c r="E2069" s="141"/>
      <c r="F2069" s="141"/>
      <c r="G2069" s="141"/>
      <c r="H2069" s="141"/>
      <c r="I2069" s="141"/>
      <c r="J2069" s="141"/>
      <c r="K2069" s="141"/>
      <c r="L2069" s="141"/>
      <c r="M2069" s="141"/>
      <c r="N2069" s="141"/>
      <c r="O2069" s="141"/>
      <c r="P2069" s="141"/>
      <c r="Q2069" s="141"/>
      <c r="R2069" s="141"/>
      <c r="S2069" s="141"/>
      <c r="T2069" s="141"/>
      <c r="U2069" s="141"/>
      <c r="V2069" s="141"/>
      <c r="W2069" s="141"/>
      <c r="X2069" s="141"/>
      <c r="Y2069" s="141"/>
      <c r="Z2069" s="141"/>
    </row>
    <row r="2070">
      <c r="A2070" s="141"/>
      <c r="B2070" s="141"/>
      <c r="C2070" s="141"/>
      <c r="D2070" s="141"/>
      <c r="E2070" s="141"/>
      <c r="F2070" s="141"/>
      <c r="G2070" s="141"/>
      <c r="H2070" s="141"/>
      <c r="I2070" s="141"/>
      <c r="J2070" s="141"/>
      <c r="K2070" s="141"/>
      <c r="L2070" s="141"/>
      <c r="M2070" s="141"/>
      <c r="N2070" s="141"/>
      <c r="O2070" s="141"/>
      <c r="P2070" s="141"/>
      <c r="Q2070" s="141"/>
      <c r="R2070" s="141"/>
      <c r="S2070" s="141"/>
      <c r="T2070" s="141"/>
      <c r="U2070" s="141"/>
      <c r="V2070" s="141"/>
      <c r="W2070" s="141"/>
      <c r="X2070" s="141"/>
      <c r="Y2070" s="141"/>
      <c r="Z2070" s="141"/>
    </row>
    <row r="2071">
      <c r="A2071" s="141"/>
      <c r="B2071" s="141"/>
      <c r="C2071" s="141"/>
      <c r="D2071" s="141"/>
      <c r="E2071" s="141"/>
      <c r="F2071" s="141"/>
      <c r="G2071" s="141"/>
      <c r="H2071" s="141"/>
      <c r="I2071" s="141"/>
      <c r="J2071" s="141"/>
      <c r="K2071" s="141"/>
      <c r="L2071" s="141"/>
      <c r="M2071" s="141"/>
      <c r="N2071" s="141"/>
      <c r="O2071" s="141"/>
      <c r="P2071" s="141"/>
      <c r="Q2071" s="141"/>
      <c r="R2071" s="141"/>
      <c r="S2071" s="141"/>
      <c r="T2071" s="141"/>
      <c r="U2071" s="141"/>
      <c r="V2071" s="141"/>
      <c r="W2071" s="141"/>
      <c r="X2071" s="141"/>
      <c r="Y2071" s="141"/>
      <c r="Z2071" s="141"/>
    </row>
    <row r="2072">
      <c r="A2072" s="141"/>
      <c r="B2072" s="141"/>
      <c r="C2072" s="141"/>
      <c r="D2072" s="141"/>
      <c r="E2072" s="141"/>
      <c r="F2072" s="141"/>
      <c r="G2072" s="141"/>
      <c r="H2072" s="141"/>
      <c r="I2072" s="141"/>
      <c r="J2072" s="141"/>
      <c r="K2072" s="141"/>
      <c r="L2072" s="141"/>
      <c r="M2072" s="141"/>
      <c r="N2072" s="141"/>
      <c r="O2072" s="141"/>
      <c r="P2072" s="141"/>
      <c r="Q2072" s="141"/>
      <c r="R2072" s="141"/>
      <c r="S2072" s="141"/>
      <c r="T2072" s="141"/>
      <c r="U2072" s="141"/>
      <c r="V2072" s="141"/>
      <c r="W2072" s="141"/>
      <c r="X2072" s="141"/>
      <c r="Y2072" s="141"/>
      <c r="Z2072" s="141"/>
    </row>
    <row r="2073">
      <c r="A2073" s="141"/>
      <c r="B2073" s="141"/>
      <c r="C2073" s="141"/>
      <c r="D2073" s="141"/>
      <c r="E2073" s="141"/>
      <c r="F2073" s="141"/>
      <c r="G2073" s="141"/>
      <c r="H2073" s="141"/>
      <c r="I2073" s="141"/>
      <c r="J2073" s="141"/>
      <c r="K2073" s="141"/>
      <c r="L2073" s="141"/>
      <c r="M2073" s="141"/>
      <c r="N2073" s="141"/>
      <c r="O2073" s="141"/>
      <c r="P2073" s="141"/>
      <c r="Q2073" s="141"/>
      <c r="R2073" s="141"/>
      <c r="S2073" s="141"/>
      <c r="T2073" s="141"/>
      <c r="U2073" s="141"/>
      <c r="V2073" s="141"/>
      <c r="W2073" s="141"/>
      <c r="X2073" s="141"/>
      <c r="Y2073" s="141"/>
      <c r="Z2073" s="141"/>
    </row>
    <row r="2074">
      <c r="A2074" s="141"/>
      <c r="B2074" s="141"/>
      <c r="C2074" s="141"/>
      <c r="D2074" s="141"/>
      <c r="E2074" s="141"/>
      <c r="F2074" s="141"/>
      <c r="G2074" s="141"/>
      <c r="H2074" s="141"/>
      <c r="I2074" s="141"/>
      <c r="J2074" s="141"/>
      <c r="K2074" s="141"/>
      <c r="L2074" s="141"/>
      <c r="M2074" s="141"/>
      <c r="N2074" s="141"/>
      <c r="O2074" s="141"/>
      <c r="P2074" s="141"/>
      <c r="Q2074" s="141"/>
      <c r="R2074" s="141"/>
      <c r="S2074" s="141"/>
      <c r="T2074" s="141"/>
      <c r="U2074" s="141"/>
      <c r="V2074" s="141"/>
      <c r="W2074" s="141"/>
      <c r="X2074" s="141"/>
      <c r="Y2074" s="141"/>
      <c r="Z2074" s="141"/>
    </row>
    <row r="2075">
      <c r="A2075" s="141"/>
      <c r="B2075" s="141"/>
      <c r="C2075" s="141"/>
      <c r="D2075" s="141"/>
      <c r="E2075" s="141"/>
      <c r="F2075" s="141"/>
      <c r="G2075" s="141"/>
      <c r="H2075" s="141"/>
      <c r="I2075" s="141"/>
      <c r="J2075" s="141"/>
      <c r="K2075" s="141"/>
      <c r="L2075" s="141"/>
      <c r="M2075" s="141"/>
      <c r="N2075" s="141"/>
      <c r="O2075" s="141"/>
      <c r="P2075" s="141"/>
      <c r="Q2075" s="141"/>
      <c r="R2075" s="141"/>
      <c r="S2075" s="141"/>
      <c r="T2075" s="141"/>
      <c r="U2075" s="141"/>
      <c r="V2075" s="141"/>
      <c r="W2075" s="141"/>
      <c r="X2075" s="141"/>
      <c r="Y2075" s="141"/>
      <c r="Z2075" s="141"/>
    </row>
    <row r="2076">
      <c r="A2076" s="141"/>
      <c r="B2076" s="141"/>
      <c r="C2076" s="141"/>
      <c r="D2076" s="141"/>
      <c r="E2076" s="141"/>
      <c r="F2076" s="141"/>
      <c r="G2076" s="141"/>
      <c r="H2076" s="141"/>
      <c r="I2076" s="141"/>
      <c r="J2076" s="141"/>
      <c r="K2076" s="141"/>
      <c r="L2076" s="141"/>
      <c r="M2076" s="141"/>
      <c r="N2076" s="141"/>
      <c r="O2076" s="141"/>
      <c r="P2076" s="141"/>
      <c r="Q2076" s="141"/>
      <c r="R2076" s="141"/>
      <c r="S2076" s="141"/>
      <c r="T2076" s="141"/>
      <c r="U2076" s="141"/>
      <c r="V2076" s="141"/>
      <c r="W2076" s="141"/>
      <c r="X2076" s="141"/>
      <c r="Y2076" s="141"/>
      <c r="Z2076" s="141"/>
    </row>
    <row r="2077">
      <c r="A2077" s="141"/>
      <c r="B2077" s="141"/>
      <c r="C2077" s="141"/>
      <c r="D2077" s="141"/>
      <c r="E2077" s="141"/>
      <c r="F2077" s="141"/>
      <c r="G2077" s="141"/>
      <c r="H2077" s="141"/>
      <c r="I2077" s="141"/>
      <c r="J2077" s="141"/>
      <c r="K2077" s="141"/>
      <c r="L2077" s="141"/>
      <c r="M2077" s="141"/>
      <c r="N2077" s="141"/>
      <c r="O2077" s="141"/>
      <c r="P2077" s="141"/>
      <c r="Q2077" s="141"/>
      <c r="R2077" s="141"/>
      <c r="S2077" s="141"/>
      <c r="T2077" s="141"/>
      <c r="U2077" s="141"/>
      <c r="V2077" s="141"/>
      <c r="W2077" s="141"/>
      <c r="X2077" s="141"/>
      <c r="Y2077" s="141"/>
      <c r="Z2077" s="141"/>
    </row>
    <row r="2078">
      <c r="A2078" s="141"/>
      <c r="B2078" s="141"/>
      <c r="C2078" s="141"/>
      <c r="D2078" s="141"/>
      <c r="E2078" s="141"/>
      <c r="F2078" s="141"/>
      <c r="G2078" s="141"/>
      <c r="H2078" s="141"/>
      <c r="I2078" s="141"/>
      <c r="J2078" s="141"/>
      <c r="K2078" s="141"/>
      <c r="L2078" s="141"/>
      <c r="M2078" s="141"/>
      <c r="N2078" s="141"/>
      <c r="O2078" s="141"/>
      <c r="P2078" s="141"/>
      <c r="Q2078" s="141"/>
      <c r="R2078" s="141"/>
      <c r="S2078" s="141"/>
      <c r="T2078" s="141"/>
      <c r="U2078" s="141"/>
      <c r="V2078" s="141"/>
      <c r="W2078" s="141"/>
      <c r="X2078" s="141"/>
      <c r="Y2078" s="141"/>
      <c r="Z2078" s="141"/>
    </row>
    <row r="2079">
      <c r="A2079" s="141"/>
      <c r="B2079" s="141"/>
      <c r="C2079" s="141"/>
      <c r="D2079" s="141"/>
      <c r="E2079" s="141"/>
      <c r="F2079" s="141"/>
      <c r="G2079" s="141"/>
      <c r="H2079" s="141"/>
      <c r="I2079" s="141"/>
      <c r="J2079" s="141"/>
      <c r="K2079" s="141"/>
      <c r="L2079" s="141"/>
      <c r="M2079" s="141"/>
      <c r="N2079" s="141"/>
      <c r="O2079" s="141"/>
      <c r="P2079" s="141"/>
      <c r="Q2079" s="141"/>
      <c r="R2079" s="141"/>
      <c r="S2079" s="141"/>
      <c r="T2079" s="141"/>
      <c r="U2079" s="141"/>
      <c r="V2079" s="141"/>
      <c r="W2079" s="141"/>
      <c r="X2079" s="141"/>
      <c r="Y2079" s="141"/>
      <c r="Z2079" s="141"/>
    </row>
    <row r="2080">
      <c r="A2080" s="141"/>
      <c r="B2080" s="141"/>
      <c r="C2080" s="141"/>
      <c r="D2080" s="141"/>
      <c r="E2080" s="141"/>
      <c r="F2080" s="141"/>
      <c r="G2080" s="141"/>
      <c r="H2080" s="141"/>
      <c r="I2080" s="141"/>
      <c r="J2080" s="141"/>
      <c r="K2080" s="141"/>
      <c r="L2080" s="141"/>
      <c r="M2080" s="141"/>
      <c r="N2080" s="141"/>
      <c r="O2080" s="141"/>
      <c r="P2080" s="141"/>
      <c r="Q2080" s="141"/>
      <c r="R2080" s="141"/>
      <c r="S2080" s="141"/>
      <c r="T2080" s="141"/>
      <c r="U2080" s="141"/>
      <c r="V2080" s="141"/>
      <c r="W2080" s="141"/>
      <c r="X2080" s="141"/>
      <c r="Y2080" s="141"/>
      <c r="Z2080" s="141"/>
    </row>
    <row r="2081">
      <c r="A2081" s="141"/>
      <c r="B2081" s="141"/>
      <c r="C2081" s="141"/>
      <c r="D2081" s="141"/>
      <c r="E2081" s="141"/>
      <c r="F2081" s="141"/>
      <c r="G2081" s="141"/>
      <c r="H2081" s="141"/>
      <c r="I2081" s="141"/>
      <c r="J2081" s="141"/>
      <c r="K2081" s="141"/>
      <c r="L2081" s="141"/>
      <c r="M2081" s="141"/>
      <c r="N2081" s="141"/>
      <c r="O2081" s="141"/>
      <c r="P2081" s="141"/>
      <c r="Q2081" s="141"/>
      <c r="R2081" s="141"/>
      <c r="S2081" s="141"/>
      <c r="T2081" s="141"/>
      <c r="U2081" s="141"/>
      <c r="V2081" s="141"/>
      <c r="W2081" s="141"/>
      <c r="X2081" s="141"/>
      <c r="Y2081" s="141"/>
      <c r="Z2081" s="141"/>
    </row>
    <row r="2082">
      <c r="A2082" s="141"/>
      <c r="B2082" s="141"/>
      <c r="C2082" s="141"/>
      <c r="D2082" s="141"/>
      <c r="E2082" s="141"/>
      <c r="F2082" s="141"/>
      <c r="G2082" s="141"/>
      <c r="H2082" s="141"/>
      <c r="I2082" s="141"/>
      <c r="J2082" s="141"/>
      <c r="K2082" s="141"/>
      <c r="L2082" s="141"/>
      <c r="M2082" s="141"/>
      <c r="N2082" s="141"/>
      <c r="O2082" s="141"/>
      <c r="P2082" s="141"/>
      <c r="Q2082" s="141"/>
      <c r="R2082" s="141"/>
      <c r="S2082" s="141"/>
      <c r="T2082" s="141"/>
      <c r="U2082" s="141"/>
      <c r="V2082" s="141"/>
      <c r="W2082" s="141"/>
      <c r="X2082" s="141"/>
      <c r="Y2082" s="141"/>
      <c r="Z2082" s="141"/>
    </row>
    <row r="2083">
      <c r="A2083" s="141"/>
      <c r="B2083" s="141"/>
      <c r="C2083" s="141"/>
      <c r="D2083" s="141"/>
      <c r="E2083" s="141"/>
      <c r="F2083" s="141"/>
      <c r="G2083" s="141"/>
      <c r="H2083" s="141"/>
      <c r="I2083" s="141"/>
      <c r="J2083" s="141"/>
      <c r="K2083" s="141"/>
      <c r="L2083" s="141"/>
      <c r="M2083" s="141"/>
      <c r="N2083" s="141"/>
      <c r="O2083" s="141"/>
      <c r="P2083" s="141"/>
      <c r="Q2083" s="141"/>
      <c r="R2083" s="141"/>
      <c r="S2083" s="141"/>
      <c r="T2083" s="141"/>
      <c r="U2083" s="141"/>
      <c r="V2083" s="141"/>
      <c r="W2083" s="141"/>
      <c r="X2083" s="141"/>
      <c r="Y2083" s="141"/>
      <c r="Z2083" s="141"/>
    </row>
    <row r="2084">
      <c r="A2084" s="141"/>
      <c r="B2084" s="141"/>
      <c r="C2084" s="141"/>
      <c r="D2084" s="141"/>
      <c r="E2084" s="141"/>
      <c r="F2084" s="141"/>
      <c r="G2084" s="141"/>
      <c r="H2084" s="141"/>
      <c r="I2084" s="141"/>
      <c r="J2084" s="141"/>
      <c r="K2084" s="141"/>
      <c r="L2084" s="141"/>
      <c r="M2084" s="141"/>
      <c r="N2084" s="141"/>
      <c r="O2084" s="141"/>
      <c r="P2084" s="141"/>
      <c r="Q2084" s="141"/>
      <c r="R2084" s="141"/>
      <c r="S2084" s="141"/>
      <c r="T2084" s="141"/>
      <c r="U2084" s="141"/>
      <c r="V2084" s="141"/>
      <c r="W2084" s="141"/>
      <c r="X2084" s="141"/>
      <c r="Y2084" s="141"/>
      <c r="Z2084" s="141"/>
    </row>
    <row r="2085">
      <c r="A2085" s="141"/>
      <c r="B2085" s="141"/>
      <c r="C2085" s="141"/>
      <c r="D2085" s="141"/>
      <c r="E2085" s="141"/>
      <c r="F2085" s="141"/>
      <c r="G2085" s="141"/>
      <c r="H2085" s="141"/>
      <c r="I2085" s="141"/>
      <c r="J2085" s="141"/>
      <c r="K2085" s="141"/>
      <c r="L2085" s="141"/>
      <c r="M2085" s="141"/>
      <c r="N2085" s="141"/>
      <c r="O2085" s="141"/>
      <c r="P2085" s="141"/>
      <c r="Q2085" s="141"/>
      <c r="R2085" s="141"/>
      <c r="S2085" s="141"/>
      <c r="T2085" s="141"/>
      <c r="U2085" s="141"/>
      <c r="V2085" s="141"/>
      <c r="W2085" s="141"/>
      <c r="X2085" s="141"/>
      <c r="Y2085" s="141"/>
      <c r="Z2085" s="141"/>
    </row>
    <row r="2086">
      <c r="A2086" s="141"/>
      <c r="B2086" s="141"/>
      <c r="C2086" s="141"/>
      <c r="D2086" s="141"/>
      <c r="E2086" s="141"/>
      <c r="F2086" s="141"/>
      <c r="G2086" s="141"/>
      <c r="H2086" s="141"/>
      <c r="I2086" s="141"/>
      <c r="J2086" s="141"/>
      <c r="K2086" s="141"/>
      <c r="L2086" s="141"/>
      <c r="M2086" s="141"/>
      <c r="N2086" s="141"/>
      <c r="O2086" s="141"/>
      <c r="P2086" s="141"/>
      <c r="Q2086" s="141"/>
      <c r="R2086" s="141"/>
      <c r="S2086" s="141"/>
      <c r="T2086" s="141"/>
      <c r="U2086" s="141"/>
      <c r="V2086" s="141"/>
      <c r="W2086" s="141"/>
      <c r="X2086" s="141"/>
      <c r="Y2086" s="141"/>
      <c r="Z2086" s="141"/>
    </row>
    <row r="2087">
      <c r="A2087" s="141"/>
      <c r="B2087" s="141"/>
      <c r="C2087" s="141"/>
      <c r="D2087" s="141"/>
      <c r="E2087" s="141"/>
      <c r="F2087" s="141"/>
      <c r="G2087" s="141"/>
      <c r="H2087" s="141"/>
      <c r="I2087" s="141"/>
      <c r="J2087" s="141"/>
      <c r="K2087" s="141"/>
      <c r="L2087" s="141"/>
      <c r="M2087" s="141"/>
      <c r="N2087" s="141"/>
      <c r="O2087" s="141"/>
      <c r="P2087" s="141"/>
      <c r="Q2087" s="141"/>
      <c r="R2087" s="141"/>
      <c r="S2087" s="141"/>
      <c r="T2087" s="141"/>
      <c r="U2087" s="141"/>
      <c r="V2087" s="141"/>
      <c r="W2087" s="141"/>
      <c r="X2087" s="141"/>
      <c r="Y2087" s="141"/>
      <c r="Z2087" s="141"/>
    </row>
    <row r="2088">
      <c r="A2088" s="141"/>
      <c r="B2088" s="141"/>
      <c r="C2088" s="141"/>
      <c r="D2088" s="141"/>
      <c r="E2088" s="141"/>
      <c r="F2088" s="141"/>
      <c r="G2088" s="141"/>
      <c r="H2088" s="141"/>
      <c r="I2088" s="141"/>
      <c r="J2088" s="141"/>
      <c r="K2088" s="141"/>
      <c r="L2088" s="141"/>
      <c r="M2088" s="141"/>
      <c r="N2088" s="141"/>
      <c r="O2088" s="141"/>
      <c r="P2088" s="141"/>
      <c r="Q2088" s="141"/>
      <c r="R2088" s="141"/>
      <c r="S2088" s="141"/>
      <c r="T2088" s="141"/>
      <c r="U2088" s="141"/>
      <c r="V2088" s="141"/>
      <c r="W2088" s="141"/>
      <c r="X2088" s="141"/>
      <c r="Y2088" s="141"/>
      <c r="Z2088" s="141"/>
    </row>
    <row r="2089">
      <c r="A2089" s="141"/>
      <c r="B2089" s="141"/>
      <c r="C2089" s="141"/>
      <c r="D2089" s="141"/>
      <c r="E2089" s="141"/>
      <c r="F2089" s="141"/>
      <c r="G2089" s="141"/>
      <c r="H2089" s="141"/>
      <c r="I2089" s="141"/>
      <c r="J2089" s="141"/>
      <c r="K2089" s="141"/>
      <c r="L2089" s="141"/>
      <c r="M2089" s="141"/>
      <c r="N2089" s="141"/>
      <c r="O2089" s="141"/>
      <c r="P2089" s="141"/>
      <c r="Q2089" s="141"/>
      <c r="R2089" s="141"/>
      <c r="S2089" s="141"/>
      <c r="T2089" s="141"/>
      <c r="U2089" s="141"/>
      <c r="V2089" s="141"/>
      <c r="W2089" s="141"/>
      <c r="X2089" s="141"/>
      <c r="Y2089" s="141"/>
      <c r="Z2089" s="141"/>
    </row>
    <row r="2090">
      <c r="A2090" s="141"/>
      <c r="B2090" s="141"/>
      <c r="C2090" s="141"/>
      <c r="D2090" s="141"/>
      <c r="E2090" s="141"/>
      <c r="F2090" s="141"/>
      <c r="G2090" s="141"/>
      <c r="H2090" s="141"/>
      <c r="I2090" s="141"/>
      <c r="J2090" s="141"/>
      <c r="K2090" s="141"/>
      <c r="L2090" s="141"/>
      <c r="M2090" s="141"/>
      <c r="N2090" s="141"/>
      <c r="O2090" s="141"/>
      <c r="P2090" s="141"/>
      <c r="Q2090" s="141"/>
      <c r="R2090" s="141"/>
      <c r="S2090" s="141"/>
      <c r="T2090" s="141"/>
      <c r="U2090" s="141"/>
      <c r="V2090" s="141"/>
      <c r="W2090" s="141"/>
      <c r="X2090" s="141"/>
      <c r="Y2090" s="141"/>
      <c r="Z2090" s="141"/>
    </row>
    <row r="2091">
      <c r="A2091" s="141"/>
      <c r="B2091" s="141"/>
      <c r="C2091" s="141"/>
      <c r="D2091" s="141"/>
      <c r="E2091" s="141"/>
      <c r="F2091" s="141"/>
      <c r="G2091" s="141"/>
      <c r="H2091" s="141"/>
      <c r="I2091" s="141"/>
      <c r="J2091" s="141"/>
      <c r="K2091" s="141"/>
      <c r="L2091" s="141"/>
      <c r="M2091" s="141"/>
      <c r="N2091" s="141"/>
      <c r="O2091" s="141"/>
      <c r="P2091" s="141"/>
      <c r="Q2091" s="141"/>
      <c r="R2091" s="141"/>
      <c r="S2091" s="141"/>
      <c r="T2091" s="141"/>
      <c r="U2091" s="141"/>
      <c r="V2091" s="141"/>
      <c r="W2091" s="141"/>
      <c r="X2091" s="141"/>
      <c r="Y2091" s="141"/>
      <c r="Z2091" s="141"/>
    </row>
    <row r="2092">
      <c r="A2092" s="141"/>
      <c r="B2092" s="141"/>
      <c r="C2092" s="141"/>
      <c r="D2092" s="141"/>
      <c r="E2092" s="141"/>
      <c r="F2092" s="141"/>
      <c r="G2092" s="141"/>
      <c r="H2092" s="141"/>
      <c r="I2092" s="141"/>
      <c r="J2092" s="141"/>
      <c r="K2092" s="141"/>
      <c r="L2092" s="141"/>
      <c r="M2092" s="141"/>
      <c r="N2092" s="141"/>
      <c r="O2092" s="141"/>
      <c r="P2092" s="141"/>
      <c r="Q2092" s="141"/>
      <c r="R2092" s="141"/>
      <c r="S2092" s="141"/>
      <c r="T2092" s="141"/>
      <c r="U2092" s="141"/>
      <c r="V2092" s="141"/>
      <c r="W2092" s="141"/>
      <c r="X2092" s="141"/>
      <c r="Y2092" s="141"/>
      <c r="Z2092" s="141"/>
    </row>
    <row r="2093">
      <c r="A2093" s="141"/>
      <c r="B2093" s="141"/>
      <c r="C2093" s="141"/>
      <c r="D2093" s="141"/>
      <c r="E2093" s="141"/>
      <c r="F2093" s="141"/>
      <c r="G2093" s="141"/>
      <c r="H2093" s="141"/>
      <c r="I2093" s="141"/>
      <c r="J2093" s="141"/>
      <c r="K2093" s="141"/>
      <c r="L2093" s="141"/>
      <c r="M2093" s="141"/>
      <c r="N2093" s="141"/>
      <c r="O2093" s="141"/>
      <c r="P2093" s="141"/>
      <c r="Q2093" s="141"/>
      <c r="R2093" s="141"/>
      <c r="S2093" s="141"/>
      <c r="T2093" s="141"/>
      <c r="U2093" s="141"/>
      <c r="V2093" s="141"/>
      <c r="W2093" s="141"/>
      <c r="X2093" s="141"/>
      <c r="Y2093" s="141"/>
      <c r="Z2093" s="141"/>
    </row>
    <row r="2094">
      <c r="A2094" s="141"/>
      <c r="B2094" s="141"/>
      <c r="C2094" s="141"/>
      <c r="D2094" s="141"/>
      <c r="E2094" s="141"/>
      <c r="F2094" s="141"/>
      <c r="G2094" s="141"/>
      <c r="H2094" s="141"/>
      <c r="I2094" s="141"/>
      <c r="J2094" s="141"/>
      <c r="K2094" s="141"/>
      <c r="L2094" s="141"/>
      <c r="M2094" s="141"/>
      <c r="N2094" s="141"/>
      <c r="O2094" s="141"/>
      <c r="P2094" s="141"/>
      <c r="Q2094" s="141"/>
      <c r="R2094" s="141"/>
      <c r="S2094" s="141"/>
      <c r="T2094" s="141"/>
      <c r="U2094" s="141"/>
      <c r="V2094" s="141"/>
      <c r="W2094" s="141"/>
      <c r="X2094" s="141"/>
      <c r="Y2094" s="141"/>
      <c r="Z2094" s="141"/>
    </row>
    <row r="2095">
      <c r="A2095" s="141"/>
      <c r="B2095" s="141"/>
      <c r="C2095" s="141"/>
      <c r="D2095" s="141"/>
      <c r="E2095" s="141"/>
      <c r="F2095" s="141"/>
      <c r="G2095" s="141"/>
      <c r="H2095" s="141"/>
      <c r="I2095" s="141"/>
      <c r="J2095" s="141"/>
      <c r="K2095" s="141"/>
      <c r="L2095" s="141"/>
      <c r="M2095" s="141"/>
      <c r="N2095" s="141"/>
      <c r="O2095" s="141"/>
      <c r="P2095" s="141"/>
      <c r="Q2095" s="141"/>
      <c r="R2095" s="141"/>
      <c r="S2095" s="141"/>
      <c r="T2095" s="141"/>
      <c r="U2095" s="141"/>
      <c r="V2095" s="141"/>
      <c r="W2095" s="141"/>
      <c r="X2095" s="141"/>
      <c r="Y2095" s="141"/>
      <c r="Z2095" s="141"/>
    </row>
    <row r="2096">
      <c r="A2096" s="141"/>
      <c r="B2096" s="141"/>
      <c r="C2096" s="141"/>
      <c r="D2096" s="141"/>
      <c r="E2096" s="141"/>
      <c r="F2096" s="141"/>
      <c r="G2096" s="141"/>
      <c r="H2096" s="141"/>
      <c r="I2096" s="141"/>
      <c r="J2096" s="141"/>
      <c r="K2096" s="141"/>
      <c r="L2096" s="141"/>
      <c r="M2096" s="141"/>
      <c r="N2096" s="141"/>
      <c r="O2096" s="141"/>
      <c r="P2096" s="141"/>
      <c r="Q2096" s="141"/>
      <c r="R2096" s="141"/>
      <c r="S2096" s="141"/>
      <c r="T2096" s="141"/>
      <c r="U2096" s="141"/>
      <c r="V2096" s="141"/>
      <c r="W2096" s="141"/>
      <c r="X2096" s="141"/>
      <c r="Y2096" s="141"/>
      <c r="Z2096" s="141"/>
    </row>
    <row r="2097">
      <c r="A2097" s="141"/>
      <c r="B2097" s="141"/>
      <c r="C2097" s="141"/>
      <c r="D2097" s="141"/>
      <c r="E2097" s="141"/>
      <c r="F2097" s="141"/>
      <c r="G2097" s="141"/>
      <c r="H2097" s="141"/>
      <c r="I2097" s="141"/>
      <c r="J2097" s="141"/>
      <c r="K2097" s="141"/>
      <c r="L2097" s="141"/>
      <c r="M2097" s="141"/>
      <c r="N2097" s="141"/>
      <c r="O2097" s="141"/>
      <c r="P2097" s="141"/>
      <c r="Q2097" s="141"/>
      <c r="R2097" s="141"/>
      <c r="S2097" s="141"/>
      <c r="T2097" s="141"/>
      <c r="U2097" s="141"/>
      <c r="V2097" s="141"/>
      <c r="W2097" s="141"/>
      <c r="X2097" s="141"/>
      <c r="Y2097" s="141"/>
      <c r="Z2097" s="141"/>
    </row>
    <row r="2098">
      <c r="A2098" s="141"/>
      <c r="B2098" s="141"/>
      <c r="C2098" s="141"/>
      <c r="D2098" s="141"/>
      <c r="E2098" s="141"/>
      <c r="F2098" s="141"/>
      <c r="G2098" s="141"/>
      <c r="H2098" s="141"/>
      <c r="I2098" s="141"/>
      <c r="J2098" s="141"/>
      <c r="K2098" s="141"/>
      <c r="L2098" s="141"/>
      <c r="M2098" s="141"/>
      <c r="N2098" s="141"/>
      <c r="O2098" s="141"/>
      <c r="P2098" s="141"/>
      <c r="Q2098" s="141"/>
      <c r="R2098" s="141"/>
      <c r="S2098" s="141"/>
      <c r="T2098" s="141"/>
      <c r="U2098" s="141"/>
      <c r="V2098" s="141"/>
      <c r="W2098" s="141"/>
      <c r="X2098" s="141"/>
      <c r="Y2098" s="141"/>
      <c r="Z2098" s="141"/>
    </row>
    <row r="2099">
      <c r="A2099" s="141"/>
      <c r="B2099" s="141"/>
      <c r="C2099" s="141"/>
      <c r="D2099" s="141"/>
      <c r="E2099" s="141"/>
      <c r="F2099" s="141"/>
      <c r="G2099" s="141"/>
      <c r="H2099" s="141"/>
      <c r="I2099" s="141"/>
      <c r="J2099" s="141"/>
      <c r="K2099" s="141"/>
      <c r="L2099" s="141"/>
      <c r="M2099" s="141"/>
      <c r="N2099" s="141"/>
      <c r="O2099" s="141"/>
      <c r="P2099" s="141"/>
      <c r="Q2099" s="141"/>
      <c r="R2099" s="141"/>
      <c r="S2099" s="141"/>
      <c r="T2099" s="141"/>
      <c r="U2099" s="141"/>
      <c r="V2099" s="141"/>
      <c r="W2099" s="141"/>
      <c r="X2099" s="141"/>
      <c r="Y2099" s="141"/>
      <c r="Z2099" s="141"/>
    </row>
    <row r="2100">
      <c r="A2100" s="141"/>
      <c r="B2100" s="141"/>
      <c r="C2100" s="141"/>
      <c r="D2100" s="141"/>
      <c r="E2100" s="141"/>
      <c r="F2100" s="141"/>
      <c r="G2100" s="141"/>
      <c r="H2100" s="141"/>
      <c r="I2100" s="141"/>
      <c r="J2100" s="141"/>
      <c r="K2100" s="141"/>
      <c r="L2100" s="141"/>
      <c r="M2100" s="141"/>
      <c r="N2100" s="141"/>
      <c r="O2100" s="141"/>
      <c r="P2100" s="141"/>
      <c r="Q2100" s="141"/>
      <c r="R2100" s="141"/>
      <c r="S2100" s="141"/>
      <c r="T2100" s="141"/>
      <c r="U2100" s="141"/>
      <c r="V2100" s="141"/>
      <c r="W2100" s="141"/>
      <c r="X2100" s="141"/>
      <c r="Y2100" s="141"/>
      <c r="Z2100" s="141"/>
    </row>
    <row r="2101">
      <c r="A2101" s="141"/>
      <c r="B2101" s="141"/>
      <c r="C2101" s="141"/>
      <c r="D2101" s="141"/>
      <c r="E2101" s="141"/>
      <c r="F2101" s="141"/>
      <c r="G2101" s="141"/>
      <c r="H2101" s="141"/>
      <c r="I2101" s="141"/>
      <c r="J2101" s="141"/>
      <c r="K2101" s="141"/>
      <c r="L2101" s="141"/>
      <c r="M2101" s="141"/>
      <c r="N2101" s="141"/>
      <c r="O2101" s="141"/>
      <c r="P2101" s="141"/>
      <c r="Q2101" s="141"/>
      <c r="R2101" s="141"/>
      <c r="S2101" s="141"/>
      <c r="T2101" s="141"/>
      <c r="U2101" s="141"/>
      <c r="V2101" s="141"/>
      <c r="W2101" s="141"/>
      <c r="X2101" s="141"/>
      <c r="Y2101" s="141"/>
      <c r="Z2101" s="141"/>
    </row>
    <row r="2102">
      <c r="A2102" s="141"/>
      <c r="B2102" s="141"/>
      <c r="C2102" s="141"/>
      <c r="D2102" s="141"/>
      <c r="E2102" s="141"/>
      <c r="F2102" s="141"/>
      <c r="G2102" s="141"/>
      <c r="H2102" s="141"/>
      <c r="I2102" s="141"/>
      <c r="J2102" s="141"/>
      <c r="K2102" s="141"/>
      <c r="L2102" s="141"/>
      <c r="M2102" s="141"/>
      <c r="N2102" s="141"/>
      <c r="O2102" s="141"/>
      <c r="P2102" s="141"/>
      <c r="Q2102" s="141"/>
      <c r="R2102" s="141"/>
      <c r="S2102" s="141"/>
      <c r="T2102" s="141"/>
      <c r="U2102" s="141"/>
      <c r="V2102" s="141"/>
      <c r="W2102" s="141"/>
      <c r="X2102" s="141"/>
      <c r="Y2102" s="141"/>
      <c r="Z2102" s="141"/>
    </row>
    <row r="2103">
      <c r="A2103" s="141"/>
      <c r="B2103" s="141"/>
      <c r="C2103" s="141"/>
      <c r="D2103" s="141"/>
      <c r="E2103" s="141"/>
      <c r="F2103" s="141"/>
      <c r="G2103" s="141"/>
      <c r="H2103" s="141"/>
      <c r="I2103" s="141"/>
      <c r="J2103" s="141"/>
      <c r="K2103" s="141"/>
      <c r="L2103" s="141"/>
      <c r="M2103" s="141"/>
      <c r="N2103" s="141"/>
      <c r="O2103" s="141"/>
      <c r="P2103" s="141"/>
      <c r="Q2103" s="141"/>
      <c r="R2103" s="141"/>
      <c r="S2103" s="141"/>
      <c r="T2103" s="141"/>
      <c r="U2103" s="141"/>
      <c r="V2103" s="141"/>
      <c r="W2103" s="141"/>
      <c r="X2103" s="141"/>
      <c r="Y2103" s="141"/>
      <c r="Z2103" s="141"/>
    </row>
    <row r="2104">
      <c r="A2104" s="141"/>
      <c r="B2104" s="141"/>
      <c r="C2104" s="141"/>
      <c r="D2104" s="141"/>
      <c r="E2104" s="141"/>
      <c r="F2104" s="141"/>
      <c r="G2104" s="141"/>
      <c r="H2104" s="141"/>
      <c r="I2104" s="141"/>
      <c r="J2104" s="141"/>
      <c r="K2104" s="141"/>
      <c r="L2104" s="141"/>
      <c r="M2104" s="141"/>
      <c r="N2104" s="141"/>
      <c r="O2104" s="141"/>
      <c r="P2104" s="141"/>
      <c r="Q2104" s="141"/>
      <c r="R2104" s="141"/>
      <c r="S2104" s="141"/>
      <c r="T2104" s="141"/>
      <c r="U2104" s="141"/>
      <c r="V2104" s="141"/>
      <c r="W2104" s="141"/>
      <c r="X2104" s="141"/>
      <c r="Y2104" s="141"/>
      <c r="Z2104" s="141"/>
    </row>
    <row r="2105">
      <c r="A2105" s="141"/>
      <c r="B2105" s="141"/>
      <c r="C2105" s="141"/>
      <c r="D2105" s="141"/>
      <c r="E2105" s="141"/>
      <c r="F2105" s="141"/>
      <c r="G2105" s="141"/>
      <c r="H2105" s="141"/>
      <c r="I2105" s="141"/>
      <c r="J2105" s="141"/>
      <c r="K2105" s="141"/>
      <c r="L2105" s="141"/>
      <c r="M2105" s="141"/>
      <c r="N2105" s="141"/>
      <c r="O2105" s="141"/>
      <c r="P2105" s="141"/>
      <c r="Q2105" s="141"/>
      <c r="R2105" s="141"/>
      <c r="S2105" s="141"/>
      <c r="T2105" s="141"/>
      <c r="U2105" s="141"/>
      <c r="V2105" s="141"/>
      <c r="W2105" s="141"/>
      <c r="X2105" s="141"/>
      <c r="Y2105" s="141"/>
      <c r="Z2105" s="141"/>
    </row>
    <row r="2106">
      <c r="A2106" s="141"/>
      <c r="B2106" s="141"/>
      <c r="C2106" s="141"/>
      <c r="D2106" s="141"/>
      <c r="E2106" s="141"/>
      <c r="F2106" s="141"/>
      <c r="G2106" s="141"/>
      <c r="H2106" s="141"/>
      <c r="I2106" s="141"/>
      <c r="J2106" s="141"/>
      <c r="K2106" s="141"/>
      <c r="L2106" s="141"/>
      <c r="M2106" s="141"/>
      <c r="N2106" s="141"/>
      <c r="O2106" s="141"/>
      <c r="P2106" s="141"/>
      <c r="Q2106" s="141"/>
      <c r="R2106" s="141"/>
      <c r="S2106" s="141"/>
      <c r="T2106" s="141"/>
      <c r="U2106" s="141"/>
      <c r="V2106" s="141"/>
      <c r="W2106" s="141"/>
      <c r="X2106" s="141"/>
      <c r="Y2106" s="141"/>
      <c r="Z2106" s="141"/>
    </row>
    <row r="2107">
      <c r="A2107" s="141"/>
      <c r="B2107" s="141"/>
      <c r="C2107" s="141"/>
      <c r="D2107" s="141"/>
      <c r="E2107" s="141"/>
      <c r="F2107" s="141"/>
      <c r="G2107" s="141"/>
      <c r="H2107" s="141"/>
      <c r="I2107" s="141"/>
      <c r="J2107" s="141"/>
      <c r="K2107" s="141"/>
      <c r="L2107" s="141"/>
      <c r="M2107" s="141"/>
      <c r="N2107" s="141"/>
      <c r="O2107" s="141"/>
      <c r="P2107" s="141"/>
      <c r="Q2107" s="141"/>
      <c r="R2107" s="141"/>
      <c r="S2107" s="141"/>
      <c r="T2107" s="141"/>
      <c r="U2107" s="141"/>
      <c r="V2107" s="141"/>
      <c r="W2107" s="141"/>
      <c r="X2107" s="141"/>
      <c r="Y2107" s="141"/>
      <c r="Z2107" s="141"/>
    </row>
    <row r="2108">
      <c r="A2108" s="141"/>
      <c r="B2108" s="141"/>
      <c r="C2108" s="141"/>
      <c r="D2108" s="141"/>
      <c r="E2108" s="141"/>
      <c r="F2108" s="141"/>
      <c r="G2108" s="141"/>
      <c r="H2108" s="141"/>
      <c r="I2108" s="141"/>
      <c r="J2108" s="141"/>
      <c r="K2108" s="141"/>
      <c r="L2108" s="141"/>
      <c r="M2108" s="141"/>
      <c r="N2108" s="141"/>
      <c r="O2108" s="141"/>
      <c r="P2108" s="141"/>
      <c r="Q2108" s="141"/>
      <c r="R2108" s="141"/>
      <c r="S2108" s="141"/>
      <c r="T2108" s="141"/>
      <c r="U2108" s="141"/>
      <c r="V2108" s="141"/>
      <c r="W2108" s="141"/>
      <c r="X2108" s="141"/>
      <c r="Y2108" s="141"/>
      <c r="Z2108" s="141"/>
    </row>
    <row r="2109">
      <c r="A2109" s="141"/>
      <c r="B2109" s="141"/>
      <c r="C2109" s="141"/>
      <c r="D2109" s="141"/>
      <c r="E2109" s="141"/>
      <c r="F2109" s="141"/>
      <c r="G2109" s="141"/>
      <c r="H2109" s="141"/>
      <c r="I2109" s="141"/>
      <c r="J2109" s="141"/>
      <c r="K2109" s="141"/>
      <c r="L2109" s="141"/>
      <c r="M2109" s="141"/>
      <c r="N2109" s="141"/>
      <c r="O2109" s="141"/>
      <c r="P2109" s="141"/>
      <c r="Q2109" s="141"/>
      <c r="R2109" s="141"/>
      <c r="S2109" s="141"/>
      <c r="T2109" s="141"/>
      <c r="U2109" s="141"/>
      <c r="V2109" s="141"/>
      <c r="W2109" s="141"/>
      <c r="X2109" s="141"/>
      <c r="Y2109" s="141"/>
      <c r="Z2109" s="141"/>
    </row>
    <row r="2110">
      <c r="A2110" s="141"/>
      <c r="B2110" s="141"/>
      <c r="C2110" s="141"/>
      <c r="D2110" s="141"/>
      <c r="E2110" s="141"/>
      <c r="F2110" s="141"/>
      <c r="G2110" s="141"/>
      <c r="H2110" s="141"/>
      <c r="I2110" s="141"/>
      <c r="J2110" s="141"/>
      <c r="K2110" s="141"/>
      <c r="L2110" s="141"/>
      <c r="M2110" s="141"/>
      <c r="N2110" s="141"/>
      <c r="O2110" s="141"/>
      <c r="P2110" s="141"/>
      <c r="Q2110" s="141"/>
      <c r="R2110" s="141"/>
      <c r="S2110" s="141"/>
      <c r="T2110" s="141"/>
      <c r="U2110" s="141"/>
      <c r="V2110" s="141"/>
      <c r="W2110" s="141"/>
      <c r="X2110" s="141"/>
      <c r="Y2110" s="141"/>
      <c r="Z2110" s="141"/>
    </row>
    <row r="2111">
      <c r="A2111" s="141"/>
      <c r="B2111" s="141"/>
      <c r="C2111" s="141"/>
      <c r="D2111" s="141"/>
      <c r="E2111" s="141"/>
      <c r="F2111" s="141"/>
      <c r="G2111" s="141"/>
      <c r="H2111" s="141"/>
      <c r="I2111" s="141"/>
      <c r="J2111" s="141"/>
      <c r="K2111" s="141"/>
      <c r="L2111" s="141"/>
      <c r="M2111" s="141"/>
      <c r="N2111" s="141"/>
      <c r="O2111" s="141"/>
      <c r="P2111" s="141"/>
      <c r="Q2111" s="141"/>
      <c r="R2111" s="141"/>
      <c r="S2111" s="141"/>
      <c r="T2111" s="141"/>
      <c r="U2111" s="141"/>
      <c r="V2111" s="141"/>
      <c r="W2111" s="141"/>
      <c r="X2111" s="141"/>
      <c r="Y2111" s="141"/>
      <c r="Z2111" s="141"/>
    </row>
    <row r="2112">
      <c r="A2112" s="141"/>
      <c r="B2112" s="141"/>
      <c r="C2112" s="141"/>
      <c r="D2112" s="141"/>
      <c r="E2112" s="141"/>
      <c r="F2112" s="141"/>
      <c r="G2112" s="141"/>
      <c r="H2112" s="141"/>
      <c r="I2112" s="141"/>
      <c r="J2112" s="141"/>
      <c r="K2112" s="141"/>
      <c r="L2112" s="141"/>
      <c r="M2112" s="141"/>
      <c r="N2112" s="141"/>
      <c r="O2112" s="141"/>
      <c r="P2112" s="141"/>
      <c r="Q2112" s="141"/>
      <c r="R2112" s="141"/>
      <c r="S2112" s="141"/>
      <c r="T2112" s="141"/>
      <c r="U2112" s="141"/>
      <c r="V2112" s="141"/>
      <c r="W2112" s="141"/>
      <c r="X2112" s="141"/>
      <c r="Y2112" s="141"/>
      <c r="Z2112" s="141"/>
    </row>
    <row r="2113">
      <c r="A2113" s="141"/>
      <c r="B2113" s="141"/>
      <c r="C2113" s="141"/>
      <c r="D2113" s="141"/>
      <c r="E2113" s="141"/>
      <c r="F2113" s="141"/>
      <c r="G2113" s="141"/>
      <c r="H2113" s="141"/>
      <c r="I2113" s="141"/>
      <c r="J2113" s="141"/>
      <c r="K2113" s="141"/>
      <c r="L2113" s="141"/>
      <c r="M2113" s="141"/>
      <c r="N2113" s="141"/>
      <c r="O2113" s="141"/>
      <c r="P2113" s="141"/>
      <c r="Q2113" s="141"/>
      <c r="R2113" s="141"/>
      <c r="S2113" s="141"/>
      <c r="T2113" s="141"/>
      <c r="U2113" s="141"/>
      <c r="V2113" s="141"/>
      <c r="W2113" s="141"/>
      <c r="X2113" s="141"/>
      <c r="Y2113" s="141"/>
      <c r="Z2113" s="141"/>
    </row>
    <row r="2114">
      <c r="A2114" s="141"/>
      <c r="B2114" s="141"/>
      <c r="C2114" s="141"/>
      <c r="D2114" s="141"/>
      <c r="E2114" s="141"/>
      <c r="F2114" s="141"/>
      <c r="G2114" s="141"/>
      <c r="H2114" s="141"/>
      <c r="I2114" s="141"/>
      <c r="J2114" s="141"/>
      <c r="K2114" s="141"/>
      <c r="L2114" s="141"/>
      <c r="M2114" s="141"/>
      <c r="N2114" s="141"/>
      <c r="O2114" s="141"/>
      <c r="P2114" s="141"/>
      <c r="Q2114" s="141"/>
      <c r="R2114" s="141"/>
      <c r="S2114" s="141"/>
      <c r="T2114" s="141"/>
      <c r="U2114" s="141"/>
      <c r="V2114" s="141"/>
      <c r="W2114" s="141"/>
      <c r="X2114" s="141"/>
      <c r="Y2114" s="141"/>
      <c r="Z2114" s="141"/>
    </row>
    <row r="2115">
      <c r="A2115" s="141"/>
      <c r="B2115" s="141"/>
      <c r="C2115" s="141"/>
      <c r="D2115" s="141"/>
      <c r="E2115" s="141"/>
      <c r="F2115" s="141"/>
      <c r="G2115" s="141"/>
      <c r="H2115" s="141"/>
      <c r="I2115" s="141"/>
      <c r="J2115" s="141"/>
      <c r="K2115" s="141"/>
      <c r="L2115" s="141"/>
      <c r="M2115" s="141"/>
      <c r="N2115" s="141"/>
      <c r="O2115" s="141"/>
      <c r="P2115" s="141"/>
      <c r="Q2115" s="141"/>
      <c r="R2115" s="141"/>
      <c r="S2115" s="141"/>
      <c r="T2115" s="141"/>
      <c r="U2115" s="141"/>
      <c r="V2115" s="141"/>
      <c r="W2115" s="141"/>
      <c r="X2115" s="141"/>
      <c r="Y2115" s="141"/>
      <c r="Z2115" s="141"/>
    </row>
    <row r="2116">
      <c r="A2116" s="141"/>
      <c r="B2116" s="141"/>
      <c r="C2116" s="141"/>
      <c r="D2116" s="141"/>
      <c r="E2116" s="141"/>
      <c r="F2116" s="141"/>
      <c r="G2116" s="141"/>
      <c r="H2116" s="141"/>
      <c r="I2116" s="141"/>
      <c r="J2116" s="141"/>
      <c r="K2116" s="141"/>
      <c r="L2116" s="141"/>
      <c r="M2116" s="141"/>
      <c r="N2116" s="141"/>
      <c r="O2116" s="141"/>
      <c r="P2116" s="141"/>
      <c r="Q2116" s="141"/>
      <c r="R2116" s="141"/>
      <c r="S2116" s="141"/>
      <c r="T2116" s="141"/>
      <c r="U2116" s="141"/>
      <c r="V2116" s="141"/>
      <c r="W2116" s="141"/>
      <c r="X2116" s="141"/>
      <c r="Y2116" s="141"/>
      <c r="Z2116" s="141"/>
    </row>
    <row r="2117">
      <c r="A2117" s="141"/>
      <c r="B2117" s="141"/>
      <c r="C2117" s="141"/>
      <c r="D2117" s="141"/>
      <c r="E2117" s="141"/>
      <c r="F2117" s="141"/>
      <c r="G2117" s="141"/>
      <c r="H2117" s="141"/>
      <c r="I2117" s="141"/>
      <c r="J2117" s="141"/>
      <c r="K2117" s="141"/>
      <c r="L2117" s="141"/>
      <c r="M2117" s="141"/>
      <c r="N2117" s="141"/>
      <c r="O2117" s="141"/>
      <c r="P2117" s="141"/>
      <c r="Q2117" s="141"/>
      <c r="R2117" s="141"/>
      <c r="S2117" s="141"/>
      <c r="T2117" s="141"/>
      <c r="U2117" s="141"/>
      <c r="V2117" s="141"/>
      <c r="W2117" s="141"/>
      <c r="X2117" s="141"/>
      <c r="Y2117" s="141"/>
      <c r="Z2117" s="141"/>
    </row>
    <row r="2118">
      <c r="A2118" s="141"/>
      <c r="B2118" s="141"/>
      <c r="C2118" s="141"/>
      <c r="D2118" s="141"/>
      <c r="E2118" s="141"/>
      <c r="F2118" s="141"/>
      <c r="G2118" s="141"/>
      <c r="H2118" s="141"/>
      <c r="I2118" s="141"/>
      <c r="J2118" s="141"/>
      <c r="K2118" s="141"/>
      <c r="L2118" s="141"/>
      <c r="M2118" s="141"/>
      <c r="N2118" s="141"/>
      <c r="O2118" s="141"/>
      <c r="P2118" s="141"/>
      <c r="Q2118" s="141"/>
      <c r="R2118" s="141"/>
      <c r="S2118" s="141"/>
      <c r="T2118" s="141"/>
      <c r="U2118" s="141"/>
      <c r="V2118" s="141"/>
      <c r="W2118" s="141"/>
      <c r="X2118" s="141"/>
      <c r="Y2118" s="141"/>
      <c r="Z2118" s="141"/>
    </row>
    <row r="2119">
      <c r="A2119" s="141"/>
      <c r="B2119" s="141"/>
      <c r="C2119" s="141"/>
      <c r="D2119" s="141"/>
      <c r="E2119" s="141"/>
      <c r="F2119" s="141"/>
      <c r="G2119" s="141"/>
      <c r="H2119" s="141"/>
      <c r="I2119" s="141"/>
      <c r="J2119" s="141"/>
      <c r="K2119" s="141"/>
      <c r="L2119" s="141"/>
      <c r="M2119" s="141"/>
      <c r="N2119" s="141"/>
      <c r="O2119" s="141"/>
      <c r="P2119" s="141"/>
      <c r="Q2119" s="141"/>
      <c r="R2119" s="141"/>
      <c r="S2119" s="141"/>
      <c r="T2119" s="141"/>
      <c r="U2119" s="141"/>
      <c r="V2119" s="141"/>
      <c r="W2119" s="141"/>
      <c r="X2119" s="141"/>
      <c r="Y2119" s="141"/>
      <c r="Z2119" s="141"/>
    </row>
    <row r="2120">
      <c r="A2120" s="141"/>
      <c r="B2120" s="141"/>
      <c r="C2120" s="141"/>
      <c r="D2120" s="141"/>
      <c r="E2120" s="141"/>
      <c r="F2120" s="141"/>
      <c r="G2120" s="141"/>
      <c r="H2120" s="141"/>
      <c r="I2120" s="141"/>
      <c r="J2120" s="141"/>
      <c r="K2120" s="141"/>
      <c r="L2120" s="141"/>
      <c r="M2120" s="141"/>
      <c r="N2120" s="141"/>
      <c r="O2120" s="141"/>
      <c r="P2120" s="141"/>
      <c r="Q2120" s="141"/>
      <c r="R2120" s="141"/>
      <c r="S2120" s="141"/>
      <c r="T2120" s="141"/>
      <c r="U2120" s="141"/>
      <c r="V2120" s="141"/>
      <c r="W2120" s="141"/>
      <c r="X2120" s="141"/>
      <c r="Y2120" s="141"/>
      <c r="Z2120" s="141"/>
    </row>
    <row r="2121">
      <c r="A2121" s="141"/>
      <c r="B2121" s="141"/>
      <c r="C2121" s="141"/>
      <c r="D2121" s="141"/>
      <c r="E2121" s="141"/>
      <c r="F2121" s="141"/>
      <c r="G2121" s="141"/>
      <c r="H2121" s="141"/>
      <c r="I2121" s="141"/>
      <c r="J2121" s="141"/>
      <c r="K2121" s="141"/>
      <c r="L2121" s="141"/>
      <c r="M2121" s="141"/>
      <c r="N2121" s="141"/>
      <c r="O2121" s="141"/>
      <c r="P2121" s="141"/>
      <c r="Q2121" s="141"/>
      <c r="R2121" s="141"/>
      <c r="S2121" s="141"/>
      <c r="T2121" s="141"/>
      <c r="U2121" s="141"/>
      <c r="V2121" s="141"/>
      <c r="W2121" s="141"/>
      <c r="X2121" s="141"/>
      <c r="Y2121" s="141"/>
      <c r="Z2121" s="141"/>
    </row>
    <row r="2122">
      <c r="A2122" s="141"/>
      <c r="B2122" s="141"/>
      <c r="C2122" s="141"/>
      <c r="D2122" s="141"/>
      <c r="E2122" s="141"/>
      <c r="F2122" s="141"/>
      <c r="G2122" s="141"/>
      <c r="H2122" s="141"/>
      <c r="I2122" s="141"/>
      <c r="J2122" s="141"/>
      <c r="K2122" s="141"/>
      <c r="L2122" s="141"/>
      <c r="M2122" s="141"/>
      <c r="N2122" s="141"/>
      <c r="O2122" s="141"/>
      <c r="P2122" s="141"/>
      <c r="Q2122" s="141"/>
      <c r="R2122" s="141"/>
      <c r="S2122" s="141"/>
      <c r="T2122" s="141"/>
      <c r="U2122" s="141"/>
      <c r="V2122" s="141"/>
      <c r="W2122" s="141"/>
      <c r="X2122" s="141"/>
      <c r="Y2122" s="141"/>
      <c r="Z2122" s="141"/>
    </row>
    <row r="2123">
      <c r="A2123" s="141"/>
      <c r="B2123" s="141"/>
      <c r="C2123" s="141"/>
      <c r="D2123" s="141"/>
      <c r="E2123" s="141"/>
      <c r="F2123" s="141"/>
      <c r="G2123" s="141"/>
      <c r="H2123" s="141"/>
      <c r="I2123" s="141"/>
      <c r="J2123" s="141"/>
      <c r="K2123" s="141"/>
      <c r="L2123" s="141"/>
      <c r="M2123" s="141"/>
      <c r="N2123" s="141"/>
      <c r="O2123" s="141"/>
      <c r="P2123" s="141"/>
      <c r="Q2123" s="141"/>
      <c r="R2123" s="141"/>
      <c r="S2123" s="141"/>
      <c r="T2123" s="141"/>
      <c r="U2123" s="141"/>
      <c r="V2123" s="141"/>
      <c r="W2123" s="141"/>
      <c r="X2123" s="141"/>
      <c r="Y2123" s="141"/>
      <c r="Z2123" s="141"/>
    </row>
    <row r="2124">
      <c r="A2124" s="141"/>
      <c r="B2124" s="141"/>
      <c r="C2124" s="141"/>
      <c r="D2124" s="141"/>
      <c r="E2124" s="141"/>
      <c r="F2124" s="141"/>
      <c r="G2124" s="141"/>
      <c r="H2124" s="141"/>
      <c r="I2124" s="141"/>
      <c r="J2124" s="141"/>
      <c r="K2124" s="141"/>
      <c r="L2124" s="141"/>
      <c r="M2124" s="141"/>
      <c r="N2124" s="141"/>
      <c r="O2124" s="141"/>
      <c r="P2124" s="141"/>
      <c r="Q2124" s="141"/>
      <c r="R2124" s="141"/>
      <c r="S2124" s="141"/>
      <c r="T2124" s="141"/>
      <c r="U2124" s="141"/>
      <c r="V2124" s="141"/>
      <c r="W2124" s="141"/>
      <c r="X2124" s="141"/>
      <c r="Y2124" s="141"/>
      <c r="Z2124" s="141"/>
    </row>
    <row r="2125">
      <c r="A2125" s="141"/>
      <c r="B2125" s="141"/>
      <c r="C2125" s="141"/>
      <c r="D2125" s="141"/>
      <c r="E2125" s="141"/>
      <c r="F2125" s="141"/>
      <c r="G2125" s="141"/>
      <c r="H2125" s="141"/>
      <c r="I2125" s="141"/>
      <c r="J2125" s="141"/>
      <c r="K2125" s="141"/>
      <c r="L2125" s="141"/>
      <c r="M2125" s="141"/>
      <c r="N2125" s="141"/>
      <c r="O2125" s="141"/>
      <c r="P2125" s="141"/>
      <c r="Q2125" s="141"/>
      <c r="R2125" s="141"/>
      <c r="S2125" s="141"/>
      <c r="T2125" s="141"/>
      <c r="U2125" s="141"/>
      <c r="V2125" s="141"/>
      <c r="W2125" s="141"/>
      <c r="X2125" s="141"/>
      <c r="Y2125" s="141"/>
      <c r="Z2125" s="141"/>
    </row>
    <row r="2126">
      <c r="A2126" s="141"/>
      <c r="B2126" s="141"/>
      <c r="C2126" s="141"/>
      <c r="D2126" s="141"/>
      <c r="E2126" s="141"/>
      <c r="F2126" s="141"/>
      <c r="G2126" s="141"/>
      <c r="H2126" s="141"/>
      <c r="I2126" s="141"/>
      <c r="J2126" s="141"/>
      <c r="K2126" s="141"/>
      <c r="L2126" s="141"/>
      <c r="M2126" s="141"/>
      <c r="N2126" s="141"/>
      <c r="O2126" s="141"/>
      <c r="P2126" s="141"/>
      <c r="Q2126" s="141"/>
      <c r="R2126" s="141"/>
      <c r="S2126" s="141"/>
      <c r="T2126" s="141"/>
      <c r="U2126" s="141"/>
      <c r="V2126" s="141"/>
      <c r="W2126" s="141"/>
      <c r="X2126" s="141"/>
      <c r="Y2126" s="141"/>
      <c r="Z2126" s="141"/>
    </row>
    <row r="2127">
      <c r="A2127" s="141"/>
      <c r="B2127" s="141"/>
      <c r="C2127" s="141"/>
      <c r="D2127" s="141"/>
      <c r="E2127" s="141"/>
      <c r="F2127" s="141"/>
      <c r="G2127" s="141"/>
      <c r="H2127" s="141"/>
      <c r="I2127" s="141"/>
      <c r="J2127" s="141"/>
      <c r="K2127" s="141"/>
      <c r="L2127" s="141"/>
      <c r="M2127" s="141"/>
      <c r="N2127" s="141"/>
      <c r="O2127" s="141"/>
      <c r="P2127" s="141"/>
      <c r="Q2127" s="141"/>
      <c r="R2127" s="141"/>
      <c r="S2127" s="141"/>
      <c r="T2127" s="141"/>
      <c r="U2127" s="141"/>
      <c r="V2127" s="141"/>
      <c r="W2127" s="141"/>
      <c r="X2127" s="141"/>
      <c r="Y2127" s="141"/>
      <c r="Z2127" s="141"/>
    </row>
    <row r="2128">
      <c r="A2128" s="141"/>
      <c r="B2128" s="141"/>
      <c r="C2128" s="141"/>
      <c r="D2128" s="141"/>
      <c r="E2128" s="141"/>
      <c r="F2128" s="141"/>
      <c r="G2128" s="141"/>
      <c r="H2128" s="141"/>
      <c r="I2128" s="141"/>
      <c r="J2128" s="141"/>
      <c r="K2128" s="141"/>
      <c r="L2128" s="141"/>
      <c r="M2128" s="141"/>
      <c r="N2128" s="141"/>
      <c r="O2128" s="141"/>
      <c r="P2128" s="141"/>
      <c r="Q2128" s="141"/>
      <c r="R2128" s="141"/>
      <c r="S2128" s="141"/>
      <c r="T2128" s="141"/>
      <c r="U2128" s="141"/>
      <c r="V2128" s="141"/>
      <c r="W2128" s="141"/>
      <c r="X2128" s="141"/>
      <c r="Y2128" s="141"/>
      <c r="Z2128" s="141"/>
    </row>
    <row r="2129">
      <c r="A2129" s="141"/>
      <c r="B2129" s="141"/>
      <c r="C2129" s="141"/>
      <c r="D2129" s="141"/>
      <c r="E2129" s="141"/>
      <c r="F2129" s="141"/>
      <c r="G2129" s="141"/>
      <c r="H2129" s="141"/>
      <c r="I2129" s="141"/>
      <c r="J2129" s="141"/>
      <c r="K2129" s="141"/>
      <c r="L2129" s="141"/>
      <c r="M2129" s="141"/>
      <c r="N2129" s="141"/>
      <c r="O2129" s="141"/>
      <c r="P2129" s="141"/>
      <c r="Q2129" s="141"/>
      <c r="R2129" s="141"/>
      <c r="S2129" s="141"/>
      <c r="T2129" s="141"/>
      <c r="U2129" s="141"/>
      <c r="V2129" s="141"/>
      <c r="W2129" s="141"/>
      <c r="X2129" s="141"/>
      <c r="Y2129" s="141"/>
      <c r="Z2129" s="141"/>
    </row>
    <row r="2130">
      <c r="A2130" s="141"/>
      <c r="B2130" s="141"/>
      <c r="C2130" s="141"/>
      <c r="D2130" s="141"/>
      <c r="E2130" s="141"/>
      <c r="F2130" s="141"/>
      <c r="G2130" s="141"/>
      <c r="H2130" s="141"/>
      <c r="I2130" s="141"/>
      <c r="J2130" s="141"/>
      <c r="K2130" s="141"/>
      <c r="L2130" s="141"/>
      <c r="M2130" s="141"/>
      <c r="N2130" s="141"/>
      <c r="O2130" s="141"/>
      <c r="P2130" s="141"/>
      <c r="Q2130" s="141"/>
      <c r="R2130" s="141"/>
      <c r="S2130" s="141"/>
      <c r="T2130" s="141"/>
      <c r="U2130" s="141"/>
      <c r="V2130" s="141"/>
      <c r="W2130" s="141"/>
      <c r="X2130" s="141"/>
      <c r="Y2130" s="141"/>
      <c r="Z2130" s="141"/>
    </row>
    <row r="2131">
      <c r="A2131" s="141"/>
      <c r="B2131" s="141"/>
      <c r="C2131" s="141"/>
      <c r="D2131" s="141"/>
      <c r="E2131" s="141"/>
      <c r="F2131" s="141"/>
      <c r="G2131" s="141"/>
      <c r="H2131" s="141"/>
      <c r="I2131" s="141"/>
      <c r="J2131" s="141"/>
      <c r="K2131" s="141"/>
      <c r="L2131" s="141"/>
      <c r="M2131" s="141"/>
      <c r="N2131" s="141"/>
      <c r="O2131" s="141"/>
      <c r="P2131" s="141"/>
      <c r="Q2131" s="141"/>
      <c r="R2131" s="141"/>
      <c r="S2131" s="141"/>
      <c r="T2131" s="141"/>
      <c r="U2131" s="141"/>
      <c r="V2131" s="141"/>
      <c r="W2131" s="141"/>
      <c r="X2131" s="141"/>
      <c r="Y2131" s="141"/>
      <c r="Z2131" s="141"/>
    </row>
    <row r="2132">
      <c r="A2132" s="141"/>
      <c r="B2132" s="141"/>
      <c r="C2132" s="141"/>
      <c r="D2132" s="141"/>
      <c r="E2132" s="141"/>
      <c r="F2132" s="141"/>
      <c r="G2132" s="141"/>
      <c r="H2132" s="141"/>
      <c r="I2132" s="141"/>
      <c r="J2132" s="141"/>
      <c r="K2132" s="141"/>
      <c r="L2132" s="141"/>
      <c r="M2132" s="141"/>
      <c r="N2132" s="141"/>
      <c r="O2132" s="141"/>
      <c r="P2132" s="141"/>
      <c r="Q2132" s="141"/>
      <c r="R2132" s="141"/>
      <c r="S2132" s="141"/>
      <c r="T2132" s="141"/>
      <c r="U2132" s="141"/>
      <c r="V2132" s="141"/>
      <c r="W2132" s="141"/>
      <c r="X2132" s="141"/>
      <c r="Y2132" s="141"/>
      <c r="Z2132" s="141"/>
    </row>
    <row r="2133">
      <c r="A2133" s="141"/>
      <c r="B2133" s="141"/>
      <c r="C2133" s="141"/>
      <c r="D2133" s="141"/>
      <c r="E2133" s="141"/>
      <c r="F2133" s="141"/>
      <c r="G2133" s="141"/>
      <c r="H2133" s="141"/>
      <c r="I2133" s="141"/>
      <c r="J2133" s="141"/>
      <c r="K2133" s="141"/>
      <c r="L2133" s="141"/>
      <c r="M2133" s="141"/>
      <c r="N2133" s="141"/>
      <c r="O2133" s="141"/>
      <c r="P2133" s="141"/>
      <c r="Q2133" s="141"/>
      <c r="R2133" s="141"/>
      <c r="S2133" s="141"/>
      <c r="T2133" s="141"/>
      <c r="U2133" s="141"/>
      <c r="V2133" s="141"/>
      <c r="W2133" s="141"/>
      <c r="X2133" s="141"/>
      <c r="Y2133" s="141"/>
      <c r="Z2133" s="141"/>
    </row>
    <row r="2134">
      <c r="A2134" s="141"/>
      <c r="B2134" s="141"/>
      <c r="C2134" s="141"/>
      <c r="D2134" s="141"/>
      <c r="E2134" s="141"/>
      <c r="F2134" s="141"/>
      <c r="G2134" s="141"/>
      <c r="H2134" s="141"/>
      <c r="I2134" s="141"/>
      <c r="J2134" s="141"/>
      <c r="K2134" s="141"/>
      <c r="L2134" s="141"/>
      <c r="M2134" s="141"/>
      <c r="N2134" s="141"/>
      <c r="O2134" s="141"/>
      <c r="P2134" s="141"/>
      <c r="Q2134" s="141"/>
      <c r="R2134" s="141"/>
      <c r="S2134" s="141"/>
      <c r="T2134" s="141"/>
      <c r="U2134" s="141"/>
      <c r="V2134" s="141"/>
      <c r="W2134" s="141"/>
      <c r="X2134" s="141"/>
      <c r="Y2134" s="141"/>
      <c r="Z2134" s="141"/>
    </row>
    <row r="2135">
      <c r="A2135" s="141"/>
      <c r="B2135" s="141"/>
      <c r="C2135" s="141"/>
      <c r="D2135" s="141"/>
      <c r="E2135" s="141"/>
      <c r="F2135" s="141"/>
      <c r="G2135" s="141"/>
      <c r="H2135" s="141"/>
      <c r="I2135" s="141"/>
      <c r="J2135" s="141"/>
      <c r="K2135" s="141"/>
      <c r="L2135" s="141"/>
      <c r="M2135" s="141"/>
      <c r="N2135" s="141"/>
      <c r="O2135" s="141"/>
      <c r="P2135" s="141"/>
      <c r="Q2135" s="141"/>
      <c r="R2135" s="141"/>
      <c r="S2135" s="141"/>
      <c r="T2135" s="141"/>
      <c r="U2135" s="141"/>
      <c r="V2135" s="141"/>
      <c r="W2135" s="141"/>
      <c r="X2135" s="141"/>
      <c r="Y2135" s="141"/>
      <c r="Z2135" s="141"/>
    </row>
    <row r="2136">
      <c r="A2136" s="141"/>
      <c r="B2136" s="141"/>
      <c r="C2136" s="141"/>
      <c r="D2136" s="141"/>
      <c r="E2136" s="141"/>
      <c r="F2136" s="141"/>
      <c r="G2136" s="141"/>
      <c r="H2136" s="141"/>
      <c r="I2136" s="141"/>
      <c r="J2136" s="141"/>
      <c r="K2136" s="141"/>
      <c r="L2136" s="141"/>
      <c r="M2136" s="141"/>
      <c r="N2136" s="141"/>
      <c r="O2136" s="141"/>
      <c r="P2136" s="141"/>
      <c r="Q2136" s="141"/>
      <c r="R2136" s="141"/>
      <c r="S2136" s="141"/>
      <c r="T2136" s="141"/>
      <c r="U2136" s="141"/>
      <c r="V2136" s="141"/>
      <c r="W2136" s="141"/>
      <c r="X2136" s="141"/>
      <c r="Y2136" s="141"/>
      <c r="Z2136" s="141"/>
    </row>
    <row r="2137">
      <c r="A2137" s="141"/>
      <c r="B2137" s="141"/>
      <c r="C2137" s="141"/>
      <c r="D2137" s="141"/>
      <c r="E2137" s="141"/>
      <c r="F2137" s="141"/>
      <c r="G2137" s="141"/>
      <c r="H2137" s="141"/>
      <c r="I2137" s="141"/>
      <c r="J2137" s="141"/>
      <c r="K2137" s="141"/>
      <c r="L2137" s="141"/>
      <c r="M2137" s="141"/>
      <c r="N2137" s="141"/>
      <c r="O2137" s="141"/>
      <c r="P2137" s="141"/>
      <c r="Q2137" s="141"/>
      <c r="R2137" s="141"/>
      <c r="S2137" s="141"/>
      <c r="T2137" s="141"/>
      <c r="U2137" s="141"/>
      <c r="V2137" s="141"/>
      <c r="W2137" s="141"/>
      <c r="X2137" s="141"/>
      <c r="Y2137" s="141"/>
      <c r="Z2137" s="141"/>
    </row>
    <row r="2138">
      <c r="A2138" s="141"/>
      <c r="B2138" s="141"/>
      <c r="C2138" s="141"/>
      <c r="D2138" s="141"/>
      <c r="E2138" s="141"/>
      <c r="F2138" s="141"/>
      <c r="G2138" s="141"/>
      <c r="H2138" s="141"/>
      <c r="I2138" s="141"/>
      <c r="J2138" s="141"/>
      <c r="K2138" s="141"/>
      <c r="L2138" s="141"/>
      <c r="M2138" s="141"/>
      <c r="N2138" s="141"/>
      <c r="O2138" s="141"/>
      <c r="P2138" s="141"/>
      <c r="Q2138" s="141"/>
      <c r="R2138" s="141"/>
      <c r="S2138" s="141"/>
      <c r="T2138" s="141"/>
      <c r="U2138" s="141"/>
      <c r="V2138" s="141"/>
      <c r="W2138" s="141"/>
      <c r="X2138" s="141"/>
      <c r="Y2138" s="141"/>
      <c r="Z2138" s="141"/>
    </row>
    <row r="2139">
      <c r="A2139" s="141"/>
      <c r="B2139" s="141"/>
      <c r="C2139" s="141"/>
      <c r="D2139" s="141"/>
      <c r="E2139" s="141"/>
      <c r="F2139" s="141"/>
      <c r="G2139" s="141"/>
      <c r="H2139" s="141"/>
      <c r="I2139" s="141"/>
      <c r="J2139" s="141"/>
      <c r="K2139" s="141"/>
      <c r="L2139" s="141"/>
      <c r="M2139" s="141"/>
      <c r="N2139" s="141"/>
      <c r="O2139" s="141"/>
      <c r="P2139" s="141"/>
      <c r="Q2139" s="141"/>
      <c r="R2139" s="141"/>
      <c r="S2139" s="141"/>
      <c r="T2139" s="141"/>
      <c r="U2139" s="141"/>
      <c r="V2139" s="141"/>
      <c r="W2139" s="141"/>
      <c r="X2139" s="141"/>
      <c r="Y2139" s="141"/>
      <c r="Z2139" s="141"/>
    </row>
    <row r="2140">
      <c r="A2140" s="141"/>
      <c r="B2140" s="141"/>
      <c r="C2140" s="141"/>
      <c r="D2140" s="141"/>
      <c r="E2140" s="141"/>
      <c r="F2140" s="141"/>
      <c r="G2140" s="141"/>
      <c r="H2140" s="141"/>
      <c r="I2140" s="141"/>
      <c r="J2140" s="141"/>
      <c r="K2140" s="141"/>
      <c r="L2140" s="141"/>
      <c r="M2140" s="141"/>
      <c r="N2140" s="141"/>
      <c r="O2140" s="141"/>
      <c r="P2140" s="141"/>
      <c r="Q2140" s="141"/>
      <c r="R2140" s="141"/>
      <c r="S2140" s="141"/>
      <c r="T2140" s="141"/>
      <c r="U2140" s="141"/>
      <c r="V2140" s="141"/>
      <c r="W2140" s="141"/>
      <c r="X2140" s="141"/>
      <c r="Y2140" s="141"/>
      <c r="Z2140" s="141"/>
    </row>
    <row r="2141">
      <c r="A2141" s="141"/>
      <c r="B2141" s="141"/>
      <c r="C2141" s="141"/>
      <c r="D2141" s="141"/>
      <c r="E2141" s="141"/>
      <c r="F2141" s="141"/>
      <c r="G2141" s="141"/>
      <c r="H2141" s="141"/>
      <c r="I2141" s="141"/>
      <c r="J2141" s="141"/>
      <c r="K2141" s="141"/>
      <c r="L2141" s="141"/>
      <c r="M2141" s="141"/>
      <c r="N2141" s="141"/>
      <c r="O2141" s="141"/>
      <c r="P2141" s="141"/>
      <c r="Q2141" s="141"/>
      <c r="R2141" s="141"/>
      <c r="S2141" s="141"/>
      <c r="T2141" s="141"/>
      <c r="U2141" s="141"/>
      <c r="V2141" s="141"/>
      <c r="W2141" s="141"/>
      <c r="X2141" s="141"/>
      <c r="Y2141" s="141"/>
      <c r="Z2141" s="141"/>
    </row>
    <row r="2142">
      <c r="A2142" s="141"/>
      <c r="B2142" s="141"/>
      <c r="C2142" s="141"/>
      <c r="D2142" s="141"/>
      <c r="E2142" s="141"/>
      <c r="F2142" s="141"/>
      <c r="G2142" s="141"/>
      <c r="H2142" s="141"/>
      <c r="I2142" s="141"/>
      <c r="J2142" s="141"/>
      <c r="K2142" s="141"/>
      <c r="L2142" s="141"/>
      <c r="M2142" s="141"/>
      <c r="N2142" s="141"/>
      <c r="O2142" s="141"/>
      <c r="P2142" s="141"/>
      <c r="Q2142" s="141"/>
      <c r="R2142" s="141"/>
      <c r="S2142" s="141"/>
      <c r="T2142" s="141"/>
      <c r="U2142" s="141"/>
      <c r="V2142" s="141"/>
      <c r="W2142" s="141"/>
      <c r="X2142" s="141"/>
      <c r="Y2142" s="141"/>
      <c r="Z2142" s="141"/>
    </row>
    <row r="2143">
      <c r="A2143" s="141"/>
      <c r="B2143" s="141"/>
      <c r="C2143" s="141"/>
      <c r="D2143" s="141"/>
      <c r="E2143" s="141"/>
      <c r="F2143" s="141"/>
      <c r="G2143" s="141"/>
      <c r="H2143" s="141"/>
      <c r="I2143" s="141"/>
      <c r="J2143" s="141"/>
      <c r="K2143" s="141"/>
      <c r="L2143" s="141"/>
      <c r="M2143" s="141"/>
      <c r="N2143" s="141"/>
      <c r="O2143" s="141"/>
      <c r="P2143" s="141"/>
      <c r="Q2143" s="141"/>
      <c r="R2143" s="141"/>
      <c r="S2143" s="141"/>
      <c r="T2143" s="141"/>
      <c r="U2143" s="141"/>
      <c r="V2143" s="141"/>
      <c r="W2143" s="141"/>
      <c r="X2143" s="141"/>
      <c r="Y2143" s="141"/>
      <c r="Z2143" s="141"/>
    </row>
    <row r="2144">
      <c r="A2144" s="141"/>
      <c r="B2144" s="141"/>
      <c r="C2144" s="141"/>
      <c r="D2144" s="141"/>
      <c r="E2144" s="141"/>
      <c r="F2144" s="141"/>
      <c r="G2144" s="141"/>
      <c r="H2144" s="141"/>
      <c r="I2144" s="141"/>
      <c r="J2144" s="141"/>
      <c r="K2144" s="141"/>
      <c r="L2144" s="141"/>
      <c r="M2144" s="141"/>
      <c r="N2144" s="141"/>
      <c r="O2144" s="141"/>
      <c r="P2144" s="141"/>
      <c r="Q2144" s="141"/>
      <c r="R2144" s="141"/>
      <c r="S2144" s="141"/>
      <c r="T2144" s="141"/>
      <c r="U2144" s="141"/>
      <c r="V2144" s="141"/>
      <c r="W2144" s="141"/>
      <c r="X2144" s="141"/>
      <c r="Y2144" s="141"/>
      <c r="Z2144" s="141"/>
    </row>
    <row r="2145">
      <c r="A2145" s="141"/>
      <c r="B2145" s="141"/>
      <c r="C2145" s="141"/>
      <c r="D2145" s="141"/>
      <c r="E2145" s="141"/>
      <c r="F2145" s="141"/>
      <c r="G2145" s="141"/>
      <c r="H2145" s="141"/>
      <c r="I2145" s="141"/>
      <c r="J2145" s="141"/>
      <c r="K2145" s="141"/>
      <c r="L2145" s="141"/>
      <c r="M2145" s="141"/>
      <c r="N2145" s="141"/>
      <c r="O2145" s="141"/>
      <c r="P2145" s="141"/>
      <c r="Q2145" s="141"/>
      <c r="R2145" s="141"/>
      <c r="S2145" s="141"/>
      <c r="T2145" s="141"/>
      <c r="U2145" s="141"/>
      <c r="V2145" s="141"/>
      <c r="W2145" s="141"/>
      <c r="X2145" s="141"/>
      <c r="Y2145" s="141"/>
      <c r="Z2145" s="141"/>
    </row>
    <row r="2146">
      <c r="A2146" s="141"/>
      <c r="B2146" s="141"/>
      <c r="C2146" s="141"/>
      <c r="D2146" s="141"/>
      <c r="E2146" s="141"/>
      <c r="F2146" s="141"/>
      <c r="G2146" s="141"/>
      <c r="H2146" s="141"/>
      <c r="I2146" s="141"/>
      <c r="J2146" s="141"/>
      <c r="K2146" s="141"/>
      <c r="L2146" s="141"/>
      <c r="M2146" s="141"/>
      <c r="N2146" s="141"/>
      <c r="O2146" s="141"/>
      <c r="P2146" s="141"/>
      <c r="Q2146" s="141"/>
      <c r="R2146" s="141"/>
      <c r="S2146" s="141"/>
      <c r="T2146" s="141"/>
      <c r="U2146" s="141"/>
      <c r="V2146" s="141"/>
      <c r="W2146" s="141"/>
      <c r="X2146" s="141"/>
      <c r="Y2146" s="141"/>
      <c r="Z2146" s="141"/>
    </row>
    <row r="2147">
      <c r="A2147" s="141"/>
      <c r="B2147" s="141"/>
      <c r="C2147" s="141"/>
      <c r="D2147" s="141"/>
      <c r="E2147" s="141"/>
      <c r="F2147" s="141"/>
      <c r="G2147" s="141"/>
      <c r="H2147" s="141"/>
      <c r="I2147" s="141"/>
      <c r="J2147" s="141"/>
      <c r="K2147" s="141"/>
      <c r="L2147" s="141"/>
      <c r="M2147" s="141"/>
      <c r="N2147" s="141"/>
      <c r="O2147" s="141"/>
      <c r="P2147" s="141"/>
      <c r="Q2147" s="141"/>
      <c r="R2147" s="141"/>
      <c r="S2147" s="141"/>
      <c r="T2147" s="141"/>
      <c r="U2147" s="141"/>
      <c r="V2147" s="141"/>
      <c r="W2147" s="141"/>
      <c r="X2147" s="141"/>
      <c r="Y2147" s="141"/>
      <c r="Z2147" s="141"/>
    </row>
    <row r="2148">
      <c r="A2148" s="141"/>
      <c r="B2148" s="141"/>
      <c r="C2148" s="141"/>
      <c r="D2148" s="141"/>
      <c r="E2148" s="141"/>
      <c r="F2148" s="141"/>
      <c r="G2148" s="141"/>
      <c r="H2148" s="141"/>
      <c r="I2148" s="141"/>
      <c r="J2148" s="141"/>
      <c r="K2148" s="141"/>
      <c r="L2148" s="141"/>
      <c r="M2148" s="141"/>
      <c r="N2148" s="141"/>
      <c r="O2148" s="141"/>
      <c r="P2148" s="141"/>
      <c r="Q2148" s="141"/>
      <c r="R2148" s="141"/>
      <c r="S2148" s="141"/>
      <c r="T2148" s="141"/>
      <c r="U2148" s="141"/>
      <c r="V2148" s="141"/>
      <c r="W2148" s="141"/>
      <c r="X2148" s="141"/>
      <c r="Y2148" s="141"/>
      <c r="Z2148" s="141"/>
    </row>
    <row r="2149">
      <c r="A2149" s="141"/>
      <c r="B2149" s="141"/>
      <c r="C2149" s="141"/>
      <c r="D2149" s="141"/>
      <c r="E2149" s="141"/>
      <c r="F2149" s="141"/>
      <c r="G2149" s="141"/>
      <c r="H2149" s="141"/>
      <c r="I2149" s="141"/>
      <c r="J2149" s="141"/>
      <c r="K2149" s="141"/>
      <c r="L2149" s="141"/>
      <c r="M2149" s="141"/>
      <c r="N2149" s="141"/>
      <c r="O2149" s="141"/>
      <c r="P2149" s="141"/>
      <c r="Q2149" s="141"/>
      <c r="R2149" s="141"/>
      <c r="S2149" s="141"/>
      <c r="T2149" s="141"/>
      <c r="U2149" s="141"/>
      <c r="V2149" s="141"/>
      <c r="W2149" s="141"/>
      <c r="X2149" s="141"/>
      <c r="Y2149" s="141"/>
      <c r="Z2149" s="141"/>
    </row>
    <row r="2150">
      <c r="A2150" s="141"/>
      <c r="B2150" s="141"/>
      <c r="C2150" s="141"/>
      <c r="D2150" s="141"/>
      <c r="E2150" s="141"/>
      <c r="F2150" s="141"/>
      <c r="G2150" s="141"/>
      <c r="H2150" s="141"/>
      <c r="I2150" s="141"/>
      <c r="J2150" s="141"/>
      <c r="K2150" s="141"/>
      <c r="L2150" s="141"/>
      <c r="M2150" s="141"/>
      <c r="N2150" s="141"/>
      <c r="O2150" s="141"/>
      <c r="P2150" s="141"/>
      <c r="Q2150" s="141"/>
      <c r="R2150" s="141"/>
      <c r="S2150" s="141"/>
      <c r="T2150" s="141"/>
      <c r="U2150" s="141"/>
      <c r="V2150" s="141"/>
      <c r="W2150" s="141"/>
      <c r="X2150" s="141"/>
      <c r="Y2150" s="141"/>
      <c r="Z2150" s="141"/>
    </row>
    <row r="2151">
      <c r="A2151" s="141"/>
      <c r="B2151" s="141"/>
      <c r="C2151" s="141"/>
      <c r="D2151" s="141"/>
      <c r="E2151" s="141"/>
      <c r="F2151" s="141"/>
      <c r="G2151" s="141"/>
      <c r="H2151" s="141"/>
      <c r="I2151" s="141"/>
      <c r="J2151" s="141"/>
      <c r="K2151" s="141"/>
      <c r="L2151" s="141"/>
      <c r="M2151" s="141"/>
      <c r="N2151" s="141"/>
      <c r="O2151" s="141"/>
      <c r="P2151" s="141"/>
      <c r="Q2151" s="141"/>
      <c r="R2151" s="141"/>
      <c r="S2151" s="141"/>
      <c r="T2151" s="141"/>
      <c r="U2151" s="141"/>
      <c r="V2151" s="141"/>
      <c r="W2151" s="141"/>
      <c r="X2151" s="141"/>
      <c r="Y2151" s="141"/>
      <c r="Z2151" s="141"/>
    </row>
    <row r="2152">
      <c r="A2152" s="141"/>
      <c r="B2152" s="141"/>
      <c r="C2152" s="141"/>
      <c r="D2152" s="141"/>
      <c r="E2152" s="141"/>
      <c r="F2152" s="141"/>
      <c r="G2152" s="141"/>
      <c r="H2152" s="141"/>
      <c r="I2152" s="141"/>
      <c r="J2152" s="141"/>
      <c r="K2152" s="141"/>
      <c r="L2152" s="141"/>
      <c r="M2152" s="141"/>
      <c r="N2152" s="141"/>
      <c r="O2152" s="141"/>
      <c r="P2152" s="141"/>
      <c r="Q2152" s="141"/>
      <c r="R2152" s="141"/>
      <c r="S2152" s="141"/>
      <c r="T2152" s="141"/>
      <c r="U2152" s="141"/>
      <c r="V2152" s="141"/>
      <c r="W2152" s="141"/>
      <c r="X2152" s="141"/>
      <c r="Y2152" s="141"/>
      <c r="Z2152" s="141"/>
    </row>
    <row r="2153">
      <c r="A2153" s="141"/>
      <c r="B2153" s="141"/>
      <c r="C2153" s="141"/>
      <c r="D2153" s="141"/>
      <c r="E2153" s="141"/>
      <c r="F2153" s="141"/>
      <c r="G2153" s="141"/>
      <c r="H2153" s="141"/>
      <c r="I2153" s="141"/>
      <c r="J2153" s="141"/>
      <c r="K2153" s="141"/>
      <c r="L2153" s="141"/>
      <c r="M2153" s="141"/>
      <c r="N2153" s="141"/>
      <c r="O2153" s="141"/>
      <c r="P2153" s="141"/>
      <c r="Q2153" s="141"/>
      <c r="R2153" s="141"/>
      <c r="S2153" s="141"/>
      <c r="T2153" s="141"/>
      <c r="U2153" s="141"/>
      <c r="V2153" s="141"/>
      <c r="W2153" s="141"/>
      <c r="X2153" s="141"/>
      <c r="Y2153" s="141"/>
      <c r="Z2153" s="141"/>
    </row>
    <row r="2154">
      <c r="A2154" s="141"/>
      <c r="B2154" s="141"/>
      <c r="C2154" s="141"/>
      <c r="D2154" s="141"/>
      <c r="E2154" s="141"/>
      <c r="F2154" s="141"/>
      <c r="G2154" s="141"/>
      <c r="H2154" s="141"/>
      <c r="I2154" s="141"/>
      <c r="J2154" s="141"/>
      <c r="K2154" s="141"/>
      <c r="L2154" s="141"/>
      <c r="M2154" s="141"/>
      <c r="N2154" s="141"/>
      <c r="O2154" s="141"/>
      <c r="P2154" s="141"/>
      <c r="Q2154" s="141"/>
      <c r="R2154" s="141"/>
      <c r="S2154" s="141"/>
      <c r="T2154" s="141"/>
      <c r="U2154" s="141"/>
      <c r="V2154" s="141"/>
      <c r="W2154" s="141"/>
      <c r="X2154" s="141"/>
      <c r="Y2154" s="141"/>
      <c r="Z2154" s="141"/>
    </row>
    <row r="2155">
      <c r="A2155" s="141"/>
      <c r="B2155" s="141"/>
      <c r="C2155" s="141"/>
      <c r="D2155" s="141"/>
      <c r="E2155" s="141"/>
      <c r="F2155" s="141"/>
      <c r="G2155" s="141"/>
      <c r="H2155" s="141"/>
      <c r="I2155" s="141"/>
      <c r="J2155" s="141"/>
      <c r="K2155" s="141"/>
      <c r="L2155" s="141"/>
      <c r="M2155" s="141"/>
      <c r="N2155" s="141"/>
      <c r="O2155" s="141"/>
      <c r="P2155" s="141"/>
      <c r="Q2155" s="141"/>
      <c r="R2155" s="141"/>
      <c r="S2155" s="141"/>
      <c r="T2155" s="141"/>
      <c r="U2155" s="141"/>
      <c r="V2155" s="141"/>
      <c r="W2155" s="141"/>
      <c r="X2155" s="141"/>
      <c r="Y2155" s="141"/>
      <c r="Z2155" s="141"/>
    </row>
    <row r="2156">
      <c r="A2156" s="141"/>
      <c r="B2156" s="141"/>
      <c r="C2156" s="141"/>
      <c r="D2156" s="141"/>
      <c r="E2156" s="141"/>
      <c r="F2156" s="141"/>
      <c r="G2156" s="141"/>
      <c r="H2156" s="141"/>
      <c r="I2156" s="141"/>
      <c r="J2156" s="141"/>
      <c r="K2156" s="141"/>
      <c r="L2156" s="141"/>
      <c r="M2156" s="141"/>
      <c r="N2156" s="141"/>
      <c r="O2156" s="141"/>
      <c r="P2156" s="141"/>
      <c r="Q2156" s="141"/>
      <c r="R2156" s="141"/>
      <c r="S2156" s="141"/>
      <c r="T2156" s="141"/>
      <c r="U2156" s="141"/>
      <c r="V2156" s="141"/>
      <c r="W2156" s="141"/>
      <c r="X2156" s="141"/>
      <c r="Y2156" s="141"/>
      <c r="Z2156" s="141"/>
    </row>
    <row r="2157">
      <c r="A2157" s="141"/>
      <c r="B2157" s="141"/>
      <c r="C2157" s="141"/>
      <c r="D2157" s="141"/>
      <c r="E2157" s="141"/>
      <c r="F2157" s="141"/>
      <c r="G2157" s="141"/>
      <c r="H2157" s="141"/>
      <c r="I2157" s="141"/>
      <c r="J2157" s="141"/>
      <c r="K2157" s="141"/>
      <c r="L2157" s="141"/>
      <c r="M2157" s="141"/>
      <c r="N2157" s="141"/>
      <c r="O2157" s="141"/>
      <c r="P2157" s="141"/>
      <c r="Q2157" s="141"/>
      <c r="R2157" s="141"/>
      <c r="S2157" s="141"/>
      <c r="T2157" s="141"/>
      <c r="U2157" s="141"/>
      <c r="V2157" s="141"/>
      <c r="W2157" s="141"/>
      <c r="X2157" s="141"/>
      <c r="Y2157" s="141"/>
      <c r="Z2157" s="141"/>
    </row>
    <row r="2158">
      <c r="A2158" s="141"/>
      <c r="B2158" s="141"/>
      <c r="C2158" s="141"/>
      <c r="D2158" s="141"/>
      <c r="E2158" s="141"/>
      <c r="F2158" s="141"/>
      <c r="G2158" s="141"/>
      <c r="H2158" s="141"/>
      <c r="I2158" s="141"/>
      <c r="J2158" s="141"/>
      <c r="K2158" s="141"/>
      <c r="L2158" s="141"/>
      <c r="M2158" s="141"/>
      <c r="N2158" s="141"/>
      <c r="O2158" s="141"/>
      <c r="P2158" s="141"/>
      <c r="Q2158" s="141"/>
      <c r="R2158" s="141"/>
      <c r="S2158" s="141"/>
      <c r="T2158" s="141"/>
      <c r="U2158" s="141"/>
      <c r="V2158" s="141"/>
      <c r="W2158" s="141"/>
      <c r="X2158" s="141"/>
      <c r="Y2158" s="141"/>
      <c r="Z2158" s="141"/>
    </row>
    <row r="2159">
      <c r="A2159" s="141"/>
      <c r="B2159" s="141"/>
      <c r="C2159" s="141"/>
      <c r="D2159" s="141"/>
      <c r="E2159" s="141"/>
      <c r="F2159" s="141"/>
      <c r="G2159" s="141"/>
      <c r="H2159" s="141"/>
      <c r="I2159" s="141"/>
      <c r="J2159" s="141"/>
      <c r="K2159" s="141"/>
      <c r="L2159" s="141"/>
      <c r="M2159" s="141"/>
      <c r="N2159" s="141"/>
      <c r="O2159" s="141"/>
      <c r="P2159" s="141"/>
      <c r="Q2159" s="141"/>
      <c r="R2159" s="141"/>
      <c r="S2159" s="141"/>
      <c r="T2159" s="141"/>
      <c r="U2159" s="141"/>
      <c r="V2159" s="141"/>
      <c r="W2159" s="141"/>
      <c r="X2159" s="141"/>
      <c r="Y2159" s="141"/>
      <c r="Z2159" s="141"/>
    </row>
    <row r="2160">
      <c r="A2160" s="141"/>
      <c r="B2160" s="141"/>
      <c r="C2160" s="141"/>
      <c r="D2160" s="141"/>
      <c r="E2160" s="141"/>
      <c r="F2160" s="141"/>
      <c r="G2160" s="141"/>
      <c r="H2160" s="141"/>
      <c r="I2160" s="141"/>
      <c r="J2160" s="141"/>
      <c r="K2160" s="141"/>
      <c r="L2160" s="141"/>
      <c r="M2160" s="141"/>
      <c r="N2160" s="141"/>
      <c r="O2160" s="141"/>
      <c r="P2160" s="141"/>
      <c r="Q2160" s="141"/>
      <c r="R2160" s="141"/>
      <c r="S2160" s="141"/>
      <c r="T2160" s="141"/>
      <c r="U2160" s="141"/>
      <c r="V2160" s="141"/>
      <c r="W2160" s="141"/>
      <c r="X2160" s="141"/>
      <c r="Y2160" s="141"/>
      <c r="Z2160" s="141"/>
    </row>
    <row r="2161">
      <c r="A2161" s="141"/>
      <c r="B2161" s="141"/>
      <c r="C2161" s="141"/>
      <c r="D2161" s="141"/>
      <c r="E2161" s="141"/>
      <c r="F2161" s="141"/>
      <c r="G2161" s="141"/>
      <c r="H2161" s="141"/>
      <c r="I2161" s="141"/>
      <c r="J2161" s="141"/>
      <c r="K2161" s="141"/>
      <c r="L2161" s="141"/>
      <c r="M2161" s="141"/>
      <c r="N2161" s="141"/>
      <c r="O2161" s="141"/>
      <c r="P2161" s="141"/>
      <c r="Q2161" s="141"/>
      <c r="R2161" s="141"/>
      <c r="S2161" s="141"/>
      <c r="T2161" s="141"/>
      <c r="U2161" s="141"/>
      <c r="V2161" s="141"/>
      <c r="W2161" s="141"/>
      <c r="X2161" s="141"/>
      <c r="Y2161" s="141"/>
      <c r="Z2161" s="141"/>
    </row>
    <row r="2162">
      <c r="A2162" s="141"/>
      <c r="B2162" s="141"/>
      <c r="C2162" s="141"/>
      <c r="D2162" s="141"/>
      <c r="E2162" s="141"/>
      <c r="F2162" s="141"/>
      <c r="G2162" s="141"/>
      <c r="H2162" s="141"/>
      <c r="I2162" s="141"/>
      <c r="J2162" s="141"/>
      <c r="K2162" s="141"/>
      <c r="L2162" s="141"/>
      <c r="M2162" s="141"/>
      <c r="N2162" s="141"/>
      <c r="O2162" s="141"/>
      <c r="P2162" s="141"/>
      <c r="Q2162" s="141"/>
      <c r="R2162" s="141"/>
      <c r="S2162" s="141"/>
      <c r="T2162" s="141"/>
      <c r="U2162" s="141"/>
      <c r="V2162" s="141"/>
      <c r="W2162" s="141"/>
      <c r="X2162" s="141"/>
      <c r="Y2162" s="141"/>
      <c r="Z2162" s="141"/>
    </row>
    <row r="2163">
      <c r="A2163" s="141"/>
      <c r="B2163" s="141"/>
      <c r="C2163" s="141"/>
      <c r="D2163" s="141"/>
      <c r="E2163" s="141"/>
      <c r="F2163" s="141"/>
      <c r="G2163" s="141"/>
      <c r="H2163" s="141"/>
      <c r="I2163" s="141"/>
      <c r="J2163" s="141"/>
      <c r="K2163" s="141"/>
      <c r="L2163" s="141"/>
      <c r="M2163" s="141"/>
      <c r="N2163" s="141"/>
      <c r="O2163" s="141"/>
      <c r="P2163" s="141"/>
      <c r="Q2163" s="141"/>
      <c r="R2163" s="141"/>
      <c r="S2163" s="141"/>
      <c r="T2163" s="141"/>
      <c r="U2163" s="141"/>
      <c r="V2163" s="141"/>
      <c r="W2163" s="141"/>
      <c r="X2163" s="141"/>
      <c r="Y2163" s="141"/>
      <c r="Z2163" s="141"/>
    </row>
    <row r="2164">
      <c r="A2164" s="141"/>
      <c r="B2164" s="141"/>
      <c r="C2164" s="141"/>
      <c r="D2164" s="141"/>
      <c r="E2164" s="141"/>
      <c r="F2164" s="141"/>
      <c r="G2164" s="141"/>
      <c r="H2164" s="141"/>
      <c r="I2164" s="141"/>
      <c r="J2164" s="141"/>
      <c r="K2164" s="141"/>
      <c r="L2164" s="141"/>
      <c r="M2164" s="141"/>
      <c r="N2164" s="141"/>
      <c r="O2164" s="141"/>
      <c r="P2164" s="141"/>
      <c r="Q2164" s="141"/>
      <c r="R2164" s="141"/>
      <c r="S2164" s="141"/>
      <c r="T2164" s="141"/>
      <c r="U2164" s="141"/>
      <c r="V2164" s="141"/>
      <c r="W2164" s="141"/>
      <c r="X2164" s="141"/>
      <c r="Y2164" s="141"/>
      <c r="Z2164" s="141"/>
    </row>
    <row r="2165">
      <c r="A2165" s="141"/>
      <c r="B2165" s="141"/>
      <c r="C2165" s="141"/>
      <c r="D2165" s="141"/>
      <c r="E2165" s="141"/>
      <c r="F2165" s="141"/>
      <c r="G2165" s="141"/>
      <c r="H2165" s="141"/>
      <c r="I2165" s="141"/>
      <c r="J2165" s="141"/>
      <c r="K2165" s="141"/>
      <c r="L2165" s="141"/>
      <c r="M2165" s="141"/>
      <c r="N2165" s="141"/>
      <c r="O2165" s="141"/>
      <c r="P2165" s="141"/>
      <c r="Q2165" s="141"/>
      <c r="R2165" s="141"/>
      <c r="S2165" s="141"/>
      <c r="T2165" s="141"/>
      <c r="U2165" s="141"/>
      <c r="V2165" s="141"/>
      <c r="W2165" s="141"/>
      <c r="X2165" s="141"/>
      <c r="Y2165" s="141"/>
      <c r="Z2165" s="141"/>
    </row>
    <row r="2166">
      <c r="A2166" s="141"/>
      <c r="B2166" s="141"/>
      <c r="C2166" s="141"/>
      <c r="D2166" s="141"/>
      <c r="E2166" s="141"/>
      <c r="F2166" s="141"/>
      <c r="G2166" s="141"/>
      <c r="H2166" s="141"/>
      <c r="I2166" s="141"/>
      <c r="J2166" s="141"/>
      <c r="K2166" s="141"/>
      <c r="L2166" s="141"/>
      <c r="M2166" s="141"/>
      <c r="N2166" s="141"/>
      <c r="O2166" s="141"/>
      <c r="P2166" s="141"/>
      <c r="Q2166" s="141"/>
      <c r="R2166" s="141"/>
      <c r="S2166" s="141"/>
      <c r="T2166" s="141"/>
      <c r="U2166" s="141"/>
      <c r="V2166" s="141"/>
      <c r="W2166" s="141"/>
      <c r="X2166" s="141"/>
      <c r="Y2166" s="141"/>
      <c r="Z2166" s="141"/>
    </row>
    <row r="2167">
      <c r="A2167" s="141"/>
      <c r="B2167" s="141"/>
      <c r="C2167" s="141"/>
      <c r="D2167" s="141"/>
      <c r="E2167" s="141"/>
      <c r="F2167" s="141"/>
      <c r="G2167" s="141"/>
      <c r="H2167" s="141"/>
      <c r="I2167" s="141"/>
      <c r="J2167" s="141"/>
      <c r="K2167" s="141"/>
      <c r="L2167" s="141"/>
      <c r="M2167" s="141"/>
      <c r="N2167" s="141"/>
      <c r="O2167" s="141"/>
      <c r="P2167" s="141"/>
      <c r="Q2167" s="141"/>
      <c r="R2167" s="141"/>
      <c r="S2167" s="141"/>
      <c r="T2167" s="141"/>
      <c r="U2167" s="141"/>
      <c r="V2167" s="141"/>
      <c r="W2167" s="141"/>
      <c r="X2167" s="141"/>
      <c r="Y2167" s="141"/>
      <c r="Z2167" s="141"/>
    </row>
    <row r="2168">
      <c r="A2168" s="141"/>
      <c r="B2168" s="141"/>
      <c r="C2168" s="141"/>
      <c r="D2168" s="141"/>
      <c r="E2168" s="141"/>
      <c r="F2168" s="141"/>
      <c r="G2168" s="141"/>
      <c r="H2168" s="141"/>
      <c r="I2168" s="141"/>
      <c r="J2168" s="141"/>
      <c r="K2168" s="141"/>
      <c r="L2168" s="141"/>
      <c r="M2168" s="141"/>
      <c r="N2168" s="141"/>
      <c r="O2168" s="141"/>
      <c r="P2168" s="141"/>
      <c r="Q2168" s="141"/>
      <c r="R2168" s="141"/>
      <c r="S2168" s="141"/>
      <c r="T2168" s="141"/>
      <c r="U2168" s="141"/>
      <c r="V2168" s="141"/>
      <c r="W2168" s="141"/>
      <c r="X2168" s="141"/>
      <c r="Y2168" s="141"/>
      <c r="Z2168" s="141"/>
    </row>
    <row r="2169">
      <c r="A2169" s="141"/>
      <c r="B2169" s="141"/>
      <c r="C2169" s="141"/>
      <c r="D2169" s="141"/>
      <c r="E2169" s="141"/>
      <c r="F2169" s="141"/>
      <c r="G2169" s="141"/>
      <c r="H2169" s="141"/>
      <c r="I2169" s="141"/>
      <c r="J2169" s="141"/>
      <c r="K2169" s="141"/>
      <c r="L2169" s="141"/>
      <c r="M2169" s="141"/>
      <c r="N2169" s="141"/>
      <c r="O2169" s="141"/>
      <c r="P2169" s="141"/>
      <c r="Q2169" s="141"/>
      <c r="R2169" s="141"/>
      <c r="S2169" s="141"/>
      <c r="T2169" s="141"/>
      <c r="U2169" s="141"/>
      <c r="V2169" s="141"/>
      <c r="W2169" s="141"/>
      <c r="X2169" s="141"/>
      <c r="Y2169" s="141"/>
      <c r="Z2169" s="141"/>
    </row>
    <row r="2170">
      <c r="A2170" s="141"/>
      <c r="B2170" s="141"/>
      <c r="C2170" s="141"/>
      <c r="D2170" s="141"/>
      <c r="E2170" s="141"/>
      <c r="F2170" s="141"/>
      <c r="G2170" s="141"/>
      <c r="H2170" s="141"/>
      <c r="I2170" s="141"/>
      <c r="J2170" s="141"/>
      <c r="K2170" s="141"/>
      <c r="L2170" s="141"/>
      <c r="M2170" s="141"/>
      <c r="N2170" s="141"/>
      <c r="O2170" s="141"/>
      <c r="P2170" s="141"/>
      <c r="Q2170" s="141"/>
      <c r="R2170" s="141"/>
      <c r="S2170" s="141"/>
      <c r="T2170" s="141"/>
      <c r="U2170" s="141"/>
      <c r="V2170" s="141"/>
      <c r="W2170" s="141"/>
      <c r="X2170" s="141"/>
      <c r="Y2170" s="141"/>
      <c r="Z2170" s="141"/>
    </row>
    <row r="2171">
      <c r="A2171" s="141"/>
      <c r="B2171" s="141"/>
      <c r="C2171" s="141"/>
      <c r="D2171" s="141"/>
      <c r="E2171" s="141"/>
      <c r="F2171" s="141"/>
      <c r="G2171" s="141"/>
      <c r="H2171" s="141"/>
      <c r="I2171" s="141"/>
      <c r="J2171" s="141"/>
      <c r="K2171" s="141"/>
      <c r="L2171" s="141"/>
      <c r="M2171" s="141"/>
      <c r="N2171" s="141"/>
      <c r="O2171" s="141"/>
      <c r="P2171" s="141"/>
      <c r="Q2171" s="141"/>
      <c r="R2171" s="141"/>
      <c r="S2171" s="141"/>
      <c r="T2171" s="141"/>
      <c r="U2171" s="141"/>
      <c r="V2171" s="141"/>
      <c r="W2171" s="141"/>
      <c r="X2171" s="141"/>
      <c r="Y2171" s="141"/>
      <c r="Z2171" s="141"/>
    </row>
    <row r="2172">
      <c r="A2172" s="141"/>
      <c r="B2172" s="141"/>
      <c r="C2172" s="141"/>
      <c r="D2172" s="141"/>
      <c r="E2172" s="141"/>
      <c r="F2172" s="141"/>
      <c r="G2172" s="141"/>
      <c r="H2172" s="141"/>
      <c r="I2172" s="141"/>
      <c r="J2172" s="141"/>
      <c r="K2172" s="141"/>
      <c r="L2172" s="141"/>
      <c r="M2172" s="141"/>
      <c r="N2172" s="141"/>
      <c r="O2172" s="141"/>
      <c r="P2172" s="141"/>
      <c r="Q2172" s="141"/>
      <c r="R2172" s="141"/>
      <c r="S2172" s="141"/>
      <c r="T2172" s="141"/>
      <c r="U2172" s="141"/>
      <c r="V2172" s="141"/>
      <c r="W2172" s="141"/>
      <c r="X2172" s="141"/>
      <c r="Y2172" s="141"/>
      <c r="Z2172" s="141"/>
    </row>
    <row r="2173">
      <c r="A2173" s="141"/>
      <c r="B2173" s="141"/>
      <c r="C2173" s="141"/>
      <c r="D2173" s="141"/>
      <c r="E2173" s="141"/>
      <c r="F2173" s="141"/>
      <c r="G2173" s="141"/>
      <c r="H2173" s="141"/>
      <c r="I2173" s="141"/>
      <c r="J2173" s="141"/>
      <c r="K2173" s="141"/>
      <c r="L2173" s="141"/>
      <c r="M2173" s="141"/>
      <c r="N2173" s="141"/>
      <c r="O2173" s="141"/>
      <c r="P2173" s="141"/>
      <c r="Q2173" s="141"/>
      <c r="R2173" s="141"/>
      <c r="S2173" s="141"/>
      <c r="T2173" s="141"/>
      <c r="U2173" s="141"/>
      <c r="V2173" s="141"/>
      <c r="W2173" s="141"/>
      <c r="X2173" s="141"/>
      <c r="Y2173" s="141"/>
      <c r="Z2173" s="141"/>
    </row>
    <row r="2174">
      <c r="A2174" s="141"/>
      <c r="B2174" s="141"/>
      <c r="C2174" s="141"/>
      <c r="D2174" s="141"/>
      <c r="E2174" s="141"/>
      <c r="F2174" s="141"/>
      <c r="G2174" s="141"/>
      <c r="H2174" s="141"/>
      <c r="I2174" s="141"/>
      <c r="J2174" s="141"/>
      <c r="K2174" s="141"/>
      <c r="L2174" s="141"/>
      <c r="M2174" s="141"/>
      <c r="N2174" s="141"/>
      <c r="O2174" s="141"/>
      <c r="P2174" s="141"/>
      <c r="Q2174" s="141"/>
      <c r="R2174" s="141"/>
      <c r="S2174" s="141"/>
      <c r="T2174" s="141"/>
      <c r="U2174" s="141"/>
      <c r="V2174" s="141"/>
      <c r="W2174" s="141"/>
      <c r="X2174" s="141"/>
      <c r="Y2174" s="141"/>
      <c r="Z2174" s="141"/>
    </row>
    <row r="2175">
      <c r="A2175" s="141"/>
      <c r="B2175" s="141"/>
      <c r="C2175" s="141"/>
      <c r="D2175" s="141"/>
      <c r="E2175" s="141"/>
      <c r="F2175" s="141"/>
      <c r="G2175" s="141"/>
      <c r="H2175" s="141"/>
      <c r="I2175" s="141"/>
      <c r="J2175" s="141"/>
      <c r="K2175" s="141"/>
      <c r="L2175" s="141"/>
      <c r="M2175" s="141"/>
      <c r="N2175" s="141"/>
      <c r="O2175" s="141"/>
      <c r="P2175" s="141"/>
      <c r="Q2175" s="141"/>
      <c r="R2175" s="141"/>
      <c r="S2175" s="141"/>
      <c r="T2175" s="141"/>
      <c r="U2175" s="141"/>
      <c r="V2175" s="141"/>
      <c r="W2175" s="141"/>
      <c r="X2175" s="141"/>
      <c r="Y2175" s="141"/>
      <c r="Z2175" s="141"/>
    </row>
    <row r="2176">
      <c r="A2176" s="141"/>
      <c r="B2176" s="141"/>
      <c r="C2176" s="141"/>
      <c r="D2176" s="141"/>
      <c r="E2176" s="141"/>
      <c r="F2176" s="141"/>
      <c r="G2176" s="141"/>
      <c r="H2176" s="141"/>
      <c r="I2176" s="141"/>
      <c r="J2176" s="141"/>
      <c r="K2176" s="141"/>
      <c r="L2176" s="141"/>
      <c r="M2176" s="141"/>
      <c r="N2176" s="141"/>
      <c r="O2176" s="141"/>
      <c r="P2176" s="141"/>
      <c r="Q2176" s="141"/>
      <c r="R2176" s="141"/>
      <c r="S2176" s="141"/>
      <c r="T2176" s="141"/>
      <c r="U2176" s="141"/>
      <c r="V2176" s="141"/>
      <c r="W2176" s="141"/>
      <c r="X2176" s="141"/>
      <c r="Y2176" s="141"/>
      <c r="Z2176" s="141"/>
    </row>
    <row r="2177">
      <c r="A2177" s="141"/>
      <c r="B2177" s="141"/>
      <c r="C2177" s="141"/>
      <c r="D2177" s="141"/>
      <c r="E2177" s="141"/>
      <c r="F2177" s="141"/>
      <c r="G2177" s="141"/>
      <c r="H2177" s="141"/>
      <c r="I2177" s="141"/>
      <c r="J2177" s="141"/>
      <c r="K2177" s="141"/>
      <c r="L2177" s="141"/>
      <c r="M2177" s="141"/>
      <c r="N2177" s="141"/>
      <c r="O2177" s="141"/>
      <c r="P2177" s="141"/>
      <c r="Q2177" s="141"/>
      <c r="R2177" s="141"/>
      <c r="S2177" s="141"/>
      <c r="T2177" s="141"/>
      <c r="U2177" s="141"/>
      <c r="V2177" s="141"/>
      <c r="W2177" s="141"/>
      <c r="X2177" s="141"/>
      <c r="Y2177" s="141"/>
      <c r="Z2177" s="141"/>
    </row>
    <row r="2178">
      <c r="A2178" s="141"/>
      <c r="B2178" s="141"/>
      <c r="C2178" s="141"/>
      <c r="D2178" s="141"/>
      <c r="E2178" s="141"/>
      <c r="F2178" s="141"/>
      <c r="G2178" s="141"/>
      <c r="H2178" s="141"/>
      <c r="I2178" s="141"/>
      <c r="J2178" s="141"/>
      <c r="K2178" s="141"/>
      <c r="L2178" s="141"/>
      <c r="M2178" s="141"/>
      <c r="N2178" s="141"/>
      <c r="O2178" s="141"/>
      <c r="P2178" s="141"/>
      <c r="Q2178" s="141"/>
      <c r="R2178" s="141"/>
      <c r="S2178" s="141"/>
      <c r="T2178" s="141"/>
      <c r="U2178" s="141"/>
      <c r="V2178" s="141"/>
      <c r="W2178" s="141"/>
      <c r="X2178" s="141"/>
      <c r="Y2178" s="141"/>
      <c r="Z2178" s="141"/>
    </row>
    <row r="2179">
      <c r="A2179" s="141"/>
      <c r="B2179" s="141"/>
      <c r="C2179" s="141"/>
      <c r="D2179" s="141"/>
      <c r="E2179" s="141"/>
      <c r="F2179" s="141"/>
      <c r="G2179" s="141"/>
      <c r="H2179" s="141"/>
      <c r="I2179" s="141"/>
      <c r="J2179" s="141"/>
      <c r="K2179" s="141"/>
      <c r="L2179" s="141"/>
      <c r="M2179" s="141"/>
      <c r="N2179" s="141"/>
      <c r="O2179" s="141"/>
      <c r="P2179" s="141"/>
      <c r="Q2179" s="141"/>
      <c r="R2179" s="141"/>
      <c r="S2179" s="141"/>
      <c r="T2179" s="141"/>
      <c r="U2179" s="141"/>
      <c r="V2179" s="141"/>
      <c r="W2179" s="141"/>
      <c r="X2179" s="141"/>
      <c r="Y2179" s="141"/>
      <c r="Z2179" s="141"/>
    </row>
    <row r="2180">
      <c r="A2180" s="141"/>
      <c r="B2180" s="141"/>
      <c r="C2180" s="141"/>
      <c r="D2180" s="141"/>
      <c r="E2180" s="141"/>
      <c r="F2180" s="141"/>
      <c r="G2180" s="141"/>
      <c r="H2180" s="141"/>
      <c r="I2180" s="141"/>
      <c r="J2180" s="141"/>
      <c r="K2180" s="141"/>
      <c r="L2180" s="141"/>
      <c r="M2180" s="141"/>
      <c r="N2180" s="141"/>
      <c r="O2180" s="141"/>
      <c r="P2180" s="141"/>
      <c r="Q2180" s="141"/>
      <c r="R2180" s="141"/>
      <c r="S2180" s="141"/>
      <c r="T2180" s="141"/>
      <c r="U2180" s="141"/>
      <c r="V2180" s="141"/>
      <c r="W2180" s="141"/>
      <c r="X2180" s="141"/>
      <c r="Y2180" s="141"/>
      <c r="Z2180" s="141"/>
    </row>
    <row r="2181">
      <c r="A2181" s="141"/>
      <c r="B2181" s="141"/>
      <c r="C2181" s="141"/>
      <c r="D2181" s="141"/>
      <c r="E2181" s="141"/>
      <c r="F2181" s="141"/>
      <c r="G2181" s="141"/>
      <c r="H2181" s="141"/>
      <c r="I2181" s="141"/>
      <c r="J2181" s="141"/>
      <c r="K2181" s="141"/>
      <c r="L2181" s="141"/>
      <c r="M2181" s="141"/>
      <c r="N2181" s="141"/>
      <c r="O2181" s="141"/>
      <c r="P2181" s="141"/>
      <c r="Q2181" s="141"/>
      <c r="R2181" s="141"/>
      <c r="S2181" s="141"/>
      <c r="T2181" s="141"/>
      <c r="U2181" s="141"/>
      <c r="V2181" s="141"/>
      <c r="W2181" s="141"/>
      <c r="X2181" s="141"/>
      <c r="Y2181" s="141"/>
      <c r="Z2181" s="141"/>
    </row>
    <row r="2182">
      <c r="A2182" s="141"/>
      <c r="B2182" s="141"/>
      <c r="C2182" s="141"/>
      <c r="D2182" s="141"/>
      <c r="E2182" s="141"/>
      <c r="F2182" s="141"/>
      <c r="G2182" s="141"/>
      <c r="H2182" s="141"/>
      <c r="I2182" s="141"/>
      <c r="J2182" s="141"/>
      <c r="K2182" s="141"/>
      <c r="L2182" s="141"/>
      <c r="M2182" s="141"/>
      <c r="N2182" s="141"/>
      <c r="O2182" s="141"/>
      <c r="P2182" s="141"/>
      <c r="Q2182" s="141"/>
      <c r="R2182" s="141"/>
      <c r="S2182" s="141"/>
      <c r="T2182" s="141"/>
      <c r="U2182" s="141"/>
      <c r="V2182" s="141"/>
      <c r="W2182" s="141"/>
      <c r="X2182" s="141"/>
      <c r="Y2182" s="141"/>
      <c r="Z2182" s="141"/>
    </row>
    <row r="2183">
      <c r="A2183" s="141"/>
      <c r="B2183" s="141"/>
      <c r="C2183" s="141"/>
      <c r="D2183" s="141"/>
      <c r="E2183" s="141"/>
      <c r="F2183" s="141"/>
      <c r="G2183" s="141"/>
      <c r="H2183" s="141"/>
      <c r="I2183" s="141"/>
      <c r="J2183" s="141"/>
      <c r="K2183" s="141"/>
      <c r="L2183" s="141"/>
      <c r="M2183" s="141"/>
      <c r="N2183" s="141"/>
      <c r="O2183" s="141"/>
      <c r="P2183" s="141"/>
      <c r="Q2183" s="141"/>
      <c r="R2183" s="141"/>
      <c r="S2183" s="141"/>
      <c r="T2183" s="141"/>
      <c r="U2183" s="141"/>
      <c r="V2183" s="141"/>
      <c r="W2183" s="141"/>
      <c r="X2183" s="141"/>
      <c r="Y2183" s="141"/>
      <c r="Z2183" s="141"/>
    </row>
    <row r="2184">
      <c r="A2184" s="141"/>
      <c r="B2184" s="141"/>
      <c r="C2184" s="141"/>
      <c r="D2184" s="141"/>
      <c r="E2184" s="141"/>
      <c r="F2184" s="141"/>
      <c r="G2184" s="141"/>
      <c r="H2184" s="141"/>
      <c r="I2184" s="141"/>
      <c r="J2184" s="141"/>
      <c r="K2184" s="141"/>
      <c r="L2184" s="141"/>
      <c r="M2184" s="141"/>
      <c r="N2184" s="141"/>
      <c r="O2184" s="141"/>
      <c r="P2184" s="141"/>
      <c r="Q2184" s="141"/>
      <c r="R2184" s="141"/>
      <c r="S2184" s="141"/>
      <c r="T2184" s="141"/>
      <c r="U2184" s="141"/>
      <c r="V2184" s="141"/>
      <c r="W2184" s="141"/>
      <c r="X2184" s="141"/>
      <c r="Y2184" s="141"/>
      <c r="Z2184" s="141"/>
    </row>
    <row r="2185">
      <c r="A2185" s="141"/>
      <c r="B2185" s="141"/>
      <c r="C2185" s="141"/>
      <c r="D2185" s="141"/>
      <c r="E2185" s="141"/>
      <c r="F2185" s="141"/>
      <c r="G2185" s="141"/>
      <c r="H2185" s="141"/>
      <c r="I2185" s="141"/>
      <c r="J2185" s="141"/>
      <c r="K2185" s="141"/>
      <c r="L2185" s="141"/>
      <c r="M2185" s="141"/>
      <c r="N2185" s="141"/>
      <c r="O2185" s="141"/>
      <c r="P2185" s="141"/>
      <c r="Q2185" s="141"/>
      <c r="R2185" s="141"/>
      <c r="S2185" s="141"/>
      <c r="T2185" s="141"/>
      <c r="U2185" s="141"/>
      <c r="V2185" s="141"/>
      <c r="W2185" s="141"/>
      <c r="X2185" s="141"/>
      <c r="Y2185" s="141"/>
      <c r="Z2185" s="141"/>
    </row>
    <row r="2186">
      <c r="A2186" s="141"/>
      <c r="B2186" s="141"/>
      <c r="C2186" s="141"/>
      <c r="D2186" s="141"/>
      <c r="E2186" s="141"/>
      <c r="F2186" s="141"/>
      <c r="G2186" s="141"/>
      <c r="H2186" s="141"/>
      <c r="I2186" s="141"/>
      <c r="J2186" s="141"/>
      <c r="K2186" s="141"/>
      <c r="L2186" s="141"/>
      <c r="M2186" s="141"/>
      <c r="N2186" s="141"/>
      <c r="O2186" s="141"/>
      <c r="P2186" s="141"/>
      <c r="Q2186" s="141"/>
      <c r="R2186" s="141"/>
      <c r="S2186" s="141"/>
      <c r="T2186" s="141"/>
      <c r="U2186" s="141"/>
      <c r="V2186" s="141"/>
      <c r="W2186" s="141"/>
      <c r="X2186" s="141"/>
      <c r="Y2186" s="141"/>
      <c r="Z2186" s="141"/>
    </row>
    <row r="2187">
      <c r="A2187" s="141"/>
      <c r="B2187" s="141"/>
      <c r="C2187" s="141"/>
      <c r="D2187" s="141"/>
      <c r="E2187" s="141"/>
      <c r="F2187" s="141"/>
      <c r="G2187" s="141"/>
      <c r="H2187" s="141"/>
      <c r="I2187" s="141"/>
      <c r="J2187" s="141"/>
      <c r="K2187" s="141"/>
      <c r="L2187" s="141"/>
      <c r="M2187" s="141"/>
      <c r="N2187" s="141"/>
      <c r="O2187" s="141"/>
      <c r="P2187" s="141"/>
      <c r="Q2187" s="141"/>
      <c r="R2187" s="141"/>
      <c r="S2187" s="141"/>
      <c r="T2187" s="141"/>
      <c r="U2187" s="141"/>
      <c r="V2187" s="141"/>
      <c r="W2187" s="141"/>
      <c r="X2187" s="141"/>
      <c r="Y2187" s="141"/>
      <c r="Z2187" s="141"/>
    </row>
    <row r="2188">
      <c r="A2188" s="141"/>
      <c r="B2188" s="141"/>
      <c r="C2188" s="141"/>
      <c r="D2188" s="141"/>
      <c r="E2188" s="141"/>
      <c r="F2188" s="141"/>
      <c r="G2188" s="141"/>
      <c r="H2188" s="141"/>
      <c r="I2188" s="141"/>
      <c r="J2188" s="141"/>
      <c r="K2188" s="141"/>
      <c r="L2188" s="141"/>
      <c r="M2188" s="141"/>
      <c r="N2188" s="141"/>
      <c r="O2188" s="141"/>
      <c r="P2188" s="141"/>
      <c r="Q2188" s="141"/>
      <c r="R2188" s="141"/>
      <c r="S2188" s="141"/>
      <c r="T2188" s="141"/>
      <c r="U2188" s="141"/>
      <c r="V2188" s="141"/>
      <c r="W2188" s="141"/>
      <c r="X2188" s="141"/>
      <c r="Y2188" s="141"/>
      <c r="Z2188" s="141"/>
    </row>
    <row r="2189">
      <c r="A2189" s="141"/>
      <c r="B2189" s="141"/>
      <c r="C2189" s="141"/>
      <c r="D2189" s="141"/>
      <c r="E2189" s="141"/>
      <c r="F2189" s="141"/>
      <c r="G2189" s="141"/>
      <c r="H2189" s="141"/>
      <c r="I2189" s="141"/>
      <c r="J2189" s="141"/>
      <c r="K2189" s="141"/>
      <c r="L2189" s="141"/>
      <c r="M2189" s="141"/>
      <c r="N2189" s="141"/>
      <c r="O2189" s="141"/>
      <c r="P2189" s="141"/>
      <c r="Q2189" s="141"/>
      <c r="R2189" s="141"/>
      <c r="S2189" s="141"/>
      <c r="T2189" s="141"/>
      <c r="U2189" s="141"/>
      <c r="V2189" s="141"/>
      <c r="W2189" s="141"/>
      <c r="X2189" s="141"/>
      <c r="Y2189" s="141"/>
      <c r="Z2189" s="141"/>
    </row>
    <row r="2190">
      <c r="A2190" s="141"/>
      <c r="B2190" s="141"/>
      <c r="C2190" s="141"/>
      <c r="D2190" s="141"/>
      <c r="E2190" s="141"/>
      <c r="F2190" s="141"/>
      <c r="G2190" s="141"/>
      <c r="H2190" s="141"/>
      <c r="I2190" s="141"/>
      <c r="J2190" s="141"/>
      <c r="K2190" s="141"/>
      <c r="L2190" s="141"/>
      <c r="M2190" s="141"/>
      <c r="N2190" s="141"/>
      <c r="O2190" s="141"/>
      <c r="P2190" s="141"/>
      <c r="Q2190" s="141"/>
      <c r="R2190" s="141"/>
      <c r="S2190" s="141"/>
      <c r="T2190" s="141"/>
      <c r="U2190" s="141"/>
      <c r="V2190" s="141"/>
      <c r="W2190" s="141"/>
      <c r="X2190" s="141"/>
      <c r="Y2190" s="141"/>
      <c r="Z2190" s="141"/>
    </row>
    <row r="2191">
      <c r="A2191" s="141"/>
      <c r="B2191" s="141"/>
      <c r="C2191" s="141"/>
      <c r="D2191" s="141"/>
      <c r="E2191" s="141"/>
      <c r="F2191" s="141"/>
      <c r="G2191" s="141"/>
      <c r="H2191" s="141"/>
      <c r="I2191" s="141"/>
      <c r="J2191" s="141"/>
      <c r="K2191" s="141"/>
      <c r="L2191" s="141"/>
      <c r="M2191" s="141"/>
      <c r="N2191" s="141"/>
      <c r="O2191" s="141"/>
      <c r="P2191" s="141"/>
      <c r="Q2191" s="141"/>
      <c r="R2191" s="141"/>
      <c r="S2191" s="141"/>
      <c r="T2191" s="141"/>
      <c r="U2191" s="141"/>
      <c r="V2191" s="141"/>
      <c r="W2191" s="141"/>
      <c r="X2191" s="141"/>
      <c r="Y2191" s="141"/>
      <c r="Z2191" s="141"/>
    </row>
    <row r="2192">
      <c r="A2192" s="141"/>
      <c r="B2192" s="141"/>
      <c r="C2192" s="141"/>
      <c r="D2192" s="141"/>
      <c r="E2192" s="141"/>
      <c r="F2192" s="141"/>
      <c r="G2192" s="141"/>
      <c r="H2192" s="141"/>
      <c r="I2192" s="141"/>
      <c r="J2192" s="141"/>
      <c r="K2192" s="141"/>
      <c r="L2192" s="141"/>
      <c r="M2192" s="141"/>
      <c r="N2192" s="141"/>
      <c r="O2192" s="141"/>
      <c r="P2192" s="141"/>
      <c r="Q2192" s="141"/>
      <c r="R2192" s="141"/>
      <c r="S2192" s="141"/>
      <c r="T2192" s="141"/>
      <c r="U2192" s="141"/>
      <c r="V2192" s="141"/>
      <c r="W2192" s="141"/>
      <c r="X2192" s="141"/>
      <c r="Y2192" s="141"/>
      <c r="Z2192" s="141"/>
    </row>
    <row r="2193">
      <c r="A2193" s="141"/>
      <c r="B2193" s="141"/>
      <c r="C2193" s="141"/>
      <c r="D2193" s="141"/>
      <c r="E2193" s="141"/>
      <c r="F2193" s="141"/>
      <c r="G2193" s="141"/>
      <c r="H2193" s="141"/>
      <c r="I2193" s="141"/>
      <c r="J2193" s="141"/>
      <c r="K2193" s="141"/>
      <c r="L2193" s="141"/>
      <c r="M2193" s="141"/>
      <c r="N2193" s="141"/>
      <c r="O2193" s="141"/>
      <c r="P2193" s="141"/>
      <c r="Q2193" s="141"/>
      <c r="R2193" s="141"/>
      <c r="S2193" s="141"/>
      <c r="T2193" s="141"/>
      <c r="U2193" s="141"/>
      <c r="V2193" s="141"/>
      <c r="W2193" s="141"/>
      <c r="X2193" s="141"/>
      <c r="Y2193" s="141"/>
      <c r="Z2193" s="141"/>
    </row>
    <row r="2194">
      <c r="A2194" s="141"/>
      <c r="B2194" s="141"/>
      <c r="C2194" s="141"/>
      <c r="D2194" s="141"/>
      <c r="E2194" s="141"/>
      <c r="F2194" s="141"/>
      <c r="G2194" s="141"/>
      <c r="H2194" s="141"/>
      <c r="I2194" s="141"/>
      <c r="J2194" s="141"/>
      <c r="K2194" s="141"/>
      <c r="L2194" s="141"/>
      <c r="M2194" s="141"/>
      <c r="N2194" s="141"/>
      <c r="O2194" s="141"/>
      <c r="P2194" s="141"/>
      <c r="Q2194" s="141"/>
      <c r="R2194" s="141"/>
      <c r="S2194" s="141"/>
      <c r="T2194" s="141"/>
      <c r="U2194" s="141"/>
      <c r="V2194" s="141"/>
      <c r="W2194" s="141"/>
      <c r="X2194" s="141"/>
      <c r="Y2194" s="141"/>
      <c r="Z2194" s="141"/>
    </row>
    <row r="2195">
      <c r="A2195" s="141"/>
      <c r="B2195" s="141"/>
      <c r="C2195" s="141"/>
      <c r="D2195" s="141"/>
      <c r="E2195" s="141"/>
      <c r="F2195" s="141"/>
      <c r="G2195" s="141"/>
      <c r="H2195" s="141"/>
      <c r="I2195" s="141"/>
      <c r="J2195" s="141"/>
      <c r="K2195" s="141"/>
      <c r="L2195" s="141"/>
      <c r="M2195" s="141"/>
      <c r="N2195" s="141"/>
      <c r="O2195" s="141"/>
      <c r="P2195" s="141"/>
      <c r="Q2195" s="141"/>
      <c r="R2195" s="141"/>
      <c r="S2195" s="141"/>
      <c r="T2195" s="141"/>
      <c r="U2195" s="141"/>
      <c r="V2195" s="141"/>
      <c r="W2195" s="141"/>
      <c r="X2195" s="141"/>
      <c r="Y2195" s="141"/>
      <c r="Z2195" s="141"/>
    </row>
    <row r="2196">
      <c r="A2196" s="141"/>
      <c r="B2196" s="141"/>
      <c r="C2196" s="141"/>
      <c r="D2196" s="141"/>
      <c r="E2196" s="141"/>
      <c r="F2196" s="141"/>
      <c r="G2196" s="141"/>
      <c r="H2196" s="141"/>
      <c r="I2196" s="141"/>
      <c r="J2196" s="141"/>
      <c r="K2196" s="141"/>
      <c r="L2196" s="141"/>
      <c r="M2196" s="141"/>
      <c r="N2196" s="141"/>
      <c r="O2196" s="141"/>
      <c r="P2196" s="141"/>
      <c r="Q2196" s="141"/>
      <c r="R2196" s="141"/>
      <c r="S2196" s="141"/>
      <c r="T2196" s="141"/>
      <c r="U2196" s="141"/>
      <c r="V2196" s="141"/>
      <c r="W2196" s="141"/>
      <c r="X2196" s="141"/>
      <c r="Y2196" s="141"/>
      <c r="Z2196" s="141"/>
    </row>
    <row r="2197">
      <c r="A2197" s="141"/>
      <c r="B2197" s="141"/>
      <c r="C2197" s="141"/>
      <c r="D2197" s="141"/>
      <c r="E2197" s="141"/>
      <c r="F2197" s="141"/>
      <c r="G2197" s="141"/>
      <c r="H2197" s="141"/>
      <c r="I2197" s="141"/>
      <c r="J2197" s="141"/>
      <c r="K2197" s="141"/>
      <c r="L2197" s="141"/>
      <c r="M2197" s="141"/>
      <c r="N2197" s="141"/>
      <c r="O2197" s="141"/>
      <c r="P2197" s="141"/>
      <c r="Q2197" s="141"/>
      <c r="R2197" s="141"/>
      <c r="S2197" s="141"/>
      <c r="T2197" s="141"/>
      <c r="U2197" s="141"/>
      <c r="V2197" s="141"/>
      <c r="W2197" s="141"/>
      <c r="X2197" s="141"/>
      <c r="Y2197" s="141"/>
      <c r="Z2197" s="141"/>
    </row>
    <row r="2198">
      <c r="A2198" s="141"/>
      <c r="B2198" s="141"/>
      <c r="C2198" s="141"/>
      <c r="D2198" s="141"/>
      <c r="E2198" s="141"/>
      <c r="F2198" s="141"/>
      <c r="G2198" s="141"/>
      <c r="H2198" s="141"/>
      <c r="I2198" s="141"/>
      <c r="J2198" s="141"/>
      <c r="K2198" s="141"/>
      <c r="L2198" s="141"/>
      <c r="M2198" s="141"/>
      <c r="N2198" s="141"/>
      <c r="O2198" s="141"/>
      <c r="P2198" s="141"/>
      <c r="Q2198" s="141"/>
      <c r="R2198" s="141"/>
      <c r="S2198" s="141"/>
      <c r="T2198" s="141"/>
      <c r="U2198" s="141"/>
      <c r="V2198" s="141"/>
      <c r="W2198" s="141"/>
      <c r="X2198" s="141"/>
      <c r="Y2198" s="141"/>
      <c r="Z2198" s="141"/>
    </row>
    <row r="2199">
      <c r="A2199" s="141"/>
      <c r="B2199" s="141"/>
      <c r="C2199" s="141"/>
      <c r="D2199" s="141"/>
      <c r="E2199" s="141"/>
      <c r="F2199" s="141"/>
      <c r="G2199" s="141"/>
      <c r="H2199" s="141"/>
      <c r="I2199" s="141"/>
      <c r="J2199" s="141"/>
      <c r="K2199" s="141"/>
      <c r="L2199" s="141"/>
      <c r="M2199" s="141"/>
      <c r="N2199" s="141"/>
      <c r="O2199" s="141"/>
      <c r="P2199" s="141"/>
      <c r="Q2199" s="141"/>
      <c r="R2199" s="141"/>
      <c r="S2199" s="141"/>
      <c r="T2199" s="141"/>
      <c r="U2199" s="141"/>
      <c r="V2199" s="141"/>
      <c r="W2199" s="141"/>
      <c r="X2199" s="141"/>
      <c r="Y2199" s="141"/>
      <c r="Z2199" s="141"/>
    </row>
    <row r="2200">
      <c r="A2200" s="141"/>
      <c r="B2200" s="141"/>
      <c r="C2200" s="141"/>
      <c r="D2200" s="141"/>
      <c r="E2200" s="141"/>
      <c r="F2200" s="141"/>
      <c r="G2200" s="141"/>
      <c r="H2200" s="141"/>
      <c r="I2200" s="141"/>
      <c r="J2200" s="141"/>
      <c r="K2200" s="141"/>
      <c r="L2200" s="141"/>
      <c r="M2200" s="141"/>
      <c r="N2200" s="141"/>
      <c r="O2200" s="141"/>
      <c r="P2200" s="141"/>
      <c r="Q2200" s="141"/>
      <c r="R2200" s="141"/>
      <c r="S2200" s="141"/>
      <c r="T2200" s="141"/>
      <c r="U2200" s="141"/>
      <c r="V2200" s="141"/>
      <c r="W2200" s="141"/>
      <c r="X2200" s="141"/>
      <c r="Y2200" s="141"/>
      <c r="Z2200" s="141"/>
    </row>
    <row r="2201">
      <c r="A2201" s="141"/>
      <c r="B2201" s="141"/>
      <c r="C2201" s="141"/>
      <c r="D2201" s="141"/>
      <c r="E2201" s="141"/>
      <c r="F2201" s="141"/>
      <c r="G2201" s="141"/>
      <c r="H2201" s="141"/>
      <c r="I2201" s="141"/>
      <c r="J2201" s="141"/>
      <c r="K2201" s="141"/>
      <c r="L2201" s="141"/>
      <c r="M2201" s="141"/>
      <c r="N2201" s="141"/>
      <c r="O2201" s="141"/>
      <c r="P2201" s="141"/>
      <c r="Q2201" s="141"/>
      <c r="R2201" s="141"/>
      <c r="S2201" s="141"/>
      <c r="T2201" s="141"/>
      <c r="U2201" s="141"/>
      <c r="V2201" s="141"/>
      <c r="W2201" s="141"/>
      <c r="X2201" s="141"/>
      <c r="Y2201" s="141"/>
      <c r="Z2201" s="141"/>
    </row>
    <row r="2202">
      <c r="A2202" s="141"/>
      <c r="B2202" s="141"/>
      <c r="C2202" s="141"/>
      <c r="D2202" s="141"/>
      <c r="E2202" s="141"/>
      <c r="F2202" s="141"/>
      <c r="G2202" s="141"/>
      <c r="H2202" s="141"/>
      <c r="I2202" s="141"/>
      <c r="J2202" s="141"/>
      <c r="K2202" s="141"/>
      <c r="L2202" s="141"/>
      <c r="M2202" s="141"/>
      <c r="N2202" s="141"/>
      <c r="O2202" s="141"/>
      <c r="P2202" s="141"/>
      <c r="Q2202" s="141"/>
      <c r="R2202" s="141"/>
      <c r="S2202" s="141"/>
      <c r="T2202" s="141"/>
      <c r="U2202" s="141"/>
      <c r="V2202" s="141"/>
      <c r="W2202" s="141"/>
      <c r="X2202" s="141"/>
      <c r="Y2202" s="141"/>
      <c r="Z2202" s="141"/>
    </row>
    <row r="2203">
      <c r="A2203" s="141"/>
      <c r="B2203" s="141"/>
      <c r="C2203" s="141"/>
      <c r="D2203" s="141"/>
      <c r="E2203" s="141"/>
      <c r="F2203" s="141"/>
      <c r="G2203" s="141"/>
      <c r="H2203" s="141"/>
      <c r="I2203" s="141"/>
      <c r="J2203" s="141"/>
      <c r="K2203" s="141"/>
      <c r="L2203" s="141"/>
      <c r="M2203" s="141"/>
      <c r="N2203" s="141"/>
      <c r="O2203" s="141"/>
      <c r="P2203" s="141"/>
      <c r="Q2203" s="141"/>
      <c r="R2203" s="141"/>
      <c r="S2203" s="141"/>
      <c r="T2203" s="141"/>
      <c r="U2203" s="141"/>
      <c r="V2203" s="141"/>
      <c r="W2203" s="141"/>
      <c r="X2203" s="141"/>
      <c r="Y2203" s="141"/>
      <c r="Z2203" s="141"/>
    </row>
    <row r="2204">
      <c r="A2204" s="141"/>
      <c r="B2204" s="141"/>
      <c r="C2204" s="141"/>
      <c r="D2204" s="141"/>
      <c r="E2204" s="141"/>
      <c r="F2204" s="141"/>
      <c r="G2204" s="141"/>
      <c r="H2204" s="141"/>
      <c r="I2204" s="141"/>
      <c r="J2204" s="141"/>
      <c r="K2204" s="141"/>
      <c r="L2204" s="141"/>
      <c r="M2204" s="141"/>
      <c r="N2204" s="141"/>
      <c r="O2204" s="141"/>
      <c r="P2204" s="141"/>
      <c r="Q2204" s="141"/>
      <c r="R2204" s="141"/>
      <c r="S2204" s="141"/>
      <c r="T2204" s="141"/>
      <c r="U2204" s="141"/>
      <c r="V2204" s="141"/>
      <c r="W2204" s="141"/>
      <c r="X2204" s="141"/>
      <c r="Y2204" s="141"/>
      <c r="Z2204" s="141"/>
    </row>
    <row r="2205">
      <c r="A2205" s="141"/>
      <c r="B2205" s="141"/>
      <c r="C2205" s="141"/>
      <c r="D2205" s="141"/>
      <c r="E2205" s="141"/>
      <c r="F2205" s="141"/>
      <c r="G2205" s="141"/>
      <c r="H2205" s="141"/>
      <c r="I2205" s="141"/>
      <c r="J2205" s="141"/>
      <c r="K2205" s="141"/>
      <c r="L2205" s="141"/>
      <c r="M2205" s="141"/>
      <c r="N2205" s="141"/>
      <c r="O2205" s="141"/>
      <c r="P2205" s="141"/>
      <c r="Q2205" s="141"/>
      <c r="R2205" s="141"/>
      <c r="S2205" s="141"/>
      <c r="T2205" s="141"/>
      <c r="U2205" s="141"/>
      <c r="V2205" s="141"/>
      <c r="W2205" s="141"/>
      <c r="X2205" s="141"/>
      <c r="Y2205" s="141"/>
      <c r="Z2205" s="141"/>
    </row>
    <row r="2206">
      <c r="A2206" s="141"/>
      <c r="B2206" s="141"/>
      <c r="C2206" s="141"/>
      <c r="D2206" s="141"/>
      <c r="E2206" s="141"/>
      <c r="F2206" s="141"/>
      <c r="G2206" s="141"/>
      <c r="H2206" s="141"/>
      <c r="I2206" s="141"/>
      <c r="J2206" s="141"/>
      <c r="K2206" s="141"/>
      <c r="L2206" s="141"/>
      <c r="M2206" s="141"/>
      <c r="N2206" s="141"/>
      <c r="O2206" s="141"/>
      <c r="P2206" s="141"/>
      <c r="Q2206" s="141"/>
      <c r="R2206" s="141"/>
      <c r="S2206" s="141"/>
      <c r="T2206" s="141"/>
      <c r="U2206" s="141"/>
      <c r="V2206" s="141"/>
      <c r="W2206" s="141"/>
      <c r="X2206" s="141"/>
      <c r="Y2206" s="141"/>
      <c r="Z2206" s="141"/>
    </row>
    <row r="2207">
      <c r="A2207" s="141"/>
      <c r="B2207" s="141"/>
      <c r="C2207" s="141"/>
      <c r="D2207" s="141"/>
      <c r="E2207" s="141"/>
      <c r="F2207" s="141"/>
      <c r="G2207" s="141"/>
      <c r="H2207" s="141"/>
      <c r="I2207" s="141"/>
      <c r="J2207" s="141"/>
      <c r="K2207" s="141"/>
      <c r="L2207" s="141"/>
      <c r="M2207" s="141"/>
      <c r="N2207" s="141"/>
      <c r="O2207" s="141"/>
      <c r="P2207" s="141"/>
      <c r="Q2207" s="141"/>
      <c r="R2207" s="141"/>
      <c r="S2207" s="141"/>
      <c r="T2207" s="141"/>
      <c r="U2207" s="141"/>
      <c r="V2207" s="141"/>
      <c r="W2207" s="141"/>
      <c r="X2207" s="141"/>
      <c r="Y2207" s="141"/>
      <c r="Z2207" s="141"/>
    </row>
    <row r="2208">
      <c r="A2208" s="141"/>
      <c r="B2208" s="141"/>
      <c r="C2208" s="141"/>
      <c r="D2208" s="141"/>
      <c r="E2208" s="141"/>
      <c r="F2208" s="141"/>
      <c r="G2208" s="141"/>
      <c r="H2208" s="141"/>
      <c r="I2208" s="141"/>
      <c r="J2208" s="141"/>
      <c r="K2208" s="141"/>
      <c r="L2208" s="141"/>
      <c r="M2208" s="141"/>
      <c r="N2208" s="141"/>
      <c r="O2208" s="141"/>
      <c r="P2208" s="141"/>
      <c r="Q2208" s="141"/>
      <c r="R2208" s="141"/>
      <c r="S2208" s="141"/>
      <c r="T2208" s="141"/>
      <c r="U2208" s="141"/>
      <c r="V2208" s="141"/>
      <c r="W2208" s="141"/>
      <c r="X2208" s="141"/>
      <c r="Y2208" s="141"/>
      <c r="Z2208" s="141"/>
    </row>
    <row r="2209">
      <c r="A2209" s="141"/>
      <c r="B2209" s="141"/>
      <c r="C2209" s="141"/>
      <c r="D2209" s="141"/>
      <c r="E2209" s="141"/>
      <c r="F2209" s="141"/>
      <c r="G2209" s="141"/>
      <c r="H2209" s="141"/>
      <c r="I2209" s="141"/>
      <c r="J2209" s="141"/>
      <c r="K2209" s="141"/>
      <c r="L2209" s="141"/>
      <c r="M2209" s="141"/>
      <c r="N2209" s="141"/>
      <c r="O2209" s="141"/>
      <c r="P2209" s="141"/>
      <c r="Q2209" s="141"/>
      <c r="R2209" s="141"/>
      <c r="S2209" s="141"/>
      <c r="T2209" s="141"/>
      <c r="U2209" s="141"/>
      <c r="V2209" s="141"/>
      <c r="W2209" s="141"/>
      <c r="X2209" s="141"/>
      <c r="Y2209" s="141"/>
      <c r="Z2209" s="141"/>
    </row>
    <row r="2210">
      <c r="A2210" s="141"/>
      <c r="B2210" s="141"/>
      <c r="C2210" s="141"/>
      <c r="D2210" s="141"/>
      <c r="E2210" s="141"/>
      <c r="F2210" s="141"/>
      <c r="G2210" s="141"/>
      <c r="H2210" s="141"/>
      <c r="I2210" s="141"/>
      <c r="J2210" s="141"/>
      <c r="K2210" s="141"/>
      <c r="L2210" s="141"/>
      <c r="M2210" s="141"/>
      <c r="N2210" s="141"/>
      <c r="O2210" s="141"/>
      <c r="P2210" s="141"/>
      <c r="Q2210" s="141"/>
      <c r="R2210" s="141"/>
      <c r="S2210" s="141"/>
      <c r="T2210" s="141"/>
      <c r="U2210" s="141"/>
      <c r="V2210" s="141"/>
      <c r="W2210" s="141"/>
      <c r="X2210" s="141"/>
      <c r="Y2210" s="141"/>
      <c r="Z2210" s="141"/>
    </row>
    <row r="2211">
      <c r="A2211" s="141"/>
      <c r="B2211" s="141"/>
      <c r="C2211" s="141"/>
      <c r="D2211" s="141"/>
      <c r="E2211" s="141"/>
      <c r="F2211" s="141"/>
      <c r="G2211" s="141"/>
      <c r="H2211" s="141"/>
      <c r="I2211" s="141"/>
      <c r="J2211" s="141"/>
      <c r="K2211" s="141"/>
      <c r="L2211" s="141"/>
      <c r="M2211" s="141"/>
      <c r="N2211" s="141"/>
      <c r="O2211" s="141"/>
      <c r="P2211" s="141"/>
      <c r="Q2211" s="141"/>
      <c r="R2211" s="141"/>
      <c r="S2211" s="141"/>
      <c r="T2211" s="141"/>
      <c r="U2211" s="141"/>
      <c r="V2211" s="141"/>
      <c r="W2211" s="141"/>
      <c r="X2211" s="141"/>
      <c r="Y2211" s="141"/>
      <c r="Z2211" s="141"/>
    </row>
    <row r="2212">
      <c r="A2212" s="141"/>
      <c r="B2212" s="141"/>
      <c r="C2212" s="141"/>
      <c r="D2212" s="141"/>
      <c r="E2212" s="141"/>
      <c r="F2212" s="141"/>
      <c r="G2212" s="141"/>
      <c r="H2212" s="141"/>
      <c r="I2212" s="141"/>
      <c r="J2212" s="141"/>
      <c r="K2212" s="141"/>
      <c r="L2212" s="141"/>
      <c r="M2212" s="141"/>
      <c r="N2212" s="141"/>
      <c r="O2212" s="141"/>
      <c r="P2212" s="141"/>
      <c r="Q2212" s="141"/>
      <c r="R2212" s="141"/>
      <c r="S2212" s="141"/>
      <c r="T2212" s="141"/>
      <c r="U2212" s="141"/>
      <c r="V2212" s="141"/>
      <c r="W2212" s="141"/>
      <c r="X2212" s="141"/>
      <c r="Y2212" s="141"/>
      <c r="Z2212" s="141"/>
    </row>
    <row r="2213">
      <c r="A2213" s="141"/>
      <c r="B2213" s="141"/>
      <c r="C2213" s="141"/>
      <c r="D2213" s="141"/>
      <c r="E2213" s="141"/>
      <c r="F2213" s="141"/>
      <c r="G2213" s="141"/>
      <c r="H2213" s="141"/>
      <c r="I2213" s="141"/>
      <c r="J2213" s="141"/>
      <c r="K2213" s="141"/>
      <c r="L2213" s="141"/>
      <c r="M2213" s="141"/>
      <c r="N2213" s="141"/>
      <c r="O2213" s="141"/>
      <c r="P2213" s="141"/>
      <c r="Q2213" s="141"/>
      <c r="R2213" s="141"/>
      <c r="S2213" s="141"/>
      <c r="T2213" s="141"/>
      <c r="U2213" s="141"/>
      <c r="V2213" s="141"/>
      <c r="W2213" s="141"/>
      <c r="X2213" s="141"/>
      <c r="Y2213" s="141"/>
      <c r="Z2213" s="141"/>
    </row>
    <row r="2214">
      <c r="A2214" s="141"/>
      <c r="B2214" s="141"/>
      <c r="C2214" s="141"/>
      <c r="D2214" s="141"/>
      <c r="E2214" s="141"/>
      <c r="F2214" s="141"/>
      <c r="G2214" s="141"/>
      <c r="H2214" s="141"/>
      <c r="I2214" s="141"/>
      <c r="J2214" s="141"/>
      <c r="K2214" s="141"/>
      <c r="L2214" s="141"/>
      <c r="M2214" s="141"/>
      <c r="N2214" s="141"/>
      <c r="O2214" s="141"/>
      <c r="P2214" s="141"/>
      <c r="Q2214" s="141"/>
      <c r="R2214" s="141"/>
      <c r="S2214" s="141"/>
      <c r="T2214" s="141"/>
      <c r="U2214" s="141"/>
      <c r="V2214" s="141"/>
      <c r="W2214" s="141"/>
      <c r="X2214" s="141"/>
      <c r="Y2214" s="141"/>
      <c r="Z2214" s="141"/>
    </row>
    <row r="2215">
      <c r="A2215" s="141"/>
      <c r="B2215" s="141"/>
      <c r="C2215" s="141"/>
      <c r="D2215" s="141"/>
      <c r="E2215" s="141"/>
      <c r="F2215" s="141"/>
      <c r="G2215" s="141"/>
      <c r="H2215" s="141"/>
      <c r="I2215" s="141"/>
      <c r="J2215" s="141"/>
      <c r="K2215" s="141"/>
      <c r="L2215" s="141"/>
      <c r="M2215" s="141"/>
      <c r="N2215" s="141"/>
      <c r="O2215" s="141"/>
      <c r="P2215" s="141"/>
      <c r="Q2215" s="141"/>
      <c r="R2215" s="141"/>
      <c r="S2215" s="141"/>
      <c r="T2215" s="141"/>
      <c r="U2215" s="141"/>
      <c r="V2215" s="141"/>
      <c r="W2215" s="141"/>
      <c r="X2215" s="141"/>
      <c r="Y2215" s="141"/>
      <c r="Z2215" s="141"/>
    </row>
    <row r="2216">
      <c r="A2216" s="141"/>
      <c r="B2216" s="141"/>
      <c r="C2216" s="141"/>
      <c r="D2216" s="141"/>
      <c r="E2216" s="141"/>
      <c r="F2216" s="141"/>
      <c r="G2216" s="141"/>
      <c r="H2216" s="141"/>
      <c r="I2216" s="141"/>
      <c r="J2216" s="141"/>
      <c r="K2216" s="141"/>
      <c r="L2216" s="141"/>
      <c r="M2216" s="141"/>
      <c r="N2216" s="141"/>
      <c r="O2216" s="141"/>
      <c r="P2216" s="141"/>
      <c r="Q2216" s="141"/>
      <c r="R2216" s="141"/>
      <c r="S2216" s="141"/>
      <c r="T2216" s="141"/>
      <c r="U2216" s="141"/>
      <c r="V2216" s="141"/>
      <c r="W2216" s="141"/>
      <c r="X2216" s="141"/>
      <c r="Y2216" s="141"/>
      <c r="Z2216" s="141"/>
    </row>
    <row r="2217">
      <c r="A2217" s="141"/>
      <c r="B2217" s="141"/>
      <c r="C2217" s="141"/>
      <c r="D2217" s="141"/>
      <c r="E2217" s="141"/>
      <c r="F2217" s="141"/>
      <c r="G2217" s="141"/>
      <c r="H2217" s="141"/>
      <c r="I2217" s="141"/>
      <c r="J2217" s="141"/>
      <c r="K2217" s="141"/>
      <c r="L2217" s="141"/>
      <c r="M2217" s="141"/>
      <c r="N2217" s="141"/>
      <c r="O2217" s="141"/>
      <c r="P2217" s="141"/>
      <c r="Q2217" s="141"/>
      <c r="R2217" s="141"/>
      <c r="S2217" s="141"/>
      <c r="T2217" s="141"/>
      <c r="U2217" s="141"/>
      <c r="V2217" s="141"/>
      <c r="W2217" s="141"/>
      <c r="X2217" s="141"/>
      <c r="Y2217" s="141"/>
      <c r="Z2217" s="141"/>
    </row>
    <row r="2218">
      <c r="A2218" s="141"/>
      <c r="B2218" s="141"/>
      <c r="C2218" s="141"/>
      <c r="D2218" s="141"/>
      <c r="E2218" s="141"/>
      <c r="F2218" s="141"/>
      <c r="G2218" s="141"/>
      <c r="H2218" s="141"/>
      <c r="I2218" s="141"/>
      <c r="J2218" s="141"/>
      <c r="K2218" s="141"/>
      <c r="L2218" s="141"/>
      <c r="M2218" s="141"/>
      <c r="N2218" s="141"/>
      <c r="O2218" s="141"/>
      <c r="P2218" s="141"/>
      <c r="Q2218" s="141"/>
      <c r="R2218" s="141"/>
      <c r="S2218" s="141"/>
      <c r="T2218" s="141"/>
      <c r="U2218" s="141"/>
      <c r="V2218" s="141"/>
      <c r="W2218" s="141"/>
      <c r="X2218" s="141"/>
      <c r="Y2218" s="141"/>
      <c r="Z2218" s="141"/>
    </row>
    <row r="2219">
      <c r="A2219" s="141"/>
      <c r="B2219" s="141"/>
      <c r="C2219" s="141"/>
      <c r="D2219" s="141"/>
      <c r="E2219" s="141"/>
      <c r="F2219" s="141"/>
      <c r="G2219" s="141"/>
      <c r="H2219" s="141"/>
      <c r="I2219" s="141"/>
      <c r="J2219" s="141"/>
      <c r="K2219" s="141"/>
      <c r="L2219" s="141"/>
      <c r="M2219" s="141"/>
      <c r="N2219" s="141"/>
      <c r="O2219" s="141"/>
      <c r="P2219" s="141"/>
      <c r="Q2219" s="141"/>
      <c r="R2219" s="141"/>
      <c r="S2219" s="141"/>
      <c r="T2219" s="141"/>
      <c r="U2219" s="141"/>
      <c r="V2219" s="141"/>
      <c r="W2219" s="141"/>
      <c r="X2219" s="141"/>
      <c r="Y2219" s="141"/>
      <c r="Z2219" s="141"/>
    </row>
    <row r="2220">
      <c r="A2220" s="141"/>
      <c r="B2220" s="141"/>
      <c r="C2220" s="141"/>
      <c r="D2220" s="141"/>
      <c r="E2220" s="141"/>
      <c r="F2220" s="141"/>
      <c r="G2220" s="141"/>
      <c r="H2220" s="141"/>
      <c r="I2220" s="141"/>
      <c r="J2220" s="141"/>
      <c r="K2220" s="141"/>
      <c r="L2220" s="141"/>
      <c r="M2220" s="141"/>
      <c r="N2220" s="141"/>
      <c r="O2220" s="141"/>
      <c r="P2220" s="141"/>
      <c r="Q2220" s="141"/>
      <c r="R2220" s="141"/>
      <c r="S2220" s="141"/>
      <c r="T2220" s="141"/>
      <c r="U2220" s="141"/>
      <c r="V2220" s="141"/>
      <c r="W2220" s="141"/>
      <c r="X2220" s="141"/>
      <c r="Y2220" s="141"/>
      <c r="Z2220" s="141"/>
    </row>
    <row r="2221">
      <c r="A2221" s="141"/>
      <c r="B2221" s="141"/>
      <c r="C2221" s="141"/>
      <c r="D2221" s="141"/>
      <c r="E2221" s="141"/>
      <c r="F2221" s="141"/>
      <c r="G2221" s="141"/>
      <c r="H2221" s="141"/>
      <c r="I2221" s="141"/>
      <c r="J2221" s="141"/>
      <c r="K2221" s="141"/>
      <c r="L2221" s="141"/>
      <c r="M2221" s="141"/>
      <c r="N2221" s="141"/>
      <c r="O2221" s="141"/>
      <c r="P2221" s="141"/>
      <c r="Q2221" s="141"/>
      <c r="R2221" s="141"/>
      <c r="S2221" s="141"/>
      <c r="T2221" s="141"/>
      <c r="U2221" s="141"/>
      <c r="V2221" s="141"/>
      <c r="W2221" s="141"/>
      <c r="X2221" s="141"/>
      <c r="Y2221" s="141"/>
      <c r="Z2221" s="141"/>
    </row>
    <row r="2222">
      <c r="A2222" s="141"/>
      <c r="B2222" s="141"/>
      <c r="C2222" s="141"/>
      <c r="D2222" s="141"/>
      <c r="E2222" s="141"/>
      <c r="F2222" s="141"/>
      <c r="G2222" s="141"/>
      <c r="H2222" s="141"/>
      <c r="I2222" s="141"/>
      <c r="J2222" s="141"/>
      <c r="K2222" s="141"/>
      <c r="L2222" s="141"/>
      <c r="M2222" s="141"/>
      <c r="N2222" s="141"/>
      <c r="O2222" s="141"/>
      <c r="P2222" s="141"/>
      <c r="Q2222" s="141"/>
      <c r="R2222" s="141"/>
      <c r="S2222" s="141"/>
      <c r="T2222" s="141"/>
      <c r="U2222" s="141"/>
      <c r="V2222" s="141"/>
      <c r="W2222" s="141"/>
      <c r="X2222" s="141"/>
      <c r="Y2222" s="141"/>
      <c r="Z2222" s="141"/>
    </row>
    <row r="2223">
      <c r="A2223" s="141"/>
      <c r="B2223" s="141"/>
      <c r="C2223" s="141"/>
      <c r="D2223" s="141"/>
      <c r="E2223" s="141"/>
      <c r="F2223" s="141"/>
      <c r="G2223" s="141"/>
      <c r="H2223" s="141"/>
      <c r="I2223" s="141"/>
      <c r="J2223" s="141"/>
      <c r="K2223" s="141"/>
      <c r="L2223" s="141"/>
      <c r="M2223" s="141"/>
      <c r="N2223" s="141"/>
      <c r="O2223" s="141"/>
      <c r="P2223" s="141"/>
      <c r="Q2223" s="141"/>
      <c r="R2223" s="141"/>
      <c r="S2223" s="141"/>
      <c r="T2223" s="141"/>
      <c r="U2223" s="141"/>
      <c r="V2223" s="141"/>
      <c r="W2223" s="141"/>
      <c r="X2223" s="141"/>
      <c r="Y2223" s="141"/>
      <c r="Z2223" s="141"/>
    </row>
    <row r="2224">
      <c r="A2224" s="141"/>
      <c r="B2224" s="141"/>
      <c r="C2224" s="141"/>
      <c r="D2224" s="141"/>
      <c r="E2224" s="141"/>
      <c r="F2224" s="141"/>
      <c r="G2224" s="141"/>
      <c r="H2224" s="141"/>
      <c r="I2224" s="141"/>
      <c r="J2224" s="141"/>
      <c r="K2224" s="141"/>
      <c r="L2224" s="141"/>
      <c r="M2224" s="141"/>
      <c r="N2224" s="141"/>
      <c r="O2224" s="141"/>
      <c r="P2224" s="141"/>
      <c r="Q2224" s="141"/>
      <c r="R2224" s="141"/>
      <c r="S2224" s="141"/>
      <c r="T2224" s="141"/>
      <c r="U2224" s="141"/>
      <c r="V2224" s="141"/>
      <c r="W2224" s="141"/>
      <c r="X2224" s="141"/>
      <c r="Y2224" s="141"/>
      <c r="Z2224" s="141"/>
    </row>
    <row r="2225">
      <c r="A2225" s="141"/>
      <c r="B2225" s="141"/>
      <c r="C2225" s="141"/>
      <c r="D2225" s="141"/>
      <c r="E2225" s="141"/>
      <c r="F2225" s="141"/>
      <c r="G2225" s="141"/>
      <c r="H2225" s="141"/>
      <c r="I2225" s="141"/>
      <c r="J2225" s="141"/>
      <c r="K2225" s="141"/>
      <c r="L2225" s="141"/>
      <c r="M2225" s="141"/>
      <c r="N2225" s="141"/>
      <c r="O2225" s="141"/>
      <c r="P2225" s="141"/>
      <c r="Q2225" s="141"/>
      <c r="R2225" s="141"/>
      <c r="S2225" s="141"/>
      <c r="T2225" s="141"/>
      <c r="U2225" s="141"/>
      <c r="V2225" s="141"/>
      <c r="W2225" s="141"/>
      <c r="X2225" s="141"/>
      <c r="Y2225" s="141"/>
      <c r="Z2225" s="141"/>
    </row>
    <row r="2226">
      <c r="A2226" s="141"/>
      <c r="B2226" s="141"/>
      <c r="C2226" s="141"/>
      <c r="D2226" s="141"/>
      <c r="E2226" s="141"/>
      <c r="F2226" s="141"/>
      <c r="G2226" s="141"/>
      <c r="H2226" s="141"/>
      <c r="I2226" s="141"/>
      <c r="J2226" s="141"/>
      <c r="K2226" s="141"/>
      <c r="L2226" s="141"/>
      <c r="M2226" s="141"/>
      <c r="N2226" s="141"/>
      <c r="O2226" s="141"/>
      <c r="P2226" s="141"/>
      <c r="Q2226" s="141"/>
      <c r="R2226" s="141"/>
      <c r="S2226" s="141"/>
      <c r="T2226" s="141"/>
      <c r="U2226" s="141"/>
      <c r="V2226" s="141"/>
      <c r="W2226" s="141"/>
      <c r="X2226" s="141"/>
      <c r="Y2226" s="141"/>
      <c r="Z2226" s="141"/>
    </row>
    <row r="2227">
      <c r="A2227" s="141"/>
      <c r="B2227" s="141"/>
      <c r="C2227" s="141"/>
      <c r="D2227" s="141"/>
      <c r="E2227" s="141"/>
      <c r="F2227" s="141"/>
      <c r="G2227" s="141"/>
      <c r="H2227" s="141"/>
      <c r="I2227" s="141"/>
      <c r="J2227" s="141"/>
      <c r="K2227" s="141"/>
      <c r="L2227" s="141"/>
      <c r="M2227" s="141"/>
      <c r="N2227" s="141"/>
      <c r="O2227" s="141"/>
      <c r="P2227" s="141"/>
      <c r="Q2227" s="141"/>
      <c r="R2227" s="141"/>
      <c r="S2227" s="141"/>
      <c r="T2227" s="141"/>
      <c r="U2227" s="141"/>
      <c r="V2227" s="141"/>
      <c r="W2227" s="141"/>
      <c r="X2227" s="141"/>
      <c r="Y2227" s="141"/>
      <c r="Z2227" s="141"/>
    </row>
    <row r="2228">
      <c r="A2228" s="141"/>
      <c r="B2228" s="141"/>
      <c r="C2228" s="141"/>
      <c r="D2228" s="141"/>
      <c r="E2228" s="141"/>
      <c r="F2228" s="141"/>
      <c r="G2228" s="141"/>
      <c r="H2228" s="141"/>
      <c r="I2228" s="141"/>
      <c r="J2228" s="141"/>
      <c r="K2228" s="141"/>
      <c r="L2228" s="141"/>
      <c r="M2228" s="141"/>
      <c r="N2228" s="141"/>
      <c r="O2228" s="141"/>
      <c r="P2228" s="141"/>
      <c r="Q2228" s="141"/>
      <c r="R2228" s="141"/>
      <c r="S2228" s="141"/>
      <c r="T2228" s="141"/>
      <c r="U2228" s="141"/>
      <c r="V2228" s="141"/>
      <c r="W2228" s="141"/>
      <c r="X2228" s="141"/>
      <c r="Y2228" s="141"/>
      <c r="Z2228" s="141"/>
    </row>
    <row r="2229">
      <c r="A2229" s="141"/>
      <c r="B2229" s="141"/>
      <c r="C2229" s="141"/>
      <c r="D2229" s="141"/>
      <c r="E2229" s="141"/>
      <c r="F2229" s="141"/>
      <c r="G2229" s="141"/>
      <c r="H2229" s="141"/>
      <c r="I2229" s="141"/>
      <c r="J2229" s="141"/>
      <c r="K2229" s="141"/>
      <c r="L2229" s="141"/>
      <c r="M2229" s="141"/>
      <c r="N2229" s="141"/>
      <c r="O2229" s="141"/>
      <c r="P2229" s="141"/>
      <c r="Q2229" s="141"/>
      <c r="R2229" s="141"/>
      <c r="S2229" s="141"/>
      <c r="T2229" s="141"/>
      <c r="U2229" s="141"/>
      <c r="V2229" s="141"/>
      <c r="W2229" s="141"/>
      <c r="X2229" s="141"/>
      <c r="Y2229" s="141"/>
      <c r="Z2229" s="141"/>
    </row>
    <row r="2230">
      <c r="A2230" s="141"/>
      <c r="B2230" s="141"/>
      <c r="C2230" s="141"/>
      <c r="D2230" s="141"/>
      <c r="E2230" s="141"/>
      <c r="F2230" s="141"/>
      <c r="G2230" s="141"/>
      <c r="H2230" s="141"/>
      <c r="I2230" s="141"/>
      <c r="J2230" s="141"/>
      <c r="K2230" s="141"/>
      <c r="L2230" s="141"/>
      <c r="M2230" s="141"/>
      <c r="N2230" s="141"/>
      <c r="O2230" s="141"/>
      <c r="P2230" s="141"/>
      <c r="Q2230" s="141"/>
      <c r="R2230" s="141"/>
      <c r="S2230" s="141"/>
      <c r="T2230" s="141"/>
      <c r="U2230" s="141"/>
      <c r="V2230" s="141"/>
      <c r="W2230" s="141"/>
      <c r="X2230" s="141"/>
      <c r="Y2230" s="141"/>
      <c r="Z2230" s="141"/>
    </row>
    <row r="2231">
      <c r="A2231" s="141"/>
      <c r="B2231" s="141"/>
      <c r="C2231" s="141"/>
      <c r="D2231" s="141"/>
      <c r="E2231" s="141"/>
      <c r="F2231" s="141"/>
      <c r="G2231" s="141"/>
      <c r="H2231" s="141"/>
      <c r="I2231" s="141"/>
      <c r="J2231" s="141"/>
      <c r="K2231" s="141"/>
      <c r="L2231" s="141"/>
      <c r="M2231" s="141"/>
      <c r="N2231" s="141"/>
      <c r="O2231" s="141"/>
      <c r="P2231" s="141"/>
      <c r="Q2231" s="141"/>
      <c r="R2231" s="141"/>
      <c r="S2231" s="141"/>
      <c r="T2231" s="141"/>
      <c r="U2231" s="141"/>
      <c r="V2231" s="141"/>
      <c r="W2231" s="141"/>
      <c r="X2231" s="141"/>
      <c r="Y2231" s="141"/>
      <c r="Z2231" s="141"/>
    </row>
    <row r="2232">
      <c r="A2232" s="141"/>
      <c r="B2232" s="141"/>
      <c r="C2232" s="141"/>
      <c r="D2232" s="141"/>
      <c r="E2232" s="141"/>
      <c r="F2232" s="141"/>
      <c r="G2232" s="141"/>
      <c r="H2232" s="141"/>
      <c r="I2232" s="141"/>
      <c r="J2232" s="141"/>
      <c r="K2232" s="141"/>
      <c r="L2232" s="141"/>
      <c r="M2232" s="141"/>
      <c r="N2232" s="141"/>
      <c r="O2232" s="141"/>
      <c r="P2232" s="141"/>
      <c r="Q2232" s="141"/>
      <c r="R2232" s="141"/>
      <c r="S2232" s="141"/>
      <c r="T2232" s="141"/>
      <c r="U2232" s="141"/>
      <c r="V2232" s="141"/>
      <c r="W2232" s="141"/>
      <c r="X2232" s="141"/>
      <c r="Y2232" s="141"/>
      <c r="Z2232" s="141"/>
    </row>
    <row r="2233">
      <c r="A2233" s="141"/>
      <c r="B2233" s="141"/>
      <c r="C2233" s="141"/>
      <c r="D2233" s="141"/>
      <c r="E2233" s="141"/>
      <c r="F2233" s="141"/>
      <c r="G2233" s="141"/>
      <c r="H2233" s="141"/>
      <c r="I2233" s="141"/>
      <c r="J2233" s="141"/>
      <c r="K2233" s="141"/>
      <c r="L2233" s="141"/>
      <c r="M2233" s="141"/>
      <c r="N2233" s="141"/>
      <c r="O2233" s="141"/>
      <c r="P2233" s="141"/>
      <c r="Q2233" s="141"/>
      <c r="R2233" s="141"/>
      <c r="S2233" s="141"/>
      <c r="T2233" s="141"/>
      <c r="U2233" s="141"/>
      <c r="V2233" s="141"/>
      <c r="W2233" s="141"/>
      <c r="X2233" s="141"/>
      <c r="Y2233" s="141"/>
      <c r="Z2233" s="141"/>
    </row>
    <row r="2234">
      <c r="A2234" s="141"/>
      <c r="B2234" s="141"/>
      <c r="C2234" s="141"/>
      <c r="D2234" s="141"/>
      <c r="E2234" s="141"/>
      <c r="F2234" s="141"/>
      <c r="G2234" s="141"/>
      <c r="H2234" s="141"/>
      <c r="I2234" s="141"/>
      <c r="J2234" s="141"/>
      <c r="K2234" s="141"/>
      <c r="L2234" s="141"/>
      <c r="M2234" s="141"/>
      <c r="N2234" s="141"/>
      <c r="O2234" s="141"/>
      <c r="P2234" s="141"/>
      <c r="Q2234" s="141"/>
      <c r="R2234" s="141"/>
      <c r="S2234" s="141"/>
      <c r="T2234" s="141"/>
      <c r="U2234" s="141"/>
      <c r="V2234" s="141"/>
      <c r="W2234" s="141"/>
      <c r="X2234" s="141"/>
      <c r="Y2234" s="141"/>
      <c r="Z2234" s="141"/>
    </row>
    <row r="2235">
      <c r="A2235" s="141"/>
      <c r="B2235" s="141"/>
      <c r="C2235" s="141"/>
      <c r="D2235" s="141"/>
      <c r="E2235" s="141"/>
      <c r="F2235" s="141"/>
      <c r="G2235" s="141"/>
      <c r="H2235" s="141"/>
      <c r="I2235" s="141"/>
      <c r="J2235" s="141"/>
      <c r="K2235" s="141"/>
      <c r="L2235" s="141"/>
      <c r="M2235" s="141"/>
      <c r="N2235" s="141"/>
      <c r="O2235" s="141"/>
      <c r="P2235" s="141"/>
      <c r="Q2235" s="141"/>
      <c r="R2235" s="141"/>
      <c r="S2235" s="141"/>
      <c r="T2235" s="141"/>
      <c r="U2235" s="141"/>
      <c r="V2235" s="141"/>
      <c r="W2235" s="141"/>
      <c r="X2235" s="141"/>
      <c r="Y2235" s="141"/>
      <c r="Z2235" s="141"/>
    </row>
    <row r="2236">
      <c r="A2236" s="141"/>
      <c r="B2236" s="141"/>
      <c r="C2236" s="141"/>
      <c r="D2236" s="141"/>
      <c r="E2236" s="141"/>
      <c r="F2236" s="141"/>
      <c r="G2236" s="141"/>
      <c r="H2236" s="141"/>
      <c r="I2236" s="141"/>
      <c r="J2236" s="141"/>
      <c r="K2236" s="141"/>
      <c r="L2236" s="141"/>
      <c r="M2236" s="141"/>
      <c r="N2236" s="141"/>
      <c r="O2236" s="141"/>
      <c r="P2236" s="141"/>
      <c r="Q2236" s="141"/>
      <c r="R2236" s="141"/>
      <c r="S2236" s="141"/>
      <c r="T2236" s="141"/>
      <c r="U2236" s="141"/>
      <c r="V2236" s="141"/>
      <c r="W2236" s="141"/>
      <c r="X2236" s="141"/>
      <c r="Y2236" s="141"/>
      <c r="Z2236" s="141"/>
    </row>
    <row r="2237">
      <c r="A2237" s="141"/>
      <c r="B2237" s="141"/>
      <c r="C2237" s="141"/>
      <c r="D2237" s="141"/>
      <c r="E2237" s="141"/>
      <c r="F2237" s="141"/>
      <c r="G2237" s="141"/>
      <c r="H2237" s="141"/>
      <c r="I2237" s="141"/>
      <c r="J2237" s="141"/>
      <c r="K2237" s="141"/>
      <c r="L2237" s="141"/>
      <c r="M2237" s="141"/>
      <c r="N2237" s="141"/>
      <c r="O2237" s="141"/>
      <c r="P2237" s="141"/>
      <c r="Q2237" s="141"/>
      <c r="R2237" s="141"/>
      <c r="S2237" s="141"/>
      <c r="T2237" s="141"/>
      <c r="U2237" s="141"/>
      <c r="V2237" s="141"/>
      <c r="W2237" s="141"/>
      <c r="X2237" s="141"/>
      <c r="Y2237" s="141"/>
      <c r="Z2237" s="141"/>
    </row>
    <row r="2238">
      <c r="A2238" s="141"/>
      <c r="B2238" s="141"/>
      <c r="C2238" s="141"/>
      <c r="D2238" s="141"/>
      <c r="E2238" s="141"/>
      <c r="F2238" s="141"/>
      <c r="G2238" s="141"/>
      <c r="H2238" s="141"/>
      <c r="I2238" s="141"/>
      <c r="J2238" s="141"/>
      <c r="K2238" s="141"/>
      <c r="L2238" s="141"/>
      <c r="M2238" s="141"/>
      <c r="N2238" s="141"/>
      <c r="O2238" s="141"/>
      <c r="P2238" s="141"/>
      <c r="Q2238" s="141"/>
      <c r="R2238" s="141"/>
      <c r="S2238" s="141"/>
      <c r="T2238" s="141"/>
      <c r="U2238" s="141"/>
      <c r="V2238" s="141"/>
      <c r="W2238" s="141"/>
      <c r="X2238" s="141"/>
      <c r="Y2238" s="141"/>
      <c r="Z2238" s="141"/>
    </row>
    <row r="2239">
      <c r="A2239" s="141"/>
      <c r="B2239" s="141"/>
      <c r="C2239" s="141"/>
      <c r="D2239" s="141"/>
      <c r="E2239" s="141"/>
      <c r="F2239" s="141"/>
      <c r="G2239" s="141"/>
      <c r="H2239" s="141"/>
      <c r="I2239" s="141"/>
      <c r="J2239" s="141"/>
      <c r="K2239" s="141"/>
      <c r="L2239" s="141"/>
      <c r="M2239" s="141"/>
      <c r="N2239" s="141"/>
      <c r="O2239" s="141"/>
      <c r="P2239" s="141"/>
      <c r="Q2239" s="141"/>
      <c r="R2239" s="141"/>
      <c r="S2239" s="141"/>
      <c r="T2239" s="141"/>
      <c r="U2239" s="141"/>
      <c r="V2239" s="141"/>
      <c r="W2239" s="141"/>
      <c r="X2239" s="141"/>
      <c r="Y2239" s="141"/>
      <c r="Z2239" s="141"/>
    </row>
    <row r="2240">
      <c r="A2240" s="141"/>
      <c r="B2240" s="141"/>
      <c r="C2240" s="141"/>
      <c r="D2240" s="141"/>
      <c r="E2240" s="141"/>
      <c r="F2240" s="141"/>
      <c r="G2240" s="141"/>
      <c r="H2240" s="141"/>
      <c r="I2240" s="141"/>
      <c r="J2240" s="141"/>
      <c r="K2240" s="141"/>
      <c r="L2240" s="141"/>
      <c r="M2240" s="141"/>
      <c r="N2240" s="141"/>
      <c r="O2240" s="141"/>
      <c r="P2240" s="141"/>
      <c r="Q2240" s="141"/>
      <c r="R2240" s="141"/>
      <c r="S2240" s="141"/>
      <c r="T2240" s="141"/>
      <c r="U2240" s="141"/>
      <c r="V2240" s="141"/>
      <c r="W2240" s="141"/>
      <c r="X2240" s="141"/>
      <c r="Y2240" s="141"/>
      <c r="Z2240" s="141"/>
    </row>
    <row r="2241">
      <c r="A2241" s="141"/>
      <c r="B2241" s="141"/>
      <c r="C2241" s="141"/>
      <c r="D2241" s="141"/>
      <c r="E2241" s="141"/>
      <c r="F2241" s="141"/>
      <c r="G2241" s="141"/>
      <c r="H2241" s="141"/>
      <c r="I2241" s="141"/>
      <c r="J2241" s="141"/>
      <c r="K2241" s="141"/>
      <c r="L2241" s="141"/>
      <c r="M2241" s="141"/>
      <c r="N2241" s="141"/>
      <c r="O2241" s="141"/>
      <c r="P2241" s="141"/>
      <c r="Q2241" s="141"/>
      <c r="R2241" s="141"/>
      <c r="S2241" s="141"/>
      <c r="T2241" s="141"/>
      <c r="U2241" s="141"/>
      <c r="V2241" s="141"/>
      <c r="W2241" s="141"/>
      <c r="X2241" s="141"/>
      <c r="Y2241" s="141"/>
      <c r="Z2241" s="141"/>
    </row>
    <row r="2242">
      <c r="A2242" s="141"/>
      <c r="B2242" s="141"/>
      <c r="C2242" s="141"/>
      <c r="D2242" s="141"/>
      <c r="E2242" s="141"/>
      <c r="F2242" s="141"/>
      <c r="G2242" s="141"/>
      <c r="H2242" s="141"/>
      <c r="I2242" s="141"/>
      <c r="J2242" s="141"/>
      <c r="K2242" s="141"/>
      <c r="L2242" s="141"/>
      <c r="M2242" s="141"/>
      <c r="N2242" s="141"/>
      <c r="O2242" s="141"/>
      <c r="P2242" s="141"/>
      <c r="Q2242" s="141"/>
      <c r="R2242" s="141"/>
      <c r="S2242" s="141"/>
      <c r="T2242" s="141"/>
      <c r="U2242" s="141"/>
      <c r="V2242" s="141"/>
      <c r="W2242" s="141"/>
      <c r="X2242" s="141"/>
      <c r="Y2242" s="141"/>
      <c r="Z2242" s="141"/>
    </row>
    <row r="2243">
      <c r="A2243" s="141"/>
      <c r="B2243" s="141"/>
      <c r="C2243" s="141"/>
      <c r="D2243" s="141"/>
      <c r="E2243" s="141"/>
      <c r="F2243" s="141"/>
      <c r="G2243" s="141"/>
      <c r="H2243" s="141"/>
      <c r="I2243" s="141"/>
      <c r="J2243" s="141"/>
      <c r="K2243" s="141"/>
      <c r="L2243" s="141"/>
      <c r="M2243" s="141"/>
      <c r="N2243" s="141"/>
      <c r="O2243" s="141"/>
      <c r="P2243" s="141"/>
      <c r="Q2243" s="141"/>
      <c r="R2243" s="141"/>
      <c r="S2243" s="141"/>
      <c r="T2243" s="141"/>
      <c r="U2243" s="141"/>
      <c r="V2243" s="141"/>
      <c r="W2243" s="141"/>
      <c r="X2243" s="141"/>
      <c r="Y2243" s="141"/>
      <c r="Z2243" s="141"/>
    </row>
    <row r="2244">
      <c r="A2244" s="141"/>
      <c r="B2244" s="141"/>
      <c r="C2244" s="141"/>
      <c r="D2244" s="141"/>
      <c r="E2244" s="141"/>
      <c r="F2244" s="141"/>
      <c r="G2244" s="141"/>
      <c r="H2244" s="141"/>
      <c r="I2244" s="141"/>
      <c r="J2244" s="141"/>
      <c r="K2244" s="141"/>
      <c r="L2244" s="141"/>
      <c r="M2244" s="141"/>
      <c r="N2244" s="141"/>
      <c r="O2244" s="141"/>
      <c r="P2244" s="141"/>
      <c r="Q2244" s="141"/>
      <c r="R2244" s="141"/>
      <c r="S2244" s="141"/>
      <c r="T2244" s="141"/>
      <c r="U2244" s="141"/>
      <c r="V2244" s="141"/>
      <c r="W2244" s="141"/>
      <c r="X2244" s="141"/>
      <c r="Y2244" s="141"/>
      <c r="Z2244" s="141"/>
    </row>
    <row r="2245">
      <c r="A2245" s="141"/>
      <c r="B2245" s="141"/>
      <c r="C2245" s="141"/>
      <c r="D2245" s="141"/>
      <c r="E2245" s="141"/>
      <c r="F2245" s="141"/>
      <c r="G2245" s="141"/>
      <c r="H2245" s="141"/>
      <c r="I2245" s="141"/>
      <c r="J2245" s="141"/>
      <c r="K2245" s="141"/>
      <c r="L2245" s="141"/>
      <c r="M2245" s="141"/>
      <c r="N2245" s="141"/>
      <c r="O2245" s="141"/>
      <c r="P2245" s="141"/>
      <c r="Q2245" s="141"/>
      <c r="R2245" s="141"/>
      <c r="S2245" s="141"/>
      <c r="T2245" s="141"/>
      <c r="U2245" s="141"/>
      <c r="V2245" s="141"/>
      <c r="W2245" s="141"/>
      <c r="X2245" s="141"/>
      <c r="Y2245" s="141"/>
      <c r="Z2245" s="141"/>
    </row>
    <row r="2246">
      <c r="A2246" s="141"/>
      <c r="B2246" s="141"/>
      <c r="C2246" s="141"/>
      <c r="D2246" s="141"/>
      <c r="E2246" s="141"/>
      <c r="F2246" s="141"/>
      <c r="G2246" s="141"/>
      <c r="H2246" s="141"/>
      <c r="I2246" s="141"/>
      <c r="J2246" s="141"/>
      <c r="K2246" s="141"/>
      <c r="L2246" s="141"/>
      <c r="M2246" s="141"/>
      <c r="N2246" s="141"/>
      <c r="O2246" s="141"/>
      <c r="P2246" s="141"/>
      <c r="Q2246" s="141"/>
      <c r="R2246" s="141"/>
      <c r="S2246" s="141"/>
      <c r="T2246" s="141"/>
      <c r="U2246" s="141"/>
      <c r="V2246" s="141"/>
      <c r="W2246" s="141"/>
      <c r="X2246" s="141"/>
      <c r="Y2246" s="141"/>
      <c r="Z2246" s="141"/>
    </row>
    <row r="2247">
      <c r="A2247" s="141"/>
      <c r="B2247" s="141"/>
      <c r="C2247" s="141"/>
      <c r="D2247" s="141"/>
      <c r="E2247" s="141"/>
      <c r="F2247" s="141"/>
      <c r="G2247" s="141"/>
      <c r="H2247" s="141"/>
      <c r="I2247" s="141"/>
      <c r="J2247" s="141"/>
      <c r="K2247" s="141"/>
      <c r="L2247" s="141"/>
      <c r="M2247" s="141"/>
      <c r="N2247" s="141"/>
      <c r="O2247" s="141"/>
      <c r="P2247" s="141"/>
      <c r="Q2247" s="141"/>
      <c r="R2247" s="141"/>
      <c r="S2247" s="141"/>
      <c r="T2247" s="141"/>
      <c r="U2247" s="141"/>
      <c r="V2247" s="141"/>
      <c r="W2247" s="141"/>
      <c r="X2247" s="141"/>
      <c r="Y2247" s="141"/>
      <c r="Z2247" s="141"/>
    </row>
    <row r="2248">
      <c r="A2248" s="141"/>
      <c r="B2248" s="141"/>
      <c r="C2248" s="141"/>
      <c r="D2248" s="141"/>
      <c r="E2248" s="141"/>
      <c r="F2248" s="141"/>
      <c r="G2248" s="141"/>
      <c r="H2248" s="141"/>
      <c r="I2248" s="141"/>
      <c r="J2248" s="141"/>
      <c r="K2248" s="141"/>
      <c r="L2248" s="141"/>
      <c r="M2248" s="141"/>
      <c r="N2248" s="141"/>
      <c r="O2248" s="141"/>
      <c r="P2248" s="141"/>
      <c r="Q2248" s="141"/>
      <c r="R2248" s="141"/>
      <c r="S2248" s="141"/>
      <c r="T2248" s="141"/>
      <c r="U2248" s="141"/>
      <c r="V2248" s="141"/>
      <c r="W2248" s="141"/>
      <c r="X2248" s="141"/>
      <c r="Y2248" s="141"/>
      <c r="Z2248" s="141"/>
    </row>
    <row r="2249">
      <c r="A2249" s="141"/>
      <c r="B2249" s="141"/>
      <c r="C2249" s="141"/>
      <c r="D2249" s="141"/>
      <c r="E2249" s="141"/>
      <c r="F2249" s="141"/>
      <c r="G2249" s="141"/>
      <c r="H2249" s="141"/>
      <c r="I2249" s="141"/>
      <c r="J2249" s="141"/>
      <c r="K2249" s="141"/>
      <c r="L2249" s="141"/>
      <c r="M2249" s="141"/>
      <c r="N2249" s="141"/>
      <c r="O2249" s="141"/>
      <c r="P2249" s="141"/>
      <c r="Q2249" s="141"/>
      <c r="R2249" s="141"/>
      <c r="S2249" s="141"/>
      <c r="T2249" s="141"/>
      <c r="U2249" s="141"/>
      <c r="V2249" s="141"/>
      <c r="W2249" s="141"/>
      <c r="X2249" s="141"/>
      <c r="Y2249" s="141"/>
      <c r="Z2249" s="141"/>
    </row>
    <row r="2250">
      <c r="A2250" s="141"/>
      <c r="B2250" s="141"/>
      <c r="C2250" s="141"/>
      <c r="D2250" s="141"/>
      <c r="E2250" s="141"/>
      <c r="F2250" s="141"/>
      <c r="G2250" s="141"/>
      <c r="H2250" s="141"/>
      <c r="I2250" s="141"/>
      <c r="J2250" s="141"/>
      <c r="K2250" s="141"/>
      <c r="L2250" s="141"/>
      <c r="M2250" s="141"/>
      <c r="N2250" s="141"/>
      <c r="O2250" s="141"/>
      <c r="P2250" s="141"/>
      <c r="Q2250" s="141"/>
      <c r="R2250" s="141"/>
      <c r="S2250" s="141"/>
      <c r="T2250" s="141"/>
      <c r="U2250" s="141"/>
      <c r="V2250" s="141"/>
      <c r="W2250" s="141"/>
      <c r="X2250" s="141"/>
      <c r="Y2250" s="141"/>
      <c r="Z2250" s="141"/>
    </row>
    <row r="2251">
      <c r="A2251" s="141"/>
      <c r="B2251" s="141"/>
      <c r="C2251" s="141"/>
      <c r="D2251" s="141"/>
      <c r="E2251" s="141"/>
      <c r="F2251" s="141"/>
      <c r="G2251" s="141"/>
      <c r="H2251" s="141"/>
      <c r="I2251" s="141"/>
      <c r="J2251" s="141"/>
      <c r="K2251" s="141"/>
      <c r="L2251" s="141"/>
      <c r="M2251" s="141"/>
      <c r="N2251" s="141"/>
      <c r="O2251" s="141"/>
      <c r="P2251" s="141"/>
      <c r="Q2251" s="141"/>
      <c r="R2251" s="141"/>
      <c r="S2251" s="141"/>
      <c r="T2251" s="141"/>
      <c r="U2251" s="141"/>
      <c r="V2251" s="141"/>
      <c r="W2251" s="141"/>
      <c r="X2251" s="141"/>
      <c r="Y2251" s="141"/>
      <c r="Z2251" s="141"/>
    </row>
    <row r="2252">
      <c r="A2252" s="141"/>
      <c r="B2252" s="141"/>
      <c r="C2252" s="141"/>
      <c r="D2252" s="141"/>
      <c r="E2252" s="141"/>
      <c r="F2252" s="141"/>
      <c r="G2252" s="141"/>
      <c r="H2252" s="141"/>
      <c r="I2252" s="141"/>
      <c r="J2252" s="141"/>
      <c r="K2252" s="141"/>
      <c r="L2252" s="141"/>
      <c r="M2252" s="141"/>
      <c r="N2252" s="141"/>
      <c r="O2252" s="141"/>
      <c r="P2252" s="141"/>
      <c r="Q2252" s="141"/>
      <c r="R2252" s="141"/>
      <c r="S2252" s="141"/>
      <c r="T2252" s="141"/>
      <c r="U2252" s="141"/>
      <c r="V2252" s="141"/>
      <c r="W2252" s="141"/>
      <c r="X2252" s="141"/>
      <c r="Y2252" s="141"/>
      <c r="Z2252" s="141"/>
    </row>
    <row r="2253">
      <c r="A2253" s="141"/>
      <c r="B2253" s="141"/>
      <c r="C2253" s="141"/>
      <c r="D2253" s="141"/>
      <c r="E2253" s="141"/>
      <c r="F2253" s="141"/>
      <c r="G2253" s="141"/>
      <c r="H2253" s="141"/>
      <c r="I2253" s="141"/>
      <c r="J2253" s="141"/>
      <c r="K2253" s="141"/>
      <c r="L2253" s="141"/>
      <c r="M2253" s="141"/>
      <c r="N2253" s="141"/>
      <c r="O2253" s="141"/>
      <c r="P2253" s="141"/>
      <c r="Q2253" s="141"/>
      <c r="R2253" s="141"/>
      <c r="S2253" s="141"/>
      <c r="T2253" s="141"/>
      <c r="U2253" s="141"/>
      <c r="V2253" s="141"/>
      <c r="W2253" s="141"/>
      <c r="X2253" s="141"/>
      <c r="Y2253" s="141"/>
      <c r="Z2253" s="141"/>
    </row>
    <row r="2254">
      <c r="A2254" s="141"/>
      <c r="B2254" s="141"/>
      <c r="C2254" s="141"/>
      <c r="D2254" s="141"/>
      <c r="E2254" s="141"/>
      <c r="F2254" s="141"/>
      <c r="G2254" s="141"/>
      <c r="H2254" s="141"/>
      <c r="I2254" s="141"/>
      <c r="J2254" s="141"/>
      <c r="K2254" s="141"/>
      <c r="L2254" s="141"/>
      <c r="M2254" s="141"/>
      <c r="N2254" s="141"/>
      <c r="O2254" s="141"/>
      <c r="P2254" s="141"/>
      <c r="Q2254" s="141"/>
      <c r="R2254" s="141"/>
      <c r="S2254" s="141"/>
      <c r="T2254" s="141"/>
      <c r="U2254" s="141"/>
      <c r="V2254" s="141"/>
      <c r="W2254" s="141"/>
      <c r="X2254" s="141"/>
      <c r="Y2254" s="141"/>
      <c r="Z2254" s="141"/>
    </row>
    <row r="2255">
      <c r="A2255" s="141"/>
      <c r="B2255" s="141"/>
      <c r="C2255" s="141"/>
      <c r="D2255" s="141"/>
      <c r="E2255" s="141"/>
      <c r="F2255" s="141"/>
      <c r="G2255" s="141"/>
      <c r="H2255" s="141"/>
      <c r="I2255" s="141"/>
      <c r="J2255" s="141"/>
      <c r="K2255" s="141"/>
      <c r="L2255" s="141"/>
      <c r="M2255" s="141"/>
      <c r="N2255" s="141"/>
      <c r="O2255" s="141"/>
      <c r="P2255" s="141"/>
      <c r="Q2255" s="141"/>
      <c r="R2255" s="141"/>
      <c r="S2255" s="141"/>
      <c r="T2255" s="141"/>
      <c r="U2255" s="141"/>
      <c r="V2255" s="141"/>
      <c r="W2255" s="141"/>
      <c r="X2255" s="141"/>
      <c r="Y2255" s="141"/>
      <c r="Z2255" s="141"/>
    </row>
    <row r="2256">
      <c r="A2256" s="141"/>
      <c r="B2256" s="141"/>
      <c r="C2256" s="141"/>
      <c r="D2256" s="141"/>
      <c r="E2256" s="141"/>
      <c r="F2256" s="141"/>
      <c r="G2256" s="141"/>
      <c r="H2256" s="141"/>
      <c r="I2256" s="141"/>
      <c r="J2256" s="141"/>
      <c r="K2256" s="141"/>
      <c r="L2256" s="141"/>
      <c r="M2256" s="141"/>
      <c r="N2256" s="141"/>
      <c r="O2256" s="141"/>
      <c r="P2256" s="141"/>
      <c r="Q2256" s="141"/>
      <c r="R2256" s="141"/>
      <c r="S2256" s="141"/>
      <c r="T2256" s="141"/>
      <c r="U2256" s="141"/>
      <c r="V2256" s="141"/>
      <c r="W2256" s="141"/>
      <c r="X2256" s="141"/>
      <c r="Y2256" s="141"/>
      <c r="Z2256" s="141"/>
    </row>
    <row r="2257">
      <c r="A2257" s="141"/>
      <c r="B2257" s="141"/>
      <c r="C2257" s="141"/>
      <c r="D2257" s="141"/>
      <c r="E2257" s="141"/>
      <c r="F2257" s="141"/>
      <c r="G2257" s="141"/>
      <c r="H2257" s="141"/>
      <c r="I2257" s="141"/>
      <c r="J2257" s="141"/>
      <c r="K2257" s="141"/>
      <c r="L2257" s="141"/>
      <c r="M2257" s="141"/>
      <c r="N2257" s="141"/>
      <c r="O2257" s="141"/>
      <c r="P2257" s="141"/>
      <c r="Q2257" s="141"/>
      <c r="R2257" s="141"/>
      <c r="S2257" s="141"/>
      <c r="T2257" s="141"/>
      <c r="U2257" s="141"/>
      <c r="V2257" s="141"/>
      <c r="W2257" s="141"/>
      <c r="X2257" s="141"/>
      <c r="Y2257" s="141"/>
      <c r="Z2257" s="141"/>
    </row>
    <row r="2258">
      <c r="A2258" s="141"/>
      <c r="B2258" s="141"/>
      <c r="C2258" s="141"/>
      <c r="D2258" s="141"/>
      <c r="E2258" s="141"/>
      <c r="F2258" s="141"/>
      <c r="G2258" s="141"/>
      <c r="H2258" s="141"/>
      <c r="I2258" s="141"/>
      <c r="J2258" s="141"/>
      <c r="K2258" s="141"/>
      <c r="L2258" s="141"/>
      <c r="M2258" s="141"/>
      <c r="N2258" s="141"/>
      <c r="O2258" s="141"/>
      <c r="P2258" s="141"/>
      <c r="Q2258" s="141"/>
      <c r="R2258" s="141"/>
      <c r="S2258" s="141"/>
      <c r="T2258" s="141"/>
      <c r="U2258" s="141"/>
      <c r="V2258" s="141"/>
      <c r="W2258" s="141"/>
      <c r="X2258" s="141"/>
      <c r="Y2258" s="141"/>
      <c r="Z2258" s="141"/>
    </row>
    <row r="2259">
      <c r="A2259" s="141"/>
      <c r="B2259" s="141"/>
      <c r="C2259" s="141"/>
      <c r="D2259" s="141"/>
      <c r="E2259" s="141"/>
      <c r="F2259" s="141"/>
      <c r="G2259" s="141"/>
      <c r="H2259" s="141"/>
      <c r="I2259" s="141"/>
      <c r="J2259" s="141"/>
      <c r="K2259" s="141"/>
      <c r="L2259" s="141"/>
      <c r="M2259" s="141"/>
      <c r="N2259" s="141"/>
      <c r="O2259" s="141"/>
      <c r="P2259" s="141"/>
      <c r="Q2259" s="141"/>
      <c r="R2259" s="141"/>
      <c r="S2259" s="141"/>
      <c r="T2259" s="141"/>
      <c r="U2259" s="141"/>
      <c r="V2259" s="141"/>
      <c r="W2259" s="141"/>
      <c r="X2259" s="141"/>
      <c r="Y2259" s="141"/>
      <c r="Z2259" s="141"/>
    </row>
    <row r="2260">
      <c r="A2260" s="141"/>
      <c r="B2260" s="141"/>
      <c r="C2260" s="141"/>
      <c r="D2260" s="141"/>
      <c r="E2260" s="141"/>
      <c r="F2260" s="141"/>
      <c r="G2260" s="141"/>
      <c r="H2260" s="141"/>
      <c r="I2260" s="141"/>
      <c r="J2260" s="141"/>
      <c r="K2260" s="141"/>
      <c r="L2260" s="141"/>
      <c r="M2260" s="141"/>
      <c r="N2260" s="141"/>
      <c r="O2260" s="141"/>
      <c r="P2260" s="141"/>
      <c r="Q2260" s="141"/>
      <c r="R2260" s="141"/>
      <c r="S2260" s="141"/>
      <c r="T2260" s="141"/>
      <c r="U2260" s="141"/>
      <c r="V2260" s="141"/>
      <c r="W2260" s="141"/>
      <c r="X2260" s="141"/>
      <c r="Y2260" s="141"/>
      <c r="Z2260" s="141"/>
    </row>
    <row r="2261">
      <c r="A2261" s="141"/>
      <c r="B2261" s="141"/>
      <c r="C2261" s="141"/>
      <c r="D2261" s="141"/>
      <c r="E2261" s="141"/>
      <c r="F2261" s="141"/>
      <c r="G2261" s="141"/>
      <c r="H2261" s="141"/>
      <c r="I2261" s="141"/>
      <c r="J2261" s="141"/>
      <c r="K2261" s="141"/>
      <c r="L2261" s="141"/>
      <c r="M2261" s="141"/>
      <c r="N2261" s="141"/>
      <c r="O2261" s="141"/>
      <c r="P2261" s="141"/>
      <c r="Q2261" s="141"/>
      <c r="R2261" s="141"/>
      <c r="S2261" s="141"/>
      <c r="T2261" s="141"/>
      <c r="U2261" s="141"/>
      <c r="V2261" s="141"/>
      <c r="W2261" s="141"/>
      <c r="X2261" s="141"/>
      <c r="Y2261" s="141"/>
      <c r="Z2261" s="141"/>
    </row>
    <row r="2262">
      <c r="A2262" s="141"/>
      <c r="B2262" s="141"/>
      <c r="C2262" s="141"/>
      <c r="D2262" s="141"/>
      <c r="E2262" s="141"/>
      <c r="F2262" s="141"/>
      <c r="G2262" s="141"/>
      <c r="H2262" s="141"/>
      <c r="I2262" s="141"/>
      <c r="J2262" s="141"/>
      <c r="K2262" s="141"/>
      <c r="L2262" s="141"/>
      <c r="M2262" s="141"/>
      <c r="N2262" s="141"/>
      <c r="O2262" s="141"/>
      <c r="P2262" s="141"/>
      <c r="Q2262" s="141"/>
      <c r="R2262" s="141"/>
      <c r="S2262" s="141"/>
      <c r="T2262" s="141"/>
      <c r="U2262" s="141"/>
      <c r="V2262" s="141"/>
      <c r="W2262" s="141"/>
      <c r="X2262" s="141"/>
      <c r="Y2262" s="141"/>
      <c r="Z2262" s="141"/>
    </row>
    <row r="2263">
      <c r="A2263" s="141"/>
      <c r="B2263" s="141"/>
      <c r="C2263" s="141"/>
      <c r="D2263" s="141"/>
      <c r="E2263" s="141"/>
      <c r="F2263" s="141"/>
      <c r="G2263" s="141"/>
      <c r="H2263" s="141"/>
      <c r="I2263" s="141"/>
      <c r="J2263" s="141"/>
      <c r="K2263" s="141"/>
      <c r="L2263" s="141"/>
      <c r="M2263" s="141"/>
      <c r="N2263" s="141"/>
      <c r="O2263" s="141"/>
      <c r="P2263" s="141"/>
      <c r="Q2263" s="141"/>
      <c r="R2263" s="141"/>
      <c r="S2263" s="141"/>
      <c r="T2263" s="141"/>
      <c r="U2263" s="141"/>
      <c r="V2263" s="141"/>
      <c r="W2263" s="141"/>
      <c r="X2263" s="141"/>
      <c r="Y2263" s="141"/>
      <c r="Z2263" s="141"/>
    </row>
    <row r="2264">
      <c r="A2264" s="141"/>
      <c r="B2264" s="141"/>
      <c r="C2264" s="141"/>
      <c r="D2264" s="141"/>
      <c r="E2264" s="141"/>
      <c r="F2264" s="141"/>
      <c r="G2264" s="141"/>
      <c r="H2264" s="141"/>
      <c r="I2264" s="141"/>
      <c r="J2264" s="141"/>
      <c r="K2264" s="141"/>
      <c r="L2264" s="141"/>
      <c r="M2264" s="141"/>
      <c r="N2264" s="141"/>
      <c r="O2264" s="141"/>
      <c r="P2264" s="141"/>
      <c r="Q2264" s="141"/>
      <c r="R2264" s="141"/>
      <c r="S2264" s="141"/>
      <c r="T2264" s="141"/>
      <c r="U2264" s="141"/>
      <c r="V2264" s="141"/>
      <c r="W2264" s="141"/>
      <c r="X2264" s="141"/>
      <c r="Y2264" s="141"/>
      <c r="Z2264" s="141"/>
    </row>
    <row r="2265">
      <c r="A2265" s="141"/>
      <c r="B2265" s="141"/>
      <c r="C2265" s="141"/>
      <c r="D2265" s="141"/>
      <c r="E2265" s="141"/>
      <c r="F2265" s="141"/>
      <c r="G2265" s="141"/>
      <c r="H2265" s="141"/>
      <c r="I2265" s="141"/>
      <c r="J2265" s="141"/>
      <c r="K2265" s="141"/>
      <c r="L2265" s="141"/>
      <c r="M2265" s="141"/>
      <c r="N2265" s="141"/>
      <c r="O2265" s="141"/>
      <c r="P2265" s="141"/>
      <c r="Q2265" s="141"/>
      <c r="R2265" s="141"/>
      <c r="S2265" s="141"/>
      <c r="T2265" s="141"/>
      <c r="U2265" s="141"/>
      <c r="V2265" s="141"/>
      <c r="W2265" s="141"/>
      <c r="X2265" s="141"/>
      <c r="Y2265" s="141"/>
      <c r="Z2265" s="141"/>
    </row>
    <row r="2266">
      <c r="A2266" s="141"/>
      <c r="B2266" s="141"/>
      <c r="C2266" s="141"/>
      <c r="D2266" s="141"/>
      <c r="E2266" s="141"/>
      <c r="F2266" s="141"/>
      <c r="G2266" s="141"/>
      <c r="H2266" s="141"/>
      <c r="I2266" s="141"/>
      <c r="J2266" s="141"/>
      <c r="K2266" s="141"/>
      <c r="L2266" s="141"/>
      <c r="M2266" s="141"/>
      <c r="N2266" s="141"/>
      <c r="O2266" s="141"/>
      <c r="P2266" s="141"/>
      <c r="Q2266" s="141"/>
      <c r="R2266" s="141"/>
      <c r="S2266" s="141"/>
      <c r="T2266" s="141"/>
      <c r="U2266" s="141"/>
      <c r="V2266" s="141"/>
      <c r="W2266" s="141"/>
      <c r="X2266" s="141"/>
      <c r="Y2266" s="141"/>
      <c r="Z2266" s="141"/>
    </row>
    <row r="2267">
      <c r="A2267" s="141"/>
      <c r="B2267" s="141"/>
      <c r="C2267" s="141"/>
      <c r="D2267" s="141"/>
      <c r="E2267" s="141"/>
      <c r="F2267" s="141"/>
      <c r="G2267" s="141"/>
      <c r="H2267" s="141"/>
      <c r="I2267" s="141"/>
      <c r="J2267" s="141"/>
      <c r="K2267" s="141"/>
      <c r="L2267" s="141"/>
      <c r="M2267" s="141"/>
      <c r="N2267" s="141"/>
      <c r="O2267" s="141"/>
      <c r="P2267" s="141"/>
      <c r="Q2267" s="141"/>
      <c r="R2267" s="141"/>
      <c r="S2267" s="141"/>
      <c r="T2267" s="141"/>
      <c r="U2267" s="141"/>
      <c r="V2267" s="141"/>
      <c r="W2267" s="141"/>
      <c r="X2267" s="141"/>
      <c r="Y2267" s="141"/>
      <c r="Z2267" s="141"/>
    </row>
    <row r="2268">
      <c r="A2268" s="141"/>
      <c r="B2268" s="141"/>
      <c r="C2268" s="141"/>
      <c r="D2268" s="141"/>
      <c r="E2268" s="141"/>
      <c r="F2268" s="141"/>
      <c r="G2268" s="141"/>
      <c r="H2268" s="141"/>
      <c r="I2268" s="141"/>
      <c r="J2268" s="141"/>
      <c r="K2268" s="141"/>
      <c r="L2268" s="141"/>
      <c r="M2268" s="141"/>
      <c r="N2268" s="141"/>
      <c r="O2268" s="141"/>
      <c r="P2268" s="141"/>
      <c r="Q2268" s="141"/>
      <c r="R2268" s="141"/>
      <c r="S2268" s="141"/>
      <c r="T2268" s="141"/>
      <c r="U2268" s="141"/>
      <c r="V2268" s="141"/>
      <c r="W2268" s="141"/>
      <c r="X2268" s="141"/>
      <c r="Y2268" s="141"/>
      <c r="Z2268" s="141"/>
    </row>
    <row r="2269">
      <c r="A2269" s="141"/>
      <c r="B2269" s="141"/>
      <c r="C2269" s="141"/>
      <c r="D2269" s="141"/>
      <c r="E2269" s="141"/>
      <c r="F2269" s="141"/>
      <c r="G2269" s="141"/>
      <c r="H2269" s="141"/>
      <c r="I2269" s="141"/>
      <c r="J2269" s="141"/>
      <c r="K2269" s="141"/>
      <c r="L2269" s="141"/>
      <c r="M2269" s="141"/>
      <c r="N2269" s="141"/>
      <c r="O2269" s="141"/>
      <c r="P2269" s="141"/>
      <c r="Q2269" s="141"/>
      <c r="R2269" s="141"/>
      <c r="S2269" s="141"/>
      <c r="T2269" s="141"/>
      <c r="U2269" s="141"/>
      <c r="V2269" s="141"/>
      <c r="W2269" s="141"/>
      <c r="X2269" s="141"/>
      <c r="Y2269" s="141"/>
      <c r="Z2269" s="141"/>
    </row>
    <row r="2270">
      <c r="A2270" s="141"/>
      <c r="B2270" s="141"/>
      <c r="C2270" s="141"/>
      <c r="D2270" s="141"/>
      <c r="E2270" s="141"/>
      <c r="F2270" s="141"/>
      <c r="G2270" s="141"/>
      <c r="H2270" s="141"/>
      <c r="I2270" s="141"/>
      <c r="J2270" s="141"/>
      <c r="K2270" s="141"/>
      <c r="L2270" s="141"/>
      <c r="M2270" s="141"/>
      <c r="N2270" s="141"/>
      <c r="O2270" s="141"/>
      <c r="P2270" s="141"/>
      <c r="Q2270" s="141"/>
      <c r="R2270" s="141"/>
      <c r="S2270" s="141"/>
      <c r="T2270" s="141"/>
      <c r="U2270" s="141"/>
      <c r="V2270" s="141"/>
      <c r="W2270" s="141"/>
      <c r="X2270" s="141"/>
      <c r="Y2270" s="141"/>
      <c r="Z2270" s="141"/>
    </row>
    <row r="2271">
      <c r="A2271" s="141"/>
      <c r="B2271" s="141"/>
      <c r="C2271" s="141"/>
      <c r="D2271" s="141"/>
      <c r="E2271" s="141"/>
      <c r="F2271" s="141"/>
      <c r="G2271" s="141"/>
      <c r="H2271" s="141"/>
      <c r="I2271" s="141"/>
      <c r="J2271" s="141"/>
      <c r="K2271" s="141"/>
      <c r="L2271" s="141"/>
      <c r="M2271" s="141"/>
      <c r="N2271" s="141"/>
      <c r="O2271" s="141"/>
      <c r="P2271" s="141"/>
      <c r="Q2271" s="141"/>
      <c r="R2271" s="141"/>
      <c r="S2271" s="141"/>
      <c r="T2271" s="141"/>
      <c r="U2271" s="141"/>
      <c r="V2271" s="141"/>
      <c r="W2271" s="141"/>
      <c r="X2271" s="141"/>
      <c r="Y2271" s="141"/>
      <c r="Z2271" s="141"/>
    </row>
    <row r="2272">
      <c r="A2272" s="141"/>
      <c r="B2272" s="141"/>
      <c r="C2272" s="141"/>
      <c r="D2272" s="141"/>
      <c r="E2272" s="141"/>
      <c r="F2272" s="141"/>
      <c r="G2272" s="141"/>
      <c r="H2272" s="141"/>
      <c r="I2272" s="141"/>
      <c r="J2272" s="141"/>
      <c r="K2272" s="141"/>
      <c r="L2272" s="141"/>
      <c r="M2272" s="141"/>
      <c r="N2272" s="141"/>
      <c r="O2272" s="141"/>
      <c r="P2272" s="141"/>
      <c r="Q2272" s="141"/>
      <c r="R2272" s="141"/>
      <c r="S2272" s="141"/>
      <c r="T2272" s="141"/>
      <c r="U2272" s="141"/>
      <c r="V2272" s="141"/>
      <c r="W2272" s="141"/>
      <c r="X2272" s="141"/>
      <c r="Y2272" s="141"/>
      <c r="Z2272" s="141"/>
    </row>
    <row r="2273">
      <c r="A2273" s="141"/>
      <c r="B2273" s="141"/>
      <c r="C2273" s="141"/>
      <c r="D2273" s="141"/>
      <c r="E2273" s="141"/>
      <c r="F2273" s="141"/>
      <c r="G2273" s="141"/>
      <c r="H2273" s="141"/>
      <c r="I2273" s="141"/>
      <c r="J2273" s="141"/>
      <c r="K2273" s="141"/>
      <c r="L2273" s="141"/>
      <c r="M2273" s="141"/>
      <c r="N2273" s="141"/>
      <c r="O2273" s="141"/>
      <c r="P2273" s="141"/>
      <c r="Q2273" s="141"/>
      <c r="R2273" s="141"/>
      <c r="S2273" s="141"/>
      <c r="T2273" s="141"/>
      <c r="U2273" s="141"/>
      <c r="V2273" s="141"/>
      <c r="W2273" s="141"/>
      <c r="X2273" s="141"/>
      <c r="Y2273" s="141"/>
      <c r="Z2273" s="141"/>
    </row>
    <row r="2274">
      <c r="A2274" s="141"/>
      <c r="B2274" s="141"/>
      <c r="C2274" s="141"/>
      <c r="D2274" s="141"/>
      <c r="E2274" s="141"/>
      <c r="F2274" s="141"/>
      <c r="G2274" s="141"/>
      <c r="H2274" s="141"/>
      <c r="I2274" s="141"/>
      <c r="J2274" s="141"/>
      <c r="K2274" s="141"/>
      <c r="L2274" s="141"/>
      <c r="M2274" s="141"/>
      <c r="N2274" s="141"/>
      <c r="O2274" s="141"/>
      <c r="P2274" s="141"/>
      <c r="Q2274" s="141"/>
      <c r="R2274" s="141"/>
      <c r="S2274" s="141"/>
      <c r="T2274" s="141"/>
      <c r="U2274" s="141"/>
      <c r="V2274" s="141"/>
      <c r="W2274" s="141"/>
      <c r="X2274" s="141"/>
      <c r="Y2274" s="141"/>
      <c r="Z2274" s="141"/>
    </row>
    <row r="2275">
      <c r="A2275" s="141"/>
      <c r="B2275" s="141"/>
      <c r="C2275" s="141"/>
      <c r="D2275" s="141"/>
      <c r="E2275" s="141"/>
      <c r="F2275" s="141"/>
      <c r="G2275" s="141"/>
      <c r="H2275" s="141"/>
      <c r="I2275" s="141"/>
      <c r="J2275" s="141"/>
      <c r="K2275" s="141"/>
      <c r="L2275" s="141"/>
      <c r="M2275" s="141"/>
      <c r="N2275" s="141"/>
      <c r="O2275" s="141"/>
      <c r="P2275" s="141"/>
      <c r="Q2275" s="141"/>
      <c r="R2275" s="141"/>
      <c r="S2275" s="141"/>
      <c r="T2275" s="141"/>
      <c r="U2275" s="141"/>
      <c r="V2275" s="141"/>
      <c r="W2275" s="141"/>
      <c r="X2275" s="141"/>
      <c r="Y2275" s="141"/>
      <c r="Z2275" s="141"/>
    </row>
    <row r="2276">
      <c r="A2276" s="141"/>
      <c r="B2276" s="141"/>
      <c r="C2276" s="141"/>
      <c r="D2276" s="141"/>
      <c r="E2276" s="141"/>
      <c r="F2276" s="141"/>
      <c r="G2276" s="141"/>
      <c r="H2276" s="141"/>
      <c r="I2276" s="141"/>
      <c r="J2276" s="141"/>
      <c r="K2276" s="141"/>
      <c r="L2276" s="141"/>
      <c r="M2276" s="141"/>
      <c r="N2276" s="141"/>
      <c r="O2276" s="141"/>
      <c r="P2276" s="141"/>
      <c r="Q2276" s="141"/>
      <c r="R2276" s="141"/>
      <c r="S2276" s="141"/>
      <c r="T2276" s="141"/>
      <c r="U2276" s="141"/>
      <c r="V2276" s="141"/>
      <c r="W2276" s="141"/>
      <c r="X2276" s="141"/>
      <c r="Y2276" s="141"/>
      <c r="Z2276" s="141"/>
    </row>
    <row r="2277">
      <c r="A2277" s="141"/>
      <c r="B2277" s="141"/>
      <c r="C2277" s="141"/>
      <c r="D2277" s="141"/>
      <c r="E2277" s="141"/>
      <c r="F2277" s="141"/>
      <c r="G2277" s="141"/>
      <c r="H2277" s="141"/>
      <c r="I2277" s="141"/>
      <c r="J2277" s="141"/>
      <c r="K2277" s="141"/>
      <c r="L2277" s="141"/>
      <c r="M2277" s="141"/>
      <c r="N2277" s="141"/>
      <c r="O2277" s="141"/>
      <c r="P2277" s="141"/>
      <c r="Q2277" s="141"/>
      <c r="R2277" s="141"/>
      <c r="S2277" s="141"/>
      <c r="T2277" s="141"/>
      <c r="U2277" s="141"/>
      <c r="V2277" s="141"/>
      <c r="W2277" s="141"/>
      <c r="X2277" s="141"/>
      <c r="Y2277" s="141"/>
      <c r="Z2277" s="141"/>
    </row>
    <row r="2278">
      <c r="A2278" s="141"/>
      <c r="B2278" s="141"/>
      <c r="C2278" s="141"/>
      <c r="D2278" s="141"/>
      <c r="E2278" s="141"/>
      <c r="F2278" s="141"/>
      <c r="G2278" s="141"/>
      <c r="H2278" s="141"/>
      <c r="I2278" s="141"/>
      <c r="J2278" s="141"/>
      <c r="K2278" s="141"/>
      <c r="L2278" s="141"/>
      <c r="M2278" s="141"/>
      <c r="N2278" s="141"/>
      <c r="O2278" s="141"/>
      <c r="P2278" s="141"/>
      <c r="Q2278" s="141"/>
      <c r="R2278" s="141"/>
      <c r="S2278" s="141"/>
      <c r="T2278" s="141"/>
      <c r="U2278" s="141"/>
      <c r="V2278" s="141"/>
      <c r="W2278" s="141"/>
      <c r="X2278" s="141"/>
      <c r="Y2278" s="141"/>
      <c r="Z2278" s="141"/>
    </row>
    <row r="2279">
      <c r="A2279" s="141"/>
      <c r="B2279" s="141"/>
      <c r="C2279" s="141"/>
      <c r="D2279" s="141"/>
      <c r="E2279" s="141"/>
      <c r="F2279" s="141"/>
      <c r="G2279" s="141"/>
      <c r="H2279" s="141"/>
      <c r="I2279" s="141"/>
      <c r="J2279" s="141"/>
      <c r="K2279" s="141"/>
      <c r="L2279" s="141"/>
      <c r="M2279" s="141"/>
      <c r="N2279" s="141"/>
      <c r="O2279" s="141"/>
      <c r="P2279" s="141"/>
      <c r="Q2279" s="141"/>
      <c r="R2279" s="141"/>
      <c r="S2279" s="141"/>
      <c r="T2279" s="141"/>
      <c r="U2279" s="141"/>
      <c r="V2279" s="141"/>
      <c r="W2279" s="141"/>
      <c r="X2279" s="141"/>
      <c r="Y2279" s="141"/>
      <c r="Z2279" s="141"/>
    </row>
    <row r="2280">
      <c r="A2280" s="141"/>
      <c r="B2280" s="141"/>
      <c r="C2280" s="141"/>
      <c r="D2280" s="141"/>
      <c r="E2280" s="141"/>
      <c r="F2280" s="141"/>
      <c r="G2280" s="141"/>
      <c r="H2280" s="141"/>
      <c r="I2280" s="141"/>
      <c r="J2280" s="141"/>
      <c r="K2280" s="141"/>
      <c r="L2280" s="141"/>
      <c r="M2280" s="141"/>
      <c r="N2280" s="141"/>
      <c r="O2280" s="141"/>
      <c r="P2280" s="141"/>
      <c r="Q2280" s="141"/>
      <c r="R2280" s="141"/>
      <c r="S2280" s="141"/>
      <c r="T2280" s="141"/>
      <c r="U2280" s="141"/>
      <c r="V2280" s="141"/>
      <c r="W2280" s="141"/>
      <c r="X2280" s="141"/>
      <c r="Y2280" s="141"/>
      <c r="Z2280" s="141"/>
    </row>
    <row r="2281">
      <c r="A2281" s="141"/>
      <c r="B2281" s="141"/>
      <c r="C2281" s="141"/>
      <c r="D2281" s="141"/>
      <c r="E2281" s="141"/>
      <c r="F2281" s="141"/>
      <c r="G2281" s="141"/>
      <c r="H2281" s="141"/>
      <c r="I2281" s="141"/>
      <c r="J2281" s="141"/>
      <c r="K2281" s="141"/>
      <c r="L2281" s="141"/>
      <c r="M2281" s="141"/>
      <c r="N2281" s="141"/>
      <c r="O2281" s="141"/>
      <c r="P2281" s="141"/>
      <c r="Q2281" s="141"/>
      <c r="R2281" s="141"/>
      <c r="S2281" s="141"/>
      <c r="T2281" s="141"/>
      <c r="U2281" s="141"/>
      <c r="V2281" s="141"/>
      <c r="W2281" s="141"/>
      <c r="X2281" s="141"/>
      <c r="Y2281" s="141"/>
      <c r="Z2281" s="141"/>
    </row>
    <row r="2282">
      <c r="A2282" s="141"/>
      <c r="B2282" s="141"/>
      <c r="C2282" s="141"/>
      <c r="D2282" s="141"/>
      <c r="E2282" s="141"/>
      <c r="F2282" s="141"/>
      <c r="G2282" s="141"/>
      <c r="H2282" s="141"/>
      <c r="I2282" s="141"/>
      <c r="J2282" s="141"/>
      <c r="K2282" s="141"/>
      <c r="L2282" s="141"/>
      <c r="M2282" s="141"/>
      <c r="N2282" s="141"/>
      <c r="O2282" s="141"/>
      <c r="P2282" s="141"/>
      <c r="Q2282" s="141"/>
      <c r="R2282" s="141"/>
      <c r="S2282" s="141"/>
      <c r="T2282" s="141"/>
      <c r="U2282" s="141"/>
      <c r="V2282" s="141"/>
      <c r="W2282" s="141"/>
      <c r="X2282" s="141"/>
      <c r="Y2282" s="141"/>
      <c r="Z2282" s="141"/>
    </row>
    <row r="2283">
      <c r="A2283" s="141"/>
      <c r="B2283" s="141"/>
      <c r="C2283" s="141"/>
      <c r="D2283" s="141"/>
      <c r="E2283" s="141"/>
      <c r="F2283" s="141"/>
      <c r="G2283" s="141"/>
      <c r="H2283" s="141"/>
      <c r="I2283" s="141"/>
      <c r="J2283" s="141"/>
      <c r="K2283" s="141"/>
      <c r="L2283" s="141"/>
      <c r="M2283" s="141"/>
      <c r="N2283" s="141"/>
      <c r="O2283" s="141"/>
      <c r="P2283" s="141"/>
      <c r="Q2283" s="141"/>
      <c r="R2283" s="141"/>
      <c r="S2283" s="141"/>
      <c r="T2283" s="141"/>
      <c r="U2283" s="141"/>
      <c r="V2283" s="141"/>
      <c r="W2283" s="141"/>
      <c r="X2283" s="141"/>
      <c r="Y2283" s="141"/>
      <c r="Z2283" s="141"/>
    </row>
    <row r="2284">
      <c r="A2284" s="141"/>
      <c r="B2284" s="141"/>
      <c r="C2284" s="141"/>
      <c r="D2284" s="141"/>
      <c r="E2284" s="141"/>
      <c r="F2284" s="141"/>
      <c r="G2284" s="141"/>
      <c r="H2284" s="141"/>
      <c r="I2284" s="141"/>
      <c r="J2284" s="141"/>
      <c r="K2284" s="141"/>
      <c r="L2284" s="141"/>
      <c r="M2284" s="141"/>
      <c r="N2284" s="141"/>
      <c r="O2284" s="141"/>
      <c r="P2284" s="141"/>
      <c r="Q2284" s="141"/>
      <c r="R2284" s="141"/>
      <c r="S2284" s="141"/>
      <c r="T2284" s="141"/>
      <c r="U2284" s="141"/>
      <c r="V2284" s="141"/>
      <c r="W2284" s="141"/>
      <c r="X2284" s="141"/>
      <c r="Y2284" s="141"/>
      <c r="Z2284" s="141"/>
    </row>
    <row r="2285">
      <c r="A2285" s="141"/>
      <c r="B2285" s="141"/>
      <c r="C2285" s="141"/>
      <c r="D2285" s="141"/>
      <c r="E2285" s="141"/>
      <c r="F2285" s="141"/>
      <c r="G2285" s="141"/>
      <c r="H2285" s="141"/>
      <c r="I2285" s="141"/>
      <c r="J2285" s="141"/>
      <c r="K2285" s="141"/>
      <c r="L2285" s="141"/>
      <c r="M2285" s="141"/>
      <c r="N2285" s="141"/>
      <c r="O2285" s="141"/>
      <c r="P2285" s="141"/>
      <c r="Q2285" s="141"/>
      <c r="R2285" s="141"/>
      <c r="S2285" s="141"/>
      <c r="T2285" s="141"/>
      <c r="U2285" s="141"/>
      <c r="V2285" s="141"/>
      <c r="W2285" s="141"/>
      <c r="X2285" s="141"/>
      <c r="Y2285" s="141"/>
      <c r="Z2285" s="141"/>
    </row>
    <row r="2286">
      <c r="A2286" s="141"/>
      <c r="B2286" s="141"/>
      <c r="C2286" s="141"/>
      <c r="D2286" s="141"/>
      <c r="E2286" s="141"/>
      <c r="F2286" s="141"/>
      <c r="G2286" s="141"/>
      <c r="H2286" s="141"/>
      <c r="I2286" s="141"/>
      <c r="J2286" s="141"/>
      <c r="K2286" s="141"/>
      <c r="L2286" s="141"/>
      <c r="M2286" s="141"/>
      <c r="N2286" s="141"/>
      <c r="O2286" s="141"/>
      <c r="P2286" s="141"/>
      <c r="Q2286" s="141"/>
      <c r="R2286" s="141"/>
      <c r="S2286" s="141"/>
      <c r="T2286" s="141"/>
      <c r="U2286" s="141"/>
      <c r="V2286" s="141"/>
      <c r="W2286" s="141"/>
      <c r="X2286" s="141"/>
      <c r="Y2286" s="141"/>
      <c r="Z2286" s="141"/>
    </row>
    <row r="2287">
      <c r="A2287" s="141"/>
      <c r="B2287" s="141"/>
      <c r="C2287" s="141"/>
      <c r="D2287" s="141"/>
      <c r="E2287" s="141"/>
      <c r="F2287" s="141"/>
      <c r="G2287" s="141"/>
      <c r="H2287" s="141"/>
      <c r="I2287" s="141"/>
      <c r="J2287" s="141"/>
      <c r="K2287" s="141"/>
      <c r="L2287" s="141"/>
      <c r="M2287" s="141"/>
      <c r="N2287" s="141"/>
      <c r="O2287" s="141"/>
      <c r="P2287" s="141"/>
      <c r="Q2287" s="141"/>
      <c r="R2287" s="141"/>
      <c r="S2287" s="141"/>
      <c r="T2287" s="141"/>
      <c r="U2287" s="141"/>
      <c r="V2287" s="141"/>
      <c r="W2287" s="141"/>
      <c r="X2287" s="141"/>
      <c r="Y2287" s="141"/>
      <c r="Z2287" s="141"/>
    </row>
    <row r="2288">
      <c r="A2288" s="141"/>
      <c r="B2288" s="141"/>
      <c r="C2288" s="141"/>
      <c r="D2288" s="141"/>
      <c r="E2288" s="141"/>
      <c r="F2288" s="141"/>
      <c r="G2288" s="141"/>
      <c r="H2288" s="141"/>
      <c r="I2288" s="141"/>
      <c r="J2288" s="141"/>
      <c r="K2288" s="141"/>
      <c r="L2288" s="141"/>
      <c r="M2288" s="141"/>
      <c r="N2288" s="141"/>
      <c r="O2288" s="141"/>
      <c r="P2288" s="141"/>
      <c r="Q2288" s="141"/>
      <c r="R2288" s="141"/>
      <c r="S2288" s="141"/>
      <c r="T2288" s="141"/>
      <c r="U2288" s="141"/>
      <c r="V2288" s="141"/>
      <c r="W2288" s="141"/>
      <c r="X2288" s="141"/>
      <c r="Y2288" s="141"/>
      <c r="Z2288" s="141"/>
    </row>
    <row r="2289">
      <c r="A2289" s="141"/>
      <c r="B2289" s="141"/>
      <c r="C2289" s="141"/>
      <c r="D2289" s="141"/>
      <c r="E2289" s="141"/>
      <c r="F2289" s="141"/>
      <c r="G2289" s="141"/>
      <c r="H2289" s="141"/>
      <c r="I2289" s="141"/>
      <c r="J2289" s="141"/>
      <c r="K2289" s="141"/>
      <c r="L2289" s="141"/>
      <c r="M2289" s="141"/>
      <c r="N2289" s="141"/>
      <c r="O2289" s="141"/>
      <c r="P2289" s="141"/>
      <c r="Q2289" s="141"/>
      <c r="R2289" s="141"/>
      <c r="S2289" s="141"/>
      <c r="T2289" s="141"/>
      <c r="U2289" s="141"/>
      <c r="V2289" s="141"/>
      <c r="W2289" s="141"/>
      <c r="X2289" s="141"/>
      <c r="Y2289" s="141"/>
      <c r="Z2289" s="141"/>
    </row>
    <row r="2290">
      <c r="A2290" s="141"/>
      <c r="B2290" s="141"/>
      <c r="C2290" s="141"/>
      <c r="D2290" s="141"/>
      <c r="E2290" s="141"/>
      <c r="F2290" s="141"/>
      <c r="G2290" s="141"/>
      <c r="H2290" s="141"/>
      <c r="I2290" s="141"/>
      <c r="J2290" s="141"/>
      <c r="K2290" s="141"/>
      <c r="L2290" s="141"/>
      <c r="M2290" s="141"/>
      <c r="N2290" s="141"/>
      <c r="O2290" s="141"/>
      <c r="P2290" s="141"/>
      <c r="Q2290" s="141"/>
      <c r="R2290" s="141"/>
      <c r="S2290" s="141"/>
      <c r="T2290" s="141"/>
      <c r="U2290" s="141"/>
      <c r="V2290" s="141"/>
      <c r="W2290" s="141"/>
      <c r="X2290" s="141"/>
      <c r="Y2290" s="141"/>
      <c r="Z2290" s="141"/>
    </row>
    <row r="2291">
      <c r="A2291" s="141"/>
      <c r="B2291" s="141"/>
      <c r="C2291" s="141"/>
      <c r="D2291" s="141"/>
      <c r="E2291" s="141"/>
      <c r="F2291" s="141"/>
      <c r="G2291" s="141"/>
      <c r="H2291" s="141"/>
      <c r="I2291" s="141"/>
      <c r="J2291" s="141"/>
      <c r="K2291" s="141"/>
      <c r="L2291" s="141"/>
      <c r="M2291" s="141"/>
      <c r="N2291" s="141"/>
      <c r="O2291" s="141"/>
      <c r="P2291" s="141"/>
      <c r="Q2291" s="141"/>
      <c r="R2291" s="141"/>
      <c r="S2291" s="141"/>
      <c r="T2291" s="141"/>
      <c r="U2291" s="141"/>
      <c r="V2291" s="141"/>
      <c r="W2291" s="141"/>
      <c r="X2291" s="141"/>
      <c r="Y2291" s="141"/>
      <c r="Z2291" s="141"/>
    </row>
    <row r="2292">
      <c r="A2292" s="141"/>
      <c r="B2292" s="141"/>
      <c r="C2292" s="141"/>
      <c r="D2292" s="141"/>
      <c r="E2292" s="141"/>
      <c r="F2292" s="141"/>
      <c r="G2292" s="141"/>
      <c r="H2292" s="141"/>
      <c r="I2292" s="141"/>
      <c r="J2292" s="141"/>
      <c r="K2292" s="141"/>
      <c r="L2292" s="141"/>
      <c r="M2292" s="141"/>
      <c r="N2292" s="141"/>
      <c r="O2292" s="141"/>
      <c r="P2292" s="141"/>
      <c r="Q2292" s="141"/>
      <c r="R2292" s="141"/>
      <c r="S2292" s="141"/>
      <c r="T2292" s="141"/>
      <c r="U2292" s="141"/>
      <c r="V2292" s="141"/>
      <c r="W2292" s="141"/>
      <c r="X2292" s="141"/>
      <c r="Y2292" s="141"/>
      <c r="Z2292" s="141"/>
    </row>
    <row r="2293">
      <c r="A2293" s="141"/>
      <c r="B2293" s="141"/>
      <c r="C2293" s="141"/>
      <c r="D2293" s="141"/>
      <c r="E2293" s="141"/>
      <c r="F2293" s="141"/>
      <c r="G2293" s="141"/>
      <c r="H2293" s="141"/>
      <c r="I2293" s="141"/>
      <c r="J2293" s="141"/>
      <c r="K2293" s="141"/>
      <c r="L2293" s="141"/>
      <c r="M2293" s="141"/>
      <c r="N2293" s="141"/>
      <c r="O2293" s="141"/>
      <c r="P2293" s="141"/>
      <c r="Q2293" s="141"/>
      <c r="R2293" s="141"/>
      <c r="S2293" s="141"/>
      <c r="T2293" s="141"/>
      <c r="U2293" s="141"/>
      <c r="V2293" s="141"/>
      <c r="W2293" s="141"/>
      <c r="X2293" s="141"/>
      <c r="Y2293" s="141"/>
      <c r="Z2293" s="141"/>
    </row>
    <row r="2294">
      <c r="A2294" s="141"/>
      <c r="B2294" s="141"/>
      <c r="C2294" s="141"/>
      <c r="D2294" s="141"/>
      <c r="E2294" s="141"/>
      <c r="F2294" s="141"/>
      <c r="G2294" s="141"/>
      <c r="H2294" s="141"/>
      <c r="I2294" s="141"/>
      <c r="J2294" s="141"/>
      <c r="K2294" s="141"/>
      <c r="L2294" s="141"/>
      <c r="M2294" s="141"/>
      <c r="N2294" s="141"/>
      <c r="O2294" s="141"/>
      <c r="P2294" s="141"/>
      <c r="Q2294" s="141"/>
      <c r="R2294" s="141"/>
      <c r="S2294" s="141"/>
      <c r="T2294" s="141"/>
      <c r="U2294" s="141"/>
      <c r="V2294" s="141"/>
      <c r="W2294" s="141"/>
      <c r="X2294" s="141"/>
      <c r="Y2294" s="141"/>
      <c r="Z2294" s="141"/>
    </row>
    <row r="2295">
      <c r="A2295" s="141"/>
      <c r="B2295" s="141"/>
      <c r="C2295" s="141"/>
      <c r="D2295" s="141"/>
      <c r="E2295" s="141"/>
      <c r="F2295" s="141"/>
      <c r="G2295" s="141"/>
      <c r="H2295" s="141"/>
      <c r="I2295" s="141"/>
      <c r="J2295" s="141"/>
      <c r="K2295" s="141"/>
      <c r="L2295" s="141"/>
      <c r="M2295" s="141"/>
      <c r="N2295" s="141"/>
      <c r="O2295" s="141"/>
      <c r="P2295" s="141"/>
      <c r="Q2295" s="141"/>
      <c r="R2295" s="141"/>
      <c r="S2295" s="141"/>
      <c r="T2295" s="141"/>
      <c r="U2295" s="141"/>
      <c r="V2295" s="141"/>
      <c r="W2295" s="141"/>
      <c r="X2295" s="141"/>
      <c r="Y2295" s="141"/>
      <c r="Z2295" s="141"/>
    </row>
    <row r="2296">
      <c r="A2296" s="141"/>
      <c r="B2296" s="141"/>
      <c r="C2296" s="141"/>
      <c r="D2296" s="141"/>
      <c r="E2296" s="141"/>
      <c r="F2296" s="141"/>
      <c r="G2296" s="141"/>
      <c r="H2296" s="141"/>
      <c r="I2296" s="141"/>
      <c r="J2296" s="141"/>
      <c r="K2296" s="141"/>
      <c r="L2296" s="141"/>
      <c r="M2296" s="141"/>
      <c r="N2296" s="141"/>
      <c r="O2296" s="141"/>
      <c r="P2296" s="141"/>
      <c r="Q2296" s="141"/>
      <c r="R2296" s="141"/>
      <c r="S2296" s="141"/>
      <c r="T2296" s="141"/>
      <c r="U2296" s="141"/>
      <c r="V2296" s="141"/>
      <c r="W2296" s="141"/>
      <c r="X2296" s="141"/>
      <c r="Y2296" s="141"/>
      <c r="Z2296" s="141"/>
    </row>
    <row r="2297">
      <c r="A2297" s="141"/>
      <c r="B2297" s="141"/>
      <c r="C2297" s="141"/>
      <c r="D2297" s="141"/>
      <c r="E2297" s="141"/>
      <c r="F2297" s="141"/>
      <c r="G2297" s="141"/>
      <c r="H2297" s="141"/>
      <c r="I2297" s="141"/>
      <c r="J2297" s="141"/>
      <c r="K2297" s="141"/>
      <c r="L2297" s="141"/>
      <c r="M2297" s="141"/>
      <c r="N2297" s="141"/>
      <c r="O2297" s="141"/>
      <c r="P2297" s="141"/>
      <c r="Q2297" s="141"/>
      <c r="R2297" s="141"/>
      <c r="S2297" s="141"/>
      <c r="T2297" s="141"/>
      <c r="U2297" s="141"/>
      <c r="V2297" s="141"/>
      <c r="W2297" s="141"/>
      <c r="X2297" s="141"/>
      <c r="Y2297" s="141"/>
      <c r="Z2297" s="141"/>
    </row>
    <row r="2298">
      <c r="A2298" s="141"/>
      <c r="B2298" s="141"/>
      <c r="C2298" s="141"/>
      <c r="D2298" s="141"/>
      <c r="E2298" s="141"/>
      <c r="F2298" s="141"/>
      <c r="G2298" s="141"/>
      <c r="H2298" s="141"/>
      <c r="I2298" s="141"/>
      <c r="J2298" s="141"/>
      <c r="K2298" s="141"/>
      <c r="L2298" s="141"/>
      <c r="M2298" s="141"/>
      <c r="N2298" s="141"/>
      <c r="O2298" s="141"/>
      <c r="P2298" s="141"/>
      <c r="Q2298" s="141"/>
      <c r="R2298" s="141"/>
      <c r="S2298" s="141"/>
      <c r="T2298" s="141"/>
      <c r="U2298" s="141"/>
      <c r="V2298" s="141"/>
      <c r="W2298" s="141"/>
      <c r="X2298" s="141"/>
      <c r="Y2298" s="141"/>
      <c r="Z2298" s="141"/>
    </row>
    <row r="2299">
      <c r="A2299" s="141"/>
      <c r="B2299" s="141"/>
      <c r="C2299" s="141"/>
      <c r="D2299" s="141"/>
      <c r="E2299" s="141"/>
      <c r="F2299" s="141"/>
      <c r="G2299" s="141"/>
      <c r="H2299" s="141"/>
      <c r="I2299" s="141"/>
      <c r="J2299" s="141"/>
      <c r="K2299" s="141"/>
      <c r="L2299" s="141"/>
      <c r="M2299" s="141"/>
      <c r="N2299" s="141"/>
      <c r="O2299" s="141"/>
      <c r="P2299" s="141"/>
      <c r="Q2299" s="141"/>
      <c r="R2299" s="141"/>
      <c r="S2299" s="141"/>
      <c r="T2299" s="141"/>
      <c r="U2299" s="141"/>
      <c r="V2299" s="141"/>
      <c r="W2299" s="141"/>
      <c r="X2299" s="141"/>
      <c r="Y2299" s="141"/>
      <c r="Z2299" s="141"/>
    </row>
    <row r="2300">
      <c r="A2300" s="141"/>
      <c r="B2300" s="141"/>
      <c r="C2300" s="141"/>
      <c r="D2300" s="141"/>
      <c r="E2300" s="141"/>
      <c r="F2300" s="141"/>
      <c r="G2300" s="141"/>
      <c r="H2300" s="141"/>
      <c r="I2300" s="141"/>
      <c r="J2300" s="141"/>
      <c r="K2300" s="141"/>
      <c r="L2300" s="141"/>
      <c r="M2300" s="141"/>
      <c r="N2300" s="141"/>
      <c r="O2300" s="141"/>
      <c r="P2300" s="141"/>
      <c r="Q2300" s="141"/>
      <c r="R2300" s="141"/>
      <c r="S2300" s="141"/>
      <c r="T2300" s="141"/>
      <c r="U2300" s="141"/>
      <c r="V2300" s="141"/>
      <c r="W2300" s="141"/>
      <c r="X2300" s="141"/>
      <c r="Y2300" s="141"/>
      <c r="Z2300" s="141"/>
    </row>
    <row r="2301">
      <c r="A2301" s="141"/>
      <c r="B2301" s="141"/>
      <c r="C2301" s="141"/>
      <c r="D2301" s="141"/>
      <c r="E2301" s="141"/>
      <c r="F2301" s="141"/>
      <c r="G2301" s="141"/>
      <c r="H2301" s="141"/>
      <c r="I2301" s="141"/>
      <c r="J2301" s="141"/>
      <c r="K2301" s="141"/>
      <c r="L2301" s="141"/>
      <c r="M2301" s="141"/>
      <c r="N2301" s="141"/>
      <c r="O2301" s="141"/>
      <c r="P2301" s="141"/>
      <c r="Q2301" s="141"/>
      <c r="R2301" s="141"/>
      <c r="S2301" s="141"/>
      <c r="T2301" s="141"/>
      <c r="U2301" s="141"/>
      <c r="V2301" s="141"/>
      <c r="W2301" s="141"/>
      <c r="X2301" s="141"/>
      <c r="Y2301" s="141"/>
      <c r="Z2301" s="141"/>
    </row>
    <row r="2302">
      <c r="A2302" s="141"/>
      <c r="B2302" s="141"/>
      <c r="C2302" s="141"/>
      <c r="D2302" s="141"/>
      <c r="E2302" s="141"/>
      <c r="F2302" s="141"/>
      <c r="G2302" s="141"/>
      <c r="H2302" s="141"/>
      <c r="I2302" s="141"/>
      <c r="J2302" s="141"/>
      <c r="K2302" s="141"/>
      <c r="L2302" s="141"/>
      <c r="M2302" s="141"/>
      <c r="N2302" s="141"/>
      <c r="O2302" s="141"/>
      <c r="P2302" s="141"/>
      <c r="Q2302" s="141"/>
      <c r="R2302" s="141"/>
      <c r="S2302" s="141"/>
      <c r="T2302" s="141"/>
      <c r="U2302" s="141"/>
      <c r="V2302" s="141"/>
      <c r="W2302" s="141"/>
      <c r="X2302" s="141"/>
      <c r="Y2302" s="141"/>
      <c r="Z2302" s="141"/>
    </row>
    <row r="2303">
      <c r="A2303" s="141"/>
      <c r="B2303" s="141"/>
      <c r="C2303" s="141"/>
      <c r="D2303" s="141"/>
      <c r="E2303" s="141"/>
      <c r="F2303" s="141"/>
      <c r="G2303" s="141"/>
      <c r="H2303" s="141"/>
      <c r="I2303" s="141"/>
      <c r="J2303" s="141"/>
      <c r="K2303" s="141"/>
      <c r="L2303" s="141"/>
      <c r="M2303" s="141"/>
      <c r="N2303" s="141"/>
      <c r="O2303" s="141"/>
      <c r="P2303" s="141"/>
      <c r="Q2303" s="141"/>
      <c r="R2303" s="141"/>
      <c r="S2303" s="141"/>
      <c r="T2303" s="141"/>
      <c r="U2303" s="141"/>
      <c r="V2303" s="141"/>
      <c r="W2303" s="141"/>
      <c r="X2303" s="141"/>
      <c r="Y2303" s="141"/>
      <c r="Z2303" s="141"/>
    </row>
    <row r="2304">
      <c r="A2304" s="141"/>
      <c r="B2304" s="141"/>
      <c r="C2304" s="141"/>
      <c r="D2304" s="141"/>
      <c r="E2304" s="141"/>
      <c r="F2304" s="141"/>
      <c r="G2304" s="141"/>
      <c r="H2304" s="141"/>
      <c r="I2304" s="141"/>
      <c r="J2304" s="141"/>
      <c r="K2304" s="141"/>
      <c r="L2304" s="141"/>
      <c r="M2304" s="141"/>
      <c r="N2304" s="141"/>
      <c r="O2304" s="141"/>
      <c r="P2304" s="141"/>
      <c r="Q2304" s="141"/>
      <c r="R2304" s="141"/>
      <c r="S2304" s="141"/>
      <c r="T2304" s="141"/>
      <c r="U2304" s="141"/>
      <c r="V2304" s="141"/>
      <c r="W2304" s="141"/>
      <c r="X2304" s="141"/>
      <c r="Y2304" s="141"/>
      <c r="Z2304" s="141"/>
    </row>
    <row r="2305">
      <c r="A2305" s="141"/>
      <c r="B2305" s="141"/>
      <c r="C2305" s="141"/>
      <c r="D2305" s="141"/>
      <c r="E2305" s="141"/>
      <c r="F2305" s="141"/>
      <c r="G2305" s="141"/>
      <c r="H2305" s="141"/>
      <c r="I2305" s="141"/>
      <c r="J2305" s="141"/>
      <c r="K2305" s="141"/>
      <c r="L2305" s="141"/>
      <c r="M2305" s="141"/>
      <c r="N2305" s="141"/>
      <c r="O2305" s="141"/>
      <c r="P2305" s="141"/>
      <c r="Q2305" s="141"/>
      <c r="R2305" s="141"/>
      <c r="S2305" s="141"/>
      <c r="T2305" s="141"/>
      <c r="U2305" s="141"/>
      <c r="V2305" s="141"/>
      <c r="W2305" s="141"/>
      <c r="X2305" s="141"/>
      <c r="Y2305" s="141"/>
      <c r="Z2305" s="141"/>
    </row>
    <row r="2306">
      <c r="A2306" s="141"/>
      <c r="B2306" s="141"/>
      <c r="C2306" s="141"/>
      <c r="D2306" s="141"/>
      <c r="E2306" s="141"/>
      <c r="F2306" s="141"/>
      <c r="G2306" s="141"/>
      <c r="H2306" s="141"/>
      <c r="I2306" s="141"/>
      <c r="J2306" s="141"/>
      <c r="K2306" s="141"/>
      <c r="L2306" s="141"/>
      <c r="M2306" s="141"/>
      <c r="N2306" s="141"/>
      <c r="O2306" s="141"/>
      <c r="P2306" s="141"/>
      <c r="Q2306" s="141"/>
      <c r="R2306" s="141"/>
      <c r="S2306" s="141"/>
      <c r="T2306" s="141"/>
      <c r="U2306" s="141"/>
      <c r="V2306" s="141"/>
      <c r="W2306" s="141"/>
      <c r="X2306" s="141"/>
      <c r="Y2306" s="141"/>
      <c r="Z2306" s="141"/>
    </row>
    <row r="2307">
      <c r="A2307" s="141"/>
      <c r="B2307" s="141"/>
      <c r="C2307" s="141"/>
      <c r="D2307" s="141"/>
      <c r="E2307" s="141"/>
      <c r="F2307" s="141"/>
      <c r="G2307" s="141"/>
      <c r="H2307" s="141"/>
      <c r="I2307" s="141"/>
      <c r="J2307" s="141"/>
      <c r="K2307" s="141"/>
      <c r="L2307" s="141"/>
      <c r="M2307" s="141"/>
      <c r="N2307" s="141"/>
      <c r="O2307" s="141"/>
      <c r="P2307" s="141"/>
      <c r="Q2307" s="141"/>
      <c r="R2307" s="141"/>
      <c r="S2307" s="141"/>
      <c r="T2307" s="141"/>
      <c r="U2307" s="141"/>
      <c r="V2307" s="141"/>
      <c r="W2307" s="141"/>
      <c r="X2307" s="141"/>
      <c r="Y2307" s="141"/>
      <c r="Z2307" s="141"/>
    </row>
    <row r="2308">
      <c r="A2308" s="141"/>
      <c r="B2308" s="141"/>
      <c r="C2308" s="141"/>
      <c r="D2308" s="141"/>
      <c r="E2308" s="141"/>
      <c r="F2308" s="141"/>
      <c r="G2308" s="141"/>
      <c r="H2308" s="141"/>
      <c r="I2308" s="141"/>
      <c r="J2308" s="141"/>
      <c r="K2308" s="141"/>
      <c r="L2308" s="141"/>
      <c r="M2308" s="141"/>
      <c r="N2308" s="141"/>
      <c r="O2308" s="141"/>
      <c r="P2308" s="141"/>
      <c r="Q2308" s="141"/>
      <c r="R2308" s="141"/>
      <c r="S2308" s="141"/>
      <c r="T2308" s="141"/>
      <c r="U2308" s="141"/>
      <c r="V2308" s="141"/>
      <c r="W2308" s="141"/>
      <c r="X2308" s="141"/>
      <c r="Y2308" s="141"/>
      <c r="Z2308" s="141"/>
    </row>
    <row r="2309">
      <c r="A2309" s="141"/>
      <c r="B2309" s="141"/>
      <c r="C2309" s="141"/>
      <c r="D2309" s="141"/>
      <c r="E2309" s="141"/>
      <c r="F2309" s="141"/>
      <c r="G2309" s="141"/>
      <c r="H2309" s="141"/>
      <c r="I2309" s="141"/>
      <c r="J2309" s="141"/>
      <c r="K2309" s="141"/>
      <c r="L2309" s="141"/>
      <c r="M2309" s="141"/>
      <c r="N2309" s="141"/>
      <c r="O2309" s="141"/>
      <c r="P2309" s="141"/>
      <c r="Q2309" s="141"/>
      <c r="R2309" s="141"/>
      <c r="S2309" s="141"/>
      <c r="T2309" s="141"/>
      <c r="U2309" s="141"/>
      <c r="V2309" s="141"/>
      <c r="W2309" s="141"/>
      <c r="X2309" s="141"/>
      <c r="Y2309" s="141"/>
      <c r="Z2309" s="141"/>
    </row>
    <row r="2310">
      <c r="A2310" s="141"/>
      <c r="B2310" s="141"/>
      <c r="C2310" s="141"/>
      <c r="D2310" s="141"/>
      <c r="E2310" s="141"/>
      <c r="F2310" s="141"/>
      <c r="G2310" s="141"/>
      <c r="H2310" s="141"/>
      <c r="I2310" s="141"/>
      <c r="J2310" s="141"/>
      <c r="K2310" s="141"/>
      <c r="L2310" s="141"/>
      <c r="M2310" s="141"/>
      <c r="N2310" s="141"/>
      <c r="O2310" s="141"/>
      <c r="P2310" s="141"/>
      <c r="Q2310" s="141"/>
      <c r="R2310" s="141"/>
      <c r="S2310" s="141"/>
      <c r="T2310" s="141"/>
      <c r="U2310" s="141"/>
      <c r="V2310" s="141"/>
      <c r="W2310" s="141"/>
      <c r="X2310" s="141"/>
      <c r="Y2310" s="141"/>
      <c r="Z2310" s="141"/>
    </row>
    <row r="2311">
      <c r="A2311" s="141"/>
      <c r="B2311" s="141"/>
      <c r="C2311" s="141"/>
      <c r="D2311" s="141"/>
      <c r="E2311" s="141"/>
      <c r="F2311" s="141"/>
      <c r="G2311" s="141"/>
      <c r="H2311" s="141"/>
      <c r="I2311" s="141"/>
      <c r="J2311" s="141"/>
      <c r="K2311" s="141"/>
      <c r="L2311" s="141"/>
      <c r="M2311" s="141"/>
      <c r="N2311" s="141"/>
      <c r="O2311" s="141"/>
      <c r="P2311" s="141"/>
      <c r="Q2311" s="141"/>
      <c r="R2311" s="141"/>
      <c r="S2311" s="141"/>
      <c r="T2311" s="141"/>
      <c r="U2311" s="141"/>
      <c r="V2311" s="141"/>
      <c r="W2311" s="141"/>
      <c r="X2311" s="141"/>
      <c r="Y2311" s="141"/>
      <c r="Z2311" s="141"/>
    </row>
    <row r="2312">
      <c r="A2312" s="141"/>
      <c r="B2312" s="141"/>
      <c r="C2312" s="141"/>
      <c r="D2312" s="141"/>
      <c r="E2312" s="141"/>
      <c r="F2312" s="141"/>
      <c r="G2312" s="141"/>
      <c r="H2312" s="141"/>
      <c r="I2312" s="141"/>
      <c r="J2312" s="141"/>
      <c r="K2312" s="141"/>
      <c r="L2312" s="141"/>
      <c r="M2312" s="141"/>
      <c r="N2312" s="141"/>
      <c r="O2312" s="141"/>
      <c r="P2312" s="141"/>
      <c r="Q2312" s="141"/>
      <c r="R2312" s="141"/>
      <c r="S2312" s="141"/>
      <c r="T2312" s="141"/>
      <c r="U2312" s="141"/>
      <c r="V2312" s="141"/>
      <c r="W2312" s="141"/>
      <c r="X2312" s="141"/>
      <c r="Y2312" s="141"/>
      <c r="Z2312" s="141"/>
    </row>
    <row r="2313">
      <c r="A2313" s="141"/>
      <c r="B2313" s="141"/>
      <c r="C2313" s="141"/>
      <c r="D2313" s="141"/>
      <c r="E2313" s="141"/>
      <c r="F2313" s="141"/>
      <c r="G2313" s="141"/>
      <c r="H2313" s="141"/>
      <c r="I2313" s="141"/>
      <c r="J2313" s="141"/>
      <c r="K2313" s="141"/>
      <c r="L2313" s="141"/>
      <c r="M2313" s="141"/>
      <c r="N2313" s="141"/>
      <c r="O2313" s="141"/>
      <c r="P2313" s="141"/>
      <c r="Q2313" s="141"/>
      <c r="R2313" s="141"/>
      <c r="S2313" s="141"/>
      <c r="T2313" s="141"/>
      <c r="U2313" s="141"/>
      <c r="V2313" s="141"/>
      <c r="W2313" s="141"/>
      <c r="X2313" s="141"/>
      <c r="Y2313" s="141"/>
      <c r="Z2313" s="141"/>
    </row>
    <row r="2314">
      <c r="A2314" s="141"/>
      <c r="B2314" s="141"/>
      <c r="C2314" s="141"/>
      <c r="D2314" s="141"/>
      <c r="E2314" s="141"/>
      <c r="F2314" s="141"/>
      <c r="G2314" s="141"/>
      <c r="H2314" s="141"/>
      <c r="I2314" s="141"/>
      <c r="J2314" s="141"/>
      <c r="K2314" s="141"/>
      <c r="L2314" s="141"/>
      <c r="M2314" s="141"/>
      <c r="N2314" s="141"/>
      <c r="O2314" s="141"/>
      <c r="P2314" s="141"/>
      <c r="Q2314" s="141"/>
      <c r="R2314" s="141"/>
      <c r="S2314" s="141"/>
      <c r="T2314" s="141"/>
      <c r="U2314" s="141"/>
      <c r="V2314" s="141"/>
      <c r="W2314" s="141"/>
      <c r="X2314" s="141"/>
      <c r="Y2314" s="141"/>
      <c r="Z2314" s="141"/>
    </row>
    <row r="2315">
      <c r="A2315" s="141"/>
      <c r="B2315" s="141"/>
      <c r="C2315" s="141"/>
      <c r="D2315" s="141"/>
      <c r="E2315" s="141"/>
      <c r="F2315" s="141"/>
      <c r="G2315" s="141"/>
      <c r="H2315" s="141"/>
      <c r="I2315" s="141"/>
      <c r="J2315" s="141"/>
      <c r="K2315" s="141"/>
      <c r="L2315" s="141"/>
      <c r="M2315" s="141"/>
      <c r="N2315" s="141"/>
      <c r="O2315" s="141"/>
      <c r="P2315" s="141"/>
      <c r="Q2315" s="141"/>
      <c r="R2315" s="141"/>
      <c r="S2315" s="141"/>
      <c r="T2315" s="141"/>
      <c r="U2315" s="141"/>
      <c r="V2315" s="141"/>
      <c r="W2315" s="141"/>
      <c r="X2315" s="141"/>
      <c r="Y2315" s="141"/>
      <c r="Z2315" s="141"/>
    </row>
    <row r="2316">
      <c r="A2316" s="141"/>
      <c r="B2316" s="141"/>
      <c r="C2316" s="141"/>
      <c r="D2316" s="141"/>
      <c r="E2316" s="141"/>
      <c r="F2316" s="141"/>
      <c r="G2316" s="141"/>
      <c r="H2316" s="141"/>
      <c r="I2316" s="141"/>
      <c r="J2316" s="141"/>
      <c r="K2316" s="141"/>
      <c r="L2316" s="141"/>
      <c r="M2316" s="141"/>
      <c r="N2316" s="141"/>
      <c r="O2316" s="141"/>
      <c r="P2316" s="141"/>
      <c r="Q2316" s="141"/>
      <c r="R2316" s="141"/>
      <c r="S2316" s="141"/>
      <c r="T2316" s="141"/>
      <c r="U2316" s="141"/>
      <c r="V2316" s="141"/>
      <c r="W2316" s="141"/>
      <c r="X2316" s="141"/>
      <c r="Y2316" s="141"/>
      <c r="Z2316" s="141"/>
    </row>
    <row r="2317">
      <c r="A2317" s="141"/>
      <c r="B2317" s="141"/>
      <c r="C2317" s="141"/>
      <c r="D2317" s="141"/>
      <c r="E2317" s="141"/>
      <c r="F2317" s="141"/>
      <c r="G2317" s="141"/>
      <c r="H2317" s="141"/>
      <c r="I2317" s="141"/>
      <c r="J2317" s="141"/>
      <c r="K2317" s="141"/>
      <c r="L2317" s="141"/>
      <c r="M2317" s="141"/>
      <c r="N2317" s="141"/>
      <c r="O2317" s="141"/>
      <c r="P2317" s="141"/>
      <c r="Q2317" s="141"/>
      <c r="R2317" s="141"/>
      <c r="S2317" s="141"/>
      <c r="T2317" s="141"/>
      <c r="U2317" s="141"/>
      <c r="V2317" s="141"/>
      <c r="W2317" s="141"/>
      <c r="X2317" s="141"/>
      <c r="Y2317" s="141"/>
      <c r="Z2317" s="141"/>
    </row>
    <row r="2318">
      <c r="A2318" s="141"/>
      <c r="B2318" s="141"/>
      <c r="C2318" s="141"/>
      <c r="D2318" s="141"/>
      <c r="E2318" s="141"/>
      <c r="F2318" s="141"/>
      <c r="G2318" s="141"/>
      <c r="H2318" s="141"/>
      <c r="I2318" s="141"/>
      <c r="J2318" s="141"/>
      <c r="K2318" s="141"/>
      <c r="L2318" s="141"/>
      <c r="M2318" s="141"/>
      <c r="N2318" s="141"/>
      <c r="O2318" s="141"/>
      <c r="P2318" s="141"/>
      <c r="Q2318" s="141"/>
      <c r="R2318" s="141"/>
      <c r="S2318" s="141"/>
      <c r="T2318" s="141"/>
      <c r="U2318" s="141"/>
      <c r="V2318" s="141"/>
      <c r="W2318" s="141"/>
      <c r="X2318" s="141"/>
      <c r="Y2318" s="141"/>
      <c r="Z2318" s="141"/>
    </row>
    <row r="2319">
      <c r="A2319" s="141"/>
      <c r="B2319" s="141"/>
      <c r="C2319" s="141"/>
      <c r="D2319" s="141"/>
      <c r="E2319" s="141"/>
      <c r="F2319" s="141"/>
      <c r="G2319" s="141"/>
      <c r="H2319" s="141"/>
      <c r="I2319" s="141"/>
      <c r="J2319" s="141"/>
      <c r="K2319" s="141"/>
      <c r="L2319" s="141"/>
      <c r="M2319" s="141"/>
      <c r="N2319" s="141"/>
      <c r="O2319" s="141"/>
      <c r="P2319" s="141"/>
      <c r="Q2319" s="141"/>
      <c r="R2319" s="141"/>
      <c r="S2319" s="141"/>
      <c r="T2319" s="141"/>
      <c r="U2319" s="141"/>
      <c r="V2319" s="141"/>
      <c r="W2319" s="141"/>
      <c r="X2319" s="141"/>
      <c r="Y2319" s="141"/>
      <c r="Z2319" s="141"/>
    </row>
    <row r="2320">
      <c r="A2320" s="141"/>
      <c r="B2320" s="141"/>
      <c r="C2320" s="141"/>
      <c r="D2320" s="141"/>
      <c r="E2320" s="141"/>
      <c r="F2320" s="141"/>
      <c r="G2320" s="141"/>
      <c r="H2320" s="141"/>
      <c r="I2320" s="141"/>
      <c r="J2320" s="141"/>
      <c r="K2320" s="141"/>
      <c r="L2320" s="141"/>
      <c r="M2320" s="141"/>
      <c r="N2320" s="141"/>
      <c r="O2320" s="141"/>
      <c r="P2320" s="141"/>
      <c r="Q2320" s="141"/>
      <c r="R2320" s="141"/>
      <c r="S2320" s="141"/>
      <c r="T2320" s="141"/>
      <c r="U2320" s="141"/>
      <c r="V2320" s="141"/>
      <c r="W2320" s="141"/>
      <c r="X2320" s="141"/>
      <c r="Y2320" s="141"/>
      <c r="Z2320" s="141"/>
    </row>
    <row r="2321">
      <c r="A2321" s="141"/>
      <c r="B2321" s="141"/>
      <c r="C2321" s="141"/>
      <c r="D2321" s="141"/>
      <c r="E2321" s="141"/>
      <c r="F2321" s="141"/>
      <c r="G2321" s="141"/>
      <c r="H2321" s="141"/>
      <c r="I2321" s="141"/>
      <c r="J2321" s="141"/>
      <c r="K2321" s="141"/>
      <c r="L2321" s="141"/>
      <c r="M2321" s="141"/>
      <c r="N2321" s="141"/>
      <c r="O2321" s="141"/>
      <c r="P2321" s="141"/>
      <c r="Q2321" s="141"/>
      <c r="R2321" s="141"/>
      <c r="S2321" s="141"/>
      <c r="T2321" s="141"/>
      <c r="U2321" s="141"/>
      <c r="V2321" s="141"/>
      <c r="W2321" s="141"/>
      <c r="X2321" s="141"/>
      <c r="Y2321" s="141"/>
      <c r="Z2321" s="141"/>
    </row>
    <row r="2322">
      <c r="A2322" s="141"/>
      <c r="B2322" s="141"/>
      <c r="C2322" s="141"/>
      <c r="D2322" s="141"/>
      <c r="E2322" s="141"/>
      <c r="F2322" s="141"/>
      <c r="G2322" s="141"/>
      <c r="H2322" s="141"/>
      <c r="I2322" s="141"/>
      <c r="J2322" s="141"/>
      <c r="K2322" s="141"/>
      <c r="L2322" s="141"/>
      <c r="M2322" s="141"/>
      <c r="N2322" s="141"/>
      <c r="O2322" s="141"/>
      <c r="P2322" s="141"/>
      <c r="Q2322" s="141"/>
      <c r="R2322" s="141"/>
      <c r="S2322" s="141"/>
      <c r="T2322" s="141"/>
      <c r="U2322" s="141"/>
      <c r="V2322" s="141"/>
      <c r="W2322" s="141"/>
      <c r="X2322" s="141"/>
      <c r="Y2322" s="141"/>
      <c r="Z2322" s="141"/>
    </row>
    <row r="2323">
      <c r="A2323" s="141"/>
      <c r="B2323" s="141"/>
      <c r="C2323" s="141"/>
      <c r="D2323" s="141"/>
      <c r="E2323" s="141"/>
      <c r="F2323" s="141"/>
      <c r="G2323" s="141"/>
      <c r="H2323" s="141"/>
      <c r="I2323" s="141"/>
      <c r="J2323" s="141"/>
      <c r="K2323" s="141"/>
      <c r="L2323" s="141"/>
      <c r="M2323" s="141"/>
      <c r="N2323" s="141"/>
      <c r="O2323" s="141"/>
      <c r="P2323" s="141"/>
      <c r="Q2323" s="141"/>
      <c r="R2323" s="141"/>
      <c r="S2323" s="141"/>
      <c r="T2323" s="141"/>
      <c r="U2323" s="141"/>
      <c r="V2323" s="141"/>
      <c r="W2323" s="141"/>
      <c r="X2323" s="141"/>
      <c r="Y2323" s="141"/>
      <c r="Z2323" s="141"/>
    </row>
    <row r="2324">
      <c r="A2324" s="141"/>
      <c r="B2324" s="141"/>
      <c r="C2324" s="141"/>
      <c r="D2324" s="141"/>
      <c r="E2324" s="141"/>
      <c r="F2324" s="141"/>
      <c r="G2324" s="141"/>
      <c r="H2324" s="141"/>
      <c r="I2324" s="141"/>
      <c r="J2324" s="141"/>
      <c r="K2324" s="141"/>
      <c r="L2324" s="141"/>
      <c r="M2324" s="141"/>
      <c r="N2324" s="141"/>
      <c r="O2324" s="141"/>
      <c r="P2324" s="141"/>
      <c r="Q2324" s="141"/>
      <c r="R2324" s="141"/>
      <c r="S2324" s="141"/>
      <c r="T2324" s="141"/>
      <c r="U2324" s="141"/>
      <c r="V2324" s="141"/>
      <c r="W2324" s="141"/>
      <c r="X2324" s="141"/>
      <c r="Y2324" s="141"/>
      <c r="Z2324" s="141"/>
    </row>
    <row r="2325">
      <c r="A2325" s="141"/>
      <c r="B2325" s="141"/>
      <c r="C2325" s="141"/>
      <c r="D2325" s="141"/>
      <c r="E2325" s="141"/>
      <c r="F2325" s="141"/>
      <c r="G2325" s="141"/>
      <c r="H2325" s="141"/>
      <c r="I2325" s="141"/>
      <c r="J2325" s="141"/>
      <c r="K2325" s="141"/>
      <c r="L2325" s="141"/>
      <c r="M2325" s="141"/>
      <c r="N2325" s="141"/>
      <c r="O2325" s="141"/>
      <c r="P2325" s="141"/>
      <c r="Q2325" s="141"/>
      <c r="R2325" s="141"/>
      <c r="S2325" s="141"/>
      <c r="T2325" s="141"/>
      <c r="U2325" s="141"/>
      <c r="V2325" s="141"/>
      <c r="W2325" s="141"/>
      <c r="X2325" s="141"/>
      <c r="Y2325" s="141"/>
      <c r="Z2325" s="141"/>
    </row>
    <row r="2326">
      <c r="A2326" s="141"/>
      <c r="B2326" s="141"/>
      <c r="C2326" s="141"/>
      <c r="D2326" s="141"/>
      <c r="E2326" s="141"/>
      <c r="F2326" s="141"/>
      <c r="G2326" s="141"/>
      <c r="H2326" s="141"/>
      <c r="I2326" s="141"/>
      <c r="J2326" s="141"/>
      <c r="K2326" s="141"/>
      <c r="L2326" s="141"/>
      <c r="M2326" s="141"/>
      <c r="N2326" s="141"/>
      <c r="O2326" s="141"/>
      <c r="P2326" s="141"/>
      <c r="Q2326" s="141"/>
      <c r="R2326" s="141"/>
      <c r="S2326" s="141"/>
      <c r="T2326" s="141"/>
      <c r="U2326" s="141"/>
      <c r="V2326" s="141"/>
      <c r="W2326" s="141"/>
      <c r="X2326" s="141"/>
      <c r="Y2326" s="141"/>
      <c r="Z2326" s="141"/>
    </row>
    <row r="2327">
      <c r="A2327" s="141"/>
      <c r="B2327" s="141"/>
      <c r="C2327" s="141"/>
      <c r="D2327" s="141"/>
      <c r="E2327" s="141"/>
      <c r="F2327" s="141"/>
      <c r="G2327" s="141"/>
      <c r="H2327" s="141"/>
      <c r="I2327" s="141"/>
      <c r="J2327" s="141"/>
      <c r="K2327" s="141"/>
      <c r="L2327" s="141"/>
      <c r="M2327" s="141"/>
      <c r="N2327" s="141"/>
      <c r="O2327" s="141"/>
      <c r="P2327" s="141"/>
      <c r="Q2327" s="141"/>
      <c r="R2327" s="141"/>
      <c r="S2327" s="141"/>
      <c r="T2327" s="141"/>
      <c r="U2327" s="141"/>
      <c r="V2327" s="141"/>
      <c r="W2327" s="141"/>
      <c r="X2327" s="141"/>
      <c r="Y2327" s="141"/>
      <c r="Z2327" s="141"/>
    </row>
    <row r="2328">
      <c r="A2328" s="141"/>
      <c r="B2328" s="141"/>
      <c r="C2328" s="141"/>
      <c r="D2328" s="141"/>
      <c r="E2328" s="141"/>
      <c r="F2328" s="141"/>
      <c r="G2328" s="141"/>
      <c r="H2328" s="141"/>
      <c r="I2328" s="141"/>
      <c r="J2328" s="141"/>
      <c r="K2328" s="141"/>
      <c r="L2328" s="141"/>
      <c r="M2328" s="141"/>
      <c r="N2328" s="141"/>
      <c r="O2328" s="141"/>
      <c r="P2328" s="141"/>
      <c r="Q2328" s="141"/>
      <c r="R2328" s="141"/>
      <c r="S2328" s="141"/>
      <c r="T2328" s="141"/>
      <c r="U2328" s="141"/>
      <c r="V2328" s="141"/>
      <c r="W2328" s="141"/>
      <c r="X2328" s="141"/>
      <c r="Y2328" s="141"/>
      <c r="Z2328" s="141"/>
    </row>
    <row r="2329">
      <c r="A2329" s="141"/>
      <c r="B2329" s="141"/>
      <c r="C2329" s="141"/>
      <c r="D2329" s="141"/>
      <c r="E2329" s="141"/>
      <c r="F2329" s="141"/>
      <c r="G2329" s="141"/>
      <c r="H2329" s="141"/>
      <c r="I2329" s="141"/>
      <c r="J2329" s="141"/>
      <c r="K2329" s="141"/>
      <c r="L2329" s="141"/>
      <c r="M2329" s="141"/>
      <c r="N2329" s="141"/>
      <c r="O2329" s="141"/>
      <c r="P2329" s="141"/>
      <c r="Q2329" s="141"/>
      <c r="R2329" s="141"/>
      <c r="S2329" s="141"/>
      <c r="T2329" s="141"/>
      <c r="U2329" s="141"/>
      <c r="V2329" s="141"/>
      <c r="W2329" s="141"/>
      <c r="X2329" s="141"/>
      <c r="Y2329" s="141"/>
      <c r="Z2329" s="141"/>
    </row>
    <row r="2330">
      <c r="A2330" s="141"/>
      <c r="B2330" s="141"/>
      <c r="C2330" s="141"/>
      <c r="D2330" s="141"/>
      <c r="E2330" s="141"/>
      <c r="F2330" s="141"/>
      <c r="G2330" s="141"/>
      <c r="H2330" s="141"/>
      <c r="I2330" s="141"/>
      <c r="J2330" s="141"/>
      <c r="K2330" s="141"/>
      <c r="L2330" s="141"/>
      <c r="M2330" s="141"/>
      <c r="N2330" s="141"/>
      <c r="O2330" s="141"/>
      <c r="P2330" s="141"/>
      <c r="Q2330" s="141"/>
      <c r="R2330" s="141"/>
      <c r="S2330" s="141"/>
      <c r="T2330" s="141"/>
      <c r="U2330" s="141"/>
      <c r="V2330" s="141"/>
      <c r="W2330" s="141"/>
      <c r="X2330" s="141"/>
      <c r="Y2330" s="141"/>
      <c r="Z2330" s="141"/>
    </row>
    <row r="2331">
      <c r="A2331" s="141"/>
      <c r="B2331" s="141"/>
      <c r="C2331" s="141"/>
      <c r="D2331" s="141"/>
      <c r="E2331" s="141"/>
      <c r="F2331" s="141"/>
      <c r="G2331" s="141"/>
      <c r="H2331" s="141"/>
      <c r="I2331" s="141"/>
      <c r="J2331" s="141"/>
      <c r="K2331" s="141"/>
      <c r="L2331" s="141"/>
      <c r="M2331" s="141"/>
      <c r="N2331" s="141"/>
      <c r="O2331" s="141"/>
      <c r="P2331" s="141"/>
      <c r="Q2331" s="141"/>
      <c r="R2331" s="141"/>
      <c r="S2331" s="141"/>
      <c r="T2331" s="141"/>
      <c r="U2331" s="141"/>
      <c r="V2331" s="141"/>
      <c r="W2331" s="141"/>
      <c r="X2331" s="141"/>
      <c r="Y2331" s="141"/>
      <c r="Z2331" s="141"/>
    </row>
    <row r="2332">
      <c r="A2332" s="141"/>
      <c r="B2332" s="141"/>
      <c r="C2332" s="141"/>
      <c r="D2332" s="141"/>
      <c r="E2332" s="141"/>
      <c r="F2332" s="141"/>
      <c r="G2332" s="141"/>
      <c r="H2332" s="141"/>
      <c r="I2332" s="141"/>
      <c r="J2332" s="141"/>
      <c r="K2332" s="141"/>
      <c r="L2332" s="141"/>
      <c r="M2332" s="141"/>
      <c r="N2332" s="141"/>
      <c r="O2332" s="141"/>
      <c r="P2332" s="141"/>
      <c r="Q2332" s="141"/>
      <c r="R2332" s="141"/>
      <c r="S2332" s="141"/>
      <c r="T2332" s="141"/>
      <c r="U2332" s="141"/>
      <c r="V2332" s="141"/>
      <c r="W2332" s="141"/>
      <c r="X2332" s="141"/>
      <c r="Y2332" s="141"/>
      <c r="Z2332" s="141"/>
    </row>
    <row r="2333">
      <c r="A2333" s="141"/>
      <c r="B2333" s="141"/>
      <c r="C2333" s="141"/>
      <c r="D2333" s="141"/>
      <c r="E2333" s="141"/>
      <c r="F2333" s="141"/>
      <c r="G2333" s="141"/>
      <c r="H2333" s="141"/>
      <c r="I2333" s="141"/>
      <c r="J2333" s="141"/>
      <c r="K2333" s="141"/>
      <c r="L2333" s="141"/>
      <c r="M2333" s="141"/>
      <c r="N2333" s="141"/>
      <c r="O2333" s="141"/>
      <c r="P2333" s="141"/>
      <c r="Q2333" s="141"/>
      <c r="R2333" s="141"/>
      <c r="S2333" s="141"/>
      <c r="T2333" s="141"/>
      <c r="U2333" s="141"/>
      <c r="V2333" s="141"/>
      <c r="W2333" s="141"/>
      <c r="X2333" s="141"/>
      <c r="Y2333" s="141"/>
      <c r="Z2333" s="141"/>
    </row>
    <row r="2334">
      <c r="A2334" s="141"/>
      <c r="B2334" s="141"/>
      <c r="C2334" s="141"/>
      <c r="D2334" s="141"/>
      <c r="E2334" s="141"/>
      <c r="F2334" s="141"/>
      <c r="G2334" s="141"/>
      <c r="H2334" s="141"/>
      <c r="I2334" s="141"/>
      <c r="J2334" s="141"/>
      <c r="K2334" s="141"/>
      <c r="L2334" s="141"/>
      <c r="M2334" s="141"/>
      <c r="N2334" s="141"/>
      <c r="O2334" s="141"/>
      <c r="P2334" s="141"/>
      <c r="Q2334" s="141"/>
      <c r="R2334" s="141"/>
      <c r="S2334" s="141"/>
      <c r="T2334" s="141"/>
      <c r="U2334" s="141"/>
      <c r="V2334" s="141"/>
      <c r="W2334" s="141"/>
      <c r="X2334" s="141"/>
      <c r="Y2334" s="141"/>
      <c r="Z2334" s="141"/>
    </row>
    <row r="2335">
      <c r="A2335" s="141"/>
      <c r="B2335" s="141"/>
      <c r="C2335" s="141"/>
      <c r="D2335" s="141"/>
      <c r="E2335" s="141"/>
      <c r="F2335" s="141"/>
      <c r="G2335" s="141"/>
      <c r="H2335" s="141"/>
      <c r="I2335" s="141"/>
      <c r="J2335" s="141"/>
      <c r="K2335" s="141"/>
      <c r="L2335" s="141"/>
      <c r="M2335" s="141"/>
      <c r="N2335" s="141"/>
      <c r="O2335" s="141"/>
      <c r="P2335" s="141"/>
      <c r="Q2335" s="141"/>
      <c r="R2335" s="141"/>
      <c r="S2335" s="141"/>
      <c r="T2335" s="141"/>
      <c r="U2335" s="141"/>
      <c r="V2335" s="141"/>
      <c r="W2335" s="141"/>
      <c r="X2335" s="141"/>
      <c r="Y2335" s="141"/>
      <c r="Z2335" s="141"/>
    </row>
    <row r="2336">
      <c r="A2336" s="141"/>
      <c r="B2336" s="141"/>
      <c r="C2336" s="141"/>
      <c r="D2336" s="141"/>
      <c r="E2336" s="141"/>
      <c r="F2336" s="141"/>
      <c r="G2336" s="141"/>
      <c r="H2336" s="141"/>
      <c r="I2336" s="141"/>
      <c r="J2336" s="141"/>
      <c r="K2336" s="141"/>
      <c r="L2336" s="141"/>
      <c r="M2336" s="141"/>
      <c r="N2336" s="141"/>
      <c r="O2336" s="141"/>
      <c r="P2336" s="141"/>
      <c r="Q2336" s="141"/>
      <c r="R2336" s="141"/>
      <c r="S2336" s="141"/>
      <c r="T2336" s="141"/>
      <c r="U2336" s="141"/>
      <c r="V2336" s="141"/>
      <c r="W2336" s="141"/>
      <c r="X2336" s="141"/>
      <c r="Y2336" s="141"/>
      <c r="Z2336" s="141"/>
    </row>
    <row r="2337">
      <c r="A2337" s="141"/>
      <c r="B2337" s="141"/>
      <c r="C2337" s="141"/>
      <c r="D2337" s="141"/>
      <c r="E2337" s="141"/>
      <c r="F2337" s="141"/>
      <c r="G2337" s="141"/>
      <c r="H2337" s="141"/>
      <c r="I2337" s="141"/>
      <c r="J2337" s="141"/>
      <c r="K2337" s="141"/>
      <c r="L2337" s="141"/>
      <c r="M2337" s="141"/>
      <c r="N2337" s="141"/>
      <c r="O2337" s="141"/>
      <c r="P2337" s="141"/>
      <c r="Q2337" s="141"/>
      <c r="R2337" s="141"/>
      <c r="S2337" s="141"/>
      <c r="T2337" s="141"/>
      <c r="U2337" s="141"/>
      <c r="V2337" s="141"/>
      <c r="W2337" s="141"/>
      <c r="X2337" s="141"/>
      <c r="Y2337" s="141"/>
      <c r="Z2337" s="141"/>
    </row>
    <row r="2338">
      <c r="A2338" s="141"/>
      <c r="B2338" s="141"/>
      <c r="C2338" s="141"/>
      <c r="D2338" s="141"/>
      <c r="E2338" s="141"/>
      <c r="F2338" s="141"/>
      <c r="G2338" s="141"/>
      <c r="H2338" s="141"/>
      <c r="I2338" s="141"/>
      <c r="J2338" s="141"/>
      <c r="K2338" s="141"/>
      <c r="L2338" s="141"/>
      <c r="M2338" s="141"/>
      <c r="N2338" s="141"/>
      <c r="O2338" s="141"/>
      <c r="P2338" s="141"/>
      <c r="Q2338" s="141"/>
      <c r="R2338" s="141"/>
      <c r="S2338" s="141"/>
      <c r="T2338" s="141"/>
      <c r="U2338" s="141"/>
      <c r="V2338" s="141"/>
      <c r="W2338" s="141"/>
      <c r="X2338" s="141"/>
      <c r="Y2338" s="141"/>
      <c r="Z2338" s="141"/>
    </row>
    <row r="2339">
      <c r="A2339" s="141"/>
      <c r="B2339" s="141"/>
      <c r="C2339" s="141"/>
      <c r="D2339" s="141"/>
      <c r="E2339" s="141"/>
      <c r="F2339" s="141"/>
      <c r="G2339" s="141"/>
      <c r="H2339" s="141"/>
      <c r="I2339" s="141"/>
      <c r="J2339" s="141"/>
      <c r="K2339" s="141"/>
      <c r="L2339" s="141"/>
      <c r="M2339" s="141"/>
      <c r="N2339" s="141"/>
      <c r="O2339" s="141"/>
      <c r="P2339" s="141"/>
      <c r="Q2339" s="141"/>
      <c r="R2339" s="141"/>
      <c r="S2339" s="141"/>
      <c r="T2339" s="141"/>
      <c r="U2339" s="141"/>
      <c r="V2339" s="141"/>
      <c r="W2339" s="141"/>
      <c r="X2339" s="141"/>
      <c r="Y2339" s="141"/>
      <c r="Z2339" s="141"/>
    </row>
    <row r="2340">
      <c r="A2340" s="141"/>
      <c r="B2340" s="141"/>
      <c r="C2340" s="141"/>
      <c r="D2340" s="141"/>
      <c r="E2340" s="141"/>
      <c r="F2340" s="141"/>
      <c r="G2340" s="141"/>
      <c r="H2340" s="141"/>
      <c r="I2340" s="141"/>
      <c r="J2340" s="141"/>
      <c r="K2340" s="141"/>
      <c r="L2340" s="141"/>
      <c r="M2340" s="141"/>
      <c r="N2340" s="141"/>
      <c r="O2340" s="141"/>
      <c r="P2340" s="141"/>
      <c r="Q2340" s="141"/>
      <c r="R2340" s="141"/>
      <c r="S2340" s="141"/>
      <c r="T2340" s="141"/>
      <c r="U2340" s="141"/>
      <c r="V2340" s="141"/>
      <c r="W2340" s="141"/>
      <c r="X2340" s="141"/>
      <c r="Y2340" s="141"/>
      <c r="Z2340" s="141"/>
    </row>
    <row r="2341">
      <c r="A2341" s="141"/>
      <c r="B2341" s="141"/>
      <c r="C2341" s="141"/>
      <c r="D2341" s="141"/>
      <c r="E2341" s="141"/>
      <c r="F2341" s="141"/>
      <c r="G2341" s="141"/>
      <c r="H2341" s="141"/>
      <c r="I2341" s="141"/>
      <c r="J2341" s="141"/>
      <c r="K2341" s="141"/>
      <c r="L2341" s="141"/>
      <c r="M2341" s="141"/>
      <c r="N2341" s="141"/>
      <c r="O2341" s="141"/>
      <c r="P2341" s="141"/>
      <c r="Q2341" s="141"/>
      <c r="R2341" s="141"/>
      <c r="S2341" s="141"/>
      <c r="T2341" s="141"/>
      <c r="U2341" s="141"/>
      <c r="V2341" s="141"/>
      <c r="W2341" s="141"/>
      <c r="X2341" s="141"/>
      <c r="Y2341" s="141"/>
      <c r="Z2341" s="141"/>
    </row>
    <row r="2342">
      <c r="A2342" s="141"/>
      <c r="B2342" s="141"/>
      <c r="C2342" s="141"/>
      <c r="D2342" s="141"/>
      <c r="E2342" s="141"/>
      <c r="F2342" s="141"/>
      <c r="G2342" s="141"/>
      <c r="H2342" s="141"/>
      <c r="I2342" s="141"/>
      <c r="J2342" s="141"/>
      <c r="K2342" s="141"/>
      <c r="L2342" s="141"/>
      <c r="M2342" s="141"/>
      <c r="N2342" s="141"/>
      <c r="O2342" s="141"/>
      <c r="P2342" s="141"/>
      <c r="Q2342" s="141"/>
      <c r="R2342" s="141"/>
      <c r="S2342" s="141"/>
      <c r="T2342" s="141"/>
      <c r="U2342" s="141"/>
      <c r="V2342" s="141"/>
      <c r="W2342" s="141"/>
      <c r="X2342" s="141"/>
      <c r="Y2342" s="141"/>
      <c r="Z2342" s="141"/>
    </row>
    <row r="2343">
      <c r="A2343" s="141"/>
      <c r="B2343" s="141"/>
      <c r="C2343" s="141"/>
      <c r="D2343" s="141"/>
      <c r="E2343" s="141"/>
      <c r="F2343" s="141"/>
      <c r="G2343" s="141"/>
      <c r="H2343" s="141"/>
      <c r="I2343" s="141"/>
      <c r="J2343" s="141"/>
      <c r="K2343" s="141"/>
      <c r="L2343" s="141"/>
      <c r="M2343" s="141"/>
      <c r="N2343" s="141"/>
      <c r="O2343" s="141"/>
      <c r="P2343" s="141"/>
      <c r="Q2343" s="141"/>
      <c r="R2343" s="141"/>
      <c r="S2343" s="141"/>
      <c r="T2343" s="141"/>
      <c r="U2343" s="141"/>
      <c r="V2343" s="141"/>
      <c r="W2343" s="141"/>
      <c r="X2343" s="141"/>
      <c r="Y2343" s="141"/>
      <c r="Z2343" s="141"/>
    </row>
    <row r="2344">
      <c r="A2344" s="141"/>
      <c r="B2344" s="141"/>
      <c r="C2344" s="141"/>
      <c r="D2344" s="141"/>
      <c r="E2344" s="141"/>
      <c r="F2344" s="141"/>
      <c r="G2344" s="141"/>
      <c r="H2344" s="141"/>
      <c r="I2344" s="141"/>
      <c r="J2344" s="141"/>
      <c r="K2344" s="141"/>
      <c r="L2344" s="141"/>
      <c r="M2344" s="141"/>
      <c r="N2344" s="141"/>
      <c r="O2344" s="141"/>
      <c r="P2344" s="141"/>
      <c r="Q2344" s="141"/>
      <c r="R2344" s="141"/>
      <c r="S2344" s="141"/>
      <c r="T2344" s="141"/>
      <c r="U2344" s="141"/>
      <c r="V2344" s="141"/>
      <c r="W2344" s="141"/>
      <c r="X2344" s="141"/>
      <c r="Y2344" s="141"/>
      <c r="Z2344" s="141"/>
    </row>
    <row r="2345">
      <c r="A2345" s="141"/>
      <c r="B2345" s="141"/>
      <c r="C2345" s="141"/>
      <c r="D2345" s="141"/>
      <c r="E2345" s="141"/>
      <c r="F2345" s="141"/>
      <c r="G2345" s="141"/>
      <c r="H2345" s="141"/>
      <c r="I2345" s="141"/>
      <c r="J2345" s="141"/>
      <c r="K2345" s="141"/>
      <c r="L2345" s="141"/>
      <c r="M2345" s="141"/>
      <c r="N2345" s="141"/>
      <c r="O2345" s="141"/>
      <c r="P2345" s="141"/>
      <c r="Q2345" s="141"/>
      <c r="R2345" s="141"/>
      <c r="S2345" s="141"/>
      <c r="T2345" s="141"/>
      <c r="U2345" s="141"/>
      <c r="V2345" s="141"/>
      <c r="W2345" s="141"/>
      <c r="X2345" s="141"/>
      <c r="Y2345" s="141"/>
      <c r="Z2345" s="141"/>
    </row>
    <row r="2346">
      <c r="A2346" s="141"/>
      <c r="B2346" s="141"/>
      <c r="C2346" s="141"/>
      <c r="D2346" s="141"/>
      <c r="E2346" s="141"/>
      <c r="F2346" s="141"/>
      <c r="G2346" s="141"/>
      <c r="H2346" s="141"/>
      <c r="I2346" s="141"/>
      <c r="J2346" s="141"/>
      <c r="K2346" s="141"/>
      <c r="L2346" s="141"/>
      <c r="M2346" s="141"/>
      <c r="N2346" s="141"/>
      <c r="O2346" s="141"/>
      <c r="P2346" s="141"/>
      <c r="Q2346" s="141"/>
      <c r="R2346" s="141"/>
      <c r="S2346" s="141"/>
      <c r="T2346" s="141"/>
      <c r="U2346" s="141"/>
      <c r="V2346" s="141"/>
      <c r="W2346" s="141"/>
      <c r="X2346" s="141"/>
      <c r="Y2346" s="141"/>
      <c r="Z2346" s="141"/>
    </row>
    <row r="2347">
      <c r="A2347" s="141"/>
      <c r="B2347" s="141"/>
      <c r="C2347" s="141"/>
      <c r="D2347" s="141"/>
      <c r="E2347" s="141"/>
      <c r="F2347" s="141"/>
      <c r="G2347" s="141"/>
      <c r="H2347" s="141"/>
      <c r="I2347" s="141"/>
      <c r="J2347" s="141"/>
      <c r="K2347" s="141"/>
      <c r="L2347" s="141"/>
      <c r="M2347" s="141"/>
      <c r="N2347" s="141"/>
      <c r="O2347" s="141"/>
      <c r="P2347" s="141"/>
      <c r="Q2347" s="141"/>
      <c r="R2347" s="141"/>
      <c r="S2347" s="141"/>
      <c r="T2347" s="141"/>
      <c r="U2347" s="141"/>
      <c r="V2347" s="141"/>
      <c r="W2347" s="141"/>
      <c r="X2347" s="141"/>
      <c r="Y2347" s="141"/>
      <c r="Z2347" s="141"/>
    </row>
    <row r="2348">
      <c r="A2348" s="141"/>
      <c r="B2348" s="141"/>
      <c r="C2348" s="141"/>
      <c r="D2348" s="141"/>
      <c r="E2348" s="141"/>
      <c r="F2348" s="141"/>
      <c r="G2348" s="141"/>
      <c r="H2348" s="141"/>
      <c r="I2348" s="141"/>
      <c r="J2348" s="141"/>
      <c r="K2348" s="141"/>
      <c r="L2348" s="141"/>
      <c r="M2348" s="141"/>
      <c r="N2348" s="141"/>
      <c r="O2348" s="141"/>
      <c r="P2348" s="141"/>
      <c r="Q2348" s="141"/>
      <c r="R2348" s="141"/>
      <c r="S2348" s="141"/>
      <c r="T2348" s="141"/>
      <c r="U2348" s="141"/>
      <c r="V2348" s="141"/>
      <c r="W2348" s="141"/>
      <c r="X2348" s="141"/>
      <c r="Y2348" s="141"/>
      <c r="Z2348" s="141"/>
    </row>
    <row r="2349">
      <c r="A2349" s="141"/>
      <c r="B2349" s="141"/>
      <c r="C2349" s="141"/>
      <c r="D2349" s="141"/>
      <c r="E2349" s="141"/>
      <c r="F2349" s="141"/>
      <c r="G2349" s="141"/>
      <c r="H2349" s="141"/>
      <c r="I2349" s="141"/>
      <c r="J2349" s="141"/>
      <c r="K2349" s="141"/>
      <c r="L2349" s="141"/>
      <c r="M2349" s="141"/>
      <c r="N2349" s="141"/>
      <c r="O2349" s="141"/>
      <c r="P2349" s="141"/>
      <c r="Q2349" s="141"/>
      <c r="R2349" s="141"/>
      <c r="S2349" s="141"/>
      <c r="T2349" s="141"/>
      <c r="U2349" s="141"/>
      <c r="V2349" s="141"/>
      <c r="W2349" s="141"/>
      <c r="X2349" s="141"/>
      <c r="Y2349" s="141"/>
      <c r="Z2349" s="141"/>
    </row>
    <row r="2350">
      <c r="A2350" s="141"/>
      <c r="B2350" s="141"/>
      <c r="C2350" s="141"/>
      <c r="D2350" s="141"/>
      <c r="E2350" s="141"/>
      <c r="F2350" s="141"/>
      <c r="G2350" s="141"/>
      <c r="H2350" s="141"/>
      <c r="I2350" s="141"/>
      <c r="J2350" s="141"/>
      <c r="K2350" s="141"/>
      <c r="L2350" s="141"/>
      <c r="M2350" s="141"/>
      <c r="N2350" s="141"/>
      <c r="O2350" s="141"/>
      <c r="P2350" s="141"/>
      <c r="Q2350" s="141"/>
      <c r="R2350" s="141"/>
      <c r="S2350" s="141"/>
      <c r="T2350" s="141"/>
      <c r="U2350" s="141"/>
      <c r="V2350" s="141"/>
      <c r="W2350" s="141"/>
      <c r="X2350" s="141"/>
      <c r="Y2350" s="141"/>
      <c r="Z2350" s="141"/>
    </row>
    <row r="2351">
      <c r="A2351" s="141"/>
      <c r="B2351" s="141"/>
      <c r="C2351" s="141"/>
      <c r="D2351" s="141"/>
      <c r="E2351" s="141"/>
      <c r="F2351" s="141"/>
      <c r="G2351" s="141"/>
      <c r="H2351" s="141"/>
      <c r="I2351" s="141"/>
      <c r="J2351" s="141"/>
      <c r="K2351" s="141"/>
      <c r="L2351" s="141"/>
      <c r="M2351" s="141"/>
      <c r="N2351" s="141"/>
      <c r="O2351" s="141"/>
      <c r="P2351" s="141"/>
      <c r="Q2351" s="141"/>
      <c r="R2351" s="141"/>
      <c r="S2351" s="141"/>
      <c r="T2351" s="141"/>
      <c r="U2351" s="141"/>
      <c r="V2351" s="141"/>
      <c r="W2351" s="141"/>
      <c r="X2351" s="141"/>
      <c r="Y2351" s="141"/>
      <c r="Z2351" s="141"/>
    </row>
    <row r="2352">
      <c r="A2352" s="141"/>
      <c r="B2352" s="141"/>
      <c r="C2352" s="141"/>
      <c r="D2352" s="141"/>
      <c r="E2352" s="141"/>
      <c r="F2352" s="141"/>
      <c r="G2352" s="141"/>
      <c r="H2352" s="141"/>
      <c r="I2352" s="141"/>
      <c r="J2352" s="141"/>
      <c r="K2352" s="141"/>
      <c r="L2352" s="141"/>
      <c r="M2352" s="141"/>
      <c r="N2352" s="141"/>
      <c r="O2352" s="141"/>
      <c r="P2352" s="141"/>
      <c r="Q2352" s="141"/>
      <c r="R2352" s="141"/>
      <c r="S2352" s="141"/>
      <c r="T2352" s="141"/>
      <c r="U2352" s="141"/>
      <c r="V2352" s="141"/>
      <c r="W2352" s="141"/>
      <c r="X2352" s="141"/>
      <c r="Y2352" s="141"/>
      <c r="Z2352" s="141"/>
    </row>
    <row r="2353">
      <c r="A2353" s="141"/>
      <c r="B2353" s="141"/>
      <c r="C2353" s="141"/>
      <c r="D2353" s="141"/>
      <c r="E2353" s="141"/>
      <c r="F2353" s="141"/>
      <c r="G2353" s="141"/>
      <c r="H2353" s="141"/>
      <c r="I2353" s="141"/>
      <c r="J2353" s="141"/>
      <c r="K2353" s="141"/>
      <c r="L2353" s="141"/>
      <c r="M2353" s="141"/>
      <c r="N2353" s="141"/>
      <c r="O2353" s="141"/>
      <c r="P2353" s="141"/>
      <c r="Q2353" s="141"/>
      <c r="R2353" s="141"/>
      <c r="S2353" s="141"/>
      <c r="T2353" s="141"/>
      <c r="U2353" s="141"/>
      <c r="V2353" s="141"/>
      <c r="W2353" s="141"/>
      <c r="X2353" s="141"/>
      <c r="Y2353" s="141"/>
      <c r="Z2353" s="141"/>
    </row>
    <row r="2354">
      <c r="A2354" s="141"/>
      <c r="B2354" s="141"/>
      <c r="C2354" s="141"/>
      <c r="D2354" s="141"/>
      <c r="E2354" s="141"/>
      <c r="F2354" s="141"/>
      <c r="G2354" s="141"/>
      <c r="H2354" s="141"/>
      <c r="I2354" s="141"/>
      <c r="J2354" s="141"/>
      <c r="K2354" s="141"/>
      <c r="L2354" s="141"/>
      <c r="M2354" s="141"/>
      <c r="N2354" s="141"/>
      <c r="O2354" s="141"/>
      <c r="P2354" s="141"/>
      <c r="Q2354" s="141"/>
      <c r="R2354" s="141"/>
      <c r="S2354" s="141"/>
      <c r="T2354" s="141"/>
      <c r="U2354" s="141"/>
      <c r="V2354" s="141"/>
      <c r="W2354" s="141"/>
      <c r="X2354" s="141"/>
      <c r="Y2354" s="141"/>
      <c r="Z2354" s="141"/>
    </row>
    <row r="2355">
      <c r="A2355" s="141"/>
      <c r="B2355" s="141"/>
      <c r="C2355" s="141"/>
      <c r="D2355" s="141"/>
      <c r="E2355" s="141"/>
      <c r="F2355" s="141"/>
      <c r="G2355" s="141"/>
      <c r="H2355" s="141"/>
      <c r="I2355" s="141"/>
      <c r="J2355" s="141"/>
      <c r="K2355" s="141"/>
      <c r="L2355" s="141"/>
      <c r="M2355" s="141"/>
      <c r="N2355" s="141"/>
      <c r="O2355" s="141"/>
      <c r="P2355" s="141"/>
      <c r="Q2355" s="141"/>
      <c r="R2355" s="141"/>
      <c r="S2355" s="141"/>
      <c r="T2355" s="141"/>
      <c r="U2355" s="141"/>
      <c r="V2355" s="141"/>
      <c r="W2355" s="141"/>
      <c r="X2355" s="141"/>
      <c r="Y2355" s="141"/>
      <c r="Z2355" s="141"/>
    </row>
    <row r="2356">
      <c r="A2356" s="141"/>
      <c r="B2356" s="141"/>
      <c r="C2356" s="141"/>
      <c r="D2356" s="141"/>
      <c r="E2356" s="141"/>
      <c r="F2356" s="141"/>
      <c r="G2356" s="141"/>
      <c r="H2356" s="141"/>
      <c r="I2356" s="141"/>
      <c r="J2356" s="141"/>
      <c r="K2356" s="141"/>
      <c r="L2356" s="141"/>
      <c r="M2356" s="141"/>
      <c r="N2356" s="141"/>
      <c r="O2356" s="141"/>
      <c r="P2356" s="141"/>
      <c r="Q2356" s="141"/>
      <c r="R2356" s="141"/>
      <c r="S2356" s="141"/>
      <c r="T2356" s="141"/>
      <c r="U2356" s="141"/>
      <c r="V2356" s="141"/>
      <c r="W2356" s="141"/>
      <c r="X2356" s="141"/>
      <c r="Y2356" s="141"/>
      <c r="Z2356" s="141"/>
    </row>
    <row r="2357">
      <c r="A2357" s="141"/>
      <c r="B2357" s="141"/>
      <c r="C2357" s="141"/>
      <c r="D2357" s="141"/>
      <c r="E2357" s="141"/>
      <c r="F2357" s="141"/>
      <c r="G2357" s="141"/>
      <c r="H2357" s="141"/>
      <c r="I2357" s="141"/>
      <c r="J2357" s="141"/>
      <c r="K2357" s="141"/>
      <c r="L2357" s="141"/>
      <c r="M2357" s="141"/>
      <c r="N2357" s="141"/>
      <c r="O2357" s="141"/>
      <c r="P2357" s="141"/>
      <c r="Q2357" s="141"/>
      <c r="R2357" s="141"/>
      <c r="S2357" s="141"/>
      <c r="T2357" s="141"/>
      <c r="U2357" s="141"/>
      <c r="V2357" s="141"/>
      <c r="W2357" s="141"/>
      <c r="X2357" s="141"/>
      <c r="Y2357" s="141"/>
      <c r="Z2357" s="141"/>
    </row>
    <row r="2358">
      <c r="A2358" s="141"/>
      <c r="B2358" s="141"/>
      <c r="C2358" s="141"/>
      <c r="D2358" s="141"/>
      <c r="E2358" s="141"/>
      <c r="F2358" s="141"/>
      <c r="G2358" s="141"/>
      <c r="H2358" s="141"/>
      <c r="I2358" s="141"/>
      <c r="J2358" s="141"/>
      <c r="K2358" s="141"/>
      <c r="L2358" s="141"/>
      <c r="M2358" s="141"/>
      <c r="N2358" s="141"/>
      <c r="O2358" s="141"/>
      <c r="P2358" s="141"/>
      <c r="Q2358" s="141"/>
      <c r="R2358" s="141"/>
      <c r="S2358" s="141"/>
      <c r="T2358" s="141"/>
      <c r="U2358" s="141"/>
      <c r="V2358" s="141"/>
      <c r="W2358" s="141"/>
      <c r="X2358" s="141"/>
      <c r="Y2358" s="141"/>
      <c r="Z2358" s="141"/>
    </row>
    <row r="2359">
      <c r="A2359" s="141"/>
      <c r="B2359" s="141"/>
      <c r="C2359" s="141"/>
      <c r="D2359" s="141"/>
      <c r="E2359" s="141"/>
      <c r="F2359" s="141"/>
      <c r="G2359" s="141"/>
      <c r="H2359" s="141"/>
      <c r="I2359" s="141"/>
      <c r="J2359" s="141"/>
      <c r="K2359" s="141"/>
      <c r="L2359" s="141"/>
      <c r="M2359" s="141"/>
      <c r="N2359" s="141"/>
      <c r="O2359" s="141"/>
      <c r="P2359" s="141"/>
      <c r="Q2359" s="141"/>
      <c r="R2359" s="141"/>
      <c r="S2359" s="141"/>
      <c r="T2359" s="141"/>
      <c r="U2359" s="141"/>
      <c r="V2359" s="141"/>
      <c r="W2359" s="141"/>
      <c r="X2359" s="141"/>
      <c r="Y2359" s="141"/>
      <c r="Z2359" s="141"/>
    </row>
    <row r="2360">
      <c r="A2360" s="141"/>
      <c r="B2360" s="141"/>
      <c r="C2360" s="141"/>
      <c r="D2360" s="141"/>
      <c r="E2360" s="141"/>
      <c r="F2360" s="141"/>
      <c r="G2360" s="141"/>
      <c r="H2360" s="141"/>
      <c r="I2360" s="141"/>
      <c r="J2360" s="141"/>
      <c r="K2360" s="141"/>
      <c r="L2360" s="141"/>
      <c r="M2360" s="141"/>
      <c r="N2360" s="141"/>
      <c r="O2360" s="141"/>
      <c r="P2360" s="141"/>
      <c r="Q2360" s="141"/>
      <c r="R2360" s="141"/>
      <c r="S2360" s="141"/>
      <c r="T2360" s="141"/>
      <c r="U2360" s="141"/>
      <c r="V2360" s="141"/>
      <c r="W2360" s="141"/>
      <c r="X2360" s="141"/>
      <c r="Y2360" s="141"/>
      <c r="Z2360" s="141"/>
    </row>
    <row r="2361">
      <c r="A2361" s="141"/>
      <c r="B2361" s="141"/>
      <c r="C2361" s="141"/>
      <c r="D2361" s="141"/>
      <c r="E2361" s="141"/>
      <c r="F2361" s="141"/>
      <c r="G2361" s="141"/>
      <c r="H2361" s="141"/>
      <c r="I2361" s="141"/>
      <c r="J2361" s="141"/>
      <c r="K2361" s="141"/>
      <c r="L2361" s="141"/>
      <c r="M2361" s="141"/>
      <c r="N2361" s="141"/>
      <c r="O2361" s="141"/>
      <c r="P2361" s="141"/>
      <c r="Q2361" s="141"/>
      <c r="R2361" s="141"/>
      <c r="S2361" s="141"/>
      <c r="T2361" s="141"/>
      <c r="U2361" s="141"/>
      <c r="V2361" s="141"/>
      <c r="W2361" s="141"/>
      <c r="X2361" s="141"/>
      <c r="Y2361" s="141"/>
      <c r="Z2361" s="141"/>
    </row>
    <row r="2362">
      <c r="A2362" s="141"/>
      <c r="B2362" s="141"/>
      <c r="C2362" s="141"/>
      <c r="D2362" s="141"/>
      <c r="E2362" s="141"/>
      <c r="F2362" s="141"/>
      <c r="G2362" s="141"/>
      <c r="H2362" s="141"/>
      <c r="I2362" s="141"/>
      <c r="J2362" s="141"/>
      <c r="K2362" s="141"/>
      <c r="L2362" s="141"/>
      <c r="M2362" s="141"/>
      <c r="N2362" s="141"/>
      <c r="O2362" s="141"/>
      <c r="P2362" s="141"/>
      <c r="Q2362" s="141"/>
      <c r="R2362" s="141"/>
      <c r="S2362" s="141"/>
      <c r="T2362" s="141"/>
      <c r="U2362" s="141"/>
      <c r="V2362" s="141"/>
      <c r="W2362" s="141"/>
      <c r="X2362" s="141"/>
      <c r="Y2362" s="141"/>
      <c r="Z2362" s="141"/>
    </row>
    <row r="2363">
      <c r="A2363" s="141"/>
      <c r="B2363" s="141"/>
      <c r="C2363" s="141"/>
      <c r="D2363" s="141"/>
      <c r="E2363" s="141"/>
      <c r="F2363" s="141"/>
      <c r="G2363" s="141"/>
      <c r="H2363" s="141"/>
      <c r="I2363" s="141"/>
      <c r="J2363" s="141"/>
      <c r="K2363" s="141"/>
      <c r="L2363" s="141"/>
      <c r="M2363" s="141"/>
      <c r="N2363" s="141"/>
      <c r="O2363" s="141"/>
      <c r="P2363" s="141"/>
      <c r="Q2363" s="141"/>
      <c r="R2363" s="141"/>
      <c r="S2363" s="141"/>
      <c r="T2363" s="141"/>
      <c r="U2363" s="141"/>
      <c r="V2363" s="141"/>
      <c r="W2363" s="141"/>
      <c r="X2363" s="141"/>
      <c r="Y2363" s="141"/>
      <c r="Z2363" s="141"/>
    </row>
    <row r="2364">
      <c r="A2364" s="141"/>
      <c r="B2364" s="141"/>
      <c r="C2364" s="141"/>
      <c r="D2364" s="141"/>
      <c r="E2364" s="141"/>
      <c r="F2364" s="141"/>
      <c r="G2364" s="141"/>
      <c r="H2364" s="141"/>
      <c r="I2364" s="141"/>
      <c r="J2364" s="141"/>
      <c r="K2364" s="141"/>
      <c r="L2364" s="141"/>
      <c r="M2364" s="141"/>
      <c r="N2364" s="141"/>
      <c r="O2364" s="141"/>
      <c r="P2364" s="141"/>
      <c r="Q2364" s="141"/>
      <c r="R2364" s="141"/>
      <c r="S2364" s="141"/>
      <c r="T2364" s="141"/>
      <c r="U2364" s="141"/>
      <c r="V2364" s="141"/>
      <c r="W2364" s="141"/>
      <c r="X2364" s="141"/>
      <c r="Y2364" s="141"/>
      <c r="Z2364" s="141"/>
    </row>
    <row r="2365">
      <c r="A2365" s="141"/>
      <c r="B2365" s="141"/>
      <c r="C2365" s="141"/>
      <c r="D2365" s="141"/>
      <c r="E2365" s="141"/>
      <c r="F2365" s="141"/>
      <c r="G2365" s="141"/>
      <c r="H2365" s="141"/>
      <c r="I2365" s="141"/>
      <c r="J2365" s="141"/>
      <c r="K2365" s="141"/>
      <c r="L2365" s="141"/>
      <c r="M2365" s="141"/>
      <c r="N2365" s="141"/>
      <c r="O2365" s="141"/>
      <c r="P2365" s="141"/>
      <c r="Q2365" s="141"/>
      <c r="R2365" s="141"/>
      <c r="S2365" s="141"/>
      <c r="T2365" s="141"/>
      <c r="U2365" s="141"/>
      <c r="V2365" s="141"/>
      <c r="W2365" s="141"/>
      <c r="X2365" s="141"/>
      <c r="Y2365" s="141"/>
      <c r="Z2365" s="141"/>
    </row>
    <row r="2366">
      <c r="A2366" s="141"/>
      <c r="B2366" s="141"/>
      <c r="C2366" s="141"/>
      <c r="D2366" s="141"/>
      <c r="E2366" s="141"/>
      <c r="F2366" s="141"/>
      <c r="G2366" s="141"/>
      <c r="H2366" s="141"/>
      <c r="I2366" s="141"/>
      <c r="J2366" s="141"/>
      <c r="K2366" s="141"/>
      <c r="L2366" s="141"/>
      <c r="M2366" s="141"/>
      <c r="N2366" s="141"/>
      <c r="O2366" s="141"/>
      <c r="P2366" s="141"/>
      <c r="Q2366" s="141"/>
      <c r="R2366" s="141"/>
      <c r="S2366" s="141"/>
      <c r="T2366" s="141"/>
      <c r="U2366" s="141"/>
      <c r="V2366" s="141"/>
      <c r="W2366" s="141"/>
      <c r="X2366" s="141"/>
      <c r="Y2366" s="141"/>
      <c r="Z2366" s="141"/>
    </row>
    <row r="2367">
      <c r="A2367" s="141"/>
      <c r="B2367" s="141"/>
      <c r="C2367" s="141"/>
      <c r="D2367" s="141"/>
      <c r="E2367" s="141"/>
      <c r="F2367" s="141"/>
      <c r="G2367" s="141"/>
      <c r="H2367" s="141"/>
      <c r="I2367" s="141"/>
      <c r="J2367" s="141"/>
      <c r="K2367" s="141"/>
      <c r="L2367" s="141"/>
      <c r="M2367" s="141"/>
      <c r="N2367" s="141"/>
      <c r="O2367" s="141"/>
      <c r="P2367" s="141"/>
      <c r="Q2367" s="141"/>
      <c r="R2367" s="141"/>
      <c r="S2367" s="141"/>
      <c r="T2367" s="141"/>
      <c r="U2367" s="141"/>
      <c r="V2367" s="141"/>
      <c r="W2367" s="141"/>
      <c r="X2367" s="141"/>
      <c r="Y2367" s="141"/>
      <c r="Z2367" s="141"/>
    </row>
    <row r="2368">
      <c r="A2368" s="141"/>
      <c r="B2368" s="141"/>
      <c r="C2368" s="141"/>
      <c r="D2368" s="141"/>
      <c r="E2368" s="141"/>
      <c r="F2368" s="141"/>
      <c r="G2368" s="141"/>
      <c r="H2368" s="141"/>
      <c r="I2368" s="141"/>
      <c r="J2368" s="141"/>
      <c r="K2368" s="141"/>
      <c r="L2368" s="141"/>
      <c r="M2368" s="141"/>
      <c r="N2368" s="141"/>
      <c r="O2368" s="141"/>
      <c r="P2368" s="141"/>
      <c r="Q2368" s="141"/>
      <c r="R2368" s="141"/>
      <c r="S2368" s="141"/>
      <c r="T2368" s="141"/>
      <c r="U2368" s="141"/>
      <c r="V2368" s="141"/>
      <c r="W2368" s="141"/>
      <c r="X2368" s="141"/>
      <c r="Y2368" s="141"/>
      <c r="Z2368" s="141"/>
    </row>
    <row r="2369">
      <c r="A2369" s="141"/>
      <c r="B2369" s="141"/>
      <c r="C2369" s="141"/>
      <c r="D2369" s="141"/>
      <c r="E2369" s="141"/>
      <c r="F2369" s="141"/>
      <c r="G2369" s="141"/>
      <c r="H2369" s="141"/>
      <c r="I2369" s="141"/>
      <c r="J2369" s="141"/>
      <c r="K2369" s="141"/>
      <c r="L2369" s="141"/>
      <c r="M2369" s="141"/>
      <c r="N2369" s="141"/>
      <c r="O2369" s="141"/>
      <c r="P2369" s="141"/>
      <c r="Q2369" s="141"/>
      <c r="R2369" s="141"/>
      <c r="S2369" s="141"/>
      <c r="T2369" s="141"/>
      <c r="U2369" s="141"/>
      <c r="V2369" s="141"/>
      <c r="W2369" s="141"/>
      <c r="X2369" s="141"/>
      <c r="Y2369" s="141"/>
      <c r="Z2369" s="141"/>
    </row>
    <row r="2370">
      <c r="A2370" s="141"/>
      <c r="B2370" s="141"/>
      <c r="C2370" s="141"/>
      <c r="D2370" s="141"/>
      <c r="E2370" s="141"/>
      <c r="F2370" s="141"/>
      <c r="G2370" s="141"/>
      <c r="H2370" s="141"/>
      <c r="I2370" s="141"/>
      <c r="J2370" s="141"/>
      <c r="K2370" s="141"/>
      <c r="L2370" s="141"/>
      <c r="M2370" s="141"/>
      <c r="N2370" s="141"/>
      <c r="O2370" s="141"/>
      <c r="P2370" s="141"/>
      <c r="Q2370" s="141"/>
      <c r="R2370" s="141"/>
      <c r="S2370" s="141"/>
      <c r="T2370" s="141"/>
      <c r="U2370" s="141"/>
      <c r="V2370" s="141"/>
      <c r="W2370" s="141"/>
      <c r="X2370" s="141"/>
      <c r="Y2370" s="141"/>
      <c r="Z2370" s="141"/>
    </row>
    <row r="2371">
      <c r="A2371" s="141"/>
      <c r="B2371" s="141"/>
      <c r="C2371" s="141"/>
      <c r="D2371" s="141"/>
      <c r="E2371" s="141"/>
      <c r="F2371" s="141"/>
      <c r="G2371" s="141"/>
      <c r="H2371" s="141"/>
      <c r="I2371" s="141"/>
      <c r="J2371" s="141"/>
      <c r="K2371" s="141"/>
      <c r="L2371" s="141"/>
      <c r="M2371" s="141"/>
      <c r="N2371" s="141"/>
      <c r="O2371" s="141"/>
      <c r="P2371" s="141"/>
      <c r="Q2371" s="141"/>
      <c r="R2371" s="141"/>
      <c r="S2371" s="141"/>
      <c r="T2371" s="141"/>
      <c r="U2371" s="141"/>
      <c r="V2371" s="141"/>
      <c r="W2371" s="141"/>
      <c r="X2371" s="141"/>
      <c r="Y2371" s="141"/>
      <c r="Z2371" s="141"/>
    </row>
    <row r="2372">
      <c r="A2372" s="141"/>
      <c r="B2372" s="141"/>
      <c r="C2372" s="141"/>
      <c r="D2372" s="141"/>
      <c r="E2372" s="141"/>
      <c r="F2372" s="141"/>
      <c r="G2372" s="141"/>
      <c r="H2372" s="141"/>
      <c r="I2372" s="141"/>
      <c r="J2372" s="141"/>
      <c r="K2372" s="141"/>
      <c r="L2372" s="141"/>
      <c r="M2372" s="141"/>
      <c r="N2372" s="141"/>
      <c r="O2372" s="141"/>
      <c r="P2372" s="141"/>
      <c r="Q2372" s="141"/>
      <c r="R2372" s="141"/>
      <c r="S2372" s="141"/>
      <c r="T2372" s="141"/>
      <c r="U2372" s="141"/>
      <c r="V2372" s="141"/>
      <c r="W2372" s="141"/>
      <c r="X2372" s="141"/>
      <c r="Y2372" s="141"/>
      <c r="Z2372" s="141"/>
    </row>
    <row r="2373">
      <c r="A2373" s="141"/>
      <c r="B2373" s="141"/>
      <c r="C2373" s="141"/>
      <c r="D2373" s="141"/>
      <c r="E2373" s="141"/>
      <c r="F2373" s="141"/>
      <c r="G2373" s="141"/>
      <c r="H2373" s="141"/>
      <c r="I2373" s="141"/>
      <c r="J2373" s="141"/>
      <c r="K2373" s="141"/>
      <c r="L2373" s="141"/>
      <c r="M2373" s="141"/>
      <c r="N2373" s="141"/>
      <c r="O2373" s="141"/>
      <c r="P2373" s="141"/>
      <c r="Q2373" s="141"/>
      <c r="R2373" s="141"/>
      <c r="S2373" s="141"/>
      <c r="T2373" s="141"/>
      <c r="U2373" s="141"/>
      <c r="V2373" s="141"/>
      <c r="W2373" s="141"/>
      <c r="X2373" s="141"/>
      <c r="Y2373" s="141"/>
      <c r="Z2373" s="141"/>
    </row>
    <row r="2374">
      <c r="A2374" s="141"/>
      <c r="B2374" s="141"/>
      <c r="C2374" s="141"/>
      <c r="D2374" s="141"/>
      <c r="E2374" s="141"/>
      <c r="F2374" s="141"/>
      <c r="G2374" s="141"/>
      <c r="H2374" s="141"/>
      <c r="I2374" s="141"/>
      <c r="J2374" s="141"/>
      <c r="K2374" s="141"/>
      <c r="L2374" s="141"/>
      <c r="M2374" s="141"/>
      <c r="N2374" s="141"/>
      <c r="O2374" s="141"/>
      <c r="P2374" s="141"/>
      <c r="Q2374" s="141"/>
      <c r="R2374" s="141"/>
      <c r="S2374" s="141"/>
      <c r="T2374" s="141"/>
      <c r="U2374" s="141"/>
      <c r="V2374" s="141"/>
      <c r="W2374" s="141"/>
      <c r="X2374" s="141"/>
      <c r="Y2374" s="141"/>
      <c r="Z2374" s="141"/>
    </row>
    <row r="2375">
      <c r="A2375" s="141"/>
      <c r="B2375" s="141"/>
      <c r="C2375" s="141"/>
      <c r="D2375" s="141"/>
      <c r="E2375" s="141"/>
      <c r="F2375" s="141"/>
      <c r="G2375" s="141"/>
      <c r="H2375" s="141"/>
      <c r="I2375" s="141"/>
      <c r="J2375" s="141"/>
      <c r="K2375" s="141"/>
      <c r="L2375" s="141"/>
      <c r="M2375" s="141"/>
      <c r="N2375" s="141"/>
      <c r="O2375" s="141"/>
      <c r="P2375" s="141"/>
      <c r="Q2375" s="141"/>
      <c r="R2375" s="141"/>
      <c r="S2375" s="141"/>
      <c r="T2375" s="141"/>
      <c r="U2375" s="141"/>
      <c r="V2375" s="141"/>
      <c r="W2375" s="141"/>
      <c r="X2375" s="141"/>
      <c r="Y2375" s="141"/>
      <c r="Z2375" s="141"/>
    </row>
    <row r="2376">
      <c r="A2376" s="141"/>
      <c r="B2376" s="141"/>
      <c r="C2376" s="141"/>
      <c r="D2376" s="141"/>
      <c r="E2376" s="141"/>
      <c r="F2376" s="141"/>
      <c r="G2376" s="141"/>
      <c r="H2376" s="141"/>
      <c r="I2376" s="141"/>
      <c r="J2376" s="141"/>
      <c r="K2376" s="141"/>
      <c r="L2376" s="141"/>
      <c r="M2376" s="141"/>
      <c r="N2376" s="141"/>
      <c r="O2376" s="141"/>
      <c r="P2376" s="141"/>
      <c r="Q2376" s="141"/>
      <c r="R2376" s="141"/>
      <c r="S2376" s="141"/>
      <c r="T2376" s="141"/>
      <c r="U2376" s="141"/>
      <c r="V2376" s="141"/>
      <c r="W2376" s="141"/>
      <c r="X2376" s="141"/>
      <c r="Y2376" s="141"/>
      <c r="Z2376" s="141"/>
    </row>
    <row r="2377">
      <c r="A2377" s="141"/>
      <c r="B2377" s="141"/>
      <c r="C2377" s="141"/>
      <c r="D2377" s="141"/>
      <c r="E2377" s="141"/>
      <c r="F2377" s="141"/>
      <c r="G2377" s="141"/>
      <c r="H2377" s="141"/>
      <c r="I2377" s="141"/>
      <c r="J2377" s="141"/>
      <c r="K2377" s="141"/>
      <c r="L2377" s="141"/>
      <c r="M2377" s="141"/>
      <c r="N2377" s="141"/>
      <c r="O2377" s="141"/>
      <c r="P2377" s="141"/>
      <c r="Q2377" s="141"/>
      <c r="R2377" s="141"/>
      <c r="S2377" s="141"/>
      <c r="T2377" s="141"/>
      <c r="U2377" s="141"/>
      <c r="V2377" s="141"/>
      <c r="W2377" s="141"/>
      <c r="X2377" s="141"/>
      <c r="Y2377" s="141"/>
      <c r="Z2377" s="141"/>
    </row>
    <row r="2378">
      <c r="A2378" s="141"/>
      <c r="B2378" s="141"/>
      <c r="C2378" s="141"/>
      <c r="D2378" s="141"/>
      <c r="E2378" s="141"/>
      <c r="F2378" s="141"/>
      <c r="G2378" s="141"/>
      <c r="H2378" s="141"/>
      <c r="I2378" s="141"/>
      <c r="J2378" s="141"/>
      <c r="K2378" s="141"/>
      <c r="L2378" s="141"/>
      <c r="M2378" s="141"/>
      <c r="N2378" s="141"/>
      <c r="O2378" s="141"/>
      <c r="P2378" s="141"/>
      <c r="Q2378" s="141"/>
      <c r="R2378" s="141"/>
      <c r="S2378" s="141"/>
      <c r="T2378" s="141"/>
      <c r="U2378" s="141"/>
      <c r="V2378" s="141"/>
      <c r="W2378" s="141"/>
      <c r="X2378" s="141"/>
      <c r="Y2378" s="141"/>
      <c r="Z2378" s="141"/>
    </row>
    <row r="2379">
      <c r="A2379" s="141"/>
      <c r="B2379" s="141"/>
      <c r="C2379" s="141"/>
      <c r="D2379" s="141"/>
      <c r="E2379" s="141"/>
      <c r="F2379" s="141"/>
      <c r="G2379" s="141"/>
      <c r="H2379" s="141"/>
      <c r="I2379" s="141"/>
      <c r="J2379" s="141"/>
      <c r="K2379" s="141"/>
      <c r="L2379" s="141"/>
      <c r="M2379" s="141"/>
      <c r="N2379" s="141"/>
      <c r="O2379" s="141"/>
      <c r="P2379" s="141"/>
      <c r="Q2379" s="141"/>
      <c r="R2379" s="141"/>
      <c r="S2379" s="141"/>
      <c r="T2379" s="141"/>
      <c r="U2379" s="141"/>
      <c r="V2379" s="141"/>
      <c r="W2379" s="141"/>
      <c r="X2379" s="141"/>
      <c r="Y2379" s="141"/>
      <c r="Z2379" s="141"/>
    </row>
    <row r="2380">
      <c r="A2380" s="141"/>
      <c r="B2380" s="141"/>
      <c r="C2380" s="141"/>
      <c r="D2380" s="141"/>
      <c r="E2380" s="141"/>
      <c r="F2380" s="141"/>
      <c r="G2380" s="141"/>
      <c r="H2380" s="141"/>
      <c r="I2380" s="141"/>
      <c r="J2380" s="141"/>
      <c r="K2380" s="141"/>
      <c r="L2380" s="141"/>
      <c r="M2380" s="141"/>
      <c r="N2380" s="141"/>
      <c r="O2380" s="141"/>
      <c r="P2380" s="141"/>
      <c r="Q2380" s="141"/>
      <c r="R2380" s="141"/>
      <c r="S2380" s="141"/>
      <c r="T2380" s="141"/>
      <c r="U2380" s="141"/>
      <c r="V2380" s="141"/>
      <c r="W2380" s="141"/>
      <c r="X2380" s="141"/>
      <c r="Y2380" s="141"/>
      <c r="Z2380" s="141"/>
    </row>
    <row r="2381">
      <c r="A2381" s="141"/>
      <c r="B2381" s="141"/>
      <c r="C2381" s="141"/>
      <c r="D2381" s="141"/>
      <c r="E2381" s="141"/>
      <c r="F2381" s="141"/>
      <c r="G2381" s="141"/>
      <c r="H2381" s="141"/>
      <c r="I2381" s="141"/>
      <c r="J2381" s="141"/>
      <c r="K2381" s="141"/>
      <c r="L2381" s="141"/>
      <c r="M2381" s="141"/>
      <c r="N2381" s="141"/>
      <c r="O2381" s="141"/>
      <c r="P2381" s="141"/>
      <c r="Q2381" s="141"/>
      <c r="R2381" s="141"/>
      <c r="S2381" s="141"/>
      <c r="T2381" s="141"/>
      <c r="U2381" s="141"/>
      <c r="V2381" s="141"/>
      <c r="W2381" s="141"/>
      <c r="X2381" s="141"/>
      <c r="Y2381" s="141"/>
      <c r="Z2381" s="141"/>
    </row>
    <row r="2382">
      <c r="A2382" s="141"/>
      <c r="B2382" s="141"/>
      <c r="C2382" s="141"/>
      <c r="D2382" s="141"/>
      <c r="E2382" s="141"/>
      <c r="F2382" s="141"/>
      <c r="G2382" s="141"/>
      <c r="H2382" s="141"/>
      <c r="I2382" s="141"/>
      <c r="J2382" s="141"/>
      <c r="K2382" s="141"/>
      <c r="L2382" s="141"/>
      <c r="M2382" s="141"/>
      <c r="N2382" s="141"/>
      <c r="O2382" s="141"/>
      <c r="P2382" s="141"/>
      <c r="Q2382" s="141"/>
      <c r="R2382" s="141"/>
      <c r="S2382" s="141"/>
      <c r="T2382" s="141"/>
      <c r="U2382" s="141"/>
      <c r="V2382" s="141"/>
      <c r="W2382" s="141"/>
      <c r="X2382" s="141"/>
      <c r="Y2382" s="141"/>
      <c r="Z2382" s="141"/>
    </row>
    <row r="2383">
      <c r="A2383" s="141"/>
      <c r="B2383" s="141"/>
      <c r="C2383" s="141"/>
      <c r="D2383" s="141"/>
      <c r="E2383" s="141"/>
      <c r="F2383" s="141"/>
      <c r="G2383" s="141"/>
      <c r="H2383" s="141"/>
      <c r="I2383" s="141"/>
      <c r="J2383" s="141"/>
      <c r="K2383" s="141"/>
      <c r="L2383" s="141"/>
      <c r="M2383" s="141"/>
      <c r="N2383" s="141"/>
      <c r="O2383" s="141"/>
      <c r="P2383" s="141"/>
      <c r="Q2383" s="141"/>
      <c r="R2383" s="141"/>
      <c r="S2383" s="141"/>
      <c r="T2383" s="141"/>
      <c r="U2383" s="141"/>
      <c r="V2383" s="141"/>
      <c r="W2383" s="141"/>
      <c r="X2383" s="141"/>
      <c r="Y2383" s="141"/>
      <c r="Z2383" s="141"/>
    </row>
    <row r="2384">
      <c r="A2384" s="141"/>
      <c r="B2384" s="141"/>
      <c r="C2384" s="141"/>
      <c r="D2384" s="141"/>
      <c r="E2384" s="141"/>
      <c r="F2384" s="141"/>
      <c r="G2384" s="141"/>
      <c r="H2384" s="141"/>
      <c r="I2384" s="141"/>
      <c r="J2384" s="141"/>
      <c r="K2384" s="141"/>
      <c r="L2384" s="141"/>
      <c r="M2384" s="141"/>
      <c r="N2384" s="141"/>
      <c r="O2384" s="141"/>
      <c r="P2384" s="141"/>
      <c r="Q2384" s="141"/>
      <c r="R2384" s="141"/>
      <c r="S2384" s="141"/>
      <c r="T2384" s="141"/>
      <c r="U2384" s="141"/>
      <c r="V2384" s="141"/>
      <c r="W2384" s="141"/>
      <c r="X2384" s="141"/>
      <c r="Y2384" s="141"/>
      <c r="Z2384" s="141"/>
    </row>
    <row r="2385">
      <c r="A2385" s="141"/>
      <c r="B2385" s="141"/>
      <c r="C2385" s="141"/>
      <c r="D2385" s="141"/>
      <c r="E2385" s="141"/>
      <c r="F2385" s="141"/>
      <c r="G2385" s="141"/>
      <c r="H2385" s="141"/>
      <c r="I2385" s="141"/>
      <c r="J2385" s="141"/>
      <c r="K2385" s="141"/>
      <c r="L2385" s="141"/>
      <c r="M2385" s="141"/>
      <c r="N2385" s="141"/>
      <c r="O2385" s="141"/>
      <c r="P2385" s="141"/>
      <c r="Q2385" s="141"/>
      <c r="R2385" s="141"/>
      <c r="S2385" s="141"/>
      <c r="T2385" s="141"/>
      <c r="U2385" s="141"/>
      <c r="V2385" s="141"/>
      <c r="W2385" s="141"/>
      <c r="X2385" s="141"/>
      <c r="Y2385" s="141"/>
      <c r="Z2385" s="141"/>
    </row>
    <row r="2386">
      <c r="A2386" s="141"/>
      <c r="B2386" s="141"/>
      <c r="C2386" s="141"/>
      <c r="D2386" s="141"/>
      <c r="E2386" s="141"/>
      <c r="F2386" s="141"/>
      <c r="G2386" s="141"/>
      <c r="H2386" s="141"/>
      <c r="I2386" s="141"/>
      <c r="J2386" s="141"/>
      <c r="K2386" s="141"/>
      <c r="L2386" s="141"/>
      <c r="M2386" s="141"/>
      <c r="N2386" s="141"/>
      <c r="O2386" s="141"/>
      <c r="P2386" s="141"/>
      <c r="Q2386" s="141"/>
      <c r="R2386" s="141"/>
      <c r="S2386" s="141"/>
      <c r="T2386" s="141"/>
      <c r="U2386" s="141"/>
      <c r="V2386" s="141"/>
      <c r="W2386" s="141"/>
      <c r="X2386" s="141"/>
      <c r="Y2386" s="141"/>
      <c r="Z2386" s="141"/>
    </row>
    <row r="2387">
      <c r="A2387" s="141"/>
      <c r="B2387" s="141"/>
      <c r="C2387" s="141"/>
      <c r="D2387" s="141"/>
      <c r="E2387" s="141"/>
      <c r="F2387" s="141"/>
      <c r="G2387" s="141"/>
      <c r="H2387" s="141"/>
      <c r="I2387" s="141"/>
      <c r="J2387" s="141"/>
      <c r="K2387" s="141"/>
      <c r="L2387" s="141"/>
      <c r="M2387" s="141"/>
      <c r="N2387" s="141"/>
      <c r="O2387" s="141"/>
      <c r="P2387" s="141"/>
      <c r="Q2387" s="141"/>
      <c r="R2387" s="141"/>
      <c r="S2387" s="141"/>
      <c r="T2387" s="141"/>
      <c r="U2387" s="141"/>
      <c r="V2387" s="141"/>
      <c r="W2387" s="141"/>
      <c r="X2387" s="141"/>
      <c r="Y2387" s="141"/>
      <c r="Z2387" s="141"/>
    </row>
    <row r="2388">
      <c r="A2388" s="141"/>
      <c r="B2388" s="141"/>
      <c r="C2388" s="141"/>
      <c r="D2388" s="141"/>
      <c r="E2388" s="141"/>
      <c r="F2388" s="141"/>
      <c r="G2388" s="141"/>
      <c r="H2388" s="141"/>
      <c r="I2388" s="141"/>
      <c r="J2388" s="141"/>
      <c r="K2388" s="141"/>
      <c r="L2388" s="141"/>
      <c r="M2388" s="141"/>
      <c r="N2388" s="141"/>
      <c r="O2388" s="141"/>
      <c r="P2388" s="141"/>
      <c r="Q2388" s="141"/>
      <c r="R2388" s="141"/>
      <c r="S2388" s="141"/>
      <c r="T2388" s="141"/>
      <c r="U2388" s="141"/>
      <c r="V2388" s="141"/>
      <c r="W2388" s="141"/>
      <c r="X2388" s="141"/>
      <c r="Y2388" s="141"/>
      <c r="Z2388" s="141"/>
    </row>
    <row r="2389">
      <c r="A2389" s="141"/>
      <c r="B2389" s="141"/>
      <c r="C2389" s="141"/>
      <c r="D2389" s="141"/>
      <c r="E2389" s="141"/>
      <c r="F2389" s="141"/>
      <c r="G2389" s="141"/>
      <c r="H2389" s="141"/>
      <c r="I2389" s="141"/>
      <c r="J2389" s="141"/>
      <c r="K2389" s="141"/>
      <c r="L2389" s="141"/>
      <c r="M2389" s="141"/>
      <c r="N2389" s="141"/>
      <c r="O2389" s="141"/>
      <c r="P2389" s="141"/>
      <c r="Q2389" s="141"/>
      <c r="R2389" s="141"/>
      <c r="S2389" s="141"/>
      <c r="T2389" s="141"/>
      <c r="U2389" s="141"/>
      <c r="V2389" s="141"/>
      <c r="W2389" s="141"/>
      <c r="X2389" s="141"/>
      <c r="Y2389" s="141"/>
      <c r="Z2389" s="141"/>
    </row>
    <row r="2390">
      <c r="A2390" s="141"/>
      <c r="B2390" s="141"/>
      <c r="C2390" s="141"/>
      <c r="D2390" s="141"/>
      <c r="E2390" s="141"/>
      <c r="F2390" s="141"/>
      <c r="G2390" s="141"/>
      <c r="H2390" s="141"/>
      <c r="I2390" s="141"/>
      <c r="J2390" s="141"/>
      <c r="K2390" s="141"/>
      <c r="L2390" s="141"/>
      <c r="M2390" s="141"/>
      <c r="N2390" s="141"/>
      <c r="O2390" s="141"/>
      <c r="P2390" s="141"/>
      <c r="Q2390" s="141"/>
      <c r="R2390" s="141"/>
      <c r="S2390" s="141"/>
      <c r="T2390" s="141"/>
      <c r="U2390" s="141"/>
      <c r="V2390" s="141"/>
      <c r="W2390" s="141"/>
      <c r="X2390" s="141"/>
      <c r="Y2390" s="141"/>
      <c r="Z2390" s="141"/>
    </row>
    <row r="2391">
      <c r="A2391" s="141"/>
      <c r="B2391" s="141"/>
      <c r="C2391" s="141"/>
      <c r="D2391" s="141"/>
      <c r="E2391" s="141"/>
      <c r="F2391" s="141"/>
      <c r="G2391" s="141"/>
      <c r="H2391" s="141"/>
      <c r="I2391" s="141"/>
      <c r="J2391" s="141"/>
      <c r="K2391" s="141"/>
      <c r="L2391" s="141"/>
      <c r="M2391" s="141"/>
      <c r="N2391" s="141"/>
      <c r="O2391" s="141"/>
      <c r="P2391" s="141"/>
      <c r="Q2391" s="141"/>
      <c r="R2391" s="141"/>
      <c r="S2391" s="141"/>
      <c r="T2391" s="141"/>
      <c r="U2391" s="141"/>
      <c r="V2391" s="141"/>
      <c r="W2391" s="141"/>
      <c r="X2391" s="141"/>
      <c r="Y2391" s="141"/>
      <c r="Z2391" s="141"/>
    </row>
    <row r="2392">
      <c r="A2392" s="141"/>
      <c r="B2392" s="141"/>
      <c r="C2392" s="141"/>
      <c r="D2392" s="141"/>
      <c r="E2392" s="141"/>
      <c r="F2392" s="141"/>
      <c r="G2392" s="141"/>
      <c r="H2392" s="141"/>
      <c r="I2392" s="141"/>
      <c r="J2392" s="141"/>
      <c r="K2392" s="141"/>
      <c r="L2392" s="141"/>
      <c r="M2392" s="141"/>
      <c r="N2392" s="141"/>
      <c r="O2392" s="141"/>
      <c r="P2392" s="141"/>
      <c r="Q2392" s="141"/>
      <c r="R2392" s="141"/>
      <c r="S2392" s="141"/>
      <c r="T2392" s="141"/>
      <c r="U2392" s="141"/>
      <c r="V2392" s="141"/>
      <c r="W2392" s="141"/>
      <c r="X2392" s="141"/>
      <c r="Y2392" s="141"/>
      <c r="Z2392" s="141"/>
    </row>
    <row r="2393">
      <c r="A2393" s="141"/>
      <c r="B2393" s="141"/>
      <c r="C2393" s="141"/>
      <c r="D2393" s="141"/>
      <c r="E2393" s="141"/>
      <c r="F2393" s="141"/>
      <c r="G2393" s="141"/>
      <c r="H2393" s="141"/>
      <c r="I2393" s="141"/>
      <c r="J2393" s="141"/>
      <c r="K2393" s="141"/>
      <c r="L2393" s="141"/>
      <c r="M2393" s="141"/>
      <c r="N2393" s="141"/>
      <c r="O2393" s="141"/>
      <c r="P2393" s="141"/>
      <c r="Q2393" s="141"/>
      <c r="R2393" s="141"/>
      <c r="S2393" s="141"/>
      <c r="T2393" s="141"/>
      <c r="U2393" s="141"/>
      <c r="V2393" s="141"/>
      <c r="W2393" s="141"/>
      <c r="X2393" s="141"/>
      <c r="Y2393" s="141"/>
      <c r="Z2393" s="141"/>
    </row>
    <row r="2394">
      <c r="A2394" s="141"/>
      <c r="B2394" s="141"/>
      <c r="C2394" s="141"/>
      <c r="D2394" s="141"/>
      <c r="E2394" s="141"/>
      <c r="F2394" s="141"/>
      <c r="G2394" s="141"/>
      <c r="H2394" s="141"/>
      <c r="I2394" s="141"/>
      <c r="J2394" s="141"/>
      <c r="K2394" s="141"/>
      <c r="L2394" s="141"/>
      <c r="M2394" s="141"/>
      <c r="N2394" s="141"/>
      <c r="O2394" s="141"/>
      <c r="P2394" s="141"/>
      <c r="Q2394" s="141"/>
      <c r="R2394" s="141"/>
      <c r="S2394" s="141"/>
      <c r="T2394" s="141"/>
      <c r="U2394" s="141"/>
      <c r="V2394" s="141"/>
      <c r="W2394" s="141"/>
      <c r="X2394" s="141"/>
      <c r="Y2394" s="141"/>
      <c r="Z2394" s="141"/>
    </row>
    <row r="2395">
      <c r="A2395" s="141"/>
      <c r="B2395" s="141"/>
      <c r="C2395" s="141"/>
      <c r="D2395" s="141"/>
      <c r="E2395" s="141"/>
      <c r="F2395" s="141"/>
      <c r="G2395" s="141"/>
      <c r="H2395" s="141"/>
      <c r="I2395" s="141"/>
      <c r="J2395" s="141"/>
      <c r="K2395" s="141"/>
      <c r="L2395" s="141"/>
      <c r="M2395" s="141"/>
      <c r="N2395" s="141"/>
      <c r="O2395" s="141"/>
      <c r="P2395" s="141"/>
      <c r="Q2395" s="141"/>
      <c r="R2395" s="141"/>
      <c r="S2395" s="141"/>
      <c r="T2395" s="141"/>
      <c r="U2395" s="141"/>
      <c r="V2395" s="141"/>
      <c r="W2395" s="141"/>
      <c r="X2395" s="141"/>
      <c r="Y2395" s="141"/>
      <c r="Z2395" s="141"/>
    </row>
    <row r="2396">
      <c r="A2396" s="141"/>
      <c r="B2396" s="141"/>
      <c r="C2396" s="141"/>
      <c r="D2396" s="141"/>
      <c r="E2396" s="141"/>
      <c r="F2396" s="141"/>
      <c r="G2396" s="141"/>
      <c r="H2396" s="141"/>
      <c r="I2396" s="141"/>
      <c r="J2396" s="141"/>
      <c r="K2396" s="141"/>
      <c r="L2396" s="141"/>
      <c r="M2396" s="141"/>
      <c r="N2396" s="141"/>
      <c r="O2396" s="141"/>
      <c r="P2396" s="141"/>
      <c r="Q2396" s="141"/>
      <c r="R2396" s="141"/>
      <c r="S2396" s="141"/>
      <c r="T2396" s="141"/>
      <c r="U2396" s="141"/>
      <c r="V2396" s="141"/>
      <c r="W2396" s="141"/>
      <c r="X2396" s="141"/>
      <c r="Y2396" s="141"/>
      <c r="Z2396" s="141"/>
    </row>
    <row r="2397">
      <c r="A2397" s="141"/>
      <c r="B2397" s="141"/>
      <c r="C2397" s="141"/>
      <c r="D2397" s="141"/>
      <c r="E2397" s="141"/>
      <c r="F2397" s="141"/>
      <c r="G2397" s="141"/>
      <c r="H2397" s="141"/>
      <c r="I2397" s="141"/>
      <c r="J2397" s="141"/>
      <c r="K2397" s="141"/>
      <c r="L2397" s="141"/>
      <c r="M2397" s="141"/>
      <c r="N2397" s="141"/>
      <c r="O2397" s="141"/>
      <c r="P2397" s="141"/>
      <c r="Q2397" s="141"/>
      <c r="R2397" s="141"/>
      <c r="S2397" s="141"/>
      <c r="T2397" s="141"/>
      <c r="U2397" s="141"/>
      <c r="V2397" s="141"/>
      <c r="W2397" s="141"/>
      <c r="X2397" s="141"/>
      <c r="Y2397" s="141"/>
      <c r="Z2397" s="141"/>
    </row>
    <row r="2398">
      <c r="A2398" s="141"/>
      <c r="B2398" s="141"/>
      <c r="C2398" s="141"/>
      <c r="D2398" s="141"/>
      <c r="E2398" s="141"/>
      <c r="F2398" s="141"/>
      <c r="G2398" s="141"/>
      <c r="H2398" s="141"/>
      <c r="I2398" s="141"/>
      <c r="J2398" s="141"/>
      <c r="K2398" s="141"/>
      <c r="L2398" s="141"/>
      <c r="M2398" s="141"/>
      <c r="N2398" s="141"/>
      <c r="O2398" s="141"/>
      <c r="P2398" s="141"/>
      <c r="Q2398" s="141"/>
      <c r="R2398" s="141"/>
      <c r="S2398" s="141"/>
      <c r="T2398" s="141"/>
      <c r="U2398" s="141"/>
      <c r="V2398" s="141"/>
      <c r="W2398" s="141"/>
      <c r="X2398" s="141"/>
      <c r="Y2398" s="141"/>
      <c r="Z2398" s="141"/>
    </row>
    <row r="2399">
      <c r="A2399" s="141"/>
      <c r="B2399" s="141"/>
      <c r="C2399" s="141"/>
      <c r="D2399" s="141"/>
      <c r="E2399" s="141"/>
      <c r="F2399" s="141"/>
      <c r="G2399" s="141"/>
      <c r="H2399" s="141"/>
      <c r="I2399" s="141"/>
      <c r="J2399" s="141"/>
      <c r="K2399" s="141"/>
      <c r="L2399" s="141"/>
      <c r="M2399" s="141"/>
      <c r="N2399" s="141"/>
      <c r="O2399" s="141"/>
      <c r="P2399" s="141"/>
      <c r="Q2399" s="141"/>
      <c r="R2399" s="141"/>
      <c r="S2399" s="141"/>
      <c r="T2399" s="141"/>
      <c r="U2399" s="141"/>
      <c r="V2399" s="141"/>
      <c r="W2399" s="141"/>
      <c r="X2399" s="141"/>
      <c r="Y2399" s="141"/>
      <c r="Z2399" s="141"/>
    </row>
    <row r="2400">
      <c r="A2400" s="141"/>
      <c r="B2400" s="141"/>
      <c r="C2400" s="141"/>
      <c r="D2400" s="141"/>
      <c r="E2400" s="141"/>
      <c r="F2400" s="141"/>
      <c r="G2400" s="141"/>
      <c r="H2400" s="141"/>
      <c r="I2400" s="141"/>
      <c r="J2400" s="141"/>
      <c r="K2400" s="141"/>
      <c r="L2400" s="141"/>
      <c r="M2400" s="141"/>
      <c r="N2400" s="141"/>
      <c r="O2400" s="141"/>
      <c r="P2400" s="141"/>
      <c r="Q2400" s="141"/>
      <c r="R2400" s="141"/>
      <c r="S2400" s="141"/>
      <c r="T2400" s="141"/>
      <c r="U2400" s="141"/>
      <c r="V2400" s="141"/>
      <c r="W2400" s="141"/>
      <c r="X2400" s="141"/>
      <c r="Y2400" s="141"/>
      <c r="Z2400" s="141"/>
    </row>
    <row r="2401">
      <c r="A2401" s="141"/>
      <c r="B2401" s="141"/>
      <c r="C2401" s="141"/>
      <c r="D2401" s="141"/>
      <c r="E2401" s="141"/>
      <c r="F2401" s="141"/>
      <c r="G2401" s="141"/>
      <c r="H2401" s="141"/>
      <c r="I2401" s="141"/>
      <c r="J2401" s="141"/>
      <c r="K2401" s="141"/>
      <c r="L2401" s="141"/>
      <c r="M2401" s="141"/>
      <c r="N2401" s="141"/>
      <c r="O2401" s="141"/>
      <c r="P2401" s="141"/>
      <c r="Q2401" s="141"/>
      <c r="R2401" s="141"/>
      <c r="S2401" s="141"/>
      <c r="T2401" s="141"/>
      <c r="U2401" s="141"/>
      <c r="V2401" s="141"/>
      <c r="W2401" s="141"/>
      <c r="X2401" s="141"/>
      <c r="Y2401" s="141"/>
      <c r="Z2401" s="141"/>
    </row>
    <row r="2402">
      <c r="A2402" s="141"/>
      <c r="B2402" s="141"/>
      <c r="C2402" s="141"/>
      <c r="D2402" s="141"/>
      <c r="E2402" s="141"/>
      <c r="F2402" s="141"/>
      <c r="G2402" s="141"/>
      <c r="H2402" s="141"/>
      <c r="I2402" s="141"/>
      <c r="J2402" s="141"/>
      <c r="K2402" s="141"/>
      <c r="L2402" s="141"/>
      <c r="M2402" s="141"/>
      <c r="N2402" s="141"/>
      <c r="O2402" s="141"/>
      <c r="P2402" s="141"/>
      <c r="Q2402" s="141"/>
      <c r="R2402" s="141"/>
      <c r="S2402" s="141"/>
      <c r="T2402" s="141"/>
      <c r="U2402" s="141"/>
      <c r="V2402" s="141"/>
      <c r="W2402" s="141"/>
      <c r="X2402" s="141"/>
      <c r="Y2402" s="141"/>
      <c r="Z2402" s="141"/>
    </row>
    <row r="2403">
      <c r="A2403" s="141"/>
      <c r="B2403" s="141"/>
      <c r="C2403" s="141"/>
      <c r="D2403" s="141"/>
      <c r="E2403" s="141"/>
      <c r="F2403" s="141"/>
      <c r="G2403" s="141"/>
      <c r="H2403" s="141"/>
      <c r="I2403" s="141"/>
      <c r="J2403" s="141"/>
      <c r="K2403" s="141"/>
      <c r="L2403" s="141"/>
      <c r="M2403" s="141"/>
      <c r="N2403" s="141"/>
      <c r="O2403" s="141"/>
      <c r="P2403" s="141"/>
      <c r="Q2403" s="141"/>
      <c r="R2403" s="141"/>
      <c r="S2403" s="141"/>
      <c r="T2403" s="141"/>
      <c r="U2403" s="141"/>
      <c r="V2403" s="141"/>
      <c r="W2403" s="141"/>
      <c r="X2403" s="141"/>
      <c r="Y2403" s="141"/>
      <c r="Z2403" s="141"/>
    </row>
    <row r="2404">
      <c r="A2404" s="141"/>
      <c r="B2404" s="141"/>
      <c r="C2404" s="141"/>
      <c r="D2404" s="141"/>
      <c r="E2404" s="141"/>
      <c r="F2404" s="141"/>
      <c r="G2404" s="141"/>
      <c r="H2404" s="141"/>
      <c r="I2404" s="141"/>
      <c r="J2404" s="141"/>
      <c r="K2404" s="141"/>
      <c r="L2404" s="141"/>
      <c r="M2404" s="141"/>
      <c r="N2404" s="141"/>
      <c r="O2404" s="141"/>
      <c r="P2404" s="141"/>
      <c r="Q2404" s="141"/>
      <c r="R2404" s="141"/>
      <c r="S2404" s="141"/>
      <c r="T2404" s="141"/>
      <c r="U2404" s="141"/>
      <c r="V2404" s="141"/>
      <c r="W2404" s="141"/>
      <c r="X2404" s="141"/>
      <c r="Y2404" s="141"/>
      <c r="Z2404" s="141"/>
    </row>
    <row r="2405">
      <c r="A2405" s="141"/>
      <c r="B2405" s="141"/>
      <c r="C2405" s="141"/>
      <c r="D2405" s="141"/>
      <c r="E2405" s="141"/>
      <c r="F2405" s="141"/>
      <c r="G2405" s="141"/>
      <c r="H2405" s="141"/>
      <c r="I2405" s="141"/>
      <c r="J2405" s="141"/>
      <c r="K2405" s="141"/>
      <c r="L2405" s="141"/>
      <c r="M2405" s="141"/>
      <c r="N2405" s="141"/>
      <c r="O2405" s="141"/>
      <c r="P2405" s="141"/>
      <c r="Q2405" s="141"/>
      <c r="R2405" s="141"/>
      <c r="S2405" s="141"/>
      <c r="T2405" s="141"/>
      <c r="U2405" s="141"/>
      <c r="V2405" s="141"/>
      <c r="W2405" s="141"/>
      <c r="X2405" s="141"/>
      <c r="Y2405" s="141"/>
      <c r="Z2405" s="141"/>
    </row>
    <row r="2406">
      <c r="A2406" s="141"/>
      <c r="B2406" s="141"/>
      <c r="C2406" s="141"/>
      <c r="D2406" s="141"/>
      <c r="E2406" s="141"/>
      <c r="F2406" s="141"/>
      <c r="G2406" s="141"/>
      <c r="H2406" s="141"/>
      <c r="I2406" s="141"/>
      <c r="J2406" s="141"/>
      <c r="K2406" s="141"/>
      <c r="L2406" s="141"/>
      <c r="M2406" s="141"/>
      <c r="N2406" s="141"/>
      <c r="O2406" s="141"/>
      <c r="P2406" s="141"/>
      <c r="Q2406" s="141"/>
      <c r="R2406" s="141"/>
      <c r="S2406" s="141"/>
      <c r="T2406" s="141"/>
      <c r="U2406" s="141"/>
      <c r="V2406" s="141"/>
      <c r="W2406" s="141"/>
      <c r="X2406" s="141"/>
      <c r="Y2406" s="141"/>
      <c r="Z2406" s="141"/>
    </row>
    <row r="2407">
      <c r="A2407" s="141"/>
      <c r="B2407" s="141"/>
      <c r="C2407" s="141"/>
      <c r="D2407" s="141"/>
      <c r="E2407" s="141"/>
      <c r="F2407" s="141"/>
      <c r="G2407" s="141"/>
      <c r="H2407" s="141"/>
      <c r="I2407" s="141"/>
      <c r="J2407" s="141"/>
      <c r="K2407" s="141"/>
      <c r="L2407" s="141"/>
      <c r="M2407" s="141"/>
      <c r="N2407" s="141"/>
      <c r="O2407" s="141"/>
      <c r="P2407" s="141"/>
      <c r="Q2407" s="141"/>
      <c r="R2407" s="141"/>
      <c r="S2407" s="141"/>
      <c r="T2407" s="141"/>
      <c r="U2407" s="141"/>
      <c r="V2407" s="141"/>
      <c r="W2407" s="141"/>
      <c r="X2407" s="141"/>
      <c r="Y2407" s="141"/>
      <c r="Z2407" s="141"/>
    </row>
    <row r="2408">
      <c r="A2408" s="141"/>
      <c r="B2408" s="141"/>
      <c r="C2408" s="141"/>
      <c r="D2408" s="141"/>
      <c r="E2408" s="141"/>
      <c r="F2408" s="141"/>
      <c r="G2408" s="141"/>
      <c r="H2408" s="141"/>
      <c r="I2408" s="141"/>
      <c r="J2408" s="141"/>
      <c r="K2408" s="141"/>
      <c r="L2408" s="141"/>
      <c r="M2408" s="141"/>
      <c r="N2408" s="141"/>
      <c r="O2408" s="141"/>
      <c r="P2408" s="141"/>
      <c r="Q2408" s="141"/>
      <c r="R2408" s="141"/>
      <c r="S2408" s="141"/>
      <c r="T2408" s="141"/>
      <c r="U2408" s="141"/>
      <c r="V2408" s="141"/>
      <c r="W2408" s="141"/>
      <c r="X2408" s="141"/>
      <c r="Y2408" s="141"/>
      <c r="Z2408" s="141"/>
    </row>
    <row r="2409">
      <c r="A2409" s="141"/>
      <c r="B2409" s="141"/>
      <c r="C2409" s="141"/>
      <c r="D2409" s="141"/>
      <c r="E2409" s="141"/>
      <c r="F2409" s="141"/>
      <c r="G2409" s="141"/>
      <c r="H2409" s="141"/>
      <c r="I2409" s="141"/>
      <c r="J2409" s="141"/>
      <c r="K2409" s="141"/>
      <c r="L2409" s="141"/>
      <c r="M2409" s="141"/>
      <c r="N2409" s="141"/>
      <c r="O2409" s="141"/>
      <c r="P2409" s="141"/>
      <c r="Q2409" s="141"/>
      <c r="R2409" s="141"/>
      <c r="S2409" s="141"/>
      <c r="T2409" s="141"/>
      <c r="U2409" s="141"/>
      <c r="V2409" s="141"/>
      <c r="W2409" s="141"/>
      <c r="X2409" s="141"/>
      <c r="Y2409" s="141"/>
      <c r="Z2409" s="141"/>
    </row>
    <row r="2410">
      <c r="A2410" s="141"/>
      <c r="B2410" s="141"/>
      <c r="C2410" s="141"/>
      <c r="D2410" s="141"/>
      <c r="E2410" s="141"/>
      <c r="F2410" s="141"/>
      <c r="G2410" s="141"/>
      <c r="H2410" s="141"/>
      <c r="I2410" s="141"/>
      <c r="J2410" s="141"/>
      <c r="K2410" s="141"/>
      <c r="L2410" s="141"/>
      <c r="M2410" s="141"/>
      <c r="N2410" s="141"/>
      <c r="O2410" s="141"/>
      <c r="P2410" s="141"/>
      <c r="Q2410" s="141"/>
      <c r="R2410" s="141"/>
      <c r="S2410" s="141"/>
      <c r="T2410" s="141"/>
      <c r="U2410" s="141"/>
      <c r="V2410" s="141"/>
      <c r="W2410" s="141"/>
      <c r="X2410" s="141"/>
      <c r="Y2410" s="141"/>
      <c r="Z2410" s="141"/>
    </row>
    <row r="2411">
      <c r="A2411" s="141"/>
      <c r="B2411" s="141"/>
      <c r="C2411" s="141"/>
      <c r="D2411" s="141"/>
      <c r="E2411" s="141"/>
      <c r="F2411" s="141"/>
      <c r="G2411" s="141"/>
      <c r="H2411" s="141"/>
      <c r="I2411" s="141"/>
      <c r="J2411" s="141"/>
      <c r="K2411" s="141"/>
      <c r="L2411" s="141"/>
      <c r="M2411" s="141"/>
      <c r="N2411" s="141"/>
      <c r="O2411" s="141"/>
      <c r="P2411" s="141"/>
      <c r="Q2411" s="141"/>
      <c r="R2411" s="141"/>
      <c r="S2411" s="141"/>
      <c r="T2411" s="141"/>
      <c r="U2411" s="141"/>
      <c r="V2411" s="141"/>
      <c r="W2411" s="141"/>
      <c r="X2411" s="141"/>
      <c r="Y2411" s="141"/>
      <c r="Z2411" s="141"/>
    </row>
    <row r="2412">
      <c r="A2412" s="141"/>
      <c r="B2412" s="141"/>
      <c r="C2412" s="141"/>
      <c r="D2412" s="141"/>
      <c r="E2412" s="141"/>
      <c r="F2412" s="141"/>
      <c r="G2412" s="141"/>
      <c r="H2412" s="141"/>
      <c r="I2412" s="141"/>
      <c r="J2412" s="141"/>
      <c r="K2412" s="141"/>
      <c r="L2412" s="141"/>
      <c r="M2412" s="141"/>
      <c r="N2412" s="141"/>
      <c r="O2412" s="141"/>
      <c r="P2412" s="141"/>
      <c r="Q2412" s="141"/>
      <c r="R2412" s="141"/>
      <c r="S2412" s="141"/>
      <c r="T2412" s="141"/>
      <c r="U2412" s="141"/>
      <c r="V2412" s="141"/>
      <c r="W2412" s="141"/>
      <c r="X2412" s="141"/>
      <c r="Y2412" s="141"/>
      <c r="Z2412" s="141"/>
    </row>
    <row r="2413">
      <c r="A2413" s="141"/>
      <c r="B2413" s="141"/>
      <c r="C2413" s="141"/>
      <c r="D2413" s="141"/>
      <c r="E2413" s="141"/>
      <c r="F2413" s="141"/>
      <c r="G2413" s="141"/>
      <c r="H2413" s="141"/>
      <c r="I2413" s="141"/>
      <c r="J2413" s="141"/>
      <c r="K2413" s="141"/>
      <c r="L2413" s="141"/>
      <c r="M2413" s="141"/>
      <c r="N2413" s="141"/>
      <c r="O2413" s="141"/>
      <c r="P2413" s="141"/>
      <c r="Q2413" s="141"/>
      <c r="R2413" s="141"/>
      <c r="S2413" s="141"/>
      <c r="T2413" s="141"/>
      <c r="U2413" s="141"/>
      <c r="V2413" s="141"/>
      <c r="W2413" s="141"/>
      <c r="X2413" s="141"/>
      <c r="Y2413" s="141"/>
      <c r="Z2413" s="141"/>
    </row>
    <row r="2414">
      <c r="A2414" s="141"/>
      <c r="B2414" s="141"/>
      <c r="C2414" s="141"/>
      <c r="D2414" s="141"/>
      <c r="E2414" s="141"/>
      <c r="F2414" s="141"/>
      <c r="G2414" s="141"/>
      <c r="H2414" s="141"/>
      <c r="I2414" s="141"/>
      <c r="J2414" s="141"/>
      <c r="K2414" s="141"/>
      <c r="L2414" s="141"/>
      <c r="M2414" s="141"/>
      <c r="N2414" s="141"/>
      <c r="O2414" s="141"/>
      <c r="P2414" s="141"/>
      <c r="Q2414" s="141"/>
      <c r="R2414" s="141"/>
      <c r="S2414" s="141"/>
      <c r="T2414" s="141"/>
      <c r="U2414" s="141"/>
      <c r="V2414" s="141"/>
      <c r="W2414" s="141"/>
      <c r="X2414" s="141"/>
      <c r="Y2414" s="141"/>
      <c r="Z2414" s="141"/>
    </row>
    <row r="2415">
      <c r="A2415" s="141"/>
      <c r="B2415" s="141"/>
      <c r="C2415" s="141"/>
      <c r="D2415" s="141"/>
      <c r="E2415" s="141"/>
      <c r="F2415" s="141"/>
      <c r="G2415" s="141"/>
      <c r="H2415" s="141"/>
      <c r="I2415" s="141"/>
      <c r="J2415" s="141"/>
      <c r="K2415" s="141"/>
      <c r="L2415" s="141"/>
      <c r="M2415" s="141"/>
      <c r="N2415" s="141"/>
      <c r="O2415" s="141"/>
      <c r="P2415" s="141"/>
      <c r="Q2415" s="141"/>
      <c r="R2415" s="141"/>
      <c r="S2415" s="141"/>
      <c r="T2415" s="141"/>
      <c r="U2415" s="141"/>
      <c r="V2415" s="141"/>
      <c r="W2415" s="141"/>
      <c r="X2415" s="141"/>
      <c r="Y2415" s="141"/>
      <c r="Z2415" s="141"/>
    </row>
    <row r="2416">
      <c r="A2416" s="141"/>
      <c r="B2416" s="141"/>
      <c r="C2416" s="141"/>
      <c r="D2416" s="141"/>
      <c r="E2416" s="141"/>
      <c r="F2416" s="141"/>
      <c r="G2416" s="141"/>
      <c r="H2416" s="141"/>
      <c r="I2416" s="141"/>
      <c r="J2416" s="141"/>
      <c r="K2416" s="141"/>
      <c r="L2416" s="141"/>
      <c r="M2416" s="141"/>
      <c r="N2416" s="141"/>
      <c r="O2416" s="141"/>
      <c r="P2416" s="141"/>
      <c r="Q2416" s="141"/>
      <c r="R2416" s="141"/>
      <c r="S2416" s="141"/>
      <c r="T2416" s="141"/>
      <c r="U2416" s="141"/>
      <c r="V2416" s="141"/>
      <c r="W2416" s="141"/>
      <c r="X2416" s="141"/>
      <c r="Y2416" s="141"/>
      <c r="Z2416" s="141"/>
    </row>
    <row r="2417">
      <c r="A2417" s="141"/>
      <c r="B2417" s="141"/>
      <c r="C2417" s="141"/>
      <c r="D2417" s="141"/>
      <c r="E2417" s="141"/>
      <c r="F2417" s="141"/>
      <c r="G2417" s="141"/>
      <c r="H2417" s="141"/>
      <c r="I2417" s="141"/>
      <c r="J2417" s="141"/>
      <c r="K2417" s="141"/>
      <c r="L2417" s="141"/>
      <c r="M2417" s="141"/>
      <c r="N2417" s="141"/>
      <c r="O2417" s="141"/>
      <c r="P2417" s="141"/>
      <c r="Q2417" s="141"/>
      <c r="R2417" s="141"/>
      <c r="S2417" s="141"/>
      <c r="T2417" s="141"/>
      <c r="U2417" s="141"/>
      <c r="V2417" s="141"/>
      <c r="W2417" s="141"/>
      <c r="X2417" s="141"/>
      <c r="Y2417" s="141"/>
      <c r="Z2417" s="141"/>
    </row>
    <row r="2418">
      <c r="A2418" s="141"/>
      <c r="B2418" s="141"/>
      <c r="C2418" s="141"/>
      <c r="D2418" s="141"/>
      <c r="E2418" s="141"/>
      <c r="F2418" s="141"/>
      <c r="G2418" s="141"/>
      <c r="H2418" s="141"/>
      <c r="I2418" s="141"/>
      <c r="J2418" s="141"/>
      <c r="K2418" s="141"/>
      <c r="L2418" s="141"/>
      <c r="M2418" s="141"/>
      <c r="N2418" s="141"/>
      <c r="O2418" s="141"/>
      <c r="P2418" s="141"/>
      <c r="Q2418" s="141"/>
      <c r="R2418" s="141"/>
      <c r="S2418" s="141"/>
      <c r="T2418" s="141"/>
      <c r="U2418" s="141"/>
      <c r="V2418" s="141"/>
      <c r="W2418" s="141"/>
      <c r="X2418" s="141"/>
      <c r="Y2418" s="141"/>
      <c r="Z2418" s="141"/>
    </row>
    <row r="2419">
      <c r="A2419" s="141"/>
      <c r="B2419" s="141"/>
      <c r="C2419" s="141"/>
      <c r="D2419" s="141"/>
      <c r="E2419" s="141"/>
      <c r="F2419" s="141"/>
      <c r="G2419" s="141"/>
      <c r="H2419" s="141"/>
      <c r="I2419" s="141"/>
      <c r="J2419" s="141"/>
      <c r="K2419" s="141"/>
      <c r="L2419" s="141"/>
      <c r="M2419" s="141"/>
      <c r="N2419" s="141"/>
      <c r="O2419" s="141"/>
      <c r="P2419" s="141"/>
      <c r="Q2419" s="141"/>
      <c r="R2419" s="141"/>
      <c r="S2419" s="141"/>
      <c r="T2419" s="141"/>
      <c r="U2419" s="141"/>
      <c r="V2419" s="141"/>
      <c r="W2419" s="141"/>
      <c r="X2419" s="141"/>
      <c r="Y2419" s="141"/>
      <c r="Z2419" s="141"/>
    </row>
    <row r="2420">
      <c r="A2420" s="141"/>
      <c r="B2420" s="141"/>
      <c r="C2420" s="141"/>
      <c r="D2420" s="141"/>
      <c r="E2420" s="141"/>
      <c r="F2420" s="141"/>
      <c r="G2420" s="141"/>
      <c r="H2420" s="141"/>
      <c r="I2420" s="141"/>
      <c r="J2420" s="141"/>
      <c r="K2420" s="141"/>
      <c r="L2420" s="141"/>
      <c r="M2420" s="141"/>
      <c r="N2420" s="141"/>
      <c r="O2420" s="141"/>
      <c r="P2420" s="141"/>
      <c r="Q2420" s="141"/>
      <c r="R2420" s="141"/>
      <c r="S2420" s="141"/>
      <c r="T2420" s="141"/>
      <c r="U2420" s="141"/>
      <c r="V2420" s="141"/>
      <c r="W2420" s="141"/>
      <c r="X2420" s="141"/>
      <c r="Y2420" s="141"/>
      <c r="Z2420" s="141"/>
    </row>
    <row r="2421">
      <c r="A2421" s="141"/>
      <c r="B2421" s="141"/>
      <c r="C2421" s="141"/>
      <c r="D2421" s="141"/>
      <c r="E2421" s="141"/>
      <c r="F2421" s="141"/>
      <c r="G2421" s="141"/>
      <c r="H2421" s="141"/>
      <c r="I2421" s="141"/>
      <c r="J2421" s="141"/>
      <c r="K2421" s="141"/>
      <c r="L2421" s="141"/>
      <c r="M2421" s="141"/>
      <c r="N2421" s="141"/>
      <c r="O2421" s="141"/>
      <c r="P2421" s="141"/>
      <c r="Q2421" s="141"/>
      <c r="R2421" s="141"/>
      <c r="S2421" s="141"/>
      <c r="T2421" s="141"/>
      <c r="U2421" s="141"/>
      <c r="V2421" s="141"/>
      <c r="W2421" s="141"/>
      <c r="X2421" s="141"/>
      <c r="Y2421" s="141"/>
      <c r="Z2421" s="141"/>
    </row>
    <row r="2422">
      <c r="A2422" s="141"/>
      <c r="B2422" s="141"/>
      <c r="C2422" s="141"/>
      <c r="D2422" s="141"/>
      <c r="E2422" s="141"/>
      <c r="F2422" s="141"/>
      <c r="G2422" s="141"/>
      <c r="H2422" s="141"/>
      <c r="I2422" s="141"/>
      <c r="J2422" s="141"/>
      <c r="K2422" s="141"/>
      <c r="L2422" s="141"/>
      <c r="M2422" s="141"/>
      <c r="N2422" s="141"/>
      <c r="O2422" s="141"/>
      <c r="P2422" s="141"/>
      <c r="Q2422" s="141"/>
      <c r="R2422" s="141"/>
      <c r="S2422" s="141"/>
      <c r="T2422" s="141"/>
      <c r="U2422" s="141"/>
      <c r="V2422" s="141"/>
      <c r="W2422" s="141"/>
      <c r="X2422" s="141"/>
      <c r="Y2422" s="141"/>
      <c r="Z2422" s="141"/>
    </row>
    <row r="2423">
      <c r="A2423" s="141"/>
      <c r="B2423" s="141"/>
      <c r="C2423" s="141"/>
      <c r="D2423" s="141"/>
      <c r="E2423" s="141"/>
      <c r="F2423" s="141"/>
      <c r="G2423" s="141"/>
      <c r="H2423" s="141"/>
      <c r="I2423" s="141"/>
      <c r="J2423" s="141"/>
      <c r="K2423" s="141"/>
      <c r="L2423" s="141"/>
      <c r="M2423" s="141"/>
      <c r="N2423" s="141"/>
      <c r="O2423" s="141"/>
      <c r="P2423" s="141"/>
      <c r="Q2423" s="141"/>
      <c r="R2423" s="141"/>
      <c r="S2423" s="141"/>
      <c r="T2423" s="141"/>
      <c r="U2423" s="141"/>
      <c r="V2423" s="141"/>
      <c r="W2423" s="141"/>
      <c r="X2423" s="141"/>
      <c r="Y2423" s="141"/>
      <c r="Z2423" s="141"/>
    </row>
    <row r="2424">
      <c r="A2424" s="141"/>
      <c r="B2424" s="141"/>
      <c r="C2424" s="141"/>
      <c r="D2424" s="141"/>
      <c r="E2424" s="141"/>
      <c r="F2424" s="141"/>
      <c r="G2424" s="141"/>
      <c r="H2424" s="141"/>
      <c r="I2424" s="141"/>
      <c r="J2424" s="141"/>
      <c r="K2424" s="141"/>
      <c r="L2424" s="141"/>
      <c r="M2424" s="141"/>
      <c r="N2424" s="141"/>
      <c r="O2424" s="141"/>
      <c r="P2424" s="141"/>
      <c r="Q2424" s="141"/>
      <c r="R2424" s="141"/>
      <c r="S2424" s="141"/>
      <c r="T2424" s="141"/>
      <c r="U2424" s="141"/>
      <c r="V2424" s="141"/>
      <c r="W2424" s="141"/>
      <c r="X2424" s="141"/>
      <c r="Y2424" s="141"/>
      <c r="Z2424" s="141"/>
    </row>
    <row r="2425">
      <c r="A2425" s="141"/>
      <c r="B2425" s="141"/>
      <c r="C2425" s="141"/>
      <c r="D2425" s="141"/>
      <c r="E2425" s="141"/>
      <c r="F2425" s="141"/>
      <c r="G2425" s="141"/>
      <c r="H2425" s="141"/>
      <c r="I2425" s="141"/>
      <c r="J2425" s="141"/>
      <c r="K2425" s="141"/>
      <c r="L2425" s="141"/>
      <c r="M2425" s="141"/>
      <c r="N2425" s="141"/>
      <c r="O2425" s="141"/>
      <c r="P2425" s="141"/>
      <c r="Q2425" s="141"/>
      <c r="R2425" s="141"/>
      <c r="S2425" s="141"/>
      <c r="T2425" s="141"/>
      <c r="U2425" s="141"/>
      <c r="V2425" s="141"/>
      <c r="W2425" s="141"/>
      <c r="X2425" s="141"/>
      <c r="Y2425" s="141"/>
      <c r="Z2425" s="141"/>
    </row>
    <row r="2426">
      <c r="A2426" s="141"/>
      <c r="B2426" s="141"/>
      <c r="C2426" s="141"/>
      <c r="D2426" s="141"/>
      <c r="E2426" s="141"/>
      <c r="F2426" s="141"/>
      <c r="G2426" s="141"/>
      <c r="H2426" s="141"/>
      <c r="I2426" s="141"/>
      <c r="J2426" s="141"/>
      <c r="K2426" s="141"/>
      <c r="L2426" s="141"/>
      <c r="M2426" s="141"/>
      <c r="N2426" s="141"/>
      <c r="O2426" s="141"/>
      <c r="P2426" s="141"/>
      <c r="Q2426" s="141"/>
      <c r="R2426" s="141"/>
      <c r="S2426" s="141"/>
      <c r="T2426" s="141"/>
      <c r="U2426" s="141"/>
      <c r="V2426" s="141"/>
      <c r="W2426" s="141"/>
      <c r="X2426" s="141"/>
      <c r="Y2426" s="141"/>
      <c r="Z2426" s="141"/>
    </row>
    <row r="2427">
      <c r="A2427" s="141"/>
      <c r="B2427" s="141"/>
      <c r="C2427" s="141"/>
      <c r="D2427" s="141"/>
      <c r="E2427" s="141"/>
      <c r="F2427" s="141"/>
      <c r="G2427" s="141"/>
      <c r="H2427" s="141"/>
      <c r="I2427" s="141"/>
      <c r="J2427" s="141"/>
      <c r="K2427" s="141"/>
      <c r="L2427" s="141"/>
      <c r="M2427" s="141"/>
      <c r="N2427" s="141"/>
      <c r="O2427" s="141"/>
      <c r="P2427" s="141"/>
      <c r="Q2427" s="141"/>
      <c r="R2427" s="141"/>
      <c r="S2427" s="141"/>
      <c r="T2427" s="141"/>
      <c r="U2427" s="141"/>
      <c r="V2427" s="141"/>
      <c r="W2427" s="141"/>
      <c r="X2427" s="141"/>
      <c r="Y2427" s="141"/>
      <c r="Z2427" s="141"/>
    </row>
    <row r="2428">
      <c r="A2428" s="141"/>
      <c r="B2428" s="141"/>
      <c r="C2428" s="141"/>
      <c r="D2428" s="141"/>
      <c r="E2428" s="141"/>
      <c r="F2428" s="141"/>
      <c r="G2428" s="141"/>
      <c r="H2428" s="141"/>
      <c r="I2428" s="141"/>
      <c r="J2428" s="141"/>
      <c r="K2428" s="141"/>
      <c r="L2428" s="141"/>
      <c r="M2428" s="141"/>
      <c r="N2428" s="141"/>
      <c r="O2428" s="141"/>
      <c r="P2428" s="141"/>
      <c r="Q2428" s="141"/>
      <c r="R2428" s="141"/>
      <c r="S2428" s="141"/>
      <c r="T2428" s="141"/>
      <c r="U2428" s="141"/>
      <c r="V2428" s="141"/>
      <c r="W2428" s="141"/>
      <c r="X2428" s="141"/>
      <c r="Y2428" s="141"/>
      <c r="Z2428" s="141"/>
    </row>
    <row r="2429">
      <c r="A2429" s="141"/>
      <c r="B2429" s="141"/>
      <c r="C2429" s="141"/>
      <c r="D2429" s="141"/>
      <c r="E2429" s="141"/>
      <c r="F2429" s="141"/>
      <c r="G2429" s="141"/>
      <c r="H2429" s="141"/>
      <c r="I2429" s="141"/>
      <c r="J2429" s="141"/>
      <c r="K2429" s="141"/>
      <c r="L2429" s="141"/>
      <c r="M2429" s="141"/>
      <c r="N2429" s="141"/>
      <c r="O2429" s="141"/>
      <c r="P2429" s="141"/>
      <c r="Q2429" s="141"/>
      <c r="R2429" s="141"/>
      <c r="S2429" s="141"/>
      <c r="T2429" s="141"/>
      <c r="U2429" s="141"/>
      <c r="V2429" s="141"/>
      <c r="W2429" s="141"/>
      <c r="X2429" s="141"/>
      <c r="Y2429" s="141"/>
      <c r="Z2429" s="141"/>
    </row>
    <row r="2430">
      <c r="A2430" s="141"/>
      <c r="B2430" s="141"/>
      <c r="C2430" s="141"/>
      <c r="D2430" s="141"/>
      <c r="E2430" s="141"/>
      <c r="F2430" s="141"/>
      <c r="G2430" s="141"/>
      <c r="H2430" s="141"/>
      <c r="I2430" s="141"/>
      <c r="J2430" s="141"/>
      <c r="K2430" s="141"/>
      <c r="L2430" s="141"/>
      <c r="M2430" s="141"/>
      <c r="N2430" s="141"/>
      <c r="O2430" s="141"/>
      <c r="P2430" s="141"/>
      <c r="Q2430" s="141"/>
      <c r="R2430" s="141"/>
      <c r="S2430" s="141"/>
      <c r="T2430" s="141"/>
      <c r="U2430" s="141"/>
      <c r="V2430" s="141"/>
      <c r="W2430" s="141"/>
      <c r="X2430" s="141"/>
      <c r="Y2430" s="141"/>
      <c r="Z2430" s="141"/>
    </row>
    <row r="2431">
      <c r="A2431" s="141"/>
      <c r="B2431" s="141"/>
      <c r="C2431" s="141"/>
      <c r="D2431" s="141"/>
      <c r="E2431" s="141"/>
      <c r="F2431" s="141"/>
      <c r="G2431" s="141"/>
      <c r="H2431" s="141"/>
      <c r="I2431" s="141"/>
      <c r="J2431" s="141"/>
      <c r="K2431" s="141"/>
      <c r="L2431" s="141"/>
      <c r="M2431" s="141"/>
      <c r="N2431" s="141"/>
      <c r="O2431" s="141"/>
      <c r="P2431" s="141"/>
      <c r="Q2431" s="141"/>
      <c r="R2431" s="141"/>
      <c r="S2431" s="141"/>
      <c r="T2431" s="141"/>
      <c r="U2431" s="141"/>
      <c r="V2431" s="141"/>
      <c r="W2431" s="141"/>
      <c r="X2431" s="141"/>
      <c r="Y2431" s="141"/>
      <c r="Z2431" s="141"/>
    </row>
    <row r="2432">
      <c r="A2432" s="141"/>
      <c r="B2432" s="141"/>
      <c r="C2432" s="141"/>
      <c r="D2432" s="141"/>
      <c r="E2432" s="141"/>
      <c r="F2432" s="141"/>
      <c r="G2432" s="141"/>
      <c r="H2432" s="141"/>
      <c r="I2432" s="141"/>
      <c r="J2432" s="141"/>
      <c r="K2432" s="141"/>
      <c r="L2432" s="141"/>
      <c r="M2432" s="141"/>
      <c r="N2432" s="141"/>
      <c r="O2432" s="141"/>
      <c r="P2432" s="141"/>
      <c r="Q2432" s="141"/>
      <c r="R2432" s="141"/>
      <c r="S2432" s="141"/>
      <c r="T2432" s="141"/>
      <c r="U2432" s="141"/>
      <c r="V2432" s="141"/>
      <c r="W2432" s="141"/>
      <c r="X2432" s="141"/>
      <c r="Y2432" s="141"/>
      <c r="Z2432" s="141"/>
    </row>
    <row r="2433">
      <c r="A2433" s="141"/>
      <c r="B2433" s="141"/>
      <c r="C2433" s="141"/>
      <c r="D2433" s="141"/>
      <c r="E2433" s="141"/>
      <c r="F2433" s="141"/>
      <c r="G2433" s="141"/>
      <c r="H2433" s="141"/>
      <c r="I2433" s="141"/>
      <c r="J2433" s="141"/>
      <c r="K2433" s="141"/>
      <c r="L2433" s="141"/>
      <c r="M2433" s="141"/>
      <c r="N2433" s="141"/>
      <c r="O2433" s="141"/>
      <c r="P2433" s="141"/>
      <c r="Q2433" s="141"/>
      <c r="R2433" s="141"/>
      <c r="S2433" s="141"/>
      <c r="T2433" s="141"/>
      <c r="U2433" s="141"/>
      <c r="V2433" s="141"/>
      <c r="W2433" s="141"/>
      <c r="X2433" s="141"/>
      <c r="Y2433" s="141"/>
      <c r="Z2433" s="141"/>
    </row>
    <row r="2434">
      <c r="A2434" s="141"/>
      <c r="B2434" s="141"/>
      <c r="C2434" s="141"/>
      <c r="D2434" s="141"/>
      <c r="E2434" s="141"/>
      <c r="F2434" s="141"/>
      <c r="G2434" s="141"/>
      <c r="H2434" s="141"/>
      <c r="I2434" s="141"/>
      <c r="J2434" s="141"/>
      <c r="K2434" s="141"/>
      <c r="L2434" s="141"/>
      <c r="M2434" s="141"/>
      <c r="N2434" s="141"/>
      <c r="O2434" s="141"/>
      <c r="P2434" s="141"/>
      <c r="Q2434" s="141"/>
      <c r="R2434" s="141"/>
      <c r="S2434" s="141"/>
      <c r="T2434" s="141"/>
      <c r="U2434" s="141"/>
      <c r="V2434" s="141"/>
      <c r="W2434" s="141"/>
      <c r="X2434" s="141"/>
      <c r="Y2434" s="141"/>
      <c r="Z2434" s="141"/>
    </row>
    <row r="2435">
      <c r="A2435" s="141"/>
      <c r="B2435" s="141"/>
      <c r="C2435" s="141"/>
      <c r="D2435" s="141"/>
      <c r="E2435" s="141"/>
      <c r="F2435" s="141"/>
      <c r="G2435" s="141"/>
      <c r="H2435" s="141"/>
      <c r="I2435" s="141"/>
      <c r="J2435" s="141"/>
      <c r="K2435" s="141"/>
      <c r="L2435" s="141"/>
      <c r="M2435" s="141"/>
      <c r="N2435" s="141"/>
      <c r="O2435" s="141"/>
      <c r="P2435" s="141"/>
      <c r="Q2435" s="141"/>
      <c r="R2435" s="141"/>
      <c r="S2435" s="141"/>
      <c r="T2435" s="141"/>
      <c r="U2435" s="141"/>
      <c r="V2435" s="141"/>
      <c r="W2435" s="141"/>
      <c r="X2435" s="141"/>
      <c r="Y2435" s="141"/>
      <c r="Z2435" s="141"/>
    </row>
    <row r="2436">
      <c r="A2436" s="141"/>
      <c r="B2436" s="141"/>
      <c r="C2436" s="141"/>
      <c r="D2436" s="141"/>
      <c r="E2436" s="141"/>
      <c r="F2436" s="141"/>
      <c r="G2436" s="141"/>
      <c r="H2436" s="141"/>
      <c r="I2436" s="141"/>
      <c r="J2436" s="141"/>
      <c r="K2436" s="141"/>
      <c r="L2436" s="141"/>
      <c r="M2436" s="141"/>
      <c r="N2436" s="141"/>
      <c r="O2436" s="141"/>
      <c r="P2436" s="141"/>
      <c r="Q2436" s="141"/>
      <c r="R2436" s="141"/>
      <c r="S2436" s="141"/>
      <c r="T2436" s="141"/>
      <c r="U2436" s="141"/>
      <c r="V2436" s="141"/>
      <c r="W2436" s="141"/>
      <c r="X2436" s="141"/>
      <c r="Y2436" s="141"/>
      <c r="Z2436" s="141"/>
    </row>
    <row r="2437">
      <c r="A2437" s="141"/>
      <c r="B2437" s="141"/>
      <c r="C2437" s="141"/>
      <c r="D2437" s="141"/>
      <c r="E2437" s="141"/>
      <c r="F2437" s="141"/>
      <c r="G2437" s="141"/>
      <c r="H2437" s="141"/>
      <c r="I2437" s="141"/>
      <c r="J2437" s="141"/>
      <c r="K2437" s="141"/>
      <c r="L2437" s="141"/>
      <c r="M2437" s="141"/>
      <c r="N2437" s="141"/>
      <c r="O2437" s="141"/>
      <c r="P2437" s="141"/>
      <c r="Q2437" s="141"/>
      <c r="R2437" s="141"/>
      <c r="S2437" s="141"/>
      <c r="T2437" s="141"/>
      <c r="U2437" s="141"/>
      <c r="V2437" s="141"/>
      <c r="W2437" s="141"/>
      <c r="X2437" s="141"/>
      <c r="Y2437" s="141"/>
      <c r="Z2437" s="141"/>
    </row>
    <row r="2438">
      <c r="A2438" s="141"/>
      <c r="B2438" s="141"/>
      <c r="C2438" s="141"/>
      <c r="D2438" s="141"/>
      <c r="E2438" s="141"/>
      <c r="F2438" s="141"/>
      <c r="G2438" s="141"/>
      <c r="H2438" s="141"/>
      <c r="I2438" s="141"/>
      <c r="J2438" s="141"/>
      <c r="K2438" s="141"/>
      <c r="L2438" s="141"/>
      <c r="M2438" s="141"/>
      <c r="N2438" s="141"/>
      <c r="O2438" s="141"/>
      <c r="P2438" s="141"/>
      <c r="Q2438" s="141"/>
      <c r="R2438" s="141"/>
      <c r="S2438" s="141"/>
      <c r="T2438" s="141"/>
      <c r="U2438" s="141"/>
      <c r="V2438" s="141"/>
      <c r="W2438" s="141"/>
      <c r="X2438" s="141"/>
      <c r="Y2438" s="141"/>
      <c r="Z2438" s="141"/>
    </row>
    <row r="2439">
      <c r="A2439" s="141"/>
      <c r="B2439" s="141"/>
      <c r="C2439" s="141"/>
      <c r="D2439" s="141"/>
      <c r="E2439" s="141"/>
      <c r="F2439" s="141"/>
      <c r="G2439" s="141"/>
      <c r="H2439" s="141"/>
      <c r="I2439" s="141"/>
      <c r="J2439" s="141"/>
      <c r="K2439" s="141"/>
      <c r="L2439" s="141"/>
      <c r="M2439" s="141"/>
      <c r="N2439" s="141"/>
      <c r="O2439" s="141"/>
      <c r="P2439" s="141"/>
      <c r="Q2439" s="141"/>
      <c r="R2439" s="141"/>
      <c r="S2439" s="141"/>
      <c r="T2439" s="141"/>
      <c r="U2439" s="141"/>
      <c r="V2439" s="141"/>
      <c r="W2439" s="141"/>
      <c r="X2439" s="141"/>
      <c r="Y2439" s="141"/>
      <c r="Z2439" s="141"/>
    </row>
    <row r="2440">
      <c r="A2440" s="141"/>
      <c r="B2440" s="141"/>
      <c r="C2440" s="141"/>
      <c r="D2440" s="141"/>
      <c r="E2440" s="141"/>
      <c r="F2440" s="141"/>
      <c r="G2440" s="141"/>
      <c r="H2440" s="141"/>
      <c r="I2440" s="141"/>
      <c r="J2440" s="141"/>
      <c r="K2440" s="141"/>
      <c r="L2440" s="141"/>
      <c r="M2440" s="141"/>
      <c r="N2440" s="141"/>
      <c r="O2440" s="141"/>
      <c r="P2440" s="141"/>
      <c r="Q2440" s="141"/>
      <c r="R2440" s="141"/>
      <c r="S2440" s="141"/>
      <c r="T2440" s="141"/>
      <c r="U2440" s="141"/>
      <c r="V2440" s="141"/>
      <c r="W2440" s="141"/>
      <c r="X2440" s="141"/>
      <c r="Y2440" s="141"/>
      <c r="Z2440" s="141"/>
    </row>
    <row r="2441">
      <c r="A2441" s="141"/>
      <c r="B2441" s="141"/>
      <c r="C2441" s="141"/>
      <c r="D2441" s="141"/>
      <c r="E2441" s="141"/>
      <c r="F2441" s="141"/>
      <c r="G2441" s="141"/>
      <c r="H2441" s="141"/>
      <c r="I2441" s="141"/>
      <c r="J2441" s="141"/>
      <c r="K2441" s="141"/>
      <c r="L2441" s="141"/>
      <c r="M2441" s="141"/>
      <c r="N2441" s="141"/>
      <c r="O2441" s="141"/>
      <c r="P2441" s="141"/>
      <c r="Q2441" s="141"/>
      <c r="R2441" s="141"/>
      <c r="S2441" s="141"/>
      <c r="T2441" s="141"/>
      <c r="U2441" s="141"/>
      <c r="V2441" s="141"/>
      <c r="W2441" s="141"/>
      <c r="X2441" s="141"/>
      <c r="Y2441" s="141"/>
      <c r="Z2441" s="141"/>
    </row>
    <row r="2442">
      <c r="A2442" s="141"/>
      <c r="B2442" s="141"/>
      <c r="C2442" s="141"/>
      <c r="D2442" s="141"/>
      <c r="E2442" s="141"/>
      <c r="F2442" s="141"/>
      <c r="G2442" s="141"/>
      <c r="H2442" s="141"/>
      <c r="I2442" s="141"/>
      <c r="J2442" s="141"/>
      <c r="K2442" s="141"/>
      <c r="L2442" s="141"/>
      <c r="M2442" s="141"/>
      <c r="N2442" s="141"/>
      <c r="O2442" s="141"/>
      <c r="P2442" s="141"/>
      <c r="Q2442" s="141"/>
      <c r="R2442" s="141"/>
      <c r="S2442" s="141"/>
      <c r="T2442" s="141"/>
      <c r="U2442" s="141"/>
      <c r="V2442" s="141"/>
      <c r="W2442" s="141"/>
      <c r="X2442" s="141"/>
      <c r="Y2442" s="141"/>
      <c r="Z2442" s="141"/>
    </row>
    <row r="2443">
      <c r="A2443" s="141"/>
      <c r="B2443" s="141"/>
      <c r="C2443" s="141"/>
      <c r="D2443" s="141"/>
      <c r="E2443" s="141"/>
      <c r="F2443" s="141"/>
      <c r="G2443" s="141"/>
      <c r="H2443" s="141"/>
      <c r="I2443" s="141"/>
      <c r="J2443" s="141"/>
      <c r="K2443" s="141"/>
      <c r="L2443" s="141"/>
      <c r="M2443" s="141"/>
      <c r="N2443" s="141"/>
      <c r="O2443" s="141"/>
      <c r="P2443" s="141"/>
      <c r="Q2443" s="141"/>
      <c r="R2443" s="141"/>
      <c r="S2443" s="141"/>
      <c r="T2443" s="141"/>
      <c r="U2443" s="141"/>
      <c r="V2443" s="141"/>
      <c r="W2443" s="141"/>
      <c r="X2443" s="141"/>
      <c r="Y2443" s="141"/>
      <c r="Z2443" s="141"/>
    </row>
    <row r="2444">
      <c r="A2444" s="141"/>
      <c r="B2444" s="141"/>
      <c r="C2444" s="141"/>
      <c r="D2444" s="141"/>
      <c r="E2444" s="141"/>
      <c r="F2444" s="141"/>
      <c r="G2444" s="141"/>
      <c r="H2444" s="141"/>
      <c r="I2444" s="141"/>
      <c r="J2444" s="141"/>
      <c r="K2444" s="141"/>
      <c r="L2444" s="141"/>
      <c r="M2444" s="141"/>
      <c r="N2444" s="141"/>
      <c r="O2444" s="141"/>
      <c r="P2444" s="141"/>
      <c r="Q2444" s="141"/>
      <c r="R2444" s="141"/>
      <c r="S2444" s="141"/>
      <c r="T2444" s="141"/>
      <c r="U2444" s="141"/>
      <c r="V2444" s="141"/>
      <c r="W2444" s="141"/>
      <c r="X2444" s="141"/>
      <c r="Y2444" s="141"/>
      <c r="Z2444" s="141"/>
    </row>
    <row r="2445">
      <c r="A2445" s="141"/>
      <c r="B2445" s="141"/>
      <c r="C2445" s="141"/>
      <c r="D2445" s="141"/>
      <c r="E2445" s="141"/>
      <c r="F2445" s="141"/>
      <c r="G2445" s="141"/>
      <c r="H2445" s="141"/>
      <c r="I2445" s="141"/>
      <c r="J2445" s="141"/>
      <c r="K2445" s="141"/>
      <c r="L2445" s="141"/>
      <c r="M2445" s="141"/>
      <c r="N2445" s="141"/>
      <c r="O2445" s="141"/>
      <c r="P2445" s="141"/>
      <c r="Q2445" s="141"/>
      <c r="R2445" s="141"/>
      <c r="S2445" s="141"/>
      <c r="T2445" s="141"/>
      <c r="U2445" s="141"/>
      <c r="V2445" s="141"/>
      <c r="W2445" s="141"/>
      <c r="X2445" s="141"/>
      <c r="Y2445" s="141"/>
      <c r="Z2445" s="141"/>
    </row>
    <row r="2446">
      <c r="A2446" s="141"/>
      <c r="B2446" s="141"/>
      <c r="C2446" s="141"/>
      <c r="D2446" s="141"/>
      <c r="E2446" s="141"/>
      <c r="F2446" s="141"/>
      <c r="G2446" s="141"/>
      <c r="H2446" s="141"/>
      <c r="I2446" s="141"/>
      <c r="J2446" s="141"/>
      <c r="K2446" s="141"/>
      <c r="L2446" s="141"/>
      <c r="M2446" s="141"/>
      <c r="N2446" s="141"/>
      <c r="O2446" s="141"/>
      <c r="P2446" s="141"/>
      <c r="Q2446" s="141"/>
      <c r="R2446" s="141"/>
      <c r="S2446" s="141"/>
      <c r="T2446" s="141"/>
      <c r="U2446" s="141"/>
      <c r="V2446" s="141"/>
      <c r="W2446" s="141"/>
      <c r="X2446" s="141"/>
      <c r="Y2446" s="141"/>
      <c r="Z2446" s="141"/>
    </row>
    <row r="2447">
      <c r="A2447" s="141"/>
      <c r="B2447" s="141"/>
      <c r="C2447" s="141"/>
      <c r="D2447" s="141"/>
      <c r="E2447" s="141"/>
      <c r="F2447" s="141"/>
      <c r="G2447" s="141"/>
      <c r="H2447" s="141"/>
      <c r="I2447" s="141"/>
      <c r="J2447" s="141"/>
      <c r="K2447" s="141"/>
      <c r="L2447" s="141"/>
      <c r="M2447" s="141"/>
      <c r="N2447" s="141"/>
      <c r="O2447" s="141"/>
      <c r="P2447" s="141"/>
      <c r="Q2447" s="141"/>
      <c r="R2447" s="141"/>
      <c r="S2447" s="141"/>
      <c r="T2447" s="141"/>
      <c r="U2447" s="141"/>
      <c r="V2447" s="141"/>
      <c r="W2447" s="141"/>
      <c r="X2447" s="141"/>
      <c r="Y2447" s="141"/>
      <c r="Z2447" s="141"/>
    </row>
    <row r="2448">
      <c r="A2448" s="141"/>
      <c r="B2448" s="141"/>
      <c r="C2448" s="141"/>
      <c r="D2448" s="141"/>
      <c r="E2448" s="141"/>
      <c r="F2448" s="141"/>
      <c r="G2448" s="141"/>
      <c r="H2448" s="141"/>
      <c r="I2448" s="141"/>
      <c r="J2448" s="141"/>
      <c r="K2448" s="141"/>
      <c r="L2448" s="141"/>
      <c r="M2448" s="141"/>
      <c r="N2448" s="141"/>
      <c r="O2448" s="141"/>
      <c r="P2448" s="141"/>
      <c r="Q2448" s="141"/>
      <c r="R2448" s="141"/>
      <c r="S2448" s="141"/>
      <c r="T2448" s="141"/>
      <c r="U2448" s="141"/>
      <c r="V2448" s="141"/>
      <c r="W2448" s="141"/>
      <c r="X2448" s="141"/>
      <c r="Y2448" s="141"/>
      <c r="Z2448" s="141"/>
    </row>
    <row r="2449">
      <c r="A2449" s="141"/>
      <c r="B2449" s="141"/>
      <c r="C2449" s="141"/>
      <c r="D2449" s="141"/>
      <c r="E2449" s="141"/>
      <c r="F2449" s="141"/>
      <c r="G2449" s="141"/>
      <c r="H2449" s="141"/>
      <c r="I2449" s="141"/>
      <c r="J2449" s="141"/>
      <c r="K2449" s="141"/>
      <c r="L2449" s="141"/>
      <c r="M2449" s="141"/>
      <c r="N2449" s="141"/>
      <c r="O2449" s="141"/>
      <c r="P2449" s="141"/>
      <c r="Q2449" s="141"/>
      <c r="R2449" s="141"/>
      <c r="S2449" s="141"/>
      <c r="T2449" s="141"/>
      <c r="U2449" s="141"/>
      <c r="V2449" s="141"/>
      <c r="W2449" s="141"/>
      <c r="X2449" s="141"/>
      <c r="Y2449" s="141"/>
      <c r="Z2449" s="141"/>
    </row>
    <row r="2450">
      <c r="A2450" s="141"/>
      <c r="B2450" s="141"/>
      <c r="C2450" s="141"/>
      <c r="D2450" s="141"/>
      <c r="E2450" s="141"/>
      <c r="F2450" s="141"/>
      <c r="G2450" s="141"/>
      <c r="H2450" s="141"/>
      <c r="I2450" s="141"/>
      <c r="J2450" s="141"/>
      <c r="K2450" s="141"/>
      <c r="L2450" s="141"/>
      <c r="M2450" s="141"/>
      <c r="N2450" s="141"/>
      <c r="O2450" s="141"/>
      <c r="P2450" s="141"/>
      <c r="Q2450" s="141"/>
      <c r="R2450" s="141"/>
      <c r="S2450" s="141"/>
      <c r="T2450" s="141"/>
      <c r="U2450" s="141"/>
      <c r="V2450" s="141"/>
      <c r="W2450" s="141"/>
      <c r="X2450" s="141"/>
      <c r="Y2450" s="141"/>
      <c r="Z2450" s="141"/>
    </row>
    <row r="2451">
      <c r="A2451" s="141"/>
      <c r="B2451" s="141"/>
      <c r="C2451" s="141"/>
      <c r="D2451" s="141"/>
      <c r="E2451" s="141"/>
      <c r="F2451" s="141"/>
      <c r="G2451" s="141"/>
      <c r="H2451" s="141"/>
      <c r="I2451" s="141"/>
      <c r="J2451" s="141"/>
      <c r="K2451" s="141"/>
      <c r="L2451" s="141"/>
      <c r="M2451" s="141"/>
      <c r="N2451" s="141"/>
      <c r="O2451" s="141"/>
      <c r="P2451" s="141"/>
      <c r="Q2451" s="141"/>
      <c r="R2451" s="141"/>
      <c r="S2451" s="141"/>
      <c r="T2451" s="141"/>
      <c r="U2451" s="141"/>
      <c r="V2451" s="141"/>
      <c r="W2451" s="141"/>
      <c r="X2451" s="141"/>
      <c r="Y2451" s="141"/>
      <c r="Z2451" s="141"/>
    </row>
    <row r="2452">
      <c r="A2452" s="141"/>
      <c r="B2452" s="141"/>
      <c r="C2452" s="141"/>
      <c r="D2452" s="141"/>
      <c r="E2452" s="141"/>
      <c r="F2452" s="141"/>
      <c r="G2452" s="141"/>
      <c r="H2452" s="141"/>
      <c r="I2452" s="141"/>
      <c r="J2452" s="141"/>
      <c r="K2452" s="141"/>
      <c r="L2452" s="141"/>
      <c r="M2452" s="141"/>
      <c r="N2452" s="141"/>
      <c r="O2452" s="141"/>
      <c r="P2452" s="141"/>
      <c r="Q2452" s="141"/>
      <c r="R2452" s="141"/>
      <c r="S2452" s="141"/>
      <c r="T2452" s="141"/>
      <c r="U2452" s="141"/>
      <c r="V2452" s="141"/>
      <c r="W2452" s="141"/>
      <c r="X2452" s="141"/>
      <c r="Y2452" s="141"/>
      <c r="Z2452" s="141"/>
    </row>
    <row r="2453">
      <c r="A2453" s="141"/>
      <c r="B2453" s="141"/>
      <c r="C2453" s="141"/>
      <c r="D2453" s="141"/>
      <c r="E2453" s="141"/>
      <c r="F2453" s="141"/>
      <c r="G2453" s="141"/>
      <c r="H2453" s="141"/>
      <c r="I2453" s="141"/>
      <c r="J2453" s="141"/>
      <c r="K2453" s="141"/>
      <c r="L2453" s="141"/>
      <c r="M2453" s="141"/>
      <c r="N2453" s="141"/>
      <c r="O2453" s="141"/>
      <c r="P2453" s="141"/>
      <c r="Q2453" s="141"/>
      <c r="R2453" s="141"/>
      <c r="S2453" s="141"/>
      <c r="T2453" s="141"/>
      <c r="U2453" s="141"/>
      <c r="V2453" s="141"/>
      <c r="W2453" s="141"/>
      <c r="X2453" s="141"/>
      <c r="Y2453" s="141"/>
      <c r="Z2453" s="141"/>
    </row>
    <row r="2454">
      <c r="A2454" s="141"/>
      <c r="B2454" s="141"/>
      <c r="C2454" s="141"/>
      <c r="D2454" s="141"/>
      <c r="E2454" s="141"/>
      <c r="F2454" s="141"/>
      <c r="G2454" s="141"/>
      <c r="H2454" s="141"/>
      <c r="I2454" s="141"/>
      <c r="J2454" s="141"/>
      <c r="K2454" s="141"/>
      <c r="L2454" s="141"/>
      <c r="M2454" s="141"/>
      <c r="N2454" s="141"/>
      <c r="O2454" s="141"/>
      <c r="P2454" s="141"/>
      <c r="Q2454" s="141"/>
      <c r="R2454" s="141"/>
      <c r="S2454" s="141"/>
      <c r="T2454" s="141"/>
      <c r="U2454" s="141"/>
      <c r="V2454" s="141"/>
      <c r="W2454" s="141"/>
      <c r="X2454" s="141"/>
      <c r="Y2454" s="141"/>
      <c r="Z2454" s="141"/>
    </row>
    <row r="2455">
      <c r="A2455" s="141"/>
      <c r="B2455" s="141"/>
      <c r="C2455" s="141"/>
      <c r="D2455" s="141"/>
      <c r="E2455" s="141"/>
      <c r="F2455" s="141"/>
      <c r="G2455" s="141"/>
      <c r="H2455" s="141"/>
      <c r="I2455" s="141"/>
      <c r="J2455" s="141"/>
      <c r="K2455" s="141"/>
      <c r="L2455" s="141"/>
      <c r="M2455" s="141"/>
      <c r="N2455" s="141"/>
      <c r="O2455" s="141"/>
      <c r="P2455" s="141"/>
      <c r="Q2455" s="141"/>
      <c r="R2455" s="141"/>
      <c r="S2455" s="141"/>
      <c r="T2455" s="141"/>
      <c r="U2455" s="141"/>
      <c r="V2455" s="141"/>
      <c r="W2455" s="141"/>
      <c r="X2455" s="141"/>
      <c r="Y2455" s="141"/>
      <c r="Z2455" s="141"/>
    </row>
    <row r="2456">
      <c r="A2456" s="141"/>
      <c r="B2456" s="141"/>
      <c r="C2456" s="141"/>
      <c r="D2456" s="141"/>
      <c r="E2456" s="141"/>
      <c r="F2456" s="141"/>
      <c r="G2456" s="141"/>
      <c r="H2456" s="141"/>
      <c r="I2456" s="141"/>
      <c r="J2456" s="141"/>
      <c r="K2456" s="141"/>
      <c r="L2456" s="141"/>
      <c r="M2456" s="141"/>
      <c r="N2456" s="141"/>
      <c r="O2456" s="141"/>
      <c r="P2456" s="141"/>
      <c r="Q2456" s="141"/>
      <c r="R2456" s="141"/>
      <c r="S2456" s="141"/>
      <c r="T2456" s="141"/>
      <c r="U2456" s="141"/>
      <c r="V2456" s="141"/>
      <c r="W2456" s="141"/>
      <c r="X2456" s="141"/>
      <c r="Y2456" s="141"/>
      <c r="Z2456" s="141"/>
    </row>
    <row r="2457">
      <c r="A2457" s="141"/>
      <c r="B2457" s="141"/>
      <c r="C2457" s="141"/>
      <c r="D2457" s="141"/>
      <c r="E2457" s="141"/>
      <c r="F2457" s="141"/>
      <c r="G2457" s="141"/>
      <c r="H2457" s="141"/>
      <c r="I2457" s="141"/>
      <c r="J2457" s="141"/>
      <c r="K2457" s="141"/>
      <c r="L2457" s="141"/>
      <c r="M2457" s="141"/>
      <c r="N2457" s="141"/>
      <c r="O2457" s="141"/>
      <c r="P2457" s="141"/>
      <c r="Q2457" s="141"/>
      <c r="R2457" s="141"/>
      <c r="S2457" s="141"/>
      <c r="T2457" s="141"/>
      <c r="U2457" s="141"/>
      <c r="V2457" s="141"/>
      <c r="W2457" s="141"/>
      <c r="X2457" s="141"/>
      <c r="Y2457" s="141"/>
      <c r="Z2457" s="141"/>
    </row>
    <row r="2458">
      <c r="A2458" s="141"/>
      <c r="B2458" s="141"/>
      <c r="C2458" s="141"/>
      <c r="D2458" s="141"/>
      <c r="E2458" s="141"/>
      <c r="F2458" s="141"/>
      <c r="G2458" s="141"/>
      <c r="H2458" s="141"/>
      <c r="I2458" s="141"/>
      <c r="J2458" s="141"/>
      <c r="K2458" s="141"/>
      <c r="L2458" s="141"/>
      <c r="M2458" s="141"/>
      <c r="N2458" s="141"/>
      <c r="O2458" s="141"/>
      <c r="P2458" s="141"/>
      <c r="Q2458" s="141"/>
      <c r="R2458" s="141"/>
      <c r="S2458" s="141"/>
      <c r="T2458" s="141"/>
      <c r="U2458" s="141"/>
      <c r="V2458" s="141"/>
      <c r="W2458" s="141"/>
      <c r="X2458" s="141"/>
      <c r="Y2458" s="141"/>
      <c r="Z2458" s="141"/>
    </row>
    <row r="2459">
      <c r="A2459" s="141"/>
      <c r="B2459" s="141"/>
      <c r="C2459" s="141"/>
      <c r="D2459" s="141"/>
      <c r="E2459" s="141"/>
      <c r="F2459" s="141"/>
      <c r="G2459" s="141"/>
      <c r="H2459" s="141"/>
      <c r="I2459" s="141"/>
      <c r="J2459" s="141"/>
      <c r="K2459" s="141"/>
      <c r="L2459" s="141"/>
      <c r="M2459" s="141"/>
      <c r="N2459" s="141"/>
      <c r="O2459" s="141"/>
      <c r="P2459" s="141"/>
      <c r="Q2459" s="141"/>
      <c r="R2459" s="141"/>
      <c r="S2459" s="141"/>
      <c r="T2459" s="141"/>
      <c r="U2459" s="141"/>
      <c r="V2459" s="141"/>
      <c r="W2459" s="141"/>
      <c r="X2459" s="141"/>
      <c r="Y2459" s="141"/>
      <c r="Z2459" s="141"/>
    </row>
    <row r="2460">
      <c r="A2460" s="141"/>
      <c r="B2460" s="141"/>
      <c r="C2460" s="141"/>
      <c r="D2460" s="141"/>
      <c r="E2460" s="141"/>
      <c r="F2460" s="141"/>
      <c r="G2460" s="141"/>
      <c r="H2460" s="141"/>
      <c r="I2460" s="141"/>
      <c r="J2460" s="141"/>
      <c r="K2460" s="141"/>
      <c r="L2460" s="141"/>
      <c r="M2460" s="141"/>
      <c r="N2460" s="141"/>
      <c r="O2460" s="141"/>
      <c r="P2460" s="141"/>
      <c r="Q2460" s="141"/>
      <c r="R2460" s="141"/>
      <c r="S2460" s="141"/>
      <c r="T2460" s="141"/>
      <c r="U2460" s="141"/>
      <c r="V2460" s="141"/>
      <c r="W2460" s="141"/>
      <c r="X2460" s="141"/>
      <c r="Y2460" s="141"/>
      <c r="Z2460" s="141"/>
    </row>
    <row r="2461">
      <c r="A2461" s="141"/>
      <c r="B2461" s="141"/>
      <c r="C2461" s="141"/>
      <c r="D2461" s="141"/>
      <c r="E2461" s="141"/>
      <c r="F2461" s="141"/>
      <c r="G2461" s="141"/>
      <c r="H2461" s="141"/>
      <c r="I2461" s="141"/>
      <c r="J2461" s="141"/>
      <c r="K2461" s="141"/>
      <c r="L2461" s="141"/>
      <c r="M2461" s="141"/>
      <c r="N2461" s="141"/>
      <c r="O2461" s="141"/>
      <c r="P2461" s="141"/>
      <c r="Q2461" s="141"/>
      <c r="R2461" s="141"/>
      <c r="S2461" s="141"/>
      <c r="T2461" s="141"/>
      <c r="U2461" s="141"/>
      <c r="V2461" s="141"/>
      <c r="W2461" s="141"/>
      <c r="X2461" s="141"/>
      <c r="Y2461" s="141"/>
      <c r="Z2461" s="141"/>
    </row>
    <row r="2462">
      <c r="A2462" s="141"/>
      <c r="B2462" s="141"/>
      <c r="C2462" s="141"/>
      <c r="D2462" s="141"/>
      <c r="E2462" s="141"/>
      <c r="F2462" s="141"/>
      <c r="G2462" s="141"/>
      <c r="H2462" s="141"/>
      <c r="I2462" s="141"/>
      <c r="J2462" s="141"/>
      <c r="K2462" s="141"/>
      <c r="L2462" s="141"/>
      <c r="M2462" s="141"/>
      <c r="N2462" s="141"/>
      <c r="O2462" s="141"/>
      <c r="P2462" s="141"/>
      <c r="Q2462" s="141"/>
      <c r="R2462" s="141"/>
      <c r="S2462" s="141"/>
      <c r="T2462" s="141"/>
      <c r="U2462" s="141"/>
      <c r="V2462" s="141"/>
      <c r="W2462" s="141"/>
      <c r="X2462" s="141"/>
      <c r="Y2462" s="141"/>
      <c r="Z2462" s="141"/>
    </row>
    <row r="2463">
      <c r="A2463" s="141"/>
      <c r="B2463" s="141"/>
      <c r="C2463" s="141"/>
      <c r="D2463" s="141"/>
      <c r="E2463" s="141"/>
      <c r="F2463" s="141"/>
      <c r="G2463" s="141"/>
      <c r="H2463" s="141"/>
      <c r="I2463" s="141"/>
      <c r="J2463" s="141"/>
      <c r="K2463" s="141"/>
      <c r="L2463" s="141"/>
      <c r="M2463" s="141"/>
      <c r="N2463" s="141"/>
      <c r="O2463" s="141"/>
      <c r="P2463" s="141"/>
      <c r="Q2463" s="141"/>
      <c r="R2463" s="141"/>
      <c r="S2463" s="141"/>
      <c r="T2463" s="141"/>
      <c r="U2463" s="141"/>
      <c r="V2463" s="141"/>
      <c r="W2463" s="141"/>
      <c r="X2463" s="141"/>
      <c r="Y2463" s="141"/>
      <c r="Z2463" s="141"/>
    </row>
    <row r="2464">
      <c r="A2464" s="141"/>
      <c r="B2464" s="141"/>
      <c r="C2464" s="141"/>
      <c r="D2464" s="141"/>
      <c r="E2464" s="141"/>
      <c r="F2464" s="141"/>
      <c r="G2464" s="141"/>
      <c r="H2464" s="141"/>
      <c r="I2464" s="141"/>
      <c r="J2464" s="141"/>
      <c r="K2464" s="141"/>
      <c r="L2464" s="141"/>
      <c r="M2464" s="141"/>
      <c r="N2464" s="141"/>
      <c r="O2464" s="141"/>
      <c r="P2464" s="141"/>
      <c r="Q2464" s="141"/>
      <c r="R2464" s="141"/>
      <c r="S2464" s="141"/>
      <c r="T2464" s="141"/>
      <c r="U2464" s="141"/>
      <c r="V2464" s="141"/>
      <c r="W2464" s="141"/>
      <c r="X2464" s="141"/>
      <c r="Y2464" s="141"/>
      <c r="Z2464" s="141"/>
    </row>
    <row r="2465">
      <c r="A2465" s="141"/>
      <c r="B2465" s="141"/>
      <c r="C2465" s="141"/>
      <c r="D2465" s="141"/>
      <c r="E2465" s="141"/>
      <c r="F2465" s="141"/>
      <c r="G2465" s="141"/>
      <c r="H2465" s="141"/>
      <c r="I2465" s="141"/>
      <c r="J2465" s="141"/>
      <c r="K2465" s="141"/>
      <c r="L2465" s="141"/>
      <c r="M2465" s="141"/>
      <c r="N2465" s="141"/>
      <c r="O2465" s="141"/>
      <c r="P2465" s="141"/>
      <c r="Q2465" s="141"/>
      <c r="R2465" s="141"/>
      <c r="S2465" s="141"/>
      <c r="T2465" s="141"/>
      <c r="U2465" s="141"/>
      <c r="V2465" s="141"/>
      <c r="W2465" s="141"/>
      <c r="X2465" s="141"/>
      <c r="Y2465" s="141"/>
      <c r="Z2465" s="141"/>
    </row>
    <row r="2466">
      <c r="A2466" s="141"/>
      <c r="B2466" s="141"/>
      <c r="C2466" s="141"/>
      <c r="D2466" s="141"/>
      <c r="E2466" s="141"/>
      <c r="F2466" s="141"/>
      <c r="G2466" s="141"/>
      <c r="H2466" s="141"/>
      <c r="I2466" s="141"/>
      <c r="J2466" s="141"/>
      <c r="K2466" s="141"/>
      <c r="L2466" s="141"/>
      <c r="M2466" s="141"/>
      <c r="N2466" s="141"/>
      <c r="O2466" s="141"/>
      <c r="P2466" s="141"/>
      <c r="Q2466" s="141"/>
      <c r="R2466" s="141"/>
      <c r="S2466" s="141"/>
      <c r="T2466" s="141"/>
      <c r="U2466" s="141"/>
      <c r="V2466" s="141"/>
      <c r="W2466" s="141"/>
      <c r="X2466" s="141"/>
      <c r="Y2466" s="141"/>
      <c r="Z2466" s="141"/>
    </row>
    <row r="2467">
      <c r="A2467" s="141"/>
      <c r="B2467" s="141"/>
      <c r="C2467" s="141"/>
      <c r="D2467" s="141"/>
      <c r="E2467" s="141"/>
      <c r="F2467" s="141"/>
      <c r="G2467" s="141"/>
      <c r="H2467" s="141"/>
      <c r="I2467" s="141"/>
      <c r="J2467" s="141"/>
      <c r="K2467" s="141"/>
      <c r="L2467" s="141"/>
      <c r="M2467" s="141"/>
      <c r="N2467" s="141"/>
      <c r="O2467" s="141"/>
      <c r="P2467" s="141"/>
      <c r="Q2467" s="141"/>
      <c r="R2467" s="141"/>
      <c r="S2467" s="141"/>
      <c r="T2467" s="141"/>
      <c r="U2467" s="141"/>
      <c r="V2467" s="141"/>
      <c r="W2467" s="141"/>
      <c r="X2467" s="141"/>
      <c r="Y2467" s="141"/>
      <c r="Z2467" s="141"/>
    </row>
    <row r="2468">
      <c r="A2468" s="141"/>
      <c r="B2468" s="141"/>
      <c r="C2468" s="141"/>
      <c r="D2468" s="141"/>
      <c r="E2468" s="141"/>
      <c r="F2468" s="141"/>
      <c r="G2468" s="141"/>
      <c r="H2468" s="141"/>
      <c r="I2468" s="141"/>
      <c r="J2468" s="141"/>
      <c r="K2468" s="141"/>
      <c r="L2468" s="141"/>
      <c r="M2468" s="141"/>
      <c r="N2468" s="141"/>
      <c r="O2468" s="141"/>
      <c r="P2468" s="141"/>
      <c r="Q2468" s="141"/>
      <c r="R2468" s="141"/>
      <c r="S2468" s="141"/>
      <c r="T2468" s="141"/>
      <c r="U2468" s="141"/>
      <c r="V2468" s="141"/>
      <c r="W2468" s="141"/>
      <c r="X2468" s="141"/>
      <c r="Y2468" s="141"/>
      <c r="Z2468" s="141"/>
    </row>
    <row r="2469">
      <c r="A2469" s="141"/>
      <c r="B2469" s="141"/>
      <c r="C2469" s="141"/>
      <c r="D2469" s="141"/>
      <c r="E2469" s="141"/>
      <c r="F2469" s="141"/>
      <c r="G2469" s="141"/>
      <c r="H2469" s="141"/>
      <c r="I2469" s="141"/>
      <c r="J2469" s="141"/>
      <c r="K2469" s="141"/>
      <c r="L2469" s="141"/>
      <c r="M2469" s="141"/>
      <c r="N2469" s="141"/>
      <c r="O2469" s="141"/>
      <c r="P2469" s="141"/>
      <c r="Q2469" s="141"/>
      <c r="R2469" s="141"/>
      <c r="S2469" s="141"/>
      <c r="T2469" s="141"/>
      <c r="U2469" s="141"/>
      <c r="V2469" s="141"/>
      <c r="W2469" s="141"/>
      <c r="X2469" s="141"/>
      <c r="Y2469" s="141"/>
      <c r="Z2469" s="141"/>
    </row>
    <row r="2470">
      <c r="A2470" s="141"/>
      <c r="B2470" s="141"/>
      <c r="C2470" s="141"/>
      <c r="D2470" s="141"/>
      <c r="E2470" s="141"/>
      <c r="F2470" s="141"/>
      <c r="G2470" s="141"/>
      <c r="H2470" s="141"/>
      <c r="I2470" s="141"/>
      <c r="J2470" s="141"/>
      <c r="K2470" s="141"/>
      <c r="L2470" s="141"/>
      <c r="M2470" s="141"/>
      <c r="N2470" s="141"/>
      <c r="O2470" s="141"/>
      <c r="P2470" s="141"/>
      <c r="Q2470" s="141"/>
      <c r="R2470" s="141"/>
      <c r="S2470" s="141"/>
      <c r="T2470" s="141"/>
      <c r="U2470" s="141"/>
      <c r="V2470" s="141"/>
      <c r="W2470" s="141"/>
      <c r="X2470" s="141"/>
      <c r="Y2470" s="141"/>
      <c r="Z2470" s="141"/>
    </row>
    <row r="2471">
      <c r="A2471" s="141"/>
      <c r="B2471" s="141"/>
      <c r="C2471" s="141"/>
      <c r="D2471" s="141"/>
      <c r="E2471" s="141"/>
      <c r="F2471" s="141"/>
      <c r="G2471" s="141"/>
      <c r="H2471" s="141"/>
      <c r="I2471" s="141"/>
      <c r="J2471" s="141"/>
      <c r="K2471" s="141"/>
      <c r="L2471" s="141"/>
      <c r="M2471" s="141"/>
      <c r="N2471" s="141"/>
      <c r="O2471" s="141"/>
      <c r="P2471" s="141"/>
      <c r="Q2471" s="141"/>
      <c r="R2471" s="141"/>
      <c r="S2471" s="141"/>
      <c r="T2471" s="141"/>
      <c r="U2471" s="141"/>
      <c r="V2471" s="141"/>
      <c r="W2471" s="141"/>
      <c r="X2471" s="141"/>
      <c r="Y2471" s="141"/>
      <c r="Z2471" s="141"/>
    </row>
    <row r="2472">
      <c r="A2472" s="141"/>
      <c r="B2472" s="141"/>
      <c r="C2472" s="141"/>
      <c r="D2472" s="141"/>
      <c r="E2472" s="141"/>
      <c r="F2472" s="141"/>
      <c r="G2472" s="141"/>
      <c r="H2472" s="141"/>
      <c r="I2472" s="141"/>
      <c r="J2472" s="141"/>
      <c r="K2472" s="141"/>
      <c r="L2472" s="141"/>
      <c r="M2472" s="141"/>
      <c r="N2472" s="141"/>
      <c r="O2472" s="141"/>
      <c r="P2472" s="141"/>
      <c r="Q2472" s="141"/>
      <c r="R2472" s="141"/>
      <c r="S2472" s="141"/>
      <c r="T2472" s="141"/>
      <c r="U2472" s="141"/>
      <c r="V2472" s="141"/>
      <c r="W2472" s="141"/>
      <c r="X2472" s="141"/>
      <c r="Y2472" s="141"/>
      <c r="Z2472" s="141"/>
    </row>
    <row r="2473">
      <c r="A2473" s="141"/>
      <c r="B2473" s="141"/>
      <c r="C2473" s="141"/>
      <c r="D2473" s="141"/>
      <c r="E2473" s="141"/>
      <c r="F2473" s="141"/>
      <c r="G2473" s="141"/>
      <c r="H2473" s="141"/>
      <c r="I2473" s="141"/>
      <c r="J2473" s="141"/>
      <c r="K2473" s="141"/>
      <c r="L2473" s="141"/>
      <c r="M2473" s="141"/>
      <c r="N2473" s="141"/>
      <c r="O2473" s="141"/>
      <c r="P2473" s="141"/>
      <c r="Q2473" s="141"/>
      <c r="R2473" s="141"/>
      <c r="S2473" s="141"/>
      <c r="T2473" s="141"/>
      <c r="U2473" s="141"/>
      <c r="V2473" s="141"/>
      <c r="W2473" s="141"/>
      <c r="X2473" s="141"/>
      <c r="Y2473" s="141"/>
      <c r="Z2473" s="141"/>
    </row>
    <row r="2474">
      <c r="A2474" s="141"/>
      <c r="B2474" s="141"/>
      <c r="C2474" s="141"/>
      <c r="D2474" s="141"/>
      <c r="E2474" s="141"/>
      <c r="F2474" s="141"/>
      <c r="G2474" s="141"/>
      <c r="H2474" s="141"/>
      <c r="I2474" s="141"/>
      <c r="J2474" s="141"/>
      <c r="K2474" s="141"/>
      <c r="L2474" s="141"/>
      <c r="M2474" s="141"/>
      <c r="N2474" s="141"/>
      <c r="O2474" s="141"/>
      <c r="P2474" s="141"/>
      <c r="Q2474" s="141"/>
      <c r="R2474" s="141"/>
      <c r="S2474" s="141"/>
      <c r="T2474" s="141"/>
      <c r="U2474" s="141"/>
      <c r="V2474" s="141"/>
      <c r="W2474" s="141"/>
      <c r="X2474" s="141"/>
      <c r="Y2474" s="141"/>
      <c r="Z2474" s="141"/>
    </row>
    <row r="2475">
      <c r="A2475" s="141"/>
      <c r="B2475" s="141"/>
      <c r="C2475" s="141"/>
      <c r="D2475" s="141"/>
      <c r="E2475" s="141"/>
      <c r="F2475" s="141"/>
      <c r="G2475" s="141"/>
      <c r="H2475" s="141"/>
      <c r="I2475" s="141"/>
      <c r="J2475" s="141"/>
      <c r="K2475" s="141"/>
      <c r="L2475" s="141"/>
      <c r="M2475" s="141"/>
      <c r="N2475" s="141"/>
      <c r="O2475" s="141"/>
      <c r="P2475" s="141"/>
      <c r="Q2475" s="141"/>
      <c r="R2475" s="141"/>
      <c r="S2475" s="141"/>
      <c r="T2475" s="141"/>
      <c r="U2475" s="141"/>
      <c r="V2475" s="141"/>
      <c r="W2475" s="141"/>
      <c r="X2475" s="141"/>
      <c r="Y2475" s="141"/>
      <c r="Z2475" s="141"/>
    </row>
    <row r="2476">
      <c r="A2476" s="141"/>
      <c r="B2476" s="141"/>
      <c r="C2476" s="141"/>
      <c r="D2476" s="141"/>
      <c r="E2476" s="141"/>
      <c r="F2476" s="141"/>
      <c r="G2476" s="141"/>
      <c r="H2476" s="141"/>
      <c r="I2476" s="141"/>
      <c r="J2476" s="141"/>
      <c r="K2476" s="141"/>
      <c r="L2476" s="141"/>
      <c r="M2476" s="141"/>
      <c r="N2476" s="141"/>
      <c r="O2476" s="141"/>
      <c r="P2476" s="141"/>
      <c r="Q2476" s="141"/>
      <c r="R2476" s="141"/>
      <c r="S2476" s="141"/>
      <c r="T2476" s="141"/>
      <c r="U2476" s="141"/>
      <c r="V2476" s="141"/>
      <c r="W2476" s="141"/>
      <c r="X2476" s="141"/>
      <c r="Y2476" s="141"/>
      <c r="Z2476" s="141"/>
    </row>
    <row r="2477">
      <c r="A2477" s="141"/>
      <c r="B2477" s="141"/>
      <c r="C2477" s="141"/>
      <c r="D2477" s="141"/>
      <c r="E2477" s="141"/>
      <c r="F2477" s="141"/>
      <c r="G2477" s="141"/>
      <c r="H2477" s="141"/>
      <c r="I2477" s="141"/>
      <c r="J2477" s="141"/>
      <c r="K2477" s="141"/>
      <c r="L2477" s="141"/>
      <c r="M2477" s="141"/>
      <c r="N2477" s="141"/>
      <c r="O2477" s="141"/>
      <c r="P2477" s="141"/>
      <c r="Q2477" s="141"/>
      <c r="R2477" s="141"/>
      <c r="S2477" s="141"/>
      <c r="T2477" s="141"/>
      <c r="U2477" s="141"/>
      <c r="V2477" s="141"/>
      <c r="W2477" s="141"/>
      <c r="X2477" s="141"/>
      <c r="Y2477" s="141"/>
      <c r="Z2477" s="141"/>
    </row>
    <row r="2478">
      <c r="A2478" s="141"/>
      <c r="B2478" s="141"/>
      <c r="C2478" s="141"/>
      <c r="D2478" s="141"/>
      <c r="E2478" s="141"/>
      <c r="F2478" s="141"/>
      <c r="G2478" s="141"/>
      <c r="H2478" s="141"/>
      <c r="I2478" s="141"/>
      <c r="J2478" s="141"/>
      <c r="K2478" s="141"/>
      <c r="L2478" s="141"/>
      <c r="M2478" s="141"/>
      <c r="N2478" s="141"/>
      <c r="O2478" s="141"/>
      <c r="P2478" s="141"/>
      <c r="Q2478" s="141"/>
      <c r="R2478" s="141"/>
      <c r="S2478" s="141"/>
      <c r="T2478" s="141"/>
      <c r="U2478" s="141"/>
      <c r="V2478" s="141"/>
      <c r="W2478" s="141"/>
      <c r="X2478" s="141"/>
      <c r="Y2478" s="141"/>
      <c r="Z2478" s="141"/>
    </row>
    <row r="2479">
      <c r="A2479" s="141"/>
      <c r="B2479" s="141"/>
      <c r="C2479" s="141"/>
      <c r="D2479" s="141"/>
      <c r="E2479" s="141"/>
      <c r="F2479" s="141"/>
      <c r="G2479" s="141"/>
      <c r="H2479" s="141"/>
      <c r="I2479" s="141"/>
      <c r="J2479" s="141"/>
      <c r="K2479" s="141"/>
      <c r="L2479" s="141"/>
      <c r="M2479" s="141"/>
      <c r="N2479" s="141"/>
      <c r="O2479" s="141"/>
      <c r="P2479" s="141"/>
      <c r="Q2479" s="141"/>
      <c r="R2479" s="141"/>
      <c r="S2479" s="141"/>
      <c r="T2479" s="141"/>
      <c r="U2479" s="141"/>
      <c r="V2479" s="141"/>
      <c r="W2479" s="141"/>
      <c r="X2479" s="141"/>
      <c r="Y2479" s="141"/>
      <c r="Z2479" s="141"/>
    </row>
    <row r="2480">
      <c r="A2480" s="141"/>
      <c r="B2480" s="141"/>
      <c r="C2480" s="141"/>
      <c r="D2480" s="141"/>
      <c r="E2480" s="141"/>
      <c r="F2480" s="141"/>
      <c r="G2480" s="141"/>
      <c r="H2480" s="141"/>
      <c r="I2480" s="141"/>
      <c r="J2480" s="141"/>
      <c r="K2480" s="141"/>
      <c r="L2480" s="141"/>
      <c r="M2480" s="141"/>
      <c r="N2480" s="141"/>
      <c r="O2480" s="141"/>
      <c r="P2480" s="141"/>
      <c r="Q2480" s="141"/>
      <c r="R2480" s="141"/>
      <c r="S2480" s="141"/>
      <c r="T2480" s="141"/>
      <c r="U2480" s="141"/>
      <c r="V2480" s="141"/>
      <c r="W2480" s="141"/>
      <c r="X2480" s="141"/>
      <c r="Y2480" s="141"/>
      <c r="Z2480" s="141"/>
    </row>
    <row r="2481">
      <c r="A2481" s="141"/>
      <c r="B2481" s="141"/>
      <c r="C2481" s="141"/>
      <c r="D2481" s="141"/>
      <c r="E2481" s="141"/>
      <c r="F2481" s="141"/>
      <c r="G2481" s="141"/>
      <c r="H2481" s="141"/>
      <c r="I2481" s="141"/>
      <c r="J2481" s="141"/>
      <c r="K2481" s="141"/>
      <c r="L2481" s="141"/>
      <c r="M2481" s="141"/>
      <c r="N2481" s="141"/>
      <c r="O2481" s="141"/>
      <c r="P2481" s="141"/>
      <c r="Q2481" s="141"/>
      <c r="R2481" s="141"/>
      <c r="S2481" s="141"/>
      <c r="T2481" s="141"/>
      <c r="U2481" s="141"/>
      <c r="V2481" s="141"/>
      <c r="W2481" s="141"/>
      <c r="X2481" s="141"/>
      <c r="Y2481" s="141"/>
      <c r="Z2481" s="141"/>
    </row>
    <row r="2482">
      <c r="A2482" s="141"/>
      <c r="B2482" s="141"/>
      <c r="C2482" s="141"/>
      <c r="D2482" s="141"/>
      <c r="E2482" s="141"/>
      <c r="F2482" s="141"/>
      <c r="G2482" s="141"/>
      <c r="H2482" s="141"/>
      <c r="I2482" s="141"/>
      <c r="J2482" s="141"/>
      <c r="K2482" s="141"/>
      <c r="L2482" s="141"/>
      <c r="M2482" s="141"/>
      <c r="N2482" s="141"/>
      <c r="O2482" s="141"/>
      <c r="P2482" s="141"/>
      <c r="Q2482" s="141"/>
      <c r="R2482" s="141"/>
      <c r="S2482" s="141"/>
      <c r="T2482" s="141"/>
      <c r="U2482" s="141"/>
      <c r="V2482" s="141"/>
      <c r="W2482" s="141"/>
      <c r="X2482" s="141"/>
      <c r="Y2482" s="141"/>
      <c r="Z2482" s="141"/>
    </row>
    <row r="2483">
      <c r="A2483" s="141"/>
      <c r="B2483" s="141"/>
      <c r="C2483" s="141"/>
      <c r="D2483" s="141"/>
      <c r="E2483" s="141"/>
      <c r="F2483" s="141"/>
      <c r="G2483" s="141"/>
      <c r="H2483" s="141"/>
      <c r="I2483" s="141"/>
      <c r="J2483" s="141"/>
      <c r="K2483" s="141"/>
      <c r="L2483" s="141"/>
      <c r="M2483" s="141"/>
      <c r="N2483" s="141"/>
      <c r="O2483" s="141"/>
      <c r="P2483" s="141"/>
      <c r="Q2483" s="141"/>
      <c r="R2483" s="141"/>
      <c r="S2483" s="141"/>
      <c r="T2483" s="141"/>
      <c r="U2483" s="141"/>
      <c r="V2483" s="141"/>
      <c r="W2483" s="141"/>
      <c r="X2483" s="141"/>
      <c r="Y2483" s="141"/>
      <c r="Z2483" s="141"/>
    </row>
    <row r="2484">
      <c r="A2484" s="141"/>
      <c r="B2484" s="141"/>
      <c r="C2484" s="141"/>
      <c r="D2484" s="141"/>
      <c r="E2484" s="141"/>
      <c r="F2484" s="141"/>
      <c r="G2484" s="141"/>
      <c r="H2484" s="141"/>
      <c r="I2484" s="141"/>
      <c r="J2484" s="141"/>
      <c r="K2484" s="141"/>
      <c r="L2484" s="141"/>
      <c r="M2484" s="141"/>
      <c r="N2484" s="141"/>
      <c r="O2484" s="141"/>
      <c r="P2484" s="141"/>
      <c r="Q2484" s="141"/>
      <c r="R2484" s="141"/>
      <c r="S2484" s="141"/>
      <c r="T2484" s="141"/>
      <c r="U2484" s="141"/>
      <c r="V2484" s="141"/>
      <c r="W2484" s="141"/>
      <c r="X2484" s="141"/>
      <c r="Y2484" s="141"/>
      <c r="Z2484" s="141"/>
    </row>
    <row r="2485">
      <c r="A2485" s="141"/>
      <c r="B2485" s="141"/>
      <c r="C2485" s="141"/>
      <c r="D2485" s="141"/>
      <c r="E2485" s="141"/>
      <c r="F2485" s="141"/>
      <c r="G2485" s="141"/>
      <c r="H2485" s="141"/>
      <c r="I2485" s="141"/>
      <c r="J2485" s="141"/>
      <c r="K2485" s="141"/>
      <c r="L2485" s="141"/>
      <c r="M2485" s="141"/>
      <c r="N2485" s="141"/>
      <c r="O2485" s="141"/>
      <c r="P2485" s="141"/>
      <c r="Q2485" s="141"/>
      <c r="R2485" s="141"/>
      <c r="S2485" s="141"/>
      <c r="T2485" s="141"/>
      <c r="U2485" s="141"/>
      <c r="V2485" s="141"/>
      <c r="W2485" s="141"/>
      <c r="X2485" s="141"/>
      <c r="Y2485" s="141"/>
      <c r="Z2485" s="141"/>
    </row>
    <row r="2486">
      <c r="A2486" s="141"/>
      <c r="B2486" s="141"/>
      <c r="C2486" s="141"/>
      <c r="D2486" s="141"/>
      <c r="E2486" s="141"/>
      <c r="F2486" s="141"/>
      <c r="G2486" s="141"/>
      <c r="H2486" s="141"/>
      <c r="I2486" s="141"/>
      <c r="J2486" s="141"/>
      <c r="K2486" s="141"/>
      <c r="L2486" s="141"/>
      <c r="M2486" s="141"/>
      <c r="N2486" s="141"/>
      <c r="O2486" s="141"/>
      <c r="P2486" s="141"/>
      <c r="Q2486" s="141"/>
      <c r="R2486" s="141"/>
      <c r="S2486" s="141"/>
      <c r="T2486" s="141"/>
      <c r="U2486" s="141"/>
      <c r="V2486" s="141"/>
      <c r="W2486" s="141"/>
      <c r="X2486" s="141"/>
      <c r="Y2486" s="141"/>
      <c r="Z2486" s="141"/>
    </row>
    <row r="2487">
      <c r="A2487" s="141"/>
      <c r="B2487" s="141"/>
      <c r="C2487" s="141"/>
      <c r="D2487" s="141"/>
      <c r="E2487" s="141"/>
      <c r="F2487" s="141"/>
      <c r="G2487" s="141"/>
      <c r="H2487" s="141"/>
      <c r="I2487" s="141"/>
      <c r="J2487" s="141"/>
      <c r="K2487" s="141"/>
      <c r="L2487" s="141"/>
      <c r="M2487" s="141"/>
      <c r="N2487" s="141"/>
      <c r="O2487" s="141"/>
      <c r="P2487" s="141"/>
      <c r="Q2487" s="141"/>
      <c r="R2487" s="141"/>
      <c r="S2487" s="141"/>
      <c r="T2487" s="141"/>
      <c r="U2487" s="141"/>
      <c r="V2487" s="141"/>
      <c r="W2487" s="141"/>
      <c r="X2487" s="141"/>
      <c r="Y2487" s="141"/>
      <c r="Z2487" s="141"/>
    </row>
    <row r="2488">
      <c r="A2488" s="141"/>
      <c r="B2488" s="141"/>
      <c r="C2488" s="141"/>
      <c r="D2488" s="141"/>
      <c r="E2488" s="141"/>
      <c r="F2488" s="141"/>
      <c r="G2488" s="141"/>
      <c r="H2488" s="141"/>
      <c r="I2488" s="141"/>
      <c r="J2488" s="141"/>
      <c r="K2488" s="141"/>
      <c r="L2488" s="141"/>
      <c r="M2488" s="141"/>
      <c r="N2488" s="141"/>
      <c r="O2488" s="141"/>
      <c r="P2488" s="141"/>
      <c r="Q2488" s="141"/>
      <c r="R2488" s="141"/>
      <c r="S2488" s="141"/>
      <c r="T2488" s="141"/>
      <c r="U2488" s="141"/>
      <c r="V2488" s="141"/>
      <c r="W2488" s="141"/>
      <c r="X2488" s="141"/>
      <c r="Y2488" s="141"/>
      <c r="Z2488" s="141"/>
    </row>
    <row r="2489">
      <c r="A2489" s="141"/>
      <c r="B2489" s="141"/>
      <c r="C2489" s="141"/>
      <c r="D2489" s="141"/>
      <c r="E2489" s="141"/>
      <c r="F2489" s="141"/>
      <c r="G2489" s="141"/>
      <c r="H2489" s="141"/>
      <c r="I2489" s="141"/>
      <c r="J2489" s="141"/>
      <c r="K2489" s="141"/>
      <c r="L2489" s="141"/>
      <c r="M2489" s="141"/>
      <c r="N2489" s="141"/>
      <c r="O2489" s="141"/>
      <c r="P2489" s="141"/>
      <c r="Q2489" s="141"/>
      <c r="R2489" s="141"/>
      <c r="S2489" s="141"/>
      <c r="T2489" s="141"/>
      <c r="U2489" s="141"/>
      <c r="V2489" s="141"/>
      <c r="W2489" s="141"/>
      <c r="X2489" s="141"/>
      <c r="Y2489" s="141"/>
      <c r="Z2489" s="141"/>
    </row>
    <row r="2490">
      <c r="A2490" s="141"/>
      <c r="B2490" s="141"/>
      <c r="C2490" s="141"/>
      <c r="D2490" s="141"/>
      <c r="E2490" s="141"/>
      <c r="F2490" s="141"/>
      <c r="G2490" s="141"/>
      <c r="H2490" s="141"/>
      <c r="I2490" s="141"/>
      <c r="J2490" s="141"/>
      <c r="K2490" s="141"/>
      <c r="L2490" s="141"/>
      <c r="M2490" s="141"/>
      <c r="N2490" s="141"/>
      <c r="O2490" s="141"/>
      <c r="P2490" s="141"/>
      <c r="Q2490" s="141"/>
      <c r="R2490" s="141"/>
      <c r="S2490" s="141"/>
      <c r="T2490" s="141"/>
      <c r="U2490" s="141"/>
      <c r="V2490" s="141"/>
      <c r="W2490" s="141"/>
      <c r="X2490" s="141"/>
      <c r="Y2490" s="141"/>
      <c r="Z2490" s="141"/>
    </row>
    <row r="2491">
      <c r="A2491" s="141"/>
      <c r="B2491" s="141"/>
      <c r="C2491" s="141"/>
      <c r="D2491" s="141"/>
      <c r="E2491" s="141"/>
      <c r="F2491" s="141"/>
      <c r="G2491" s="141"/>
      <c r="H2491" s="141"/>
      <c r="I2491" s="141"/>
      <c r="J2491" s="141"/>
      <c r="K2491" s="141"/>
      <c r="L2491" s="141"/>
      <c r="M2491" s="141"/>
      <c r="N2491" s="141"/>
      <c r="O2491" s="141"/>
      <c r="P2491" s="141"/>
      <c r="Q2491" s="141"/>
      <c r="R2491" s="141"/>
      <c r="S2491" s="141"/>
      <c r="T2491" s="141"/>
      <c r="U2491" s="141"/>
      <c r="V2491" s="141"/>
      <c r="W2491" s="141"/>
      <c r="X2491" s="141"/>
      <c r="Y2491" s="141"/>
      <c r="Z2491" s="141"/>
    </row>
    <row r="2492">
      <c r="A2492" s="141"/>
      <c r="B2492" s="141"/>
      <c r="C2492" s="141"/>
      <c r="D2492" s="141"/>
      <c r="E2492" s="141"/>
      <c r="F2492" s="141"/>
      <c r="G2492" s="141"/>
      <c r="H2492" s="141"/>
      <c r="I2492" s="141"/>
      <c r="J2492" s="141"/>
      <c r="K2492" s="141"/>
      <c r="L2492" s="141"/>
      <c r="M2492" s="141"/>
      <c r="N2492" s="141"/>
      <c r="O2492" s="141"/>
      <c r="P2492" s="141"/>
      <c r="Q2492" s="141"/>
      <c r="R2492" s="141"/>
      <c r="S2492" s="141"/>
      <c r="T2492" s="141"/>
      <c r="U2492" s="141"/>
      <c r="V2492" s="141"/>
      <c r="W2492" s="141"/>
      <c r="X2492" s="141"/>
      <c r="Y2492" s="141"/>
      <c r="Z2492" s="141"/>
    </row>
    <row r="2493">
      <c r="A2493" s="141"/>
      <c r="B2493" s="141"/>
      <c r="C2493" s="141"/>
      <c r="D2493" s="141"/>
      <c r="E2493" s="141"/>
      <c r="F2493" s="141"/>
      <c r="G2493" s="141"/>
      <c r="H2493" s="141"/>
      <c r="I2493" s="141"/>
      <c r="J2493" s="141"/>
      <c r="K2493" s="141"/>
      <c r="L2493" s="141"/>
      <c r="M2493" s="141"/>
      <c r="N2493" s="141"/>
      <c r="O2493" s="141"/>
      <c r="P2493" s="141"/>
      <c r="Q2493" s="141"/>
      <c r="R2493" s="141"/>
      <c r="S2493" s="141"/>
      <c r="T2493" s="141"/>
      <c r="U2493" s="141"/>
      <c r="V2493" s="141"/>
      <c r="W2493" s="141"/>
      <c r="X2493" s="141"/>
      <c r="Y2493" s="141"/>
      <c r="Z2493" s="141"/>
    </row>
    <row r="2494">
      <c r="A2494" s="141"/>
      <c r="B2494" s="141"/>
      <c r="C2494" s="141"/>
      <c r="D2494" s="141"/>
      <c r="E2494" s="141"/>
      <c r="F2494" s="141"/>
      <c r="G2494" s="141"/>
      <c r="H2494" s="141"/>
      <c r="I2494" s="141"/>
      <c r="J2494" s="141"/>
      <c r="K2494" s="141"/>
      <c r="L2494" s="141"/>
      <c r="M2494" s="141"/>
      <c r="N2494" s="141"/>
      <c r="O2494" s="141"/>
      <c r="P2494" s="141"/>
      <c r="Q2494" s="141"/>
      <c r="R2494" s="141"/>
      <c r="S2494" s="141"/>
      <c r="T2494" s="141"/>
      <c r="U2494" s="141"/>
      <c r="V2494" s="141"/>
      <c r="W2494" s="141"/>
      <c r="X2494" s="141"/>
      <c r="Y2494" s="141"/>
      <c r="Z2494" s="141"/>
    </row>
    <row r="2495">
      <c r="A2495" s="141"/>
      <c r="B2495" s="141"/>
      <c r="C2495" s="141"/>
      <c r="D2495" s="141"/>
      <c r="E2495" s="141"/>
      <c r="F2495" s="141"/>
      <c r="G2495" s="141"/>
      <c r="H2495" s="141"/>
      <c r="I2495" s="141"/>
      <c r="J2495" s="141"/>
      <c r="K2495" s="141"/>
      <c r="L2495" s="141"/>
      <c r="M2495" s="141"/>
      <c r="N2495" s="141"/>
      <c r="O2495" s="141"/>
      <c r="P2495" s="141"/>
      <c r="Q2495" s="141"/>
      <c r="R2495" s="141"/>
      <c r="S2495" s="141"/>
      <c r="T2495" s="141"/>
      <c r="U2495" s="141"/>
      <c r="V2495" s="141"/>
      <c r="W2495" s="141"/>
      <c r="X2495" s="141"/>
      <c r="Y2495" s="141"/>
      <c r="Z2495" s="141"/>
    </row>
    <row r="2496">
      <c r="A2496" s="141"/>
      <c r="B2496" s="141"/>
      <c r="C2496" s="141"/>
      <c r="D2496" s="141"/>
      <c r="E2496" s="141"/>
      <c r="F2496" s="141"/>
      <c r="G2496" s="141"/>
      <c r="H2496" s="141"/>
      <c r="I2496" s="141"/>
      <c r="J2496" s="141"/>
      <c r="K2496" s="141"/>
      <c r="L2496" s="141"/>
      <c r="M2496" s="141"/>
      <c r="N2496" s="141"/>
      <c r="O2496" s="141"/>
      <c r="P2496" s="141"/>
      <c r="Q2496" s="141"/>
      <c r="R2496" s="141"/>
      <c r="S2496" s="141"/>
      <c r="T2496" s="141"/>
      <c r="U2496" s="141"/>
      <c r="V2496" s="141"/>
      <c r="W2496" s="141"/>
      <c r="X2496" s="141"/>
      <c r="Y2496" s="141"/>
      <c r="Z2496" s="141"/>
    </row>
    <row r="2497">
      <c r="A2497" s="141"/>
      <c r="B2497" s="141"/>
      <c r="C2497" s="141"/>
      <c r="D2497" s="141"/>
      <c r="E2497" s="141"/>
      <c r="F2497" s="141"/>
      <c r="G2497" s="141"/>
      <c r="H2497" s="141"/>
      <c r="I2497" s="141"/>
      <c r="J2497" s="141"/>
      <c r="K2497" s="141"/>
      <c r="L2497" s="141"/>
      <c r="M2497" s="141"/>
      <c r="N2497" s="141"/>
      <c r="O2497" s="141"/>
      <c r="P2497" s="141"/>
      <c r="Q2497" s="141"/>
      <c r="R2497" s="141"/>
      <c r="S2497" s="141"/>
      <c r="T2497" s="141"/>
      <c r="U2497" s="141"/>
      <c r="V2497" s="141"/>
      <c r="W2497" s="141"/>
      <c r="X2497" s="141"/>
      <c r="Y2497" s="141"/>
      <c r="Z2497" s="141"/>
    </row>
    <row r="2498">
      <c r="A2498" s="141"/>
      <c r="B2498" s="141"/>
      <c r="C2498" s="141"/>
      <c r="D2498" s="141"/>
      <c r="E2498" s="141"/>
      <c r="F2498" s="141"/>
      <c r="G2498" s="141"/>
      <c r="H2498" s="141"/>
      <c r="I2498" s="141"/>
      <c r="J2498" s="141"/>
      <c r="K2498" s="141"/>
      <c r="L2498" s="141"/>
      <c r="M2498" s="141"/>
      <c r="N2498" s="141"/>
      <c r="O2498" s="141"/>
      <c r="P2498" s="141"/>
      <c r="Q2498" s="141"/>
      <c r="R2498" s="141"/>
      <c r="S2498" s="141"/>
      <c r="T2498" s="141"/>
      <c r="U2498" s="141"/>
      <c r="V2498" s="141"/>
      <c r="W2498" s="141"/>
      <c r="X2498" s="141"/>
      <c r="Y2498" s="141"/>
      <c r="Z2498" s="141"/>
    </row>
    <row r="2499">
      <c r="A2499" s="141"/>
      <c r="B2499" s="141"/>
      <c r="C2499" s="141"/>
      <c r="D2499" s="141"/>
      <c r="E2499" s="141"/>
      <c r="F2499" s="141"/>
      <c r="G2499" s="141"/>
      <c r="H2499" s="141"/>
      <c r="I2499" s="141"/>
      <c r="J2499" s="141"/>
      <c r="K2499" s="141"/>
      <c r="L2499" s="141"/>
      <c r="M2499" s="141"/>
      <c r="N2499" s="141"/>
      <c r="O2499" s="141"/>
      <c r="P2499" s="141"/>
      <c r="Q2499" s="141"/>
      <c r="R2499" s="141"/>
      <c r="S2499" s="141"/>
      <c r="T2499" s="141"/>
      <c r="U2499" s="141"/>
      <c r="V2499" s="141"/>
      <c r="W2499" s="141"/>
      <c r="X2499" s="141"/>
      <c r="Y2499" s="141"/>
      <c r="Z2499" s="141"/>
    </row>
    <row r="2500">
      <c r="A2500" s="141"/>
      <c r="B2500" s="141"/>
      <c r="C2500" s="141"/>
      <c r="D2500" s="141"/>
      <c r="E2500" s="141"/>
      <c r="F2500" s="141"/>
      <c r="G2500" s="141"/>
      <c r="H2500" s="141"/>
      <c r="I2500" s="141"/>
      <c r="J2500" s="141"/>
      <c r="K2500" s="141"/>
      <c r="L2500" s="141"/>
      <c r="M2500" s="141"/>
      <c r="N2500" s="141"/>
      <c r="O2500" s="141"/>
      <c r="P2500" s="141"/>
      <c r="Q2500" s="141"/>
      <c r="R2500" s="141"/>
      <c r="S2500" s="141"/>
      <c r="T2500" s="141"/>
      <c r="U2500" s="141"/>
      <c r="V2500" s="141"/>
      <c r="W2500" s="141"/>
      <c r="X2500" s="141"/>
      <c r="Y2500" s="141"/>
      <c r="Z2500" s="141"/>
    </row>
    <row r="2501">
      <c r="A2501" s="141"/>
      <c r="B2501" s="141"/>
      <c r="C2501" s="141"/>
      <c r="D2501" s="141"/>
      <c r="E2501" s="141"/>
      <c r="F2501" s="141"/>
      <c r="G2501" s="141"/>
      <c r="H2501" s="141"/>
      <c r="I2501" s="141"/>
      <c r="J2501" s="141"/>
      <c r="K2501" s="141"/>
      <c r="L2501" s="141"/>
      <c r="M2501" s="141"/>
      <c r="N2501" s="141"/>
      <c r="O2501" s="141"/>
      <c r="P2501" s="141"/>
      <c r="Q2501" s="141"/>
      <c r="R2501" s="141"/>
      <c r="S2501" s="141"/>
      <c r="T2501" s="141"/>
      <c r="U2501" s="141"/>
      <c r="V2501" s="141"/>
      <c r="W2501" s="141"/>
      <c r="X2501" s="141"/>
      <c r="Y2501" s="141"/>
      <c r="Z2501" s="141"/>
    </row>
    <row r="2502">
      <c r="A2502" s="141"/>
      <c r="B2502" s="141"/>
      <c r="C2502" s="141"/>
      <c r="D2502" s="141"/>
      <c r="E2502" s="141"/>
      <c r="F2502" s="141"/>
      <c r="G2502" s="141"/>
      <c r="H2502" s="141"/>
      <c r="I2502" s="141"/>
      <c r="J2502" s="141"/>
      <c r="K2502" s="141"/>
      <c r="L2502" s="141"/>
      <c r="M2502" s="141"/>
      <c r="N2502" s="141"/>
      <c r="O2502" s="141"/>
      <c r="P2502" s="141"/>
      <c r="Q2502" s="141"/>
      <c r="R2502" s="141"/>
      <c r="S2502" s="141"/>
      <c r="T2502" s="141"/>
      <c r="U2502" s="141"/>
      <c r="V2502" s="141"/>
      <c r="W2502" s="141"/>
      <c r="X2502" s="141"/>
      <c r="Y2502" s="141"/>
      <c r="Z2502" s="141"/>
    </row>
    <row r="2503">
      <c r="A2503" s="141"/>
      <c r="B2503" s="141"/>
      <c r="C2503" s="141"/>
      <c r="D2503" s="141"/>
      <c r="E2503" s="141"/>
      <c r="F2503" s="141"/>
      <c r="G2503" s="141"/>
      <c r="H2503" s="141"/>
      <c r="I2503" s="141"/>
      <c r="J2503" s="141"/>
      <c r="K2503" s="141"/>
      <c r="L2503" s="141"/>
      <c r="M2503" s="141"/>
      <c r="N2503" s="141"/>
      <c r="O2503" s="141"/>
      <c r="P2503" s="141"/>
      <c r="Q2503" s="141"/>
      <c r="R2503" s="141"/>
      <c r="S2503" s="141"/>
      <c r="T2503" s="141"/>
      <c r="U2503" s="141"/>
      <c r="V2503" s="141"/>
      <c r="W2503" s="141"/>
      <c r="X2503" s="141"/>
      <c r="Y2503" s="141"/>
      <c r="Z2503" s="141"/>
    </row>
    <row r="2504">
      <c r="A2504" s="141"/>
      <c r="B2504" s="141"/>
      <c r="C2504" s="141"/>
      <c r="D2504" s="141"/>
      <c r="E2504" s="141"/>
      <c r="F2504" s="141"/>
      <c r="G2504" s="141"/>
      <c r="H2504" s="141"/>
      <c r="I2504" s="141"/>
      <c r="J2504" s="141"/>
      <c r="K2504" s="141"/>
      <c r="L2504" s="141"/>
      <c r="M2504" s="141"/>
      <c r="N2504" s="141"/>
      <c r="O2504" s="141"/>
      <c r="P2504" s="141"/>
      <c r="Q2504" s="141"/>
      <c r="R2504" s="141"/>
      <c r="S2504" s="141"/>
      <c r="T2504" s="141"/>
      <c r="U2504" s="141"/>
      <c r="V2504" s="141"/>
      <c r="W2504" s="141"/>
      <c r="X2504" s="141"/>
      <c r="Y2504" s="141"/>
      <c r="Z2504" s="141"/>
    </row>
    <row r="2505">
      <c r="A2505" s="141"/>
      <c r="B2505" s="141"/>
      <c r="C2505" s="141"/>
      <c r="D2505" s="141"/>
      <c r="E2505" s="141"/>
      <c r="F2505" s="141"/>
      <c r="G2505" s="141"/>
      <c r="H2505" s="141"/>
      <c r="I2505" s="141"/>
      <c r="J2505" s="141"/>
      <c r="K2505" s="141"/>
      <c r="L2505" s="141"/>
      <c r="M2505" s="141"/>
      <c r="N2505" s="141"/>
      <c r="O2505" s="141"/>
      <c r="P2505" s="141"/>
      <c r="Q2505" s="141"/>
      <c r="R2505" s="141"/>
      <c r="S2505" s="141"/>
      <c r="T2505" s="141"/>
      <c r="U2505" s="141"/>
      <c r="V2505" s="141"/>
      <c r="W2505" s="141"/>
      <c r="X2505" s="141"/>
      <c r="Y2505" s="141"/>
      <c r="Z2505" s="141"/>
    </row>
    <row r="2506">
      <c r="A2506" s="141"/>
      <c r="B2506" s="141"/>
      <c r="C2506" s="141"/>
      <c r="D2506" s="141"/>
      <c r="E2506" s="141"/>
      <c r="F2506" s="141"/>
      <c r="G2506" s="141"/>
      <c r="H2506" s="141"/>
      <c r="I2506" s="141"/>
      <c r="J2506" s="141"/>
      <c r="K2506" s="141"/>
      <c r="L2506" s="141"/>
      <c r="M2506" s="141"/>
      <c r="N2506" s="141"/>
      <c r="O2506" s="141"/>
      <c r="P2506" s="141"/>
      <c r="Q2506" s="141"/>
      <c r="R2506" s="141"/>
      <c r="S2506" s="141"/>
      <c r="T2506" s="141"/>
      <c r="U2506" s="141"/>
      <c r="V2506" s="141"/>
      <c r="W2506" s="141"/>
      <c r="X2506" s="141"/>
      <c r="Y2506" s="141"/>
      <c r="Z2506" s="141"/>
    </row>
    <row r="2507">
      <c r="A2507" s="141"/>
      <c r="B2507" s="141"/>
      <c r="C2507" s="141"/>
      <c r="D2507" s="141"/>
      <c r="E2507" s="141"/>
      <c r="F2507" s="141"/>
      <c r="G2507" s="141"/>
      <c r="H2507" s="141"/>
      <c r="I2507" s="141"/>
      <c r="J2507" s="141"/>
      <c r="K2507" s="141"/>
      <c r="L2507" s="141"/>
      <c r="M2507" s="141"/>
      <c r="N2507" s="141"/>
      <c r="O2507" s="141"/>
      <c r="P2507" s="141"/>
      <c r="Q2507" s="141"/>
      <c r="R2507" s="141"/>
      <c r="S2507" s="141"/>
      <c r="T2507" s="141"/>
      <c r="U2507" s="141"/>
      <c r="V2507" s="141"/>
      <c r="W2507" s="141"/>
      <c r="X2507" s="141"/>
      <c r="Y2507" s="141"/>
      <c r="Z2507" s="141"/>
    </row>
    <row r="2508">
      <c r="A2508" s="141"/>
      <c r="B2508" s="141"/>
      <c r="C2508" s="141"/>
      <c r="D2508" s="141"/>
      <c r="E2508" s="141"/>
      <c r="F2508" s="141"/>
      <c r="G2508" s="141"/>
      <c r="H2508" s="141"/>
      <c r="I2508" s="141"/>
      <c r="J2508" s="141"/>
      <c r="K2508" s="141"/>
      <c r="L2508" s="141"/>
      <c r="M2508" s="141"/>
      <c r="N2508" s="141"/>
      <c r="O2508" s="141"/>
      <c r="P2508" s="141"/>
      <c r="Q2508" s="141"/>
      <c r="R2508" s="141"/>
      <c r="S2508" s="141"/>
      <c r="T2508" s="141"/>
      <c r="U2508" s="141"/>
      <c r="V2508" s="141"/>
      <c r="W2508" s="141"/>
      <c r="X2508" s="141"/>
      <c r="Y2508" s="141"/>
      <c r="Z2508" s="141"/>
    </row>
    <row r="2509">
      <c r="A2509" s="141"/>
      <c r="B2509" s="141"/>
      <c r="C2509" s="141"/>
      <c r="D2509" s="141"/>
      <c r="E2509" s="141"/>
      <c r="F2509" s="141"/>
      <c r="G2509" s="141"/>
      <c r="H2509" s="141"/>
      <c r="I2509" s="141"/>
      <c r="J2509" s="141"/>
      <c r="K2509" s="141"/>
      <c r="L2509" s="141"/>
      <c r="M2509" s="141"/>
      <c r="N2509" s="141"/>
      <c r="O2509" s="141"/>
      <c r="P2509" s="141"/>
      <c r="Q2509" s="141"/>
      <c r="R2509" s="141"/>
      <c r="S2509" s="141"/>
      <c r="T2509" s="141"/>
      <c r="U2509" s="141"/>
      <c r="V2509" s="141"/>
      <c r="W2509" s="141"/>
      <c r="X2509" s="141"/>
      <c r="Y2509" s="141"/>
      <c r="Z2509" s="141"/>
    </row>
    <row r="2510">
      <c r="A2510" s="141"/>
      <c r="B2510" s="141"/>
      <c r="C2510" s="141"/>
      <c r="D2510" s="141"/>
      <c r="E2510" s="141"/>
      <c r="F2510" s="141"/>
      <c r="G2510" s="141"/>
      <c r="H2510" s="141"/>
      <c r="I2510" s="141"/>
      <c r="J2510" s="141"/>
      <c r="K2510" s="141"/>
      <c r="L2510" s="141"/>
      <c r="M2510" s="141"/>
      <c r="N2510" s="141"/>
      <c r="O2510" s="141"/>
      <c r="P2510" s="141"/>
      <c r="Q2510" s="141"/>
      <c r="R2510" s="141"/>
      <c r="S2510" s="141"/>
      <c r="T2510" s="141"/>
      <c r="U2510" s="141"/>
      <c r="V2510" s="141"/>
      <c r="W2510" s="141"/>
      <c r="X2510" s="141"/>
      <c r="Y2510" s="141"/>
      <c r="Z2510" s="141"/>
    </row>
    <row r="2511">
      <c r="A2511" s="141"/>
      <c r="B2511" s="141"/>
      <c r="C2511" s="141"/>
      <c r="D2511" s="141"/>
      <c r="E2511" s="141"/>
      <c r="F2511" s="141"/>
      <c r="G2511" s="141"/>
      <c r="H2511" s="141"/>
      <c r="I2511" s="141"/>
      <c r="J2511" s="141"/>
      <c r="K2511" s="141"/>
      <c r="L2511" s="141"/>
      <c r="M2511" s="141"/>
      <c r="N2511" s="141"/>
      <c r="O2511" s="141"/>
      <c r="P2511" s="141"/>
      <c r="Q2511" s="141"/>
      <c r="R2511" s="141"/>
      <c r="S2511" s="141"/>
      <c r="T2511" s="141"/>
      <c r="U2511" s="141"/>
      <c r="V2511" s="141"/>
      <c r="W2511" s="141"/>
      <c r="X2511" s="141"/>
      <c r="Y2511" s="141"/>
      <c r="Z2511" s="141"/>
    </row>
    <row r="2512">
      <c r="A2512" s="141"/>
      <c r="B2512" s="141"/>
      <c r="C2512" s="141"/>
      <c r="D2512" s="141"/>
      <c r="E2512" s="141"/>
      <c r="F2512" s="141"/>
      <c r="G2512" s="141"/>
      <c r="H2512" s="141"/>
      <c r="I2512" s="141"/>
      <c r="J2512" s="141"/>
      <c r="K2512" s="141"/>
      <c r="L2512" s="141"/>
      <c r="M2512" s="141"/>
      <c r="N2512" s="141"/>
      <c r="O2512" s="141"/>
      <c r="P2512" s="141"/>
      <c r="Q2512" s="141"/>
      <c r="R2512" s="141"/>
      <c r="S2512" s="141"/>
      <c r="T2512" s="141"/>
      <c r="U2512" s="141"/>
      <c r="V2512" s="141"/>
      <c r="W2512" s="141"/>
      <c r="X2512" s="141"/>
      <c r="Y2512" s="141"/>
      <c r="Z2512" s="141"/>
    </row>
    <row r="2513">
      <c r="A2513" s="141"/>
      <c r="B2513" s="141"/>
      <c r="C2513" s="141"/>
      <c r="D2513" s="141"/>
      <c r="E2513" s="141"/>
      <c r="F2513" s="141"/>
      <c r="G2513" s="141"/>
      <c r="H2513" s="141"/>
      <c r="I2513" s="141"/>
      <c r="J2513" s="141"/>
      <c r="K2513" s="141"/>
      <c r="L2513" s="141"/>
      <c r="M2513" s="141"/>
      <c r="N2513" s="141"/>
      <c r="O2513" s="141"/>
      <c r="P2513" s="141"/>
      <c r="Q2513" s="141"/>
      <c r="R2513" s="141"/>
      <c r="S2513" s="141"/>
      <c r="T2513" s="141"/>
      <c r="U2513" s="141"/>
      <c r="V2513" s="141"/>
      <c r="W2513" s="141"/>
      <c r="X2513" s="141"/>
      <c r="Y2513" s="141"/>
      <c r="Z2513" s="141"/>
    </row>
    <row r="2514">
      <c r="A2514" s="141"/>
      <c r="B2514" s="141"/>
      <c r="C2514" s="141"/>
      <c r="D2514" s="141"/>
      <c r="E2514" s="141"/>
      <c r="F2514" s="141"/>
      <c r="G2514" s="141"/>
      <c r="H2514" s="141"/>
      <c r="I2514" s="141"/>
      <c r="J2514" s="141"/>
      <c r="K2514" s="141"/>
      <c r="L2514" s="141"/>
      <c r="M2514" s="141"/>
      <c r="N2514" s="141"/>
      <c r="O2514" s="141"/>
      <c r="P2514" s="141"/>
      <c r="Q2514" s="141"/>
      <c r="R2514" s="141"/>
      <c r="S2514" s="141"/>
      <c r="T2514" s="141"/>
      <c r="U2514" s="141"/>
      <c r="V2514" s="141"/>
      <c r="W2514" s="141"/>
      <c r="X2514" s="141"/>
      <c r="Y2514" s="141"/>
      <c r="Z2514" s="141"/>
    </row>
    <row r="2515">
      <c r="A2515" s="141"/>
      <c r="B2515" s="141"/>
      <c r="C2515" s="141"/>
      <c r="D2515" s="141"/>
      <c r="E2515" s="141"/>
      <c r="F2515" s="141"/>
      <c r="G2515" s="141"/>
      <c r="H2515" s="141"/>
      <c r="I2515" s="141"/>
      <c r="J2515" s="141"/>
      <c r="K2515" s="141"/>
      <c r="L2515" s="141"/>
      <c r="M2515" s="141"/>
      <c r="N2515" s="141"/>
      <c r="O2515" s="141"/>
      <c r="P2515" s="141"/>
      <c r="Q2515" s="141"/>
      <c r="R2515" s="141"/>
      <c r="S2515" s="141"/>
      <c r="T2515" s="141"/>
      <c r="U2515" s="141"/>
      <c r="V2515" s="141"/>
      <c r="W2515" s="141"/>
      <c r="X2515" s="141"/>
      <c r="Y2515" s="141"/>
      <c r="Z2515" s="141"/>
    </row>
    <row r="2516">
      <c r="A2516" s="141"/>
      <c r="B2516" s="141"/>
      <c r="C2516" s="141"/>
      <c r="D2516" s="141"/>
      <c r="E2516" s="141"/>
      <c r="F2516" s="141"/>
      <c r="G2516" s="141"/>
      <c r="H2516" s="141"/>
      <c r="I2516" s="141"/>
      <c r="J2516" s="141"/>
      <c r="K2516" s="141"/>
      <c r="L2516" s="141"/>
      <c r="M2516" s="141"/>
      <c r="N2516" s="141"/>
      <c r="O2516" s="141"/>
      <c r="P2516" s="141"/>
      <c r="Q2516" s="141"/>
      <c r="R2516" s="141"/>
      <c r="S2516" s="141"/>
      <c r="T2516" s="141"/>
      <c r="U2516" s="141"/>
      <c r="V2516" s="141"/>
      <c r="W2516" s="141"/>
      <c r="X2516" s="141"/>
      <c r="Y2516" s="141"/>
      <c r="Z2516" s="141"/>
    </row>
    <row r="2517">
      <c r="A2517" s="141"/>
      <c r="B2517" s="141"/>
      <c r="C2517" s="141"/>
      <c r="D2517" s="141"/>
      <c r="E2517" s="141"/>
      <c r="F2517" s="141"/>
      <c r="G2517" s="141"/>
      <c r="H2517" s="141"/>
      <c r="I2517" s="141"/>
      <c r="J2517" s="141"/>
      <c r="K2517" s="141"/>
      <c r="L2517" s="141"/>
      <c r="M2517" s="141"/>
      <c r="N2517" s="141"/>
      <c r="O2517" s="141"/>
      <c r="P2517" s="141"/>
      <c r="Q2517" s="141"/>
      <c r="R2517" s="141"/>
      <c r="S2517" s="141"/>
      <c r="T2517" s="141"/>
      <c r="U2517" s="141"/>
      <c r="V2517" s="141"/>
      <c r="W2517" s="141"/>
      <c r="X2517" s="141"/>
      <c r="Y2517" s="141"/>
      <c r="Z2517" s="141"/>
    </row>
    <row r="2518">
      <c r="A2518" s="141"/>
      <c r="B2518" s="141"/>
      <c r="C2518" s="141"/>
      <c r="D2518" s="141"/>
      <c r="E2518" s="141"/>
      <c r="F2518" s="141"/>
      <c r="G2518" s="141"/>
      <c r="H2518" s="141"/>
      <c r="I2518" s="141"/>
      <c r="J2518" s="141"/>
      <c r="K2518" s="141"/>
      <c r="L2518" s="141"/>
      <c r="M2518" s="141"/>
      <c r="N2518" s="141"/>
      <c r="O2518" s="141"/>
      <c r="P2518" s="141"/>
      <c r="Q2518" s="141"/>
      <c r="R2518" s="141"/>
      <c r="S2518" s="141"/>
      <c r="T2518" s="141"/>
      <c r="U2518" s="141"/>
      <c r="V2518" s="141"/>
      <c r="W2518" s="141"/>
      <c r="X2518" s="141"/>
      <c r="Y2518" s="141"/>
      <c r="Z2518" s="141"/>
    </row>
    <row r="2519">
      <c r="A2519" s="141"/>
      <c r="B2519" s="141"/>
      <c r="C2519" s="141"/>
      <c r="D2519" s="141"/>
      <c r="E2519" s="141"/>
      <c r="F2519" s="141"/>
      <c r="G2519" s="141"/>
      <c r="H2519" s="141"/>
      <c r="I2519" s="141"/>
      <c r="J2519" s="141"/>
      <c r="K2519" s="141"/>
      <c r="L2519" s="141"/>
      <c r="M2519" s="141"/>
      <c r="N2519" s="141"/>
      <c r="O2519" s="141"/>
      <c r="P2519" s="141"/>
      <c r="Q2519" s="141"/>
      <c r="R2519" s="141"/>
      <c r="S2519" s="141"/>
      <c r="T2519" s="141"/>
      <c r="U2519" s="141"/>
      <c r="V2519" s="141"/>
      <c r="W2519" s="141"/>
      <c r="X2519" s="141"/>
      <c r="Y2519" s="141"/>
      <c r="Z2519" s="141"/>
    </row>
    <row r="2520">
      <c r="A2520" s="141"/>
      <c r="B2520" s="141"/>
      <c r="C2520" s="141"/>
      <c r="D2520" s="141"/>
      <c r="E2520" s="141"/>
      <c r="F2520" s="141"/>
      <c r="G2520" s="141"/>
      <c r="H2520" s="141"/>
      <c r="I2520" s="141"/>
      <c r="J2520" s="141"/>
      <c r="K2520" s="141"/>
      <c r="L2520" s="141"/>
      <c r="M2520" s="141"/>
      <c r="N2520" s="141"/>
      <c r="O2520" s="141"/>
      <c r="P2520" s="141"/>
      <c r="Q2520" s="141"/>
      <c r="R2520" s="141"/>
      <c r="S2520" s="141"/>
      <c r="T2520" s="141"/>
      <c r="U2520" s="141"/>
      <c r="V2520" s="141"/>
      <c r="W2520" s="141"/>
      <c r="X2520" s="141"/>
      <c r="Y2520" s="141"/>
      <c r="Z2520" s="141"/>
    </row>
    <row r="2521">
      <c r="A2521" s="141"/>
      <c r="B2521" s="141"/>
      <c r="C2521" s="141"/>
      <c r="D2521" s="141"/>
      <c r="E2521" s="141"/>
      <c r="F2521" s="141"/>
      <c r="G2521" s="141"/>
      <c r="H2521" s="141"/>
      <c r="I2521" s="141"/>
      <c r="J2521" s="141"/>
      <c r="K2521" s="141"/>
      <c r="L2521" s="141"/>
      <c r="M2521" s="141"/>
      <c r="N2521" s="141"/>
      <c r="O2521" s="141"/>
      <c r="P2521" s="141"/>
      <c r="Q2521" s="141"/>
      <c r="R2521" s="141"/>
      <c r="S2521" s="141"/>
      <c r="T2521" s="141"/>
      <c r="U2521" s="141"/>
      <c r="V2521" s="141"/>
      <c r="W2521" s="141"/>
      <c r="X2521" s="141"/>
      <c r="Y2521" s="141"/>
      <c r="Z2521" s="141"/>
    </row>
    <row r="2522">
      <c r="A2522" s="141"/>
      <c r="B2522" s="141"/>
      <c r="C2522" s="141"/>
      <c r="D2522" s="141"/>
      <c r="E2522" s="141"/>
      <c r="F2522" s="141"/>
      <c r="G2522" s="141"/>
      <c r="H2522" s="141"/>
      <c r="I2522" s="141"/>
      <c r="J2522" s="141"/>
      <c r="K2522" s="141"/>
      <c r="L2522" s="141"/>
      <c r="M2522" s="141"/>
      <c r="N2522" s="141"/>
      <c r="O2522" s="141"/>
      <c r="P2522" s="141"/>
      <c r="Q2522" s="141"/>
      <c r="R2522" s="141"/>
      <c r="S2522" s="141"/>
      <c r="T2522" s="141"/>
      <c r="U2522" s="141"/>
      <c r="V2522" s="141"/>
      <c r="W2522" s="141"/>
      <c r="X2522" s="141"/>
      <c r="Y2522" s="141"/>
      <c r="Z2522" s="141"/>
    </row>
    <row r="2523">
      <c r="A2523" s="141"/>
      <c r="B2523" s="141"/>
      <c r="C2523" s="141"/>
      <c r="D2523" s="141"/>
      <c r="E2523" s="141"/>
      <c r="F2523" s="141"/>
      <c r="G2523" s="141"/>
      <c r="H2523" s="141"/>
      <c r="I2523" s="141"/>
      <c r="J2523" s="141"/>
      <c r="K2523" s="141"/>
      <c r="L2523" s="141"/>
      <c r="M2523" s="141"/>
      <c r="N2523" s="141"/>
      <c r="O2523" s="141"/>
      <c r="P2523" s="141"/>
      <c r="Q2523" s="141"/>
      <c r="R2523" s="141"/>
      <c r="S2523" s="141"/>
      <c r="T2523" s="141"/>
      <c r="U2523" s="141"/>
      <c r="V2523" s="141"/>
      <c r="W2523" s="141"/>
      <c r="X2523" s="141"/>
      <c r="Y2523" s="141"/>
      <c r="Z2523" s="141"/>
    </row>
    <row r="2524">
      <c r="A2524" s="141"/>
      <c r="B2524" s="141"/>
      <c r="C2524" s="141"/>
      <c r="D2524" s="141"/>
      <c r="E2524" s="141"/>
      <c r="F2524" s="141"/>
      <c r="G2524" s="141"/>
      <c r="H2524" s="141"/>
      <c r="I2524" s="141"/>
      <c r="J2524" s="141"/>
      <c r="K2524" s="141"/>
      <c r="L2524" s="141"/>
      <c r="M2524" s="141"/>
      <c r="N2524" s="141"/>
      <c r="O2524" s="141"/>
      <c r="P2524" s="141"/>
      <c r="Q2524" s="141"/>
      <c r="R2524" s="141"/>
      <c r="S2524" s="141"/>
      <c r="T2524" s="141"/>
      <c r="U2524" s="141"/>
      <c r="V2524" s="141"/>
      <c r="W2524" s="141"/>
      <c r="X2524" s="141"/>
      <c r="Y2524" s="141"/>
      <c r="Z2524" s="141"/>
    </row>
    <row r="2525">
      <c r="A2525" s="141"/>
      <c r="B2525" s="141"/>
      <c r="C2525" s="141"/>
      <c r="D2525" s="141"/>
      <c r="E2525" s="141"/>
      <c r="F2525" s="141"/>
      <c r="G2525" s="141"/>
      <c r="H2525" s="141"/>
      <c r="I2525" s="141"/>
      <c r="J2525" s="141"/>
      <c r="K2525" s="141"/>
      <c r="L2525" s="141"/>
      <c r="M2525" s="141"/>
      <c r="N2525" s="141"/>
      <c r="O2525" s="141"/>
      <c r="P2525" s="141"/>
      <c r="Q2525" s="141"/>
      <c r="R2525" s="141"/>
      <c r="S2525" s="141"/>
      <c r="T2525" s="141"/>
      <c r="U2525" s="141"/>
      <c r="V2525" s="141"/>
      <c r="W2525" s="141"/>
      <c r="X2525" s="141"/>
      <c r="Y2525" s="141"/>
      <c r="Z2525" s="141"/>
    </row>
    <row r="2526">
      <c r="A2526" s="141"/>
      <c r="B2526" s="141"/>
      <c r="C2526" s="141"/>
      <c r="D2526" s="141"/>
      <c r="E2526" s="141"/>
      <c r="F2526" s="141"/>
      <c r="G2526" s="141"/>
      <c r="H2526" s="141"/>
      <c r="I2526" s="141"/>
      <c r="J2526" s="141"/>
      <c r="K2526" s="141"/>
      <c r="L2526" s="141"/>
      <c r="M2526" s="141"/>
      <c r="N2526" s="141"/>
      <c r="O2526" s="141"/>
      <c r="P2526" s="141"/>
      <c r="Q2526" s="141"/>
      <c r="R2526" s="141"/>
      <c r="S2526" s="141"/>
      <c r="T2526" s="141"/>
      <c r="U2526" s="141"/>
      <c r="V2526" s="141"/>
      <c r="W2526" s="141"/>
      <c r="X2526" s="141"/>
      <c r="Y2526" s="141"/>
      <c r="Z2526" s="141"/>
    </row>
    <row r="2527">
      <c r="A2527" s="141"/>
      <c r="B2527" s="141"/>
      <c r="C2527" s="141"/>
      <c r="D2527" s="141"/>
      <c r="E2527" s="141"/>
      <c r="F2527" s="141"/>
      <c r="G2527" s="141"/>
      <c r="H2527" s="141"/>
      <c r="I2527" s="141"/>
      <c r="J2527" s="141"/>
      <c r="K2527" s="141"/>
      <c r="L2527" s="141"/>
      <c r="M2527" s="141"/>
      <c r="N2527" s="141"/>
      <c r="O2527" s="141"/>
      <c r="P2527" s="141"/>
      <c r="Q2527" s="141"/>
      <c r="R2527" s="141"/>
      <c r="S2527" s="141"/>
      <c r="T2527" s="141"/>
      <c r="U2527" s="141"/>
      <c r="V2527" s="141"/>
      <c r="W2527" s="141"/>
      <c r="X2527" s="141"/>
      <c r="Y2527" s="141"/>
      <c r="Z2527" s="141"/>
    </row>
    <row r="2528">
      <c r="A2528" s="141"/>
      <c r="B2528" s="141"/>
      <c r="C2528" s="141"/>
      <c r="D2528" s="141"/>
      <c r="E2528" s="141"/>
      <c r="F2528" s="141"/>
      <c r="G2528" s="141"/>
      <c r="H2528" s="141"/>
      <c r="I2528" s="141"/>
      <c r="J2528" s="141"/>
      <c r="K2528" s="141"/>
      <c r="L2528" s="141"/>
      <c r="M2528" s="141"/>
      <c r="N2528" s="141"/>
      <c r="O2528" s="141"/>
      <c r="P2528" s="141"/>
      <c r="Q2528" s="141"/>
      <c r="R2528" s="141"/>
      <c r="S2528" s="141"/>
      <c r="T2528" s="141"/>
      <c r="U2528" s="141"/>
      <c r="V2528" s="141"/>
      <c r="W2528" s="141"/>
      <c r="X2528" s="141"/>
      <c r="Y2528" s="141"/>
      <c r="Z2528" s="141"/>
    </row>
    <row r="2529">
      <c r="A2529" s="141"/>
      <c r="B2529" s="141"/>
      <c r="C2529" s="141"/>
      <c r="D2529" s="141"/>
      <c r="E2529" s="141"/>
      <c r="F2529" s="141"/>
      <c r="G2529" s="141"/>
      <c r="H2529" s="141"/>
      <c r="I2529" s="141"/>
      <c r="J2529" s="141"/>
      <c r="K2529" s="141"/>
      <c r="L2529" s="141"/>
      <c r="M2529" s="141"/>
      <c r="N2529" s="141"/>
      <c r="O2529" s="141"/>
      <c r="P2529" s="141"/>
      <c r="Q2529" s="141"/>
      <c r="R2529" s="141"/>
      <c r="S2529" s="141"/>
      <c r="T2529" s="141"/>
      <c r="U2529" s="141"/>
      <c r="V2529" s="141"/>
      <c r="W2529" s="141"/>
      <c r="X2529" s="141"/>
      <c r="Y2529" s="141"/>
      <c r="Z2529" s="141"/>
    </row>
    <row r="2530">
      <c r="A2530" s="141"/>
      <c r="B2530" s="141"/>
      <c r="C2530" s="141"/>
      <c r="D2530" s="141"/>
      <c r="E2530" s="141"/>
      <c r="F2530" s="141"/>
      <c r="G2530" s="141"/>
      <c r="H2530" s="141"/>
      <c r="I2530" s="141"/>
      <c r="J2530" s="141"/>
      <c r="K2530" s="141"/>
      <c r="L2530" s="141"/>
      <c r="M2530" s="141"/>
      <c r="N2530" s="141"/>
      <c r="O2530" s="141"/>
      <c r="P2530" s="141"/>
      <c r="Q2530" s="141"/>
      <c r="R2530" s="141"/>
      <c r="S2530" s="141"/>
      <c r="T2530" s="141"/>
      <c r="U2530" s="141"/>
      <c r="V2530" s="141"/>
      <c r="W2530" s="141"/>
      <c r="X2530" s="141"/>
      <c r="Y2530" s="141"/>
      <c r="Z2530" s="141"/>
    </row>
    <row r="2531">
      <c r="A2531" s="141"/>
      <c r="B2531" s="141"/>
      <c r="C2531" s="141"/>
      <c r="D2531" s="141"/>
      <c r="E2531" s="141"/>
      <c r="F2531" s="141"/>
      <c r="G2531" s="141"/>
      <c r="H2531" s="141"/>
      <c r="I2531" s="141"/>
      <c r="J2531" s="141"/>
      <c r="K2531" s="141"/>
      <c r="L2531" s="141"/>
      <c r="M2531" s="141"/>
      <c r="N2531" s="141"/>
      <c r="O2531" s="141"/>
      <c r="P2531" s="141"/>
      <c r="Q2531" s="141"/>
      <c r="R2531" s="141"/>
      <c r="S2531" s="141"/>
      <c r="T2531" s="141"/>
      <c r="U2531" s="141"/>
      <c r="V2531" s="141"/>
      <c r="W2531" s="141"/>
      <c r="X2531" s="141"/>
      <c r="Y2531" s="141"/>
      <c r="Z2531" s="141"/>
    </row>
    <row r="2532">
      <c r="A2532" s="141"/>
      <c r="B2532" s="141"/>
      <c r="C2532" s="141"/>
      <c r="D2532" s="141"/>
      <c r="E2532" s="141"/>
      <c r="F2532" s="141"/>
      <c r="G2532" s="141"/>
      <c r="H2532" s="141"/>
      <c r="I2532" s="141"/>
      <c r="J2532" s="141"/>
      <c r="K2532" s="141"/>
      <c r="L2532" s="141"/>
      <c r="M2532" s="141"/>
      <c r="N2532" s="141"/>
      <c r="O2532" s="141"/>
      <c r="P2532" s="141"/>
      <c r="Q2532" s="141"/>
      <c r="R2532" s="141"/>
      <c r="S2532" s="141"/>
      <c r="T2532" s="141"/>
      <c r="U2532" s="141"/>
      <c r="V2532" s="141"/>
      <c r="W2532" s="141"/>
      <c r="X2532" s="141"/>
      <c r="Y2532" s="141"/>
      <c r="Z2532" s="141"/>
    </row>
    <row r="2533">
      <c r="A2533" s="141"/>
      <c r="B2533" s="141"/>
      <c r="C2533" s="141"/>
      <c r="D2533" s="141"/>
      <c r="E2533" s="141"/>
      <c r="F2533" s="141"/>
      <c r="G2533" s="141"/>
      <c r="H2533" s="141"/>
      <c r="I2533" s="141"/>
      <c r="J2533" s="141"/>
      <c r="K2533" s="141"/>
      <c r="L2533" s="141"/>
      <c r="M2533" s="141"/>
      <c r="N2533" s="141"/>
      <c r="O2533" s="141"/>
      <c r="P2533" s="141"/>
      <c r="Q2533" s="141"/>
      <c r="R2533" s="141"/>
      <c r="S2533" s="141"/>
      <c r="T2533" s="141"/>
      <c r="U2533" s="141"/>
      <c r="V2533" s="141"/>
      <c r="W2533" s="141"/>
      <c r="X2533" s="141"/>
      <c r="Y2533" s="141"/>
      <c r="Z2533" s="141"/>
    </row>
    <row r="2534">
      <c r="A2534" s="141"/>
      <c r="B2534" s="141"/>
      <c r="C2534" s="141"/>
      <c r="D2534" s="141"/>
      <c r="E2534" s="141"/>
      <c r="F2534" s="141"/>
      <c r="G2534" s="141"/>
      <c r="H2534" s="141"/>
      <c r="I2534" s="141"/>
      <c r="J2534" s="141"/>
      <c r="K2534" s="141"/>
      <c r="L2534" s="141"/>
      <c r="M2534" s="141"/>
      <c r="N2534" s="141"/>
      <c r="O2534" s="141"/>
      <c r="P2534" s="141"/>
      <c r="Q2534" s="141"/>
      <c r="R2534" s="141"/>
      <c r="S2534" s="141"/>
      <c r="T2534" s="141"/>
      <c r="U2534" s="141"/>
      <c r="V2534" s="141"/>
      <c r="W2534" s="141"/>
      <c r="X2534" s="141"/>
      <c r="Y2534" s="141"/>
      <c r="Z2534" s="141"/>
    </row>
    <row r="2535">
      <c r="A2535" s="141"/>
      <c r="B2535" s="141"/>
      <c r="C2535" s="141"/>
      <c r="D2535" s="141"/>
      <c r="E2535" s="141"/>
      <c r="F2535" s="141"/>
      <c r="G2535" s="141"/>
      <c r="H2535" s="141"/>
      <c r="I2535" s="141"/>
      <c r="J2535" s="141"/>
      <c r="K2535" s="141"/>
      <c r="L2535" s="141"/>
      <c r="M2535" s="141"/>
      <c r="N2535" s="141"/>
      <c r="O2535" s="141"/>
      <c r="P2535" s="141"/>
      <c r="Q2535" s="141"/>
      <c r="R2535" s="141"/>
      <c r="S2535" s="141"/>
      <c r="T2535" s="141"/>
      <c r="U2535" s="141"/>
      <c r="V2535" s="141"/>
      <c r="W2535" s="141"/>
      <c r="X2535" s="141"/>
      <c r="Y2535" s="141"/>
      <c r="Z2535" s="141"/>
    </row>
    <row r="2536">
      <c r="A2536" s="141"/>
      <c r="B2536" s="141"/>
      <c r="C2536" s="141"/>
      <c r="D2536" s="141"/>
      <c r="E2536" s="141"/>
      <c r="F2536" s="141"/>
      <c r="G2536" s="141"/>
      <c r="H2536" s="141"/>
      <c r="I2536" s="141"/>
      <c r="J2536" s="141"/>
      <c r="K2536" s="141"/>
      <c r="L2536" s="141"/>
      <c r="M2536" s="141"/>
      <c r="N2536" s="141"/>
      <c r="O2536" s="141"/>
      <c r="P2536" s="141"/>
      <c r="Q2536" s="141"/>
      <c r="R2536" s="141"/>
      <c r="S2536" s="141"/>
      <c r="T2536" s="141"/>
      <c r="U2536" s="141"/>
      <c r="V2536" s="141"/>
      <c r="W2536" s="141"/>
      <c r="X2536" s="141"/>
      <c r="Y2536" s="141"/>
      <c r="Z2536" s="141"/>
    </row>
    <row r="2537">
      <c r="A2537" s="141"/>
      <c r="B2537" s="141"/>
      <c r="C2537" s="141"/>
      <c r="D2537" s="141"/>
      <c r="E2537" s="141"/>
      <c r="F2537" s="141"/>
      <c r="G2537" s="141"/>
      <c r="H2537" s="141"/>
      <c r="I2537" s="141"/>
      <c r="J2537" s="141"/>
      <c r="K2537" s="141"/>
      <c r="L2537" s="141"/>
      <c r="M2537" s="141"/>
      <c r="N2537" s="141"/>
      <c r="O2537" s="141"/>
      <c r="P2537" s="141"/>
      <c r="Q2537" s="141"/>
      <c r="R2537" s="141"/>
      <c r="S2537" s="141"/>
      <c r="T2537" s="141"/>
      <c r="U2537" s="141"/>
      <c r="V2537" s="141"/>
      <c r="W2537" s="141"/>
      <c r="X2537" s="141"/>
      <c r="Y2537" s="141"/>
      <c r="Z2537" s="141"/>
    </row>
    <row r="2538">
      <c r="A2538" s="141"/>
      <c r="B2538" s="141"/>
      <c r="C2538" s="141"/>
      <c r="D2538" s="141"/>
      <c r="E2538" s="141"/>
      <c r="F2538" s="141"/>
      <c r="G2538" s="141"/>
      <c r="H2538" s="141"/>
      <c r="I2538" s="141"/>
      <c r="J2538" s="141"/>
      <c r="K2538" s="141"/>
      <c r="L2538" s="141"/>
      <c r="M2538" s="141"/>
      <c r="N2538" s="141"/>
      <c r="O2538" s="141"/>
      <c r="P2538" s="141"/>
      <c r="Q2538" s="141"/>
      <c r="R2538" s="141"/>
      <c r="S2538" s="141"/>
      <c r="T2538" s="141"/>
      <c r="U2538" s="141"/>
      <c r="V2538" s="141"/>
      <c r="W2538" s="141"/>
      <c r="X2538" s="141"/>
      <c r="Y2538" s="141"/>
      <c r="Z2538" s="141"/>
    </row>
    <row r="2539">
      <c r="A2539" s="141"/>
      <c r="B2539" s="141"/>
      <c r="C2539" s="141"/>
      <c r="D2539" s="141"/>
      <c r="E2539" s="141"/>
      <c r="F2539" s="141"/>
      <c r="G2539" s="141"/>
      <c r="H2539" s="141"/>
      <c r="I2539" s="141"/>
      <c r="J2539" s="141"/>
      <c r="K2539" s="141"/>
      <c r="L2539" s="141"/>
      <c r="M2539" s="141"/>
      <c r="N2539" s="141"/>
      <c r="O2539" s="141"/>
      <c r="P2539" s="141"/>
      <c r="Q2539" s="141"/>
      <c r="R2539" s="141"/>
      <c r="S2539" s="141"/>
      <c r="T2539" s="141"/>
      <c r="U2539" s="141"/>
      <c r="V2539" s="141"/>
      <c r="W2539" s="141"/>
      <c r="X2539" s="141"/>
      <c r="Y2539" s="141"/>
      <c r="Z2539" s="141"/>
    </row>
    <row r="2540">
      <c r="A2540" s="141"/>
      <c r="B2540" s="141"/>
      <c r="C2540" s="141"/>
      <c r="D2540" s="141"/>
      <c r="E2540" s="141"/>
      <c r="F2540" s="141"/>
      <c r="G2540" s="141"/>
      <c r="H2540" s="141"/>
      <c r="I2540" s="141"/>
      <c r="J2540" s="141"/>
      <c r="K2540" s="141"/>
      <c r="L2540" s="141"/>
      <c r="M2540" s="141"/>
      <c r="N2540" s="141"/>
      <c r="O2540" s="141"/>
      <c r="P2540" s="141"/>
      <c r="Q2540" s="141"/>
      <c r="R2540" s="141"/>
      <c r="S2540" s="141"/>
      <c r="T2540" s="141"/>
      <c r="U2540" s="141"/>
      <c r="V2540" s="141"/>
      <c r="W2540" s="141"/>
      <c r="X2540" s="141"/>
      <c r="Y2540" s="141"/>
      <c r="Z2540" s="141"/>
    </row>
    <row r="2541">
      <c r="A2541" s="141"/>
      <c r="B2541" s="141"/>
      <c r="C2541" s="141"/>
      <c r="D2541" s="141"/>
      <c r="E2541" s="141"/>
      <c r="F2541" s="141"/>
      <c r="G2541" s="141"/>
      <c r="H2541" s="141"/>
      <c r="I2541" s="141"/>
      <c r="J2541" s="141"/>
      <c r="K2541" s="141"/>
      <c r="L2541" s="141"/>
      <c r="M2541" s="141"/>
      <c r="N2541" s="141"/>
      <c r="O2541" s="141"/>
      <c r="P2541" s="141"/>
      <c r="Q2541" s="141"/>
      <c r="R2541" s="141"/>
      <c r="S2541" s="141"/>
      <c r="T2541" s="141"/>
      <c r="U2541" s="141"/>
      <c r="V2541" s="141"/>
      <c r="W2541" s="141"/>
      <c r="X2541" s="141"/>
      <c r="Y2541" s="141"/>
      <c r="Z2541" s="141"/>
    </row>
    <row r="2542">
      <c r="A2542" s="141"/>
      <c r="B2542" s="141"/>
      <c r="C2542" s="141"/>
      <c r="D2542" s="141"/>
      <c r="E2542" s="141"/>
      <c r="F2542" s="141"/>
      <c r="G2542" s="141"/>
      <c r="H2542" s="141"/>
      <c r="I2542" s="141"/>
      <c r="J2542" s="141"/>
      <c r="K2542" s="141"/>
      <c r="L2542" s="141"/>
      <c r="M2542" s="141"/>
      <c r="N2542" s="141"/>
      <c r="O2542" s="141"/>
      <c r="P2542" s="141"/>
      <c r="Q2542" s="141"/>
      <c r="R2542" s="141"/>
      <c r="S2542" s="141"/>
      <c r="T2542" s="141"/>
      <c r="U2542" s="141"/>
      <c r="V2542" s="141"/>
      <c r="W2542" s="141"/>
      <c r="X2542" s="141"/>
      <c r="Y2542" s="141"/>
      <c r="Z2542" s="141"/>
    </row>
    <row r="2543">
      <c r="A2543" s="141"/>
      <c r="B2543" s="141"/>
      <c r="C2543" s="141"/>
      <c r="D2543" s="141"/>
      <c r="E2543" s="141"/>
      <c r="F2543" s="141"/>
      <c r="G2543" s="141"/>
      <c r="H2543" s="141"/>
      <c r="I2543" s="141"/>
      <c r="J2543" s="141"/>
      <c r="K2543" s="141"/>
      <c r="L2543" s="141"/>
      <c r="M2543" s="141"/>
      <c r="N2543" s="141"/>
      <c r="O2543" s="141"/>
      <c r="P2543" s="141"/>
      <c r="Q2543" s="141"/>
      <c r="R2543" s="141"/>
      <c r="S2543" s="141"/>
      <c r="T2543" s="141"/>
      <c r="U2543" s="141"/>
      <c r="V2543" s="141"/>
      <c r="W2543" s="141"/>
      <c r="X2543" s="141"/>
      <c r="Y2543" s="141"/>
      <c r="Z2543" s="141"/>
    </row>
    <row r="2544">
      <c r="A2544" s="141"/>
      <c r="B2544" s="141"/>
      <c r="C2544" s="141"/>
      <c r="D2544" s="141"/>
      <c r="E2544" s="141"/>
      <c r="F2544" s="141"/>
      <c r="G2544" s="141"/>
      <c r="H2544" s="141"/>
      <c r="I2544" s="141"/>
      <c r="J2544" s="141"/>
      <c r="K2544" s="141"/>
      <c r="L2544" s="141"/>
      <c r="M2544" s="141"/>
      <c r="N2544" s="141"/>
      <c r="O2544" s="141"/>
      <c r="P2544" s="141"/>
      <c r="Q2544" s="141"/>
      <c r="R2544" s="141"/>
      <c r="S2544" s="141"/>
      <c r="T2544" s="141"/>
      <c r="U2544" s="141"/>
      <c r="V2544" s="141"/>
      <c r="W2544" s="141"/>
      <c r="X2544" s="141"/>
      <c r="Y2544" s="141"/>
      <c r="Z2544" s="141"/>
    </row>
    <row r="2545">
      <c r="A2545" s="141"/>
      <c r="B2545" s="141"/>
      <c r="C2545" s="141"/>
      <c r="D2545" s="141"/>
      <c r="E2545" s="141"/>
      <c r="F2545" s="141"/>
      <c r="G2545" s="141"/>
      <c r="H2545" s="141"/>
      <c r="I2545" s="141"/>
      <c r="J2545" s="141"/>
      <c r="K2545" s="141"/>
      <c r="L2545" s="141"/>
      <c r="M2545" s="141"/>
      <c r="N2545" s="141"/>
      <c r="O2545" s="141"/>
      <c r="P2545" s="141"/>
      <c r="Q2545" s="141"/>
      <c r="R2545" s="141"/>
      <c r="S2545" s="141"/>
      <c r="T2545" s="141"/>
      <c r="U2545" s="141"/>
      <c r="V2545" s="141"/>
      <c r="W2545" s="141"/>
      <c r="X2545" s="141"/>
      <c r="Y2545" s="141"/>
      <c r="Z2545" s="141"/>
    </row>
    <row r="2546">
      <c r="A2546" s="141"/>
      <c r="B2546" s="141"/>
      <c r="C2546" s="141"/>
      <c r="D2546" s="141"/>
      <c r="E2546" s="141"/>
      <c r="F2546" s="141"/>
      <c r="G2546" s="141"/>
      <c r="H2546" s="141"/>
      <c r="I2546" s="141"/>
      <c r="J2546" s="141"/>
      <c r="K2546" s="141"/>
      <c r="L2546" s="141"/>
      <c r="M2546" s="141"/>
      <c r="N2546" s="141"/>
      <c r="O2546" s="141"/>
      <c r="P2546" s="141"/>
      <c r="Q2546" s="141"/>
      <c r="R2546" s="141"/>
      <c r="S2546" s="141"/>
      <c r="T2546" s="141"/>
      <c r="U2546" s="141"/>
      <c r="V2546" s="141"/>
      <c r="W2546" s="141"/>
      <c r="X2546" s="141"/>
      <c r="Y2546" s="141"/>
      <c r="Z2546" s="141"/>
    </row>
    <row r="2547">
      <c r="A2547" s="141"/>
      <c r="B2547" s="141"/>
      <c r="C2547" s="141"/>
      <c r="D2547" s="141"/>
      <c r="E2547" s="141"/>
      <c r="F2547" s="141"/>
      <c r="G2547" s="141"/>
      <c r="H2547" s="141"/>
      <c r="I2547" s="141"/>
      <c r="J2547" s="141"/>
      <c r="K2547" s="141"/>
      <c r="L2547" s="141"/>
      <c r="M2547" s="141"/>
      <c r="N2547" s="141"/>
      <c r="O2547" s="141"/>
      <c r="P2547" s="141"/>
      <c r="Q2547" s="141"/>
      <c r="R2547" s="141"/>
      <c r="S2547" s="141"/>
      <c r="T2547" s="141"/>
      <c r="U2547" s="141"/>
      <c r="V2547" s="141"/>
      <c r="W2547" s="141"/>
      <c r="X2547" s="141"/>
      <c r="Y2547" s="141"/>
      <c r="Z2547" s="141"/>
    </row>
    <row r="2548">
      <c r="A2548" s="141"/>
      <c r="B2548" s="141"/>
      <c r="C2548" s="141"/>
      <c r="D2548" s="141"/>
      <c r="E2548" s="141"/>
      <c r="F2548" s="141"/>
      <c r="G2548" s="141"/>
      <c r="H2548" s="141"/>
      <c r="I2548" s="141"/>
      <c r="J2548" s="141"/>
      <c r="K2548" s="141"/>
      <c r="L2548" s="141"/>
      <c r="M2548" s="141"/>
      <c r="N2548" s="141"/>
      <c r="O2548" s="141"/>
      <c r="P2548" s="141"/>
      <c r="Q2548" s="141"/>
      <c r="R2548" s="141"/>
      <c r="S2548" s="141"/>
      <c r="T2548" s="141"/>
      <c r="U2548" s="141"/>
      <c r="V2548" s="141"/>
      <c r="W2548" s="141"/>
      <c r="X2548" s="141"/>
      <c r="Y2548" s="141"/>
      <c r="Z2548" s="141"/>
    </row>
    <row r="2549">
      <c r="A2549" s="141"/>
      <c r="B2549" s="141"/>
      <c r="C2549" s="141"/>
      <c r="D2549" s="141"/>
      <c r="E2549" s="141"/>
      <c r="F2549" s="141"/>
      <c r="G2549" s="141"/>
      <c r="H2549" s="141"/>
      <c r="I2549" s="141"/>
      <c r="J2549" s="141"/>
      <c r="K2549" s="141"/>
      <c r="L2549" s="141"/>
      <c r="M2549" s="141"/>
      <c r="N2549" s="141"/>
      <c r="O2549" s="141"/>
      <c r="P2549" s="141"/>
      <c r="Q2549" s="141"/>
      <c r="R2549" s="141"/>
      <c r="S2549" s="141"/>
      <c r="T2549" s="141"/>
      <c r="U2549" s="141"/>
      <c r="V2549" s="141"/>
      <c r="W2549" s="141"/>
      <c r="X2549" s="141"/>
      <c r="Y2549" s="141"/>
      <c r="Z2549" s="141"/>
    </row>
    <row r="2550">
      <c r="A2550" s="141"/>
      <c r="B2550" s="141"/>
      <c r="C2550" s="141"/>
      <c r="D2550" s="141"/>
      <c r="E2550" s="141"/>
      <c r="F2550" s="141"/>
      <c r="G2550" s="141"/>
      <c r="H2550" s="141"/>
      <c r="I2550" s="141"/>
      <c r="J2550" s="141"/>
      <c r="K2550" s="141"/>
      <c r="L2550" s="141"/>
      <c r="M2550" s="141"/>
      <c r="N2550" s="141"/>
      <c r="O2550" s="141"/>
      <c r="P2550" s="141"/>
      <c r="Q2550" s="141"/>
      <c r="R2550" s="141"/>
      <c r="S2550" s="141"/>
      <c r="T2550" s="141"/>
      <c r="U2550" s="141"/>
      <c r="V2550" s="141"/>
      <c r="W2550" s="141"/>
      <c r="X2550" s="141"/>
      <c r="Y2550" s="141"/>
      <c r="Z2550" s="141"/>
    </row>
    <row r="2551">
      <c r="A2551" s="141"/>
      <c r="B2551" s="141"/>
      <c r="C2551" s="141"/>
      <c r="D2551" s="141"/>
      <c r="E2551" s="141"/>
      <c r="F2551" s="141"/>
      <c r="G2551" s="141"/>
      <c r="H2551" s="141"/>
      <c r="I2551" s="141"/>
      <c r="J2551" s="141"/>
      <c r="K2551" s="141"/>
      <c r="L2551" s="141"/>
      <c r="M2551" s="141"/>
      <c r="N2551" s="141"/>
      <c r="O2551" s="141"/>
      <c r="P2551" s="141"/>
      <c r="Q2551" s="141"/>
      <c r="R2551" s="141"/>
      <c r="S2551" s="141"/>
      <c r="T2551" s="141"/>
      <c r="U2551" s="141"/>
      <c r="V2551" s="141"/>
      <c r="W2551" s="141"/>
      <c r="X2551" s="141"/>
      <c r="Y2551" s="141"/>
      <c r="Z2551" s="141"/>
    </row>
    <row r="2552">
      <c r="A2552" s="141"/>
      <c r="B2552" s="141"/>
      <c r="C2552" s="141"/>
      <c r="D2552" s="141"/>
      <c r="E2552" s="141"/>
      <c r="F2552" s="141"/>
      <c r="G2552" s="141"/>
      <c r="H2552" s="141"/>
      <c r="I2552" s="141"/>
      <c r="J2552" s="141"/>
      <c r="K2552" s="141"/>
      <c r="L2552" s="141"/>
      <c r="M2552" s="141"/>
      <c r="N2552" s="141"/>
      <c r="O2552" s="141"/>
      <c r="P2552" s="141"/>
      <c r="Q2552" s="141"/>
      <c r="R2552" s="141"/>
      <c r="S2552" s="141"/>
      <c r="T2552" s="141"/>
      <c r="U2552" s="141"/>
      <c r="V2552" s="141"/>
      <c r="W2552" s="141"/>
      <c r="X2552" s="141"/>
      <c r="Y2552" s="141"/>
      <c r="Z2552" s="141"/>
    </row>
    <row r="2553">
      <c r="A2553" s="141"/>
      <c r="B2553" s="141"/>
      <c r="C2553" s="141"/>
      <c r="D2553" s="141"/>
      <c r="E2553" s="141"/>
      <c r="F2553" s="141"/>
      <c r="G2553" s="141"/>
      <c r="H2553" s="141"/>
      <c r="I2553" s="141"/>
      <c r="J2553" s="141"/>
      <c r="K2553" s="141"/>
      <c r="L2553" s="141"/>
      <c r="M2553" s="141"/>
      <c r="N2553" s="141"/>
      <c r="O2553" s="141"/>
      <c r="P2553" s="141"/>
      <c r="Q2553" s="141"/>
      <c r="R2553" s="141"/>
      <c r="S2553" s="141"/>
      <c r="T2553" s="141"/>
      <c r="U2553" s="141"/>
      <c r="V2553" s="141"/>
      <c r="W2553" s="141"/>
      <c r="X2553" s="141"/>
      <c r="Y2553" s="141"/>
      <c r="Z2553" s="141"/>
    </row>
    <row r="2554">
      <c r="A2554" s="141"/>
      <c r="B2554" s="141"/>
      <c r="C2554" s="141"/>
      <c r="D2554" s="141"/>
      <c r="E2554" s="141"/>
      <c r="F2554" s="141"/>
      <c r="G2554" s="141"/>
      <c r="H2554" s="141"/>
      <c r="I2554" s="141"/>
      <c r="J2554" s="141"/>
      <c r="K2554" s="141"/>
      <c r="L2554" s="141"/>
      <c r="M2554" s="141"/>
      <c r="N2554" s="141"/>
      <c r="O2554" s="141"/>
      <c r="P2554" s="141"/>
      <c r="Q2554" s="141"/>
      <c r="R2554" s="141"/>
      <c r="S2554" s="141"/>
      <c r="T2554" s="141"/>
      <c r="U2554" s="141"/>
      <c r="V2554" s="141"/>
      <c r="W2554" s="141"/>
      <c r="X2554" s="141"/>
      <c r="Y2554" s="141"/>
      <c r="Z2554" s="141"/>
    </row>
    <row r="2555">
      <c r="A2555" s="141"/>
      <c r="B2555" s="141"/>
      <c r="C2555" s="141"/>
      <c r="D2555" s="141"/>
      <c r="E2555" s="141"/>
      <c r="F2555" s="141"/>
      <c r="G2555" s="141"/>
      <c r="H2555" s="141"/>
      <c r="I2555" s="141"/>
      <c r="J2555" s="141"/>
      <c r="K2555" s="141"/>
      <c r="L2555" s="141"/>
      <c r="M2555" s="141"/>
      <c r="N2555" s="141"/>
      <c r="O2555" s="141"/>
      <c r="P2555" s="141"/>
      <c r="Q2555" s="141"/>
      <c r="R2555" s="141"/>
      <c r="S2555" s="141"/>
      <c r="T2555" s="141"/>
      <c r="U2555" s="141"/>
      <c r="V2555" s="141"/>
      <c r="W2555" s="141"/>
      <c r="X2555" s="141"/>
      <c r="Y2555" s="141"/>
      <c r="Z2555" s="141"/>
    </row>
    <row r="2556">
      <c r="A2556" s="141"/>
      <c r="B2556" s="141"/>
      <c r="C2556" s="141"/>
      <c r="D2556" s="141"/>
      <c r="E2556" s="141"/>
      <c r="F2556" s="141"/>
      <c r="G2556" s="141"/>
      <c r="H2556" s="141"/>
      <c r="I2556" s="141"/>
      <c r="J2556" s="141"/>
      <c r="K2556" s="141"/>
      <c r="L2556" s="141"/>
      <c r="M2556" s="141"/>
      <c r="N2556" s="141"/>
      <c r="O2556" s="141"/>
      <c r="P2556" s="141"/>
      <c r="Q2556" s="141"/>
      <c r="R2556" s="141"/>
      <c r="S2556" s="141"/>
      <c r="T2556" s="141"/>
      <c r="U2556" s="141"/>
      <c r="V2556" s="141"/>
      <c r="W2556" s="141"/>
      <c r="X2556" s="141"/>
      <c r="Y2556" s="141"/>
      <c r="Z2556" s="141"/>
    </row>
    <row r="2557">
      <c r="A2557" s="141"/>
      <c r="B2557" s="141"/>
      <c r="C2557" s="141"/>
      <c r="D2557" s="141"/>
      <c r="E2557" s="141"/>
      <c r="F2557" s="141"/>
      <c r="G2557" s="141"/>
      <c r="H2557" s="141"/>
      <c r="I2557" s="141"/>
      <c r="J2557" s="141"/>
      <c r="K2557" s="141"/>
      <c r="L2557" s="141"/>
      <c r="M2557" s="141"/>
      <c r="N2557" s="141"/>
      <c r="O2557" s="141"/>
      <c r="P2557" s="141"/>
      <c r="Q2557" s="141"/>
      <c r="R2557" s="141"/>
      <c r="S2557" s="141"/>
      <c r="T2557" s="141"/>
      <c r="U2557" s="141"/>
      <c r="V2557" s="141"/>
      <c r="W2557" s="141"/>
      <c r="X2557" s="141"/>
      <c r="Y2557" s="141"/>
      <c r="Z2557" s="141"/>
    </row>
    <row r="2558">
      <c r="A2558" s="141"/>
      <c r="B2558" s="141"/>
      <c r="C2558" s="141"/>
      <c r="D2558" s="141"/>
      <c r="E2558" s="141"/>
      <c r="F2558" s="141"/>
      <c r="G2558" s="141"/>
      <c r="H2558" s="141"/>
      <c r="I2558" s="141"/>
      <c r="J2558" s="141"/>
      <c r="K2558" s="141"/>
      <c r="L2558" s="141"/>
      <c r="M2558" s="141"/>
      <c r="N2558" s="141"/>
      <c r="O2558" s="141"/>
      <c r="P2558" s="141"/>
      <c r="Q2558" s="141"/>
      <c r="R2558" s="141"/>
      <c r="S2558" s="141"/>
      <c r="T2558" s="141"/>
      <c r="U2558" s="141"/>
      <c r="V2558" s="141"/>
      <c r="W2558" s="141"/>
      <c r="X2558" s="141"/>
      <c r="Y2558" s="141"/>
      <c r="Z2558" s="141"/>
    </row>
    <row r="2559">
      <c r="A2559" s="141"/>
      <c r="B2559" s="141"/>
      <c r="C2559" s="141"/>
      <c r="D2559" s="141"/>
      <c r="E2559" s="141"/>
      <c r="F2559" s="141"/>
      <c r="G2559" s="141"/>
      <c r="H2559" s="141"/>
      <c r="I2559" s="141"/>
      <c r="J2559" s="141"/>
      <c r="K2559" s="141"/>
      <c r="L2559" s="141"/>
      <c r="M2559" s="141"/>
      <c r="N2559" s="141"/>
      <c r="O2559" s="141"/>
      <c r="P2559" s="141"/>
      <c r="Q2559" s="141"/>
      <c r="R2559" s="141"/>
      <c r="S2559" s="141"/>
      <c r="T2559" s="141"/>
      <c r="U2559" s="141"/>
      <c r="V2559" s="141"/>
      <c r="W2559" s="141"/>
      <c r="X2559" s="141"/>
      <c r="Y2559" s="141"/>
      <c r="Z2559" s="141"/>
    </row>
    <row r="2560">
      <c r="A2560" s="141"/>
      <c r="B2560" s="141"/>
      <c r="C2560" s="141"/>
      <c r="D2560" s="141"/>
      <c r="E2560" s="141"/>
      <c r="F2560" s="141"/>
      <c r="G2560" s="141"/>
      <c r="H2560" s="141"/>
      <c r="I2560" s="141"/>
      <c r="J2560" s="141"/>
      <c r="K2560" s="141"/>
      <c r="L2560" s="141"/>
      <c r="M2560" s="141"/>
      <c r="N2560" s="141"/>
      <c r="O2560" s="141"/>
      <c r="P2560" s="141"/>
      <c r="Q2560" s="141"/>
      <c r="R2560" s="141"/>
      <c r="S2560" s="141"/>
      <c r="T2560" s="141"/>
      <c r="U2560" s="141"/>
      <c r="V2560" s="141"/>
      <c r="W2560" s="141"/>
      <c r="X2560" s="141"/>
      <c r="Y2560" s="141"/>
      <c r="Z2560" s="141"/>
    </row>
    <row r="2561">
      <c r="A2561" s="141"/>
      <c r="B2561" s="141"/>
      <c r="C2561" s="141"/>
      <c r="D2561" s="141"/>
      <c r="E2561" s="141"/>
      <c r="F2561" s="141"/>
      <c r="G2561" s="141"/>
      <c r="H2561" s="141"/>
      <c r="I2561" s="141"/>
      <c r="J2561" s="141"/>
      <c r="K2561" s="141"/>
      <c r="L2561" s="141"/>
      <c r="M2561" s="141"/>
      <c r="N2561" s="141"/>
      <c r="O2561" s="141"/>
      <c r="P2561" s="141"/>
      <c r="Q2561" s="141"/>
      <c r="R2561" s="141"/>
      <c r="S2561" s="141"/>
      <c r="T2561" s="141"/>
      <c r="U2561" s="141"/>
      <c r="V2561" s="141"/>
      <c r="W2561" s="141"/>
      <c r="X2561" s="141"/>
      <c r="Y2561" s="141"/>
      <c r="Z2561" s="141"/>
    </row>
    <row r="2562">
      <c r="A2562" s="141"/>
      <c r="B2562" s="141"/>
      <c r="C2562" s="141"/>
      <c r="D2562" s="141"/>
      <c r="E2562" s="141"/>
      <c r="F2562" s="141"/>
      <c r="G2562" s="141"/>
      <c r="H2562" s="141"/>
      <c r="I2562" s="141"/>
      <c r="J2562" s="141"/>
      <c r="K2562" s="141"/>
      <c r="L2562" s="141"/>
      <c r="M2562" s="141"/>
      <c r="N2562" s="141"/>
      <c r="O2562" s="141"/>
      <c r="P2562" s="141"/>
      <c r="Q2562" s="141"/>
      <c r="R2562" s="141"/>
      <c r="S2562" s="141"/>
      <c r="T2562" s="141"/>
      <c r="U2562" s="141"/>
      <c r="V2562" s="141"/>
      <c r="W2562" s="141"/>
      <c r="X2562" s="141"/>
      <c r="Y2562" s="141"/>
      <c r="Z2562" s="141"/>
    </row>
    <row r="2563">
      <c r="A2563" s="141"/>
      <c r="B2563" s="141"/>
      <c r="C2563" s="141"/>
      <c r="D2563" s="141"/>
      <c r="E2563" s="141"/>
      <c r="F2563" s="141"/>
      <c r="G2563" s="141"/>
      <c r="H2563" s="141"/>
      <c r="I2563" s="141"/>
      <c r="J2563" s="141"/>
      <c r="K2563" s="141"/>
      <c r="L2563" s="141"/>
      <c r="M2563" s="141"/>
      <c r="N2563" s="141"/>
      <c r="O2563" s="141"/>
      <c r="P2563" s="141"/>
      <c r="Q2563" s="141"/>
      <c r="R2563" s="141"/>
      <c r="S2563" s="141"/>
      <c r="T2563" s="141"/>
      <c r="U2563" s="141"/>
      <c r="V2563" s="141"/>
      <c r="W2563" s="141"/>
      <c r="X2563" s="141"/>
      <c r="Y2563" s="141"/>
      <c r="Z2563" s="141"/>
    </row>
    <row r="2564">
      <c r="A2564" s="141"/>
      <c r="B2564" s="141"/>
      <c r="C2564" s="141"/>
      <c r="D2564" s="141"/>
      <c r="E2564" s="141"/>
      <c r="F2564" s="141"/>
      <c r="G2564" s="141"/>
      <c r="H2564" s="141"/>
      <c r="I2564" s="141"/>
      <c r="J2564" s="141"/>
      <c r="K2564" s="141"/>
      <c r="L2564" s="141"/>
      <c r="M2564" s="141"/>
      <c r="N2564" s="141"/>
      <c r="O2564" s="141"/>
      <c r="P2564" s="141"/>
      <c r="Q2564" s="141"/>
      <c r="R2564" s="141"/>
      <c r="S2564" s="141"/>
      <c r="T2564" s="141"/>
      <c r="U2564" s="141"/>
      <c r="V2564" s="141"/>
      <c r="W2564" s="141"/>
      <c r="X2564" s="141"/>
      <c r="Y2564" s="141"/>
      <c r="Z2564" s="141"/>
    </row>
    <row r="2565">
      <c r="A2565" s="141"/>
      <c r="B2565" s="141"/>
      <c r="C2565" s="141"/>
      <c r="D2565" s="141"/>
      <c r="E2565" s="141"/>
      <c r="F2565" s="141"/>
      <c r="G2565" s="141"/>
      <c r="H2565" s="141"/>
      <c r="I2565" s="141"/>
      <c r="J2565" s="141"/>
      <c r="K2565" s="141"/>
      <c r="L2565" s="141"/>
      <c r="M2565" s="141"/>
      <c r="N2565" s="141"/>
      <c r="O2565" s="141"/>
      <c r="P2565" s="141"/>
      <c r="Q2565" s="141"/>
      <c r="R2565" s="141"/>
      <c r="S2565" s="141"/>
      <c r="T2565" s="141"/>
      <c r="U2565" s="141"/>
      <c r="V2565" s="141"/>
      <c r="W2565" s="141"/>
      <c r="X2565" s="141"/>
      <c r="Y2565" s="141"/>
      <c r="Z2565" s="141"/>
    </row>
    <row r="2566">
      <c r="A2566" s="141"/>
      <c r="B2566" s="141"/>
      <c r="C2566" s="141"/>
      <c r="D2566" s="141"/>
      <c r="E2566" s="141"/>
      <c r="F2566" s="141"/>
      <c r="G2566" s="141"/>
      <c r="H2566" s="141"/>
      <c r="I2566" s="141"/>
      <c r="J2566" s="141"/>
      <c r="K2566" s="141"/>
      <c r="L2566" s="141"/>
      <c r="M2566" s="141"/>
      <c r="N2566" s="141"/>
      <c r="O2566" s="141"/>
      <c r="P2566" s="141"/>
      <c r="Q2566" s="141"/>
      <c r="R2566" s="141"/>
      <c r="S2566" s="141"/>
      <c r="T2566" s="141"/>
      <c r="U2566" s="141"/>
      <c r="V2566" s="141"/>
      <c r="W2566" s="141"/>
      <c r="X2566" s="141"/>
      <c r="Y2566" s="141"/>
      <c r="Z2566" s="141"/>
    </row>
    <row r="2567">
      <c r="A2567" s="141"/>
      <c r="B2567" s="141"/>
      <c r="C2567" s="141"/>
      <c r="D2567" s="141"/>
      <c r="E2567" s="141"/>
      <c r="F2567" s="141"/>
      <c r="G2567" s="141"/>
      <c r="H2567" s="141"/>
      <c r="I2567" s="141"/>
      <c r="J2567" s="141"/>
      <c r="K2567" s="141"/>
      <c r="L2567" s="141"/>
      <c r="M2567" s="141"/>
      <c r="N2567" s="141"/>
      <c r="O2567" s="141"/>
      <c r="P2567" s="141"/>
      <c r="Q2567" s="141"/>
      <c r="R2567" s="141"/>
      <c r="S2567" s="141"/>
      <c r="T2567" s="141"/>
      <c r="U2567" s="141"/>
      <c r="V2567" s="141"/>
      <c r="W2567" s="141"/>
      <c r="X2567" s="141"/>
      <c r="Y2567" s="141"/>
      <c r="Z2567" s="141"/>
    </row>
    <row r="2568">
      <c r="A2568" s="141"/>
      <c r="B2568" s="141"/>
      <c r="C2568" s="141"/>
      <c r="D2568" s="141"/>
      <c r="E2568" s="141"/>
      <c r="F2568" s="141"/>
      <c r="G2568" s="141"/>
      <c r="H2568" s="141"/>
      <c r="I2568" s="141"/>
      <c r="J2568" s="141"/>
      <c r="K2568" s="141"/>
      <c r="L2568" s="141"/>
      <c r="M2568" s="141"/>
      <c r="N2568" s="141"/>
      <c r="O2568" s="141"/>
      <c r="P2568" s="141"/>
      <c r="Q2568" s="141"/>
      <c r="R2568" s="141"/>
      <c r="S2568" s="141"/>
      <c r="T2568" s="141"/>
      <c r="U2568" s="141"/>
      <c r="V2568" s="141"/>
      <c r="W2568" s="141"/>
      <c r="X2568" s="141"/>
      <c r="Y2568" s="141"/>
      <c r="Z2568" s="141"/>
    </row>
    <row r="2569">
      <c r="A2569" s="141"/>
      <c r="B2569" s="141"/>
      <c r="C2569" s="141"/>
      <c r="D2569" s="141"/>
      <c r="E2569" s="141"/>
      <c r="F2569" s="141"/>
      <c r="G2569" s="141"/>
      <c r="H2569" s="141"/>
      <c r="I2569" s="141"/>
      <c r="J2569" s="141"/>
      <c r="K2569" s="141"/>
      <c r="L2569" s="141"/>
      <c r="M2569" s="141"/>
      <c r="N2569" s="141"/>
      <c r="O2569" s="141"/>
      <c r="P2569" s="141"/>
      <c r="Q2569" s="141"/>
      <c r="R2569" s="141"/>
      <c r="S2569" s="141"/>
      <c r="T2569" s="141"/>
      <c r="U2569" s="141"/>
      <c r="V2569" s="141"/>
      <c r="W2569" s="141"/>
      <c r="X2569" s="141"/>
      <c r="Y2569" s="141"/>
      <c r="Z2569" s="141"/>
    </row>
    <row r="2570">
      <c r="A2570" s="141"/>
      <c r="B2570" s="141"/>
      <c r="C2570" s="141"/>
      <c r="D2570" s="141"/>
      <c r="E2570" s="141"/>
      <c r="F2570" s="141"/>
      <c r="G2570" s="141"/>
      <c r="H2570" s="141"/>
      <c r="I2570" s="141"/>
      <c r="J2570" s="141"/>
      <c r="K2570" s="141"/>
      <c r="L2570" s="141"/>
      <c r="M2570" s="141"/>
      <c r="N2570" s="141"/>
      <c r="O2570" s="141"/>
      <c r="P2570" s="141"/>
      <c r="Q2570" s="141"/>
      <c r="R2570" s="141"/>
      <c r="S2570" s="141"/>
      <c r="T2570" s="141"/>
      <c r="U2570" s="141"/>
      <c r="V2570" s="141"/>
      <c r="W2570" s="141"/>
      <c r="X2570" s="141"/>
      <c r="Y2570" s="141"/>
      <c r="Z2570" s="141"/>
    </row>
    <row r="2571">
      <c r="A2571" s="141"/>
      <c r="B2571" s="141"/>
      <c r="C2571" s="141"/>
      <c r="D2571" s="141"/>
      <c r="E2571" s="141"/>
      <c r="F2571" s="141"/>
      <c r="G2571" s="141"/>
      <c r="H2571" s="141"/>
      <c r="I2571" s="141"/>
      <c r="J2571" s="141"/>
      <c r="K2571" s="141"/>
      <c r="L2571" s="141"/>
      <c r="M2571" s="141"/>
      <c r="N2571" s="141"/>
      <c r="O2571" s="141"/>
      <c r="P2571" s="141"/>
      <c r="Q2571" s="141"/>
      <c r="R2571" s="141"/>
      <c r="S2571" s="141"/>
      <c r="T2571" s="141"/>
      <c r="U2571" s="141"/>
      <c r="V2571" s="141"/>
      <c r="W2571" s="141"/>
      <c r="X2571" s="141"/>
      <c r="Y2571" s="141"/>
      <c r="Z2571" s="141"/>
    </row>
    <row r="2572">
      <c r="A2572" s="141"/>
      <c r="B2572" s="141"/>
      <c r="C2572" s="141"/>
      <c r="D2572" s="141"/>
      <c r="E2572" s="141"/>
      <c r="F2572" s="141"/>
      <c r="G2572" s="141"/>
      <c r="H2572" s="141"/>
      <c r="I2572" s="141"/>
      <c r="J2572" s="141"/>
      <c r="K2572" s="141"/>
      <c r="L2572" s="141"/>
      <c r="M2572" s="141"/>
      <c r="N2572" s="141"/>
      <c r="O2572" s="141"/>
      <c r="P2572" s="141"/>
      <c r="Q2572" s="141"/>
      <c r="R2572" s="141"/>
      <c r="S2572" s="141"/>
      <c r="T2572" s="141"/>
      <c r="U2572" s="141"/>
      <c r="V2572" s="141"/>
      <c r="W2572" s="141"/>
      <c r="X2572" s="141"/>
      <c r="Y2572" s="141"/>
      <c r="Z2572" s="141"/>
    </row>
    <row r="2573">
      <c r="A2573" s="141"/>
      <c r="B2573" s="141"/>
      <c r="C2573" s="141"/>
      <c r="D2573" s="141"/>
      <c r="E2573" s="141"/>
      <c r="F2573" s="141"/>
      <c r="G2573" s="141"/>
      <c r="H2573" s="141"/>
      <c r="I2573" s="141"/>
      <c r="J2573" s="141"/>
      <c r="K2573" s="141"/>
      <c r="L2573" s="141"/>
      <c r="M2573" s="141"/>
      <c r="N2573" s="141"/>
      <c r="O2573" s="141"/>
      <c r="P2573" s="141"/>
      <c r="Q2573" s="141"/>
      <c r="R2573" s="141"/>
      <c r="S2573" s="141"/>
      <c r="T2573" s="141"/>
      <c r="U2573" s="141"/>
      <c r="V2573" s="141"/>
      <c r="W2573" s="141"/>
      <c r="X2573" s="141"/>
      <c r="Y2573" s="141"/>
      <c r="Z2573" s="141"/>
    </row>
    <row r="2574">
      <c r="A2574" s="141"/>
      <c r="B2574" s="141"/>
      <c r="C2574" s="141"/>
      <c r="D2574" s="141"/>
      <c r="E2574" s="141"/>
      <c r="F2574" s="141"/>
      <c r="G2574" s="141"/>
      <c r="H2574" s="141"/>
      <c r="I2574" s="141"/>
      <c r="J2574" s="141"/>
      <c r="K2574" s="141"/>
      <c r="L2574" s="141"/>
      <c r="M2574" s="141"/>
      <c r="N2574" s="141"/>
      <c r="O2574" s="141"/>
      <c r="P2574" s="141"/>
      <c r="Q2574" s="141"/>
      <c r="R2574" s="141"/>
      <c r="S2574" s="141"/>
      <c r="T2574" s="141"/>
      <c r="U2574" s="141"/>
      <c r="V2574" s="141"/>
      <c r="W2574" s="141"/>
      <c r="X2574" s="141"/>
      <c r="Y2574" s="141"/>
      <c r="Z2574" s="141"/>
    </row>
    <row r="2575">
      <c r="A2575" s="141"/>
      <c r="B2575" s="141"/>
      <c r="C2575" s="141"/>
      <c r="D2575" s="141"/>
      <c r="E2575" s="141"/>
      <c r="F2575" s="141"/>
      <c r="G2575" s="141"/>
      <c r="H2575" s="141"/>
      <c r="I2575" s="141"/>
      <c r="J2575" s="141"/>
      <c r="K2575" s="141"/>
      <c r="L2575" s="141"/>
      <c r="M2575" s="141"/>
      <c r="N2575" s="141"/>
      <c r="O2575" s="141"/>
      <c r="P2575" s="141"/>
      <c r="Q2575" s="141"/>
      <c r="R2575" s="141"/>
      <c r="S2575" s="141"/>
      <c r="T2575" s="141"/>
      <c r="U2575" s="141"/>
      <c r="V2575" s="141"/>
      <c r="W2575" s="141"/>
      <c r="X2575" s="141"/>
      <c r="Y2575" s="141"/>
      <c r="Z2575" s="141"/>
    </row>
    <row r="2576">
      <c r="A2576" s="141"/>
      <c r="B2576" s="141"/>
      <c r="C2576" s="141"/>
      <c r="D2576" s="141"/>
      <c r="E2576" s="141"/>
      <c r="F2576" s="141"/>
      <c r="G2576" s="141"/>
      <c r="H2576" s="141"/>
      <c r="I2576" s="141"/>
      <c r="J2576" s="141"/>
      <c r="K2576" s="141"/>
      <c r="L2576" s="141"/>
      <c r="M2576" s="141"/>
      <c r="N2576" s="141"/>
      <c r="O2576" s="141"/>
      <c r="P2576" s="141"/>
      <c r="Q2576" s="141"/>
      <c r="R2576" s="141"/>
      <c r="S2576" s="141"/>
      <c r="T2576" s="141"/>
      <c r="U2576" s="141"/>
      <c r="V2576" s="141"/>
      <c r="W2576" s="141"/>
      <c r="X2576" s="141"/>
      <c r="Y2576" s="141"/>
      <c r="Z2576" s="141"/>
    </row>
    <row r="2577">
      <c r="A2577" s="141"/>
      <c r="B2577" s="141"/>
      <c r="C2577" s="141"/>
      <c r="D2577" s="141"/>
      <c r="E2577" s="141"/>
      <c r="F2577" s="141"/>
      <c r="G2577" s="141"/>
      <c r="H2577" s="141"/>
      <c r="I2577" s="141"/>
      <c r="J2577" s="141"/>
      <c r="K2577" s="141"/>
      <c r="L2577" s="141"/>
      <c r="M2577" s="141"/>
      <c r="N2577" s="141"/>
      <c r="O2577" s="141"/>
      <c r="P2577" s="141"/>
      <c r="Q2577" s="141"/>
      <c r="R2577" s="141"/>
      <c r="S2577" s="141"/>
      <c r="T2577" s="141"/>
      <c r="U2577" s="141"/>
      <c r="V2577" s="141"/>
      <c r="W2577" s="141"/>
      <c r="X2577" s="141"/>
      <c r="Y2577" s="141"/>
      <c r="Z2577" s="141"/>
    </row>
    <row r="2578">
      <c r="A2578" s="141"/>
      <c r="B2578" s="141"/>
      <c r="C2578" s="141"/>
      <c r="D2578" s="141"/>
      <c r="E2578" s="141"/>
      <c r="F2578" s="141"/>
      <c r="G2578" s="141"/>
      <c r="H2578" s="141"/>
      <c r="I2578" s="141"/>
      <c r="J2578" s="141"/>
      <c r="K2578" s="141"/>
      <c r="L2578" s="141"/>
      <c r="M2578" s="141"/>
      <c r="N2578" s="141"/>
      <c r="O2578" s="141"/>
      <c r="P2578" s="141"/>
      <c r="Q2578" s="141"/>
      <c r="R2578" s="141"/>
      <c r="S2578" s="141"/>
      <c r="T2578" s="141"/>
      <c r="U2578" s="141"/>
      <c r="V2578" s="141"/>
      <c r="W2578" s="141"/>
      <c r="X2578" s="141"/>
      <c r="Y2578" s="141"/>
      <c r="Z2578" s="141"/>
    </row>
    <row r="2579">
      <c r="A2579" s="141"/>
      <c r="B2579" s="141"/>
      <c r="C2579" s="141"/>
      <c r="D2579" s="141"/>
      <c r="E2579" s="141"/>
      <c r="F2579" s="141"/>
      <c r="G2579" s="141"/>
      <c r="H2579" s="141"/>
      <c r="I2579" s="141"/>
      <c r="J2579" s="141"/>
      <c r="K2579" s="141"/>
      <c r="L2579" s="141"/>
      <c r="M2579" s="141"/>
      <c r="N2579" s="141"/>
      <c r="O2579" s="141"/>
      <c r="P2579" s="141"/>
      <c r="Q2579" s="141"/>
      <c r="R2579" s="141"/>
      <c r="S2579" s="141"/>
      <c r="T2579" s="141"/>
      <c r="U2579" s="141"/>
      <c r="V2579" s="141"/>
      <c r="W2579" s="141"/>
      <c r="X2579" s="141"/>
      <c r="Y2579" s="141"/>
      <c r="Z2579" s="141"/>
    </row>
    <row r="2580">
      <c r="A2580" s="141"/>
      <c r="B2580" s="141"/>
      <c r="C2580" s="141"/>
      <c r="D2580" s="141"/>
      <c r="E2580" s="141"/>
      <c r="F2580" s="141"/>
      <c r="G2580" s="141"/>
      <c r="H2580" s="141"/>
      <c r="I2580" s="141"/>
      <c r="J2580" s="141"/>
      <c r="K2580" s="141"/>
      <c r="L2580" s="141"/>
      <c r="M2580" s="141"/>
      <c r="N2580" s="141"/>
      <c r="O2580" s="141"/>
      <c r="P2580" s="141"/>
      <c r="Q2580" s="141"/>
      <c r="R2580" s="141"/>
      <c r="S2580" s="141"/>
      <c r="T2580" s="141"/>
      <c r="U2580" s="141"/>
      <c r="V2580" s="141"/>
      <c r="W2580" s="141"/>
      <c r="X2580" s="141"/>
      <c r="Y2580" s="141"/>
      <c r="Z2580" s="141"/>
    </row>
    <row r="2581">
      <c r="A2581" s="141"/>
      <c r="B2581" s="141"/>
      <c r="C2581" s="141"/>
      <c r="D2581" s="141"/>
      <c r="E2581" s="141"/>
      <c r="F2581" s="141"/>
      <c r="G2581" s="141"/>
      <c r="H2581" s="141"/>
      <c r="I2581" s="141"/>
      <c r="J2581" s="141"/>
      <c r="K2581" s="141"/>
      <c r="L2581" s="141"/>
      <c r="M2581" s="141"/>
      <c r="N2581" s="141"/>
      <c r="O2581" s="141"/>
      <c r="P2581" s="141"/>
      <c r="Q2581" s="141"/>
      <c r="R2581" s="141"/>
      <c r="S2581" s="141"/>
      <c r="T2581" s="141"/>
      <c r="U2581" s="141"/>
      <c r="V2581" s="141"/>
      <c r="W2581" s="141"/>
      <c r="X2581" s="141"/>
      <c r="Y2581" s="141"/>
      <c r="Z2581" s="141"/>
    </row>
    <row r="2582">
      <c r="A2582" s="141"/>
      <c r="B2582" s="141"/>
      <c r="C2582" s="141"/>
      <c r="D2582" s="141"/>
      <c r="E2582" s="141"/>
      <c r="F2582" s="141"/>
      <c r="G2582" s="141"/>
      <c r="H2582" s="141"/>
      <c r="I2582" s="141"/>
      <c r="J2582" s="141"/>
      <c r="K2582" s="141"/>
      <c r="L2582" s="141"/>
      <c r="M2582" s="141"/>
      <c r="N2582" s="141"/>
      <c r="O2582" s="141"/>
      <c r="P2582" s="141"/>
      <c r="Q2582" s="141"/>
      <c r="R2582" s="141"/>
      <c r="S2582" s="141"/>
      <c r="T2582" s="141"/>
      <c r="U2582" s="141"/>
      <c r="V2582" s="141"/>
      <c r="W2582" s="141"/>
      <c r="X2582" s="141"/>
      <c r="Y2582" s="141"/>
      <c r="Z2582" s="141"/>
    </row>
    <row r="2583">
      <c r="A2583" s="141"/>
      <c r="B2583" s="141"/>
      <c r="C2583" s="141"/>
      <c r="D2583" s="141"/>
      <c r="E2583" s="141"/>
      <c r="F2583" s="141"/>
      <c r="G2583" s="141"/>
      <c r="H2583" s="141"/>
      <c r="I2583" s="141"/>
      <c r="J2583" s="141"/>
      <c r="K2583" s="141"/>
      <c r="L2583" s="141"/>
      <c r="M2583" s="141"/>
      <c r="N2583" s="141"/>
      <c r="O2583" s="141"/>
      <c r="P2583" s="141"/>
      <c r="Q2583" s="141"/>
      <c r="R2583" s="141"/>
      <c r="S2583" s="141"/>
      <c r="T2583" s="141"/>
      <c r="U2583" s="141"/>
      <c r="V2583" s="141"/>
      <c r="W2583" s="141"/>
      <c r="X2583" s="141"/>
      <c r="Y2583" s="141"/>
      <c r="Z2583" s="141"/>
    </row>
    <row r="2584">
      <c r="A2584" s="141"/>
      <c r="B2584" s="141"/>
      <c r="C2584" s="141"/>
      <c r="D2584" s="141"/>
      <c r="E2584" s="141"/>
      <c r="F2584" s="141"/>
      <c r="G2584" s="141"/>
      <c r="H2584" s="141"/>
      <c r="I2584" s="141"/>
      <c r="J2584" s="141"/>
      <c r="K2584" s="141"/>
      <c r="L2584" s="141"/>
      <c r="M2584" s="141"/>
      <c r="N2584" s="141"/>
      <c r="O2584" s="141"/>
      <c r="P2584" s="141"/>
      <c r="Q2584" s="141"/>
      <c r="R2584" s="141"/>
      <c r="S2584" s="141"/>
      <c r="T2584" s="141"/>
      <c r="U2584" s="141"/>
      <c r="V2584" s="141"/>
      <c r="W2584" s="141"/>
      <c r="X2584" s="141"/>
      <c r="Y2584" s="141"/>
      <c r="Z2584" s="141"/>
    </row>
    <row r="2585">
      <c r="A2585" s="141"/>
      <c r="B2585" s="141"/>
      <c r="C2585" s="141"/>
      <c r="D2585" s="141"/>
      <c r="E2585" s="141"/>
      <c r="F2585" s="141"/>
      <c r="G2585" s="141"/>
      <c r="H2585" s="141"/>
      <c r="I2585" s="141"/>
      <c r="J2585" s="141"/>
      <c r="K2585" s="141"/>
      <c r="L2585" s="141"/>
      <c r="M2585" s="141"/>
      <c r="N2585" s="141"/>
      <c r="O2585" s="141"/>
      <c r="P2585" s="141"/>
      <c r="Q2585" s="141"/>
      <c r="R2585" s="141"/>
      <c r="S2585" s="141"/>
      <c r="T2585" s="141"/>
      <c r="U2585" s="141"/>
      <c r="V2585" s="141"/>
      <c r="W2585" s="141"/>
      <c r="X2585" s="141"/>
      <c r="Y2585" s="141"/>
      <c r="Z2585" s="141"/>
    </row>
    <row r="2586">
      <c r="A2586" s="141"/>
      <c r="B2586" s="141"/>
      <c r="C2586" s="141"/>
      <c r="D2586" s="141"/>
      <c r="E2586" s="141"/>
      <c r="F2586" s="141"/>
      <c r="G2586" s="141"/>
      <c r="H2586" s="141"/>
      <c r="I2586" s="141"/>
      <c r="J2586" s="141"/>
      <c r="K2586" s="141"/>
      <c r="L2586" s="141"/>
      <c r="M2586" s="141"/>
      <c r="N2586" s="141"/>
      <c r="O2586" s="141"/>
      <c r="P2586" s="141"/>
      <c r="Q2586" s="141"/>
      <c r="R2586" s="141"/>
      <c r="S2586" s="141"/>
      <c r="T2586" s="141"/>
      <c r="U2586" s="141"/>
      <c r="V2586" s="141"/>
      <c r="W2586" s="141"/>
      <c r="X2586" s="141"/>
      <c r="Y2586" s="141"/>
      <c r="Z2586" s="141"/>
    </row>
    <row r="2587">
      <c r="A2587" s="141"/>
      <c r="B2587" s="141"/>
      <c r="C2587" s="141"/>
      <c r="D2587" s="141"/>
      <c r="E2587" s="141"/>
      <c r="F2587" s="141"/>
      <c r="G2587" s="141"/>
      <c r="H2587" s="141"/>
      <c r="I2587" s="141"/>
      <c r="J2587" s="141"/>
      <c r="K2587" s="141"/>
      <c r="L2587" s="141"/>
      <c r="M2587" s="141"/>
      <c r="N2587" s="141"/>
      <c r="O2587" s="141"/>
      <c r="P2587" s="141"/>
      <c r="Q2587" s="141"/>
      <c r="R2587" s="141"/>
      <c r="S2587" s="141"/>
      <c r="T2587" s="141"/>
      <c r="U2587" s="141"/>
      <c r="V2587" s="141"/>
      <c r="W2587" s="141"/>
      <c r="X2587" s="141"/>
      <c r="Y2587" s="141"/>
      <c r="Z2587" s="141"/>
    </row>
    <row r="2588">
      <c r="A2588" s="141"/>
      <c r="B2588" s="141"/>
      <c r="C2588" s="141"/>
      <c r="D2588" s="141"/>
      <c r="E2588" s="141"/>
      <c r="F2588" s="141"/>
      <c r="G2588" s="141"/>
      <c r="H2588" s="141"/>
      <c r="I2588" s="141"/>
      <c r="J2588" s="141"/>
      <c r="K2588" s="141"/>
      <c r="L2588" s="141"/>
      <c r="M2588" s="141"/>
      <c r="N2588" s="141"/>
      <c r="O2588" s="141"/>
      <c r="P2588" s="141"/>
      <c r="Q2588" s="141"/>
      <c r="R2588" s="141"/>
      <c r="S2588" s="141"/>
      <c r="T2588" s="141"/>
      <c r="U2588" s="141"/>
      <c r="V2588" s="141"/>
      <c r="W2588" s="141"/>
      <c r="X2588" s="141"/>
      <c r="Y2588" s="141"/>
      <c r="Z2588" s="141"/>
    </row>
    <row r="2589">
      <c r="A2589" s="141"/>
      <c r="B2589" s="141"/>
      <c r="C2589" s="141"/>
      <c r="D2589" s="141"/>
      <c r="E2589" s="141"/>
      <c r="F2589" s="141"/>
      <c r="G2589" s="141"/>
      <c r="H2589" s="141"/>
      <c r="I2589" s="141"/>
      <c r="J2589" s="141"/>
      <c r="K2589" s="141"/>
      <c r="L2589" s="141"/>
      <c r="M2589" s="141"/>
      <c r="N2589" s="141"/>
      <c r="O2589" s="141"/>
      <c r="P2589" s="141"/>
      <c r="Q2589" s="141"/>
      <c r="R2589" s="141"/>
      <c r="S2589" s="141"/>
      <c r="T2589" s="141"/>
      <c r="U2589" s="141"/>
      <c r="V2589" s="141"/>
      <c r="W2589" s="141"/>
      <c r="X2589" s="141"/>
      <c r="Y2589" s="141"/>
      <c r="Z2589" s="141"/>
    </row>
    <row r="2590">
      <c r="A2590" s="141"/>
      <c r="B2590" s="141"/>
      <c r="C2590" s="141"/>
      <c r="D2590" s="141"/>
      <c r="E2590" s="141"/>
      <c r="F2590" s="141"/>
      <c r="G2590" s="141"/>
      <c r="H2590" s="141"/>
      <c r="I2590" s="141"/>
      <c r="J2590" s="141"/>
      <c r="K2590" s="141"/>
      <c r="L2590" s="141"/>
      <c r="M2590" s="141"/>
      <c r="N2590" s="141"/>
      <c r="O2590" s="141"/>
      <c r="P2590" s="141"/>
      <c r="Q2590" s="141"/>
      <c r="R2590" s="141"/>
      <c r="S2590" s="141"/>
      <c r="T2590" s="141"/>
      <c r="U2590" s="141"/>
      <c r="V2590" s="141"/>
      <c r="W2590" s="141"/>
      <c r="X2590" s="141"/>
      <c r="Y2590" s="141"/>
      <c r="Z2590" s="141"/>
    </row>
    <row r="2591">
      <c r="A2591" s="141"/>
      <c r="B2591" s="141"/>
      <c r="C2591" s="141"/>
      <c r="D2591" s="141"/>
      <c r="E2591" s="141"/>
      <c r="F2591" s="141"/>
      <c r="G2591" s="141"/>
      <c r="H2591" s="141"/>
      <c r="I2591" s="141"/>
      <c r="J2591" s="141"/>
      <c r="K2591" s="141"/>
      <c r="L2591" s="141"/>
      <c r="M2591" s="141"/>
      <c r="N2591" s="141"/>
      <c r="O2591" s="141"/>
      <c r="P2591" s="141"/>
      <c r="Q2591" s="141"/>
      <c r="R2591" s="141"/>
      <c r="S2591" s="141"/>
      <c r="T2591" s="141"/>
      <c r="U2591" s="141"/>
      <c r="V2591" s="141"/>
      <c r="W2591" s="141"/>
      <c r="X2591" s="141"/>
      <c r="Y2591" s="141"/>
      <c r="Z2591" s="141"/>
    </row>
    <row r="2592">
      <c r="A2592" s="141"/>
      <c r="B2592" s="141"/>
      <c r="C2592" s="141"/>
      <c r="D2592" s="141"/>
      <c r="E2592" s="141"/>
      <c r="F2592" s="141"/>
      <c r="G2592" s="141"/>
      <c r="H2592" s="141"/>
      <c r="I2592" s="141"/>
      <c r="J2592" s="141"/>
      <c r="K2592" s="141"/>
      <c r="L2592" s="141"/>
      <c r="M2592" s="141"/>
      <c r="N2592" s="141"/>
      <c r="O2592" s="141"/>
      <c r="P2592" s="141"/>
      <c r="Q2592" s="141"/>
      <c r="R2592" s="141"/>
      <c r="S2592" s="141"/>
      <c r="T2592" s="141"/>
      <c r="U2592" s="141"/>
      <c r="V2592" s="141"/>
      <c r="W2592" s="141"/>
      <c r="X2592" s="141"/>
      <c r="Y2592" s="141"/>
      <c r="Z2592" s="141"/>
    </row>
    <row r="2593">
      <c r="A2593" s="141"/>
      <c r="B2593" s="141"/>
      <c r="C2593" s="141"/>
      <c r="D2593" s="141"/>
      <c r="E2593" s="141"/>
      <c r="F2593" s="141"/>
      <c r="G2593" s="141"/>
      <c r="H2593" s="141"/>
      <c r="I2593" s="141"/>
      <c r="J2593" s="141"/>
      <c r="K2593" s="141"/>
      <c r="L2593" s="141"/>
      <c r="M2593" s="141"/>
      <c r="N2593" s="141"/>
      <c r="O2593" s="141"/>
      <c r="P2593" s="141"/>
      <c r="Q2593" s="141"/>
      <c r="R2593" s="141"/>
      <c r="S2593" s="141"/>
      <c r="T2593" s="141"/>
      <c r="U2593" s="141"/>
      <c r="V2593" s="141"/>
      <c r="W2593" s="141"/>
      <c r="X2593" s="141"/>
      <c r="Y2593" s="141"/>
      <c r="Z2593" s="141"/>
    </row>
    <row r="2594">
      <c r="A2594" s="141"/>
      <c r="B2594" s="141"/>
      <c r="C2594" s="141"/>
      <c r="D2594" s="141"/>
      <c r="E2594" s="141"/>
      <c r="F2594" s="141"/>
      <c r="G2594" s="141"/>
      <c r="H2594" s="141"/>
      <c r="I2594" s="141"/>
      <c r="J2594" s="141"/>
      <c r="K2594" s="141"/>
      <c r="L2594" s="141"/>
      <c r="M2594" s="141"/>
      <c r="N2594" s="141"/>
      <c r="O2594" s="141"/>
      <c r="P2594" s="141"/>
      <c r="Q2594" s="141"/>
      <c r="R2594" s="141"/>
      <c r="S2594" s="141"/>
      <c r="T2594" s="141"/>
      <c r="U2594" s="141"/>
      <c r="V2594" s="141"/>
      <c r="W2594" s="141"/>
      <c r="X2594" s="141"/>
      <c r="Y2594" s="141"/>
      <c r="Z2594" s="141"/>
    </row>
    <row r="2595">
      <c r="A2595" s="141"/>
      <c r="B2595" s="141"/>
      <c r="C2595" s="141"/>
      <c r="D2595" s="141"/>
      <c r="E2595" s="141"/>
      <c r="F2595" s="141"/>
      <c r="G2595" s="141"/>
      <c r="H2595" s="141"/>
      <c r="I2595" s="141"/>
      <c r="J2595" s="141"/>
      <c r="K2595" s="141"/>
      <c r="L2595" s="141"/>
      <c r="M2595" s="141"/>
      <c r="N2595" s="141"/>
      <c r="O2595" s="141"/>
      <c r="P2595" s="141"/>
      <c r="Q2595" s="141"/>
      <c r="R2595" s="141"/>
      <c r="S2595" s="141"/>
      <c r="T2595" s="141"/>
      <c r="U2595" s="141"/>
      <c r="V2595" s="141"/>
      <c r="W2595" s="141"/>
      <c r="X2595" s="141"/>
      <c r="Y2595" s="141"/>
      <c r="Z2595" s="141"/>
    </row>
    <row r="2596">
      <c r="A2596" s="141"/>
      <c r="B2596" s="141"/>
      <c r="C2596" s="141"/>
      <c r="D2596" s="141"/>
      <c r="E2596" s="141"/>
      <c r="F2596" s="141"/>
      <c r="G2596" s="141"/>
      <c r="H2596" s="141"/>
      <c r="I2596" s="141"/>
      <c r="J2596" s="141"/>
      <c r="K2596" s="141"/>
      <c r="L2596" s="141"/>
      <c r="M2596" s="141"/>
      <c r="N2596" s="141"/>
      <c r="O2596" s="141"/>
      <c r="P2596" s="141"/>
      <c r="Q2596" s="141"/>
      <c r="R2596" s="141"/>
      <c r="S2596" s="141"/>
      <c r="T2596" s="141"/>
      <c r="U2596" s="141"/>
      <c r="V2596" s="141"/>
      <c r="W2596" s="141"/>
      <c r="X2596" s="141"/>
      <c r="Y2596" s="141"/>
      <c r="Z2596" s="141"/>
    </row>
    <row r="2597">
      <c r="A2597" s="141"/>
      <c r="B2597" s="141"/>
      <c r="C2597" s="141"/>
      <c r="D2597" s="141"/>
      <c r="E2597" s="141"/>
      <c r="F2597" s="141"/>
      <c r="G2597" s="141"/>
      <c r="H2597" s="141"/>
      <c r="I2597" s="141"/>
      <c r="J2597" s="141"/>
      <c r="K2597" s="141"/>
      <c r="L2597" s="141"/>
      <c r="M2597" s="141"/>
      <c r="N2597" s="141"/>
      <c r="O2597" s="141"/>
      <c r="P2597" s="141"/>
      <c r="Q2597" s="141"/>
      <c r="R2597" s="141"/>
      <c r="S2597" s="141"/>
      <c r="T2597" s="141"/>
      <c r="U2597" s="141"/>
      <c r="V2597" s="141"/>
      <c r="W2597" s="141"/>
      <c r="X2597" s="141"/>
      <c r="Y2597" s="141"/>
      <c r="Z2597" s="141"/>
    </row>
    <row r="2598">
      <c r="A2598" s="141"/>
      <c r="B2598" s="141"/>
      <c r="C2598" s="141"/>
      <c r="D2598" s="141"/>
      <c r="E2598" s="141"/>
      <c r="F2598" s="141"/>
      <c r="G2598" s="141"/>
      <c r="H2598" s="141"/>
      <c r="I2598" s="141"/>
      <c r="J2598" s="141"/>
      <c r="K2598" s="141"/>
      <c r="L2598" s="141"/>
      <c r="M2598" s="141"/>
      <c r="N2598" s="141"/>
      <c r="O2598" s="141"/>
      <c r="P2598" s="141"/>
      <c r="Q2598" s="141"/>
      <c r="R2598" s="141"/>
      <c r="S2598" s="141"/>
      <c r="T2598" s="141"/>
      <c r="U2598" s="141"/>
      <c r="V2598" s="141"/>
      <c r="W2598" s="141"/>
      <c r="X2598" s="141"/>
      <c r="Y2598" s="141"/>
      <c r="Z2598" s="141"/>
    </row>
    <row r="2599">
      <c r="A2599" s="141"/>
      <c r="B2599" s="141"/>
      <c r="C2599" s="141"/>
      <c r="D2599" s="141"/>
      <c r="E2599" s="141"/>
      <c r="F2599" s="141"/>
      <c r="G2599" s="141"/>
      <c r="H2599" s="141"/>
      <c r="I2599" s="141"/>
      <c r="J2599" s="141"/>
      <c r="K2599" s="141"/>
      <c r="L2599" s="141"/>
      <c r="M2599" s="141"/>
      <c r="N2599" s="141"/>
      <c r="O2599" s="141"/>
      <c r="P2599" s="141"/>
      <c r="Q2599" s="141"/>
      <c r="R2599" s="141"/>
      <c r="S2599" s="141"/>
      <c r="T2599" s="141"/>
      <c r="U2599" s="141"/>
      <c r="V2599" s="141"/>
      <c r="W2599" s="141"/>
      <c r="X2599" s="141"/>
      <c r="Y2599" s="141"/>
      <c r="Z2599" s="141"/>
    </row>
    <row r="2600">
      <c r="A2600" s="141"/>
      <c r="B2600" s="141"/>
      <c r="C2600" s="141"/>
      <c r="D2600" s="141"/>
      <c r="E2600" s="141"/>
      <c r="F2600" s="141"/>
      <c r="G2600" s="141"/>
      <c r="H2600" s="141"/>
      <c r="I2600" s="141"/>
      <c r="J2600" s="141"/>
      <c r="K2600" s="141"/>
      <c r="L2600" s="141"/>
      <c r="M2600" s="141"/>
      <c r="N2600" s="141"/>
      <c r="O2600" s="141"/>
      <c r="P2600" s="141"/>
      <c r="Q2600" s="141"/>
      <c r="R2600" s="141"/>
      <c r="S2600" s="141"/>
      <c r="T2600" s="141"/>
      <c r="U2600" s="141"/>
      <c r="V2600" s="141"/>
      <c r="W2600" s="141"/>
      <c r="X2600" s="141"/>
      <c r="Y2600" s="141"/>
      <c r="Z2600" s="141"/>
    </row>
    <row r="2601">
      <c r="A2601" s="141"/>
      <c r="B2601" s="141"/>
      <c r="C2601" s="141"/>
      <c r="D2601" s="141"/>
      <c r="E2601" s="141"/>
      <c r="F2601" s="141"/>
      <c r="G2601" s="141"/>
      <c r="H2601" s="141"/>
      <c r="I2601" s="141"/>
      <c r="J2601" s="141"/>
      <c r="K2601" s="141"/>
      <c r="L2601" s="141"/>
      <c r="M2601" s="141"/>
      <c r="N2601" s="141"/>
      <c r="O2601" s="141"/>
      <c r="P2601" s="141"/>
      <c r="Q2601" s="141"/>
      <c r="R2601" s="141"/>
      <c r="S2601" s="141"/>
      <c r="T2601" s="141"/>
      <c r="U2601" s="141"/>
      <c r="V2601" s="141"/>
      <c r="W2601" s="141"/>
      <c r="X2601" s="141"/>
      <c r="Y2601" s="141"/>
      <c r="Z2601" s="141"/>
    </row>
    <row r="2602">
      <c r="A2602" s="141"/>
      <c r="B2602" s="141"/>
      <c r="C2602" s="141"/>
      <c r="D2602" s="141"/>
      <c r="E2602" s="141"/>
      <c r="F2602" s="141"/>
      <c r="G2602" s="141"/>
      <c r="H2602" s="141"/>
      <c r="I2602" s="141"/>
      <c r="J2602" s="141"/>
      <c r="K2602" s="141"/>
      <c r="L2602" s="141"/>
      <c r="M2602" s="141"/>
      <c r="N2602" s="141"/>
      <c r="O2602" s="141"/>
      <c r="P2602" s="141"/>
      <c r="Q2602" s="141"/>
      <c r="R2602" s="141"/>
      <c r="S2602" s="141"/>
      <c r="T2602" s="141"/>
      <c r="U2602" s="141"/>
      <c r="V2602" s="141"/>
      <c r="W2602" s="141"/>
      <c r="X2602" s="141"/>
      <c r="Y2602" s="141"/>
      <c r="Z2602" s="141"/>
    </row>
    <row r="2603">
      <c r="A2603" s="141"/>
      <c r="B2603" s="141"/>
      <c r="C2603" s="141"/>
      <c r="D2603" s="141"/>
      <c r="E2603" s="141"/>
      <c r="F2603" s="141"/>
      <c r="G2603" s="141"/>
      <c r="H2603" s="141"/>
      <c r="I2603" s="141"/>
      <c r="J2603" s="141"/>
      <c r="K2603" s="141"/>
      <c r="L2603" s="141"/>
      <c r="M2603" s="141"/>
      <c r="N2603" s="141"/>
      <c r="O2603" s="141"/>
      <c r="P2603" s="141"/>
      <c r="Q2603" s="141"/>
      <c r="R2603" s="141"/>
      <c r="S2603" s="141"/>
      <c r="T2603" s="141"/>
      <c r="U2603" s="141"/>
      <c r="V2603" s="141"/>
      <c r="W2603" s="141"/>
      <c r="X2603" s="141"/>
      <c r="Y2603" s="141"/>
      <c r="Z2603" s="141"/>
    </row>
    <row r="2604">
      <c r="A2604" s="141"/>
      <c r="B2604" s="141"/>
      <c r="C2604" s="141"/>
      <c r="D2604" s="141"/>
      <c r="E2604" s="141"/>
      <c r="F2604" s="141"/>
      <c r="G2604" s="141"/>
      <c r="H2604" s="141"/>
      <c r="I2604" s="141"/>
      <c r="J2604" s="141"/>
      <c r="K2604" s="141"/>
      <c r="L2604" s="141"/>
      <c r="M2604" s="141"/>
      <c r="N2604" s="141"/>
      <c r="O2604" s="141"/>
      <c r="P2604" s="141"/>
      <c r="Q2604" s="141"/>
      <c r="R2604" s="141"/>
      <c r="S2604" s="141"/>
      <c r="T2604" s="141"/>
      <c r="U2604" s="141"/>
      <c r="V2604" s="141"/>
      <c r="W2604" s="141"/>
      <c r="X2604" s="141"/>
      <c r="Y2604" s="141"/>
      <c r="Z2604" s="141"/>
    </row>
    <row r="2605">
      <c r="A2605" s="141"/>
      <c r="B2605" s="141"/>
      <c r="C2605" s="141"/>
      <c r="D2605" s="141"/>
      <c r="E2605" s="141"/>
      <c r="F2605" s="141"/>
      <c r="G2605" s="141"/>
      <c r="H2605" s="141"/>
      <c r="I2605" s="141"/>
      <c r="J2605" s="141"/>
      <c r="K2605" s="141"/>
      <c r="L2605" s="141"/>
      <c r="M2605" s="141"/>
      <c r="N2605" s="141"/>
      <c r="O2605" s="141"/>
      <c r="P2605" s="141"/>
      <c r="Q2605" s="141"/>
      <c r="R2605" s="141"/>
      <c r="S2605" s="141"/>
      <c r="T2605" s="141"/>
      <c r="U2605" s="141"/>
      <c r="V2605" s="141"/>
      <c r="W2605" s="141"/>
      <c r="X2605" s="141"/>
      <c r="Y2605" s="141"/>
      <c r="Z2605" s="141"/>
    </row>
    <row r="2606">
      <c r="A2606" s="141"/>
      <c r="B2606" s="141"/>
      <c r="C2606" s="141"/>
      <c r="D2606" s="141"/>
      <c r="E2606" s="141"/>
      <c r="F2606" s="141"/>
      <c r="G2606" s="141"/>
      <c r="H2606" s="141"/>
      <c r="I2606" s="141"/>
      <c r="J2606" s="141"/>
      <c r="K2606" s="141"/>
      <c r="L2606" s="141"/>
      <c r="M2606" s="141"/>
      <c r="N2606" s="141"/>
      <c r="O2606" s="141"/>
      <c r="P2606" s="141"/>
      <c r="Q2606" s="141"/>
      <c r="R2606" s="141"/>
      <c r="S2606" s="141"/>
      <c r="T2606" s="141"/>
      <c r="U2606" s="141"/>
      <c r="V2606" s="141"/>
      <c r="W2606" s="141"/>
      <c r="X2606" s="141"/>
      <c r="Y2606" s="141"/>
      <c r="Z2606" s="141"/>
    </row>
    <row r="2607">
      <c r="A2607" s="141"/>
      <c r="B2607" s="141"/>
      <c r="C2607" s="141"/>
      <c r="D2607" s="141"/>
      <c r="E2607" s="141"/>
      <c r="F2607" s="141"/>
      <c r="G2607" s="141"/>
      <c r="H2607" s="141"/>
      <c r="I2607" s="141"/>
      <c r="J2607" s="141"/>
      <c r="K2607" s="141"/>
      <c r="L2607" s="141"/>
      <c r="M2607" s="141"/>
      <c r="N2607" s="141"/>
      <c r="O2607" s="141"/>
      <c r="P2607" s="141"/>
      <c r="Q2607" s="141"/>
      <c r="R2607" s="141"/>
      <c r="S2607" s="141"/>
      <c r="T2607" s="141"/>
      <c r="U2607" s="141"/>
      <c r="V2607" s="141"/>
      <c r="W2607" s="141"/>
      <c r="X2607" s="141"/>
      <c r="Y2607" s="141"/>
      <c r="Z2607" s="141"/>
    </row>
    <row r="2608">
      <c r="A2608" s="141"/>
      <c r="B2608" s="141"/>
      <c r="C2608" s="141"/>
      <c r="D2608" s="141"/>
      <c r="E2608" s="141"/>
      <c r="F2608" s="141"/>
      <c r="G2608" s="141"/>
      <c r="H2608" s="141"/>
      <c r="I2608" s="141"/>
      <c r="J2608" s="141"/>
      <c r="K2608" s="141"/>
      <c r="L2608" s="141"/>
      <c r="M2608" s="141"/>
      <c r="N2608" s="141"/>
      <c r="O2608" s="141"/>
      <c r="P2608" s="141"/>
      <c r="Q2608" s="141"/>
      <c r="R2608" s="141"/>
      <c r="S2608" s="141"/>
      <c r="T2608" s="141"/>
      <c r="U2608" s="141"/>
      <c r="V2608" s="141"/>
      <c r="W2608" s="141"/>
      <c r="X2608" s="141"/>
      <c r="Y2608" s="141"/>
      <c r="Z2608" s="141"/>
    </row>
    <row r="2609">
      <c r="A2609" s="141"/>
      <c r="B2609" s="141"/>
      <c r="C2609" s="141"/>
      <c r="D2609" s="141"/>
      <c r="E2609" s="141"/>
      <c r="F2609" s="141"/>
      <c r="G2609" s="141"/>
      <c r="H2609" s="141"/>
      <c r="I2609" s="141"/>
      <c r="J2609" s="141"/>
      <c r="K2609" s="141"/>
      <c r="L2609" s="141"/>
      <c r="M2609" s="141"/>
      <c r="N2609" s="141"/>
      <c r="O2609" s="141"/>
      <c r="P2609" s="141"/>
      <c r="Q2609" s="141"/>
      <c r="R2609" s="141"/>
      <c r="S2609" s="141"/>
      <c r="T2609" s="141"/>
      <c r="U2609" s="141"/>
      <c r="V2609" s="141"/>
      <c r="W2609" s="141"/>
      <c r="X2609" s="141"/>
      <c r="Y2609" s="141"/>
      <c r="Z2609" s="141"/>
    </row>
    <row r="2610">
      <c r="A2610" s="141"/>
      <c r="B2610" s="141"/>
      <c r="C2610" s="141"/>
      <c r="D2610" s="141"/>
      <c r="E2610" s="141"/>
      <c r="F2610" s="141"/>
      <c r="G2610" s="141"/>
      <c r="H2610" s="141"/>
      <c r="I2610" s="141"/>
      <c r="J2610" s="141"/>
      <c r="K2610" s="141"/>
      <c r="L2610" s="141"/>
      <c r="M2610" s="141"/>
      <c r="N2610" s="141"/>
      <c r="O2610" s="141"/>
      <c r="P2610" s="141"/>
      <c r="Q2610" s="141"/>
      <c r="R2610" s="141"/>
      <c r="S2610" s="141"/>
      <c r="T2610" s="141"/>
      <c r="U2610" s="141"/>
      <c r="V2610" s="141"/>
      <c r="W2610" s="141"/>
      <c r="X2610" s="141"/>
      <c r="Y2610" s="141"/>
      <c r="Z2610" s="141"/>
    </row>
    <row r="2611">
      <c r="A2611" s="141"/>
      <c r="B2611" s="141"/>
      <c r="C2611" s="141"/>
      <c r="D2611" s="141"/>
      <c r="E2611" s="141"/>
      <c r="F2611" s="141"/>
      <c r="G2611" s="141"/>
      <c r="H2611" s="141"/>
      <c r="I2611" s="141"/>
      <c r="J2611" s="141"/>
      <c r="K2611" s="141"/>
      <c r="L2611" s="141"/>
      <c r="M2611" s="141"/>
      <c r="N2611" s="141"/>
      <c r="O2611" s="141"/>
      <c r="P2611" s="141"/>
      <c r="Q2611" s="141"/>
      <c r="R2611" s="141"/>
      <c r="S2611" s="141"/>
      <c r="T2611" s="141"/>
      <c r="U2611" s="141"/>
      <c r="V2611" s="141"/>
      <c r="W2611" s="141"/>
      <c r="X2611" s="141"/>
      <c r="Y2611" s="141"/>
      <c r="Z2611" s="141"/>
    </row>
    <row r="2612">
      <c r="A2612" s="141"/>
      <c r="B2612" s="141"/>
      <c r="C2612" s="141"/>
      <c r="D2612" s="141"/>
      <c r="E2612" s="141"/>
      <c r="F2612" s="141"/>
      <c r="G2612" s="141"/>
      <c r="H2612" s="141"/>
      <c r="I2612" s="141"/>
      <c r="J2612" s="141"/>
      <c r="K2612" s="141"/>
      <c r="L2612" s="141"/>
      <c r="M2612" s="141"/>
      <c r="N2612" s="141"/>
      <c r="O2612" s="141"/>
      <c r="P2612" s="141"/>
      <c r="Q2612" s="141"/>
      <c r="R2612" s="141"/>
      <c r="S2612" s="141"/>
      <c r="T2612" s="141"/>
      <c r="U2612" s="141"/>
      <c r="V2612" s="141"/>
      <c r="W2612" s="141"/>
      <c r="X2612" s="141"/>
      <c r="Y2612" s="141"/>
      <c r="Z2612" s="141"/>
    </row>
    <row r="2613">
      <c r="A2613" s="141"/>
      <c r="B2613" s="141"/>
      <c r="C2613" s="141"/>
      <c r="D2613" s="141"/>
      <c r="E2613" s="141"/>
      <c r="F2613" s="141"/>
      <c r="G2613" s="141"/>
      <c r="H2613" s="141"/>
      <c r="I2613" s="141"/>
      <c r="J2613" s="141"/>
      <c r="K2613" s="141"/>
      <c r="L2613" s="141"/>
      <c r="M2613" s="141"/>
      <c r="N2613" s="141"/>
      <c r="O2613" s="141"/>
      <c r="P2613" s="141"/>
      <c r="Q2613" s="141"/>
      <c r="R2613" s="141"/>
      <c r="S2613" s="141"/>
      <c r="T2613" s="141"/>
      <c r="U2613" s="141"/>
      <c r="V2613" s="141"/>
      <c r="W2613" s="141"/>
      <c r="X2613" s="141"/>
      <c r="Y2613" s="141"/>
      <c r="Z2613" s="141"/>
    </row>
    <row r="2614">
      <c r="A2614" s="141"/>
      <c r="B2614" s="141"/>
      <c r="C2614" s="141"/>
      <c r="D2614" s="141"/>
      <c r="E2614" s="141"/>
      <c r="F2614" s="141"/>
      <c r="G2614" s="141"/>
      <c r="H2614" s="141"/>
      <c r="I2614" s="141"/>
      <c r="J2614" s="141"/>
      <c r="K2614" s="141"/>
      <c r="L2614" s="141"/>
      <c r="M2614" s="141"/>
      <c r="N2614" s="141"/>
      <c r="O2614" s="141"/>
      <c r="P2614" s="141"/>
      <c r="Q2614" s="141"/>
      <c r="R2614" s="141"/>
      <c r="S2614" s="141"/>
      <c r="T2614" s="141"/>
      <c r="U2614" s="141"/>
      <c r="V2614" s="141"/>
      <c r="W2614" s="141"/>
      <c r="X2614" s="141"/>
      <c r="Y2614" s="141"/>
      <c r="Z2614" s="141"/>
    </row>
    <row r="2615">
      <c r="A2615" s="141"/>
      <c r="B2615" s="141"/>
      <c r="C2615" s="141"/>
      <c r="D2615" s="141"/>
      <c r="E2615" s="141"/>
      <c r="F2615" s="141"/>
      <c r="G2615" s="141"/>
      <c r="H2615" s="141"/>
      <c r="I2615" s="141"/>
      <c r="J2615" s="141"/>
      <c r="K2615" s="141"/>
      <c r="L2615" s="141"/>
      <c r="M2615" s="141"/>
      <c r="N2615" s="141"/>
      <c r="O2615" s="141"/>
      <c r="P2615" s="141"/>
      <c r="Q2615" s="141"/>
      <c r="R2615" s="141"/>
      <c r="S2615" s="141"/>
      <c r="T2615" s="141"/>
      <c r="U2615" s="141"/>
      <c r="V2615" s="141"/>
      <c r="W2615" s="141"/>
      <c r="X2615" s="141"/>
      <c r="Y2615" s="141"/>
      <c r="Z2615" s="141"/>
    </row>
    <row r="2616">
      <c r="A2616" s="141"/>
      <c r="B2616" s="141"/>
      <c r="C2616" s="141"/>
      <c r="D2616" s="141"/>
      <c r="E2616" s="141"/>
      <c r="F2616" s="141"/>
      <c r="G2616" s="141"/>
      <c r="H2616" s="141"/>
      <c r="I2616" s="141"/>
      <c r="J2616" s="141"/>
      <c r="K2616" s="141"/>
      <c r="L2616" s="141"/>
      <c r="M2616" s="141"/>
      <c r="N2616" s="141"/>
      <c r="O2616" s="141"/>
      <c r="P2616" s="141"/>
      <c r="Q2616" s="141"/>
      <c r="R2616" s="141"/>
      <c r="S2616" s="141"/>
      <c r="T2616" s="141"/>
      <c r="U2616" s="141"/>
      <c r="V2616" s="141"/>
      <c r="W2616" s="141"/>
      <c r="X2616" s="141"/>
      <c r="Y2616" s="141"/>
      <c r="Z2616" s="141"/>
    </row>
    <row r="2617">
      <c r="A2617" s="141"/>
      <c r="B2617" s="141"/>
      <c r="C2617" s="141"/>
      <c r="D2617" s="141"/>
      <c r="E2617" s="141"/>
      <c r="F2617" s="141"/>
      <c r="G2617" s="141"/>
      <c r="H2617" s="141"/>
      <c r="I2617" s="141"/>
      <c r="J2617" s="141"/>
      <c r="K2617" s="141"/>
      <c r="L2617" s="141"/>
      <c r="M2617" s="141"/>
      <c r="N2617" s="141"/>
      <c r="O2617" s="141"/>
      <c r="P2617" s="141"/>
      <c r="Q2617" s="141"/>
      <c r="R2617" s="141"/>
      <c r="S2617" s="141"/>
      <c r="T2617" s="141"/>
      <c r="U2617" s="141"/>
      <c r="V2617" s="141"/>
      <c r="W2617" s="141"/>
      <c r="X2617" s="141"/>
      <c r="Y2617" s="141"/>
      <c r="Z2617" s="141"/>
    </row>
    <row r="2618">
      <c r="A2618" s="141"/>
      <c r="B2618" s="141"/>
      <c r="C2618" s="141"/>
      <c r="D2618" s="141"/>
      <c r="E2618" s="141"/>
      <c r="F2618" s="141"/>
      <c r="G2618" s="141"/>
      <c r="H2618" s="141"/>
      <c r="I2618" s="141"/>
      <c r="J2618" s="141"/>
      <c r="K2618" s="141"/>
      <c r="L2618" s="141"/>
      <c r="M2618" s="141"/>
      <c r="N2618" s="141"/>
      <c r="O2618" s="141"/>
      <c r="P2618" s="141"/>
      <c r="Q2618" s="141"/>
      <c r="R2618" s="141"/>
      <c r="S2618" s="141"/>
      <c r="T2618" s="141"/>
      <c r="U2618" s="141"/>
      <c r="V2618" s="141"/>
      <c r="W2618" s="141"/>
      <c r="X2618" s="141"/>
      <c r="Y2618" s="141"/>
      <c r="Z2618" s="141"/>
    </row>
    <row r="2619">
      <c r="A2619" s="141"/>
      <c r="B2619" s="141"/>
      <c r="C2619" s="141"/>
      <c r="D2619" s="141"/>
      <c r="E2619" s="141"/>
      <c r="F2619" s="141"/>
      <c r="G2619" s="141"/>
      <c r="H2619" s="141"/>
      <c r="I2619" s="141"/>
      <c r="J2619" s="141"/>
      <c r="K2619" s="141"/>
      <c r="L2619" s="141"/>
      <c r="M2619" s="141"/>
      <c r="N2619" s="141"/>
      <c r="O2619" s="141"/>
      <c r="P2619" s="141"/>
      <c r="Q2619" s="141"/>
      <c r="R2619" s="141"/>
      <c r="S2619" s="141"/>
      <c r="T2619" s="141"/>
      <c r="U2619" s="141"/>
      <c r="V2619" s="141"/>
      <c r="W2619" s="141"/>
      <c r="X2619" s="141"/>
      <c r="Y2619" s="141"/>
      <c r="Z2619" s="141"/>
    </row>
    <row r="2620">
      <c r="A2620" s="141"/>
      <c r="B2620" s="141"/>
      <c r="C2620" s="141"/>
      <c r="D2620" s="141"/>
      <c r="E2620" s="141"/>
      <c r="F2620" s="141"/>
      <c r="G2620" s="141"/>
      <c r="H2620" s="141"/>
      <c r="I2620" s="141"/>
      <c r="J2620" s="141"/>
      <c r="K2620" s="141"/>
      <c r="L2620" s="141"/>
      <c r="M2620" s="141"/>
      <c r="N2620" s="141"/>
      <c r="O2620" s="141"/>
      <c r="P2620" s="141"/>
      <c r="Q2620" s="141"/>
      <c r="R2620" s="141"/>
      <c r="S2620" s="141"/>
      <c r="T2620" s="141"/>
      <c r="U2620" s="141"/>
      <c r="V2620" s="141"/>
      <c r="W2620" s="141"/>
      <c r="X2620" s="141"/>
      <c r="Y2620" s="141"/>
      <c r="Z2620" s="141"/>
    </row>
    <row r="2621">
      <c r="A2621" s="141"/>
      <c r="B2621" s="141"/>
      <c r="C2621" s="141"/>
      <c r="D2621" s="141"/>
      <c r="E2621" s="141"/>
      <c r="F2621" s="141"/>
      <c r="G2621" s="141"/>
      <c r="H2621" s="141"/>
      <c r="I2621" s="141"/>
      <c r="J2621" s="141"/>
      <c r="K2621" s="141"/>
      <c r="L2621" s="141"/>
      <c r="M2621" s="141"/>
      <c r="N2621" s="141"/>
      <c r="O2621" s="141"/>
      <c r="P2621" s="141"/>
      <c r="Q2621" s="141"/>
      <c r="R2621" s="141"/>
      <c r="S2621" s="141"/>
      <c r="T2621" s="141"/>
      <c r="U2621" s="141"/>
      <c r="V2621" s="141"/>
      <c r="W2621" s="141"/>
      <c r="X2621" s="141"/>
      <c r="Y2621" s="141"/>
      <c r="Z2621" s="141"/>
    </row>
    <row r="2622">
      <c r="A2622" s="141"/>
      <c r="B2622" s="141"/>
      <c r="C2622" s="141"/>
      <c r="D2622" s="141"/>
      <c r="E2622" s="141"/>
      <c r="F2622" s="141"/>
      <c r="G2622" s="141"/>
      <c r="H2622" s="141"/>
      <c r="I2622" s="141"/>
      <c r="J2622" s="141"/>
      <c r="K2622" s="141"/>
      <c r="L2622" s="141"/>
      <c r="M2622" s="141"/>
      <c r="N2622" s="141"/>
      <c r="O2622" s="141"/>
      <c r="P2622" s="141"/>
      <c r="Q2622" s="141"/>
      <c r="R2622" s="141"/>
      <c r="S2622" s="141"/>
      <c r="T2622" s="141"/>
      <c r="U2622" s="141"/>
      <c r="V2622" s="141"/>
      <c r="W2622" s="141"/>
      <c r="X2622" s="141"/>
      <c r="Y2622" s="141"/>
      <c r="Z2622" s="141"/>
    </row>
    <row r="2623">
      <c r="A2623" s="141"/>
      <c r="B2623" s="141"/>
      <c r="C2623" s="141"/>
      <c r="D2623" s="141"/>
      <c r="E2623" s="141"/>
      <c r="F2623" s="141"/>
      <c r="G2623" s="141"/>
      <c r="H2623" s="141"/>
      <c r="I2623" s="141"/>
      <c r="J2623" s="141"/>
      <c r="K2623" s="141"/>
      <c r="L2623" s="141"/>
      <c r="M2623" s="141"/>
      <c r="N2623" s="141"/>
      <c r="O2623" s="141"/>
      <c r="P2623" s="141"/>
      <c r="Q2623" s="141"/>
      <c r="R2623" s="141"/>
      <c r="S2623" s="141"/>
      <c r="T2623" s="141"/>
      <c r="U2623" s="141"/>
      <c r="V2623" s="141"/>
      <c r="W2623" s="141"/>
      <c r="X2623" s="141"/>
      <c r="Y2623" s="141"/>
      <c r="Z2623" s="141"/>
    </row>
    <row r="2624">
      <c r="A2624" s="141"/>
      <c r="B2624" s="141"/>
      <c r="C2624" s="141"/>
      <c r="D2624" s="141"/>
      <c r="E2624" s="141"/>
      <c r="F2624" s="141"/>
      <c r="G2624" s="141"/>
      <c r="H2624" s="141"/>
      <c r="I2624" s="141"/>
      <c r="J2624" s="141"/>
      <c r="K2624" s="141"/>
      <c r="L2624" s="141"/>
      <c r="M2624" s="141"/>
      <c r="N2624" s="141"/>
      <c r="O2624" s="141"/>
      <c r="P2624" s="141"/>
      <c r="Q2624" s="141"/>
      <c r="R2624" s="141"/>
      <c r="S2624" s="141"/>
      <c r="T2624" s="141"/>
      <c r="U2624" s="141"/>
      <c r="V2624" s="141"/>
      <c r="W2624" s="141"/>
      <c r="X2624" s="141"/>
      <c r="Y2624" s="141"/>
      <c r="Z2624" s="141"/>
    </row>
    <row r="2625">
      <c r="A2625" s="141"/>
      <c r="B2625" s="141"/>
      <c r="C2625" s="141"/>
      <c r="D2625" s="141"/>
      <c r="E2625" s="141"/>
      <c r="F2625" s="141"/>
      <c r="G2625" s="141"/>
      <c r="H2625" s="141"/>
      <c r="I2625" s="141"/>
      <c r="J2625" s="141"/>
      <c r="K2625" s="141"/>
      <c r="L2625" s="141"/>
      <c r="M2625" s="141"/>
      <c r="N2625" s="141"/>
      <c r="O2625" s="141"/>
      <c r="P2625" s="141"/>
      <c r="Q2625" s="141"/>
      <c r="R2625" s="141"/>
      <c r="S2625" s="141"/>
      <c r="T2625" s="141"/>
      <c r="U2625" s="141"/>
      <c r="V2625" s="141"/>
      <c r="W2625" s="141"/>
      <c r="X2625" s="141"/>
      <c r="Y2625" s="141"/>
      <c r="Z2625" s="141"/>
    </row>
    <row r="2626">
      <c r="A2626" s="141"/>
      <c r="B2626" s="141"/>
      <c r="C2626" s="141"/>
      <c r="D2626" s="141"/>
      <c r="E2626" s="141"/>
      <c r="F2626" s="141"/>
      <c r="G2626" s="141"/>
      <c r="H2626" s="141"/>
      <c r="I2626" s="141"/>
      <c r="J2626" s="141"/>
      <c r="K2626" s="141"/>
      <c r="L2626" s="141"/>
      <c r="M2626" s="141"/>
      <c r="N2626" s="141"/>
      <c r="O2626" s="141"/>
      <c r="P2626" s="141"/>
      <c r="Q2626" s="141"/>
      <c r="R2626" s="141"/>
      <c r="S2626" s="141"/>
      <c r="T2626" s="141"/>
      <c r="U2626" s="141"/>
      <c r="V2626" s="141"/>
      <c r="W2626" s="141"/>
      <c r="X2626" s="141"/>
      <c r="Y2626" s="141"/>
      <c r="Z2626" s="141"/>
    </row>
    <row r="2627">
      <c r="A2627" s="141"/>
      <c r="B2627" s="141"/>
      <c r="C2627" s="141"/>
      <c r="D2627" s="141"/>
      <c r="E2627" s="141"/>
      <c r="F2627" s="141"/>
      <c r="G2627" s="141"/>
      <c r="H2627" s="141"/>
      <c r="I2627" s="141"/>
      <c r="J2627" s="141"/>
      <c r="K2627" s="141"/>
      <c r="L2627" s="141"/>
      <c r="M2627" s="141"/>
      <c r="N2627" s="141"/>
      <c r="O2627" s="141"/>
      <c r="P2627" s="141"/>
      <c r="Q2627" s="141"/>
      <c r="R2627" s="141"/>
      <c r="S2627" s="141"/>
      <c r="T2627" s="141"/>
      <c r="U2627" s="141"/>
      <c r="V2627" s="141"/>
      <c r="W2627" s="141"/>
      <c r="X2627" s="141"/>
      <c r="Y2627" s="141"/>
      <c r="Z2627" s="141"/>
    </row>
    <row r="2628">
      <c r="A2628" s="141"/>
      <c r="B2628" s="141"/>
      <c r="C2628" s="141"/>
      <c r="D2628" s="141"/>
      <c r="E2628" s="141"/>
      <c r="F2628" s="141"/>
      <c r="G2628" s="141"/>
      <c r="H2628" s="141"/>
      <c r="I2628" s="141"/>
      <c r="J2628" s="141"/>
      <c r="K2628" s="141"/>
      <c r="L2628" s="141"/>
      <c r="M2628" s="141"/>
      <c r="N2628" s="141"/>
      <c r="O2628" s="141"/>
      <c r="P2628" s="141"/>
      <c r="Q2628" s="141"/>
      <c r="R2628" s="141"/>
      <c r="S2628" s="141"/>
      <c r="T2628" s="141"/>
      <c r="U2628" s="141"/>
      <c r="V2628" s="141"/>
      <c r="W2628" s="141"/>
      <c r="X2628" s="141"/>
      <c r="Y2628" s="141"/>
      <c r="Z2628" s="141"/>
    </row>
    <row r="2629">
      <c r="A2629" s="141"/>
      <c r="B2629" s="141"/>
      <c r="C2629" s="141"/>
      <c r="D2629" s="141"/>
      <c r="E2629" s="141"/>
      <c r="F2629" s="141"/>
      <c r="G2629" s="141"/>
      <c r="H2629" s="141"/>
      <c r="I2629" s="141"/>
      <c r="J2629" s="141"/>
      <c r="K2629" s="141"/>
      <c r="L2629" s="141"/>
      <c r="M2629" s="141"/>
      <c r="N2629" s="141"/>
      <c r="O2629" s="141"/>
      <c r="P2629" s="141"/>
      <c r="Q2629" s="141"/>
      <c r="R2629" s="141"/>
      <c r="S2629" s="141"/>
      <c r="T2629" s="141"/>
      <c r="U2629" s="141"/>
      <c r="V2629" s="141"/>
      <c r="W2629" s="141"/>
      <c r="X2629" s="141"/>
      <c r="Y2629" s="141"/>
      <c r="Z2629" s="141"/>
    </row>
    <row r="2630">
      <c r="A2630" s="141"/>
      <c r="B2630" s="141"/>
      <c r="C2630" s="141"/>
      <c r="D2630" s="141"/>
      <c r="E2630" s="141"/>
      <c r="F2630" s="141"/>
      <c r="G2630" s="141"/>
      <c r="H2630" s="141"/>
      <c r="I2630" s="141"/>
      <c r="J2630" s="141"/>
      <c r="K2630" s="141"/>
      <c r="L2630" s="141"/>
      <c r="M2630" s="141"/>
      <c r="N2630" s="141"/>
      <c r="O2630" s="141"/>
      <c r="P2630" s="141"/>
      <c r="Q2630" s="141"/>
      <c r="R2630" s="141"/>
      <c r="S2630" s="141"/>
      <c r="T2630" s="141"/>
      <c r="U2630" s="141"/>
      <c r="V2630" s="141"/>
      <c r="W2630" s="141"/>
      <c r="X2630" s="141"/>
      <c r="Y2630" s="141"/>
      <c r="Z2630" s="141"/>
    </row>
    <row r="2631">
      <c r="A2631" s="141"/>
      <c r="B2631" s="141"/>
      <c r="C2631" s="141"/>
      <c r="D2631" s="141"/>
      <c r="E2631" s="141"/>
      <c r="F2631" s="141"/>
      <c r="G2631" s="141"/>
      <c r="H2631" s="141"/>
      <c r="I2631" s="141"/>
      <c r="J2631" s="141"/>
      <c r="K2631" s="141"/>
      <c r="L2631" s="141"/>
      <c r="M2631" s="141"/>
      <c r="N2631" s="141"/>
      <c r="O2631" s="141"/>
      <c r="P2631" s="141"/>
      <c r="Q2631" s="141"/>
      <c r="R2631" s="141"/>
      <c r="S2631" s="141"/>
      <c r="T2631" s="141"/>
      <c r="U2631" s="141"/>
      <c r="V2631" s="141"/>
      <c r="W2631" s="141"/>
      <c r="X2631" s="141"/>
      <c r="Y2631" s="141"/>
      <c r="Z2631" s="141"/>
    </row>
    <row r="2632">
      <c r="A2632" s="141"/>
      <c r="B2632" s="141"/>
      <c r="C2632" s="141"/>
      <c r="D2632" s="141"/>
      <c r="E2632" s="141"/>
      <c r="F2632" s="141"/>
      <c r="G2632" s="141"/>
      <c r="H2632" s="141"/>
      <c r="I2632" s="141"/>
      <c r="J2632" s="141"/>
      <c r="K2632" s="141"/>
      <c r="L2632" s="141"/>
      <c r="M2632" s="141"/>
      <c r="N2632" s="141"/>
      <c r="O2632" s="141"/>
      <c r="P2632" s="141"/>
      <c r="Q2632" s="141"/>
      <c r="R2632" s="141"/>
      <c r="S2632" s="141"/>
      <c r="T2632" s="141"/>
      <c r="U2632" s="141"/>
      <c r="V2632" s="141"/>
      <c r="W2632" s="141"/>
      <c r="X2632" s="141"/>
      <c r="Y2632" s="141"/>
      <c r="Z2632" s="141"/>
    </row>
    <row r="2633">
      <c r="A2633" s="141"/>
      <c r="B2633" s="141"/>
      <c r="C2633" s="141"/>
      <c r="D2633" s="141"/>
      <c r="E2633" s="141"/>
      <c r="F2633" s="141"/>
      <c r="G2633" s="141"/>
      <c r="H2633" s="141"/>
      <c r="I2633" s="141"/>
      <c r="J2633" s="141"/>
      <c r="K2633" s="141"/>
      <c r="L2633" s="141"/>
      <c r="M2633" s="141"/>
      <c r="N2633" s="141"/>
      <c r="O2633" s="141"/>
      <c r="P2633" s="141"/>
      <c r="Q2633" s="141"/>
      <c r="R2633" s="141"/>
      <c r="S2633" s="141"/>
      <c r="T2633" s="141"/>
      <c r="U2633" s="141"/>
      <c r="V2633" s="141"/>
      <c r="W2633" s="141"/>
      <c r="X2633" s="141"/>
      <c r="Y2633" s="141"/>
      <c r="Z2633" s="141"/>
    </row>
    <row r="2634">
      <c r="A2634" s="141"/>
      <c r="B2634" s="141"/>
      <c r="C2634" s="141"/>
      <c r="D2634" s="141"/>
      <c r="E2634" s="141"/>
      <c r="F2634" s="141"/>
      <c r="G2634" s="141"/>
      <c r="H2634" s="141"/>
      <c r="I2634" s="141"/>
      <c r="J2634" s="141"/>
      <c r="K2634" s="141"/>
      <c r="L2634" s="141"/>
      <c r="M2634" s="141"/>
      <c r="N2634" s="141"/>
      <c r="O2634" s="141"/>
      <c r="P2634" s="141"/>
      <c r="Q2634" s="141"/>
      <c r="R2634" s="141"/>
      <c r="S2634" s="141"/>
      <c r="T2634" s="141"/>
      <c r="U2634" s="141"/>
      <c r="V2634" s="141"/>
      <c r="W2634" s="141"/>
      <c r="X2634" s="141"/>
      <c r="Y2634" s="141"/>
      <c r="Z2634" s="141"/>
    </row>
    <row r="2635">
      <c r="A2635" s="141"/>
      <c r="B2635" s="141"/>
      <c r="C2635" s="141"/>
      <c r="D2635" s="141"/>
      <c r="E2635" s="141"/>
      <c r="F2635" s="141"/>
      <c r="G2635" s="141"/>
      <c r="H2635" s="141"/>
      <c r="I2635" s="141"/>
      <c r="J2635" s="141"/>
      <c r="K2635" s="141"/>
      <c r="L2635" s="141"/>
      <c r="M2635" s="141"/>
      <c r="N2635" s="141"/>
      <c r="O2635" s="141"/>
      <c r="P2635" s="141"/>
      <c r="Q2635" s="141"/>
      <c r="R2635" s="141"/>
      <c r="S2635" s="141"/>
      <c r="T2635" s="141"/>
      <c r="U2635" s="141"/>
      <c r="V2635" s="141"/>
      <c r="W2635" s="141"/>
      <c r="X2635" s="141"/>
      <c r="Y2635" s="141"/>
      <c r="Z2635" s="141"/>
    </row>
    <row r="2636">
      <c r="A2636" s="141"/>
      <c r="B2636" s="141"/>
      <c r="C2636" s="141"/>
      <c r="D2636" s="141"/>
      <c r="E2636" s="141"/>
      <c r="F2636" s="141"/>
      <c r="G2636" s="141"/>
      <c r="H2636" s="141"/>
      <c r="I2636" s="141"/>
      <c r="J2636" s="141"/>
      <c r="K2636" s="141"/>
      <c r="L2636" s="141"/>
      <c r="M2636" s="141"/>
      <c r="N2636" s="141"/>
      <c r="O2636" s="141"/>
      <c r="P2636" s="141"/>
      <c r="Q2636" s="141"/>
      <c r="R2636" s="141"/>
      <c r="S2636" s="141"/>
      <c r="T2636" s="141"/>
      <c r="U2636" s="141"/>
      <c r="V2636" s="141"/>
      <c r="W2636" s="141"/>
      <c r="X2636" s="141"/>
      <c r="Y2636" s="141"/>
      <c r="Z2636" s="141"/>
    </row>
    <row r="2637">
      <c r="A2637" s="141"/>
      <c r="B2637" s="141"/>
      <c r="C2637" s="141"/>
      <c r="D2637" s="141"/>
      <c r="E2637" s="141"/>
      <c r="F2637" s="141"/>
      <c r="G2637" s="141"/>
      <c r="H2637" s="141"/>
      <c r="I2637" s="141"/>
      <c r="J2637" s="141"/>
      <c r="K2637" s="141"/>
      <c r="L2637" s="141"/>
      <c r="M2637" s="141"/>
      <c r="N2637" s="141"/>
      <c r="O2637" s="141"/>
      <c r="P2637" s="141"/>
      <c r="Q2637" s="141"/>
      <c r="R2637" s="141"/>
      <c r="S2637" s="141"/>
      <c r="T2637" s="141"/>
      <c r="U2637" s="141"/>
      <c r="V2637" s="141"/>
      <c r="W2637" s="141"/>
      <c r="X2637" s="141"/>
      <c r="Y2637" s="141"/>
      <c r="Z2637" s="141"/>
    </row>
    <row r="2638">
      <c r="A2638" s="141"/>
      <c r="B2638" s="141"/>
      <c r="C2638" s="141"/>
      <c r="D2638" s="141"/>
      <c r="E2638" s="141"/>
      <c r="F2638" s="141"/>
      <c r="G2638" s="141"/>
      <c r="H2638" s="141"/>
      <c r="I2638" s="141"/>
      <c r="J2638" s="141"/>
      <c r="K2638" s="141"/>
      <c r="L2638" s="141"/>
      <c r="M2638" s="141"/>
      <c r="N2638" s="141"/>
      <c r="O2638" s="141"/>
      <c r="P2638" s="141"/>
      <c r="Q2638" s="141"/>
      <c r="R2638" s="141"/>
      <c r="S2638" s="141"/>
      <c r="T2638" s="141"/>
      <c r="U2638" s="141"/>
      <c r="V2638" s="141"/>
      <c r="W2638" s="141"/>
      <c r="X2638" s="141"/>
      <c r="Y2638" s="141"/>
      <c r="Z2638" s="141"/>
    </row>
    <row r="2639">
      <c r="A2639" s="141"/>
      <c r="B2639" s="141"/>
      <c r="C2639" s="141"/>
      <c r="D2639" s="141"/>
      <c r="E2639" s="141"/>
      <c r="F2639" s="141"/>
      <c r="G2639" s="141"/>
      <c r="H2639" s="141"/>
      <c r="I2639" s="141"/>
      <c r="J2639" s="141"/>
      <c r="K2639" s="141"/>
      <c r="L2639" s="141"/>
      <c r="M2639" s="141"/>
      <c r="N2639" s="141"/>
      <c r="O2639" s="141"/>
      <c r="P2639" s="141"/>
      <c r="Q2639" s="141"/>
      <c r="R2639" s="141"/>
      <c r="S2639" s="141"/>
      <c r="T2639" s="141"/>
      <c r="U2639" s="141"/>
      <c r="V2639" s="141"/>
      <c r="W2639" s="141"/>
      <c r="X2639" s="141"/>
      <c r="Y2639" s="141"/>
      <c r="Z2639" s="141"/>
    </row>
  </sheetData>
  <mergeCells count="1">
    <mergeCell ref="F2:G2"/>
  </mergeCells>
  <conditionalFormatting sqref="C1:C2">
    <cfRule type="colorScale" priority="1">
      <colorScale>
        <cfvo type="min"/>
        <cfvo type="max"/>
        <color rgb="FF57BB8A"/>
        <color rgb="FFFFFFFF"/>
      </colorScale>
    </cfRule>
  </conditionalFormatting>
  <conditionalFormatting sqref="A4:Z1000">
    <cfRule type="expression" dxfId="2" priority="2">
      <formula>AND($A4&lt;&gt;"", $C4="", $D4="", $E4="", $F4="")</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topLeftCell="D1" activePane="topRight" state="frozen"/>
      <selection activeCell="E2" sqref="E2" pane="topRight"/>
    </sheetView>
  </sheetViews>
  <sheetFormatPr customHeight="1" defaultColWidth="12.63" defaultRowHeight="15.75"/>
  <cols>
    <col customWidth="1" min="1" max="1" width="25.5"/>
    <col customWidth="1" min="2" max="2" width="27.5"/>
    <col customWidth="1" min="3" max="3" width="17.88"/>
    <col customWidth="1" min="4" max="4" width="63.13"/>
    <col customWidth="1" min="5" max="5" width="29.25"/>
    <col customWidth="1" min="6" max="6" width="19.63"/>
    <col customWidth="1" min="7" max="7" width="16.13"/>
    <col customWidth="1" min="10" max="10" width="17.63"/>
  </cols>
  <sheetData>
    <row r="1" ht="32.25" customHeight="1">
      <c r="A1" s="148" t="s">
        <v>1</v>
      </c>
      <c r="B1" s="148" t="s">
        <v>1059</v>
      </c>
      <c r="C1" s="149" t="s">
        <v>1060</v>
      </c>
      <c r="D1" s="150" t="s">
        <v>3</v>
      </c>
      <c r="E1" s="148" t="s">
        <v>4</v>
      </c>
      <c r="F1" s="150" t="s">
        <v>6</v>
      </c>
      <c r="G1" s="150" t="s">
        <v>7</v>
      </c>
      <c r="H1" s="151" t="s">
        <v>8</v>
      </c>
      <c r="I1" s="152"/>
      <c r="J1" s="153"/>
      <c r="K1" s="154" t="s">
        <v>9</v>
      </c>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c r="CJ1" s="162"/>
      <c r="CK1" s="162"/>
      <c r="CL1" s="162"/>
      <c r="CM1" s="162"/>
      <c r="CN1" s="162"/>
      <c r="CO1" s="162"/>
      <c r="CP1" s="162"/>
      <c r="CQ1" s="162"/>
      <c r="CR1" s="162"/>
      <c r="CS1" s="162"/>
    </row>
    <row r="2" hidden="1">
      <c r="A2" s="155"/>
      <c r="B2" s="156"/>
      <c r="C2" s="156"/>
      <c r="D2" s="139"/>
      <c r="E2" s="156"/>
      <c r="F2" s="14" t="s">
        <v>1067</v>
      </c>
      <c r="H2" s="157" t="s">
        <v>11</v>
      </c>
      <c r="I2" s="157" t="s">
        <v>12</v>
      </c>
      <c r="J2" s="158" t="s">
        <v>13</v>
      </c>
      <c r="K2" s="21"/>
      <c r="L2" s="163"/>
      <c r="M2" s="163"/>
      <c r="N2" s="163"/>
      <c r="O2" s="163"/>
      <c r="P2" s="163"/>
      <c r="Q2" s="163"/>
      <c r="R2" s="163"/>
      <c r="S2" s="163"/>
      <c r="T2" s="163"/>
      <c r="U2" s="163"/>
      <c r="V2" s="163"/>
      <c r="W2" s="163"/>
      <c r="X2" s="163"/>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row>
    <row r="3" hidden="1">
      <c r="A3" s="155" t="s">
        <v>1068</v>
      </c>
      <c r="B3" s="156"/>
      <c r="C3" s="156"/>
      <c r="D3" s="139"/>
      <c r="E3" s="156"/>
      <c r="F3" s="157"/>
      <c r="G3" s="157"/>
      <c r="H3" s="164"/>
      <c r="I3" s="165"/>
      <c r="J3" s="165"/>
      <c r="K3" s="166"/>
      <c r="L3" s="163"/>
      <c r="M3" s="163"/>
      <c r="N3" s="163"/>
      <c r="O3" s="163"/>
      <c r="P3" s="163"/>
      <c r="Q3" s="163"/>
      <c r="R3" s="163"/>
      <c r="S3" s="163"/>
      <c r="T3" s="163"/>
      <c r="U3" s="163"/>
      <c r="V3" s="163"/>
      <c r="W3" s="163"/>
      <c r="X3" s="163"/>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row>
    <row r="4" hidden="1">
      <c r="A4" s="163" t="s">
        <v>1068</v>
      </c>
      <c r="B4" s="163" t="s">
        <v>1069</v>
      </c>
      <c r="C4" s="163" t="s">
        <v>1070</v>
      </c>
      <c r="D4" s="167" t="s">
        <v>1071</v>
      </c>
      <c r="E4" s="163"/>
      <c r="F4" s="168"/>
      <c r="G4" s="168"/>
      <c r="H4" s="168" t="s">
        <v>25</v>
      </c>
      <c r="I4" s="168" t="s">
        <v>25</v>
      </c>
      <c r="J4" s="168" t="s">
        <v>25</v>
      </c>
      <c r="K4" s="163" t="str">
        <f>VLOOKUP(C4,'Term Reference Guide'!$C:$C,1,false)</f>
        <v>GENEPIO:0001619</v>
      </c>
      <c r="L4" s="163"/>
      <c r="M4" s="163"/>
      <c r="N4" s="163"/>
      <c r="O4" s="163"/>
      <c r="P4" s="163"/>
      <c r="Q4" s="163"/>
      <c r="R4" s="163"/>
      <c r="S4" s="163"/>
      <c r="T4" s="163"/>
      <c r="U4" s="163"/>
      <c r="V4" s="163"/>
      <c r="W4" s="163"/>
      <c r="X4" s="163"/>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row>
    <row r="5" hidden="1">
      <c r="A5" s="163" t="s">
        <v>1068</v>
      </c>
      <c r="B5" s="163" t="s">
        <v>1072</v>
      </c>
      <c r="C5" s="163" t="s">
        <v>1073</v>
      </c>
      <c r="D5" s="167" t="s">
        <v>1074</v>
      </c>
      <c r="E5" s="163"/>
      <c r="F5" s="168"/>
      <c r="G5" s="168"/>
      <c r="H5" s="168" t="s">
        <v>25</v>
      </c>
      <c r="I5" s="168" t="s">
        <v>25</v>
      </c>
      <c r="J5" s="168" t="s">
        <v>25</v>
      </c>
      <c r="K5" s="163" t="str">
        <f>VLOOKUP(C5,'Term Reference Guide'!$C:$C,1,false)</f>
        <v>GENEPIO:0001620</v>
      </c>
      <c r="L5" s="163"/>
      <c r="M5" s="163"/>
      <c r="N5" s="163"/>
      <c r="O5" s="163"/>
      <c r="P5" s="163"/>
      <c r="Q5" s="163"/>
      <c r="R5" s="163"/>
      <c r="S5" s="163"/>
      <c r="T5" s="163"/>
      <c r="U5" s="163"/>
      <c r="V5" s="163"/>
      <c r="W5" s="163"/>
      <c r="X5" s="163"/>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row>
    <row r="6" hidden="1">
      <c r="A6" s="163" t="s">
        <v>1068</v>
      </c>
      <c r="B6" s="163" t="s">
        <v>1075</v>
      </c>
      <c r="C6" s="163" t="s">
        <v>1076</v>
      </c>
      <c r="D6" s="167" t="s">
        <v>1077</v>
      </c>
      <c r="E6" s="163"/>
      <c r="F6" s="168"/>
      <c r="G6" s="168"/>
      <c r="H6" s="168" t="s">
        <v>25</v>
      </c>
      <c r="I6" s="168" t="s">
        <v>25</v>
      </c>
      <c r="J6" s="168" t="s">
        <v>25</v>
      </c>
      <c r="K6" s="163" t="str">
        <f>VLOOKUP(C6,'Term Reference Guide'!$C:$C,1,false)</f>
        <v>GENEPIO:0001668</v>
      </c>
      <c r="L6" s="163"/>
      <c r="M6" s="163"/>
      <c r="N6" s="163"/>
      <c r="O6" s="163"/>
      <c r="P6" s="163"/>
      <c r="Q6" s="163"/>
      <c r="R6" s="163"/>
      <c r="S6" s="163"/>
      <c r="T6" s="163"/>
      <c r="U6" s="163"/>
      <c r="V6" s="163"/>
      <c r="W6" s="163"/>
      <c r="X6" s="163"/>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row>
    <row r="7" hidden="1">
      <c r="A7" s="163" t="s">
        <v>1068</v>
      </c>
      <c r="B7" s="163" t="s">
        <v>1078</v>
      </c>
      <c r="C7" s="163" t="s">
        <v>1079</v>
      </c>
      <c r="D7" s="167" t="s">
        <v>1080</v>
      </c>
      <c r="E7" s="163"/>
      <c r="F7" s="168"/>
      <c r="G7" s="168"/>
      <c r="H7" s="168" t="s">
        <v>25</v>
      </c>
      <c r="I7" s="168" t="s">
        <v>25</v>
      </c>
      <c r="J7" s="168" t="s">
        <v>25</v>
      </c>
      <c r="K7" s="163" t="str">
        <f>VLOOKUP(C7,'Term Reference Guide'!$C:$C,1,false)</f>
        <v>GENEPIO:0001618</v>
      </c>
      <c r="L7" s="163"/>
      <c r="M7" s="163"/>
      <c r="N7" s="163"/>
      <c r="O7" s="163"/>
      <c r="P7" s="163"/>
      <c r="Q7" s="163"/>
      <c r="R7" s="163"/>
      <c r="S7" s="163"/>
      <c r="T7" s="163"/>
      <c r="U7" s="163"/>
      <c r="V7" s="163"/>
      <c r="W7" s="163"/>
      <c r="X7" s="163"/>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row>
    <row r="8" hidden="1">
      <c r="A8" s="163" t="s">
        <v>1068</v>
      </c>
      <c r="B8" s="163" t="s">
        <v>1081</v>
      </c>
      <c r="C8" s="163" t="s">
        <v>1082</v>
      </c>
      <c r="D8" s="167" t="s">
        <v>1083</v>
      </c>
      <c r="E8" s="163"/>
      <c r="F8" s="168"/>
      <c r="G8" s="168"/>
      <c r="H8" s="168" t="s">
        <v>25</v>
      </c>
      <c r="I8" s="168" t="s">
        <v>25</v>
      </c>
      <c r="J8" s="168" t="s">
        <v>25</v>
      </c>
      <c r="K8" s="163" t="str">
        <f>VLOOKUP(C8,'Term Reference Guide'!$C:$C,1,false)</f>
        <v>GENEPIO:0001810</v>
      </c>
      <c r="L8" s="163"/>
      <c r="M8" s="163"/>
      <c r="N8" s="163"/>
      <c r="O8" s="163"/>
      <c r="P8" s="163"/>
      <c r="Q8" s="163"/>
      <c r="R8" s="163"/>
      <c r="S8" s="163"/>
      <c r="T8" s="163"/>
      <c r="U8" s="163"/>
      <c r="V8" s="163"/>
      <c r="W8" s="163"/>
      <c r="X8" s="163"/>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row>
    <row r="9">
      <c r="A9" s="169"/>
      <c r="B9" s="163"/>
      <c r="C9" s="163"/>
      <c r="D9" s="167"/>
      <c r="E9" s="163"/>
      <c r="F9" s="163"/>
      <c r="G9" s="163"/>
      <c r="H9" s="163"/>
      <c r="I9" s="163"/>
      <c r="J9" s="167"/>
      <c r="K9" s="163" t="str">
        <f>VLOOKUP(C9,'Term Reference Guide'!$C:$C,1,false)</f>
        <v>#N/A</v>
      </c>
      <c r="L9" s="163"/>
      <c r="M9" s="163"/>
      <c r="N9" s="163"/>
      <c r="O9" s="163"/>
      <c r="P9" s="163"/>
      <c r="Q9" s="163"/>
      <c r="R9" s="163"/>
      <c r="S9" s="163"/>
      <c r="T9" s="163"/>
      <c r="U9" s="163"/>
      <c r="V9" s="163"/>
      <c r="W9" s="163"/>
      <c r="X9" s="163"/>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row>
    <row r="10">
      <c r="A10" s="170" t="s">
        <v>109</v>
      </c>
      <c r="B10" s="156"/>
      <c r="C10" s="156"/>
      <c r="D10" s="139"/>
      <c r="E10" s="156"/>
      <c r="F10" s="156"/>
      <c r="G10" s="156"/>
      <c r="H10" s="164"/>
      <c r="I10" s="164"/>
      <c r="J10" s="171"/>
      <c r="K10" s="163" t="str">
        <f>VLOOKUP(C10,'Term Reference Guide'!$C:$C,1,false)</f>
        <v>#N/A</v>
      </c>
      <c r="L10" s="163"/>
      <c r="M10" s="163"/>
      <c r="N10" s="163"/>
      <c r="O10" s="163"/>
      <c r="P10" s="163"/>
      <c r="Q10" s="163"/>
      <c r="R10" s="163"/>
      <c r="S10" s="163"/>
      <c r="T10" s="163"/>
      <c r="U10" s="163"/>
      <c r="V10" s="163"/>
      <c r="W10" s="163"/>
      <c r="X10" s="163"/>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row>
    <row r="11" hidden="1">
      <c r="A11" s="31" t="s">
        <v>109</v>
      </c>
      <c r="B11" s="172" t="s">
        <v>1084</v>
      </c>
      <c r="C11" s="41" t="s">
        <v>1085</v>
      </c>
      <c r="D11" s="45" t="s">
        <v>1086</v>
      </c>
      <c r="E11" s="41"/>
      <c r="F11" s="168"/>
      <c r="G11" s="168"/>
      <c r="H11" s="168" t="s">
        <v>25</v>
      </c>
      <c r="I11" s="168" t="s">
        <v>25</v>
      </c>
      <c r="J11" s="168" t="s">
        <v>25</v>
      </c>
      <c r="K11" s="163" t="str">
        <f>VLOOKUP(C11,'Term Reference Guide'!$C:$C,1,false)</f>
        <v>GAZ:00006882</v>
      </c>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row>
    <row r="12" hidden="1">
      <c r="A12" s="31" t="s">
        <v>109</v>
      </c>
      <c r="B12" s="172" t="s">
        <v>1087</v>
      </c>
      <c r="C12" s="41" t="s">
        <v>1088</v>
      </c>
      <c r="D12" s="45" t="s">
        <v>1089</v>
      </c>
      <c r="E12" s="41"/>
      <c r="F12" s="168"/>
      <c r="G12" s="168"/>
      <c r="H12" s="168" t="s">
        <v>25</v>
      </c>
      <c r="I12" s="168" t="s">
        <v>25</v>
      </c>
      <c r="J12" s="168" t="s">
        <v>25</v>
      </c>
      <c r="K12" s="163" t="str">
        <f>VLOOKUP(C12,'Term Reference Guide'!$C:$C,1,false)</f>
        <v>GAZ:00002953</v>
      </c>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row>
    <row r="13" hidden="1">
      <c r="A13" s="31" t="s">
        <v>109</v>
      </c>
      <c r="B13" s="172" t="s">
        <v>1090</v>
      </c>
      <c r="C13" s="41" t="s">
        <v>1091</v>
      </c>
      <c r="D13" s="45" t="s">
        <v>1092</v>
      </c>
      <c r="E13" s="41"/>
      <c r="F13" s="168"/>
      <c r="G13" s="168"/>
      <c r="H13" s="168" t="s">
        <v>25</v>
      </c>
      <c r="I13" s="168" t="s">
        <v>25</v>
      </c>
      <c r="J13" s="168" t="s">
        <v>25</v>
      </c>
      <c r="K13" s="163" t="str">
        <f>VLOOKUP(C13,'Term Reference Guide'!$C:$C,1,false)</f>
        <v>GAZ:00000563</v>
      </c>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row>
    <row r="14" hidden="1">
      <c r="A14" s="31" t="s">
        <v>109</v>
      </c>
      <c r="B14" s="172" t="s">
        <v>1093</v>
      </c>
      <c r="C14" s="41" t="s">
        <v>1094</v>
      </c>
      <c r="D14" s="45" t="s">
        <v>1095</v>
      </c>
      <c r="E14" s="41"/>
      <c r="F14" s="168"/>
      <c r="G14" s="168"/>
      <c r="H14" s="168" t="s">
        <v>25</v>
      </c>
      <c r="I14" s="168" t="s">
        <v>25</v>
      </c>
      <c r="J14" s="168" t="s">
        <v>25</v>
      </c>
      <c r="K14" s="163" t="str">
        <f>VLOOKUP(C14,'Term Reference Guide'!$C:$C,1,false)</f>
        <v>GAZ:00003957</v>
      </c>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row>
    <row r="15" hidden="1">
      <c r="A15" s="31" t="s">
        <v>109</v>
      </c>
      <c r="B15" s="172" t="s">
        <v>1096</v>
      </c>
      <c r="C15" s="41" t="s">
        <v>1097</v>
      </c>
      <c r="D15" s="45" t="s">
        <v>1098</v>
      </c>
      <c r="E15" s="41"/>
      <c r="F15" s="168"/>
      <c r="G15" s="168"/>
      <c r="H15" s="168" t="s">
        <v>25</v>
      </c>
      <c r="I15" s="168" t="s">
        <v>25</v>
      </c>
      <c r="J15" s="168" t="s">
        <v>25</v>
      </c>
      <c r="K15" s="163" t="str">
        <f>VLOOKUP(C15,'Term Reference Guide'!$C:$C,1,false)</f>
        <v>GAZ:00002948</v>
      </c>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row>
    <row r="16" hidden="1">
      <c r="A16" s="31" t="s">
        <v>109</v>
      </c>
      <c r="B16" s="172" t="s">
        <v>1099</v>
      </c>
      <c r="C16" s="41" t="s">
        <v>1100</v>
      </c>
      <c r="D16" s="45" t="s">
        <v>1101</v>
      </c>
      <c r="E16" s="41"/>
      <c r="F16" s="168"/>
      <c r="G16" s="168"/>
      <c r="H16" s="168" t="s">
        <v>25</v>
      </c>
      <c r="I16" s="168" t="s">
        <v>25</v>
      </c>
      <c r="J16" s="168" t="s">
        <v>25</v>
      </c>
      <c r="K16" s="163" t="str">
        <f>VLOOKUP(C16,'Term Reference Guide'!$C:$C,1,false)</f>
        <v>GAZ:00001095</v>
      </c>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row>
    <row r="17" hidden="1">
      <c r="A17" s="31" t="s">
        <v>109</v>
      </c>
      <c r="B17" s="172" t="s">
        <v>1102</v>
      </c>
      <c r="C17" s="41" t="s">
        <v>1103</v>
      </c>
      <c r="D17" s="45" t="s">
        <v>1104</v>
      </c>
      <c r="E17" s="41"/>
      <c r="F17" s="168"/>
      <c r="G17" s="168"/>
      <c r="H17" s="168" t="s">
        <v>25</v>
      </c>
      <c r="I17" s="168" t="s">
        <v>25</v>
      </c>
      <c r="J17" s="168" t="s">
        <v>25</v>
      </c>
      <c r="K17" s="163" t="str">
        <f>VLOOKUP(C17,'Term Reference Guide'!$C:$C,1,false)</f>
        <v>GAZ:00009159</v>
      </c>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row>
    <row r="18" hidden="1">
      <c r="A18" s="31" t="s">
        <v>109</v>
      </c>
      <c r="B18" s="172" t="s">
        <v>1105</v>
      </c>
      <c r="C18" s="41" t="s">
        <v>1106</v>
      </c>
      <c r="D18" s="45" t="s">
        <v>1107</v>
      </c>
      <c r="E18" s="41"/>
      <c r="F18" s="168"/>
      <c r="G18" s="168"/>
      <c r="H18" s="168" t="s">
        <v>25</v>
      </c>
      <c r="I18" s="168" t="s">
        <v>25</v>
      </c>
      <c r="J18" s="168" t="s">
        <v>25</v>
      </c>
      <c r="K18" s="163" t="str">
        <f>VLOOKUP(C18,'Term Reference Guide'!$C:$C,1,false)</f>
        <v>GAZ:00000462</v>
      </c>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row>
    <row r="19" hidden="1">
      <c r="A19" s="31" t="s">
        <v>109</v>
      </c>
      <c r="B19" s="172" t="s">
        <v>1108</v>
      </c>
      <c r="C19" s="41" t="s">
        <v>1109</v>
      </c>
      <c r="D19" s="45" t="s">
        <v>1110</v>
      </c>
      <c r="E19" s="41"/>
      <c r="F19" s="168"/>
      <c r="G19" s="168"/>
      <c r="H19" s="168" t="s">
        <v>25</v>
      </c>
      <c r="I19" s="168" t="s">
        <v>25</v>
      </c>
      <c r="J19" s="168" t="s">
        <v>25</v>
      </c>
      <c r="K19" s="163" t="str">
        <f>VLOOKUP(C19,'Term Reference Guide'!$C:$C,1,false)</f>
        <v>GAZ:00006883</v>
      </c>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row>
    <row r="20" hidden="1">
      <c r="A20" s="31" t="s">
        <v>109</v>
      </c>
      <c r="B20" s="172" t="s">
        <v>1111</v>
      </c>
      <c r="C20" s="41" t="s">
        <v>1112</v>
      </c>
      <c r="D20" s="45" t="s">
        <v>1113</v>
      </c>
      <c r="E20" s="41"/>
      <c r="F20" s="168"/>
      <c r="G20" s="168"/>
      <c r="H20" s="168" t="s">
        <v>25</v>
      </c>
      <c r="I20" s="168" t="s">
        <v>25</v>
      </c>
      <c r="J20" s="168" t="s">
        <v>25</v>
      </c>
      <c r="K20" s="163" t="str">
        <f>VLOOKUP(C20,'Term Reference Guide'!$C:$C,1,false)</f>
        <v>GAZ:00002928</v>
      </c>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row>
    <row r="21" hidden="1">
      <c r="A21" s="31" t="s">
        <v>109</v>
      </c>
      <c r="B21" s="172" t="s">
        <v>1114</v>
      </c>
      <c r="C21" s="41" t="s">
        <v>1115</v>
      </c>
      <c r="D21" s="45" t="s">
        <v>1116</v>
      </c>
      <c r="E21" s="41"/>
      <c r="F21" s="168"/>
      <c r="G21" s="168"/>
      <c r="H21" s="168" t="s">
        <v>25</v>
      </c>
      <c r="I21" s="168" t="s">
        <v>25</v>
      </c>
      <c r="J21" s="168" t="s">
        <v>25</v>
      </c>
      <c r="K21" s="163" t="str">
        <f>VLOOKUP(C21,'Term Reference Guide'!$C:$C,1,false)</f>
        <v>GAZ:00004094</v>
      </c>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row>
    <row r="22" hidden="1">
      <c r="A22" s="31" t="s">
        <v>109</v>
      </c>
      <c r="B22" s="172" t="s">
        <v>1117</v>
      </c>
      <c r="C22" s="41" t="s">
        <v>1118</v>
      </c>
      <c r="D22" s="45" t="s">
        <v>1119</v>
      </c>
      <c r="E22" s="41"/>
      <c r="F22" s="168"/>
      <c r="G22" s="168"/>
      <c r="H22" s="168" t="s">
        <v>25</v>
      </c>
      <c r="I22" s="168" t="s">
        <v>25</v>
      </c>
      <c r="J22" s="168" t="s">
        <v>25</v>
      </c>
      <c r="K22" s="163" t="str">
        <f>VLOOKUP(C22,'Term Reference Guide'!$C:$C,1,false)</f>
        <v>GAZ:00004025</v>
      </c>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row>
    <row r="23" hidden="1">
      <c r="A23" s="31" t="s">
        <v>109</v>
      </c>
      <c r="B23" s="172" t="s">
        <v>1120</v>
      </c>
      <c r="C23" s="41" t="s">
        <v>1121</v>
      </c>
      <c r="D23" s="45" t="s">
        <v>1122</v>
      </c>
      <c r="E23" s="41"/>
      <c r="F23" s="168"/>
      <c r="G23" s="168"/>
      <c r="H23" s="168" t="s">
        <v>25</v>
      </c>
      <c r="I23" s="168" t="s">
        <v>25</v>
      </c>
      <c r="J23" s="168" t="s">
        <v>25</v>
      </c>
      <c r="K23" s="163" t="str">
        <f>VLOOKUP(C23,'Term Reference Guide'!$C:$C,1,false)</f>
        <v>GAZ:00005901</v>
      </c>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row>
    <row r="24" hidden="1">
      <c r="A24" s="31" t="s">
        <v>109</v>
      </c>
      <c r="B24" s="172" t="s">
        <v>1123</v>
      </c>
      <c r="C24" s="41" t="s">
        <v>1124</v>
      </c>
      <c r="D24" s="45" t="s">
        <v>1125</v>
      </c>
      <c r="E24" s="41"/>
      <c r="F24" s="168"/>
      <c r="G24" s="168"/>
      <c r="H24" s="168" t="s">
        <v>25</v>
      </c>
      <c r="I24" s="168" t="s">
        <v>25</v>
      </c>
      <c r="J24" s="168" t="s">
        <v>25</v>
      </c>
      <c r="K24" s="163" t="str">
        <f>VLOOKUP(C24,'Term Reference Guide'!$C:$C,1,false)</f>
        <v>GAZ:00000463</v>
      </c>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row>
    <row r="25" hidden="1">
      <c r="A25" s="31" t="s">
        <v>109</v>
      </c>
      <c r="B25" s="172" t="s">
        <v>1126</v>
      </c>
      <c r="C25" s="41" t="s">
        <v>1127</v>
      </c>
      <c r="D25" s="45" t="s">
        <v>1128</v>
      </c>
      <c r="E25" s="41"/>
      <c r="F25" s="168"/>
      <c r="G25" s="168"/>
      <c r="H25" s="168" t="s">
        <v>25</v>
      </c>
      <c r="I25" s="168" t="s">
        <v>25</v>
      </c>
      <c r="J25" s="168" t="s">
        <v>25</v>
      </c>
      <c r="K25" s="163" t="str">
        <f>VLOOKUP(C25,'Term Reference Guide'!$C:$C,1,false)</f>
        <v>GAZ:00002942</v>
      </c>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row>
    <row r="26" hidden="1">
      <c r="A26" s="31" t="s">
        <v>109</v>
      </c>
      <c r="B26" s="172" t="s">
        <v>1129</v>
      </c>
      <c r="C26" s="41" t="s">
        <v>1130</v>
      </c>
      <c r="D26" s="45" t="s">
        <v>1131</v>
      </c>
      <c r="E26" s="41"/>
      <c r="F26" s="168"/>
      <c r="G26" s="168"/>
      <c r="H26" s="168" t="s">
        <v>25</v>
      </c>
      <c r="I26" s="168" t="s">
        <v>25</v>
      </c>
      <c r="J26" s="168" t="s">
        <v>25</v>
      </c>
      <c r="K26" s="163" t="str">
        <f>VLOOKUP(C26,'Term Reference Guide'!$C:$C,1,false)</f>
        <v>GAZ:00004941</v>
      </c>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row>
    <row r="27" hidden="1">
      <c r="A27" s="31" t="s">
        <v>109</v>
      </c>
      <c r="B27" s="172" t="s">
        <v>1132</v>
      </c>
      <c r="C27" s="41" t="s">
        <v>1133</v>
      </c>
      <c r="D27" s="45" t="s">
        <v>1134</v>
      </c>
      <c r="E27" s="41"/>
      <c r="F27" s="168"/>
      <c r="G27" s="168"/>
      <c r="H27" s="168" t="s">
        <v>25</v>
      </c>
      <c r="I27" s="168" t="s">
        <v>25</v>
      </c>
      <c r="J27" s="168" t="s">
        <v>25</v>
      </c>
      <c r="K27" s="163" t="str">
        <f>VLOOKUP(C27,'Term Reference Guide'!$C:$C,1,false)</f>
        <v>GAZ:00002733</v>
      </c>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row>
    <row r="28" hidden="1">
      <c r="A28" s="31" t="s">
        <v>109</v>
      </c>
      <c r="B28" s="172" t="s">
        <v>1135</v>
      </c>
      <c r="C28" s="41" t="s">
        <v>1136</v>
      </c>
      <c r="D28" s="45" t="s">
        <v>1137</v>
      </c>
      <c r="E28" s="41"/>
      <c r="F28" s="168"/>
      <c r="G28" s="168"/>
      <c r="H28" s="168" t="s">
        <v>25</v>
      </c>
      <c r="I28" s="168" t="s">
        <v>25</v>
      </c>
      <c r="J28" s="168" t="s">
        <v>25</v>
      </c>
      <c r="K28" s="163" t="str">
        <f>VLOOKUP(C28,'Term Reference Guide'!$C:$C,1,false)</f>
        <v>GAZ:00005281</v>
      </c>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row>
    <row r="29" hidden="1">
      <c r="A29" s="31" t="s">
        <v>109</v>
      </c>
      <c r="B29" s="172" t="s">
        <v>1138</v>
      </c>
      <c r="C29" s="41" t="s">
        <v>1139</v>
      </c>
      <c r="D29" s="45" t="s">
        <v>1140</v>
      </c>
      <c r="E29" s="41"/>
      <c r="F29" s="168"/>
      <c r="G29" s="168"/>
      <c r="H29" s="168" t="s">
        <v>25</v>
      </c>
      <c r="I29" s="168" t="s">
        <v>25</v>
      </c>
      <c r="J29" s="168" t="s">
        <v>25</v>
      </c>
      <c r="K29" s="163" t="str">
        <f>VLOOKUP(C29,'Term Reference Guide'!$C:$C,1,false)</f>
        <v>GAZ:00007117</v>
      </c>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row>
    <row r="30" hidden="1">
      <c r="A30" s="31" t="s">
        <v>109</v>
      </c>
      <c r="B30" s="172" t="s">
        <v>1141</v>
      </c>
      <c r="C30" s="41" t="s">
        <v>1142</v>
      </c>
      <c r="D30" s="45" t="s">
        <v>1143</v>
      </c>
      <c r="E30" s="41"/>
      <c r="F30" s="168"/>
      <c r="G30" s="168"/>
      <c r="H30" s="168" t="s">
        <v>25</v>
      </c>
      <c r="I30" s="168" t="s">
        <v>25</v>
      </c>
      <c r="J30" s="168" t="s">
        <v>25</v>
      </c>
      <c r="K30" s="163" t="str">
        <f>VLOOKUP(C30,'Term Reference Guide'!$C:$C,1,false)</f>
        <v>GAZ:00003750</v>
      </c>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row>
    <row r="31" hidden="1">
      <c r="A31" s="31" t="s">
        <v>109</v>
      </c>
      <c r="B31" s="172" t="s">
        <v>1144</v>
      </c>
      <c r="C31" s="41" t="s">
        <v>1145</v>
      </c>
      <c r="D31" s="45" t="s">
        <v>1146</v>
      </c>
      <c r="E31" s="41"/>
      <c r="F31" s="168"/>
      <c r="G31" s="168"/>
      <c r="H31" s="168" t="s">
        <v>25</v>
      </c>
      <c r="I31" s="168" t="s">
        <v>25</v>
      </c>
      <c r="J31" s="168" t="s">
        <v>25</v>
      </c>
      <c r="K31" s="163" t="str">
        <f>VLOOKUP(C31,'Term Reference Guide'!$C:$C,1,false)</f>
        <v>GAZ:00001251</v>
      </c>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row>
    <row r="32" hidden="1">
      <c r="A32" s="31" t="s">
        <v>109</v>
      </c>
      <c r="B32" s="172" t="s">
        <v>1147</v>
      </c>
      <c r="C32" s="41" t="s">
        <v>1148</v>
      </c>
      <c r="D32" s="45" t="s">
        <v>1149</v>
      </c>
      <c r="E32" s="41"/>
      <c r="F32" s="168"/>
      <c r="G32" s="168"/>
      <c r="H32" s="168" t="s">
        <v>25</v>
      </c>
      <c r="I32" s="168" t="s">
        <v>25</v>
      </c>
      <c r="J32" s="168" t="s">
        <v>25</v>
      </c>
      <c r="K32" s="163" t="str">
        <f>VLOOKUP(C32,'Term Reference Guide'!$C:$C,1,false)</f>
        <v>GAZ:00005810</v>
      </c>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row>
    <row r="33" hidden="1">
      <c r="A33" s="31" t="s">
        <v>109</v>
      </c>
      <c r="B33" s="172" t="s">
        <v>1150</v>
      </c>
      <c r="C33" s="41" t="s">
        <v>1151</v>
      </c>
      <c r="D33" s="45" t="s">
        <v>1152</v>
      </c>
      <c r="E33" s="41"/>
      <c r="F33" s="168"/>
      <c r="G33" s="168"/>
      <c r="H33" s="168" t="s">
        <v>25</v>
      </c>
      <c r="I33" s="168" t="s">
        <v>25</v>
      </c>
      <c r="J33" s="168" t="s">
        <v>25</v>
      </c>
      <c r="K33" s="163" t="str">
        <f>VLOOKUP(C33,'Term Reference Guide'!$C:$C,1,false)</f>
        <v>GAZ:00006886</v>
      </c>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row>
    <row r="34" hidden="1">
      <c r="A34" s="31" t="s">
        <v>109</v>
      </c>
      <c r="B34" s="172" t="s">
        <v>1153</v>
      </c>
      <c r="C34" s="41" t="s">
        <v>1154</v>
      </c>
      <c r="D34" s="45" t="s">
        <v>1155</v>
      </c>
      <c r="E34" s="41"/>
      <c r="F34" s="168"/>
      <c r="G34" s="168"/>
      <c r="H34" s="168" t="s">
        <v>25</v>
      </c>
      <c r="I34" s="168" t="s">
        <v>25</v>
      </c>
      <c r="J34" s="168" t="s">
        <v>25</v>
      </c>
      <c r="K34" s="163" t="str">
        <f>VLOOKUP(C34,'Term Reference Guide'!$C:$C,1,false)</f>
        <v>GAZ:00002938</v>
      </c>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row>
    <row r="35" hidden="1">
      <c r="A35" s="31" t="s">
        <v>109</v>
      </c>
      <c r="B35" s="172" t="s">
        <v>1156</v>
      </c>
      <c r="C35" s="41" t="s">
        <v>1157</v>
      </c>
      <c r="D35" s="45" t="s">
        <v>1158</v>
      </c>
      <c r="E35" s="41"/>
      <c r="F35" s="168"/>
      <c r="G35" s="168"/>
      <c r="H35" s="168" t="s">
        <v>25</v>
      </c>
      <c r="I35" s="168" t="s">
        <v>25</v>
      </c>
      <c r="J35" s="168" t="s">
        <v>25</v>
      </c>
      <c r="K35" s="163" t="str">
        <f>VLOOKUP(C35,'Term Reference Guide'!$C:$C,1,false)</f>
        <v>GAZ:00002934</v>
      </c>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row>
    <row r="36" hidden="1">
      <c r="A36" s="31" t="s">
        <v>109</v>
      </c>
      <c r="B36" s="172" t="s">
        <v>1159</v>
      </c>
      <c r="C36" s="41" t="s">
        <v>1160</v>
      </c>
      <c r="D36" s="45" t="s">
        <v>1161</v>
      </c>
      <c r="E36" s="41"/>
      <c r="F36" s="168"/>
      <c r="G36" s="168"/>
      <c r="H36" s="168" t="s">
        <v>25</v>
      </c>
      <c r="I36" s="168" t="s">
        <v>25</v>
      </c>
      <c r="J36" s="168" t="s">
        <v>25</v>
      </c>
      <c r="K36" s="163" t="str">
        <f>VLOOKUP(C36,'Term Reference Guide'!$C:$C,1,false)</f>
        <v>GAZ:00000904</v>
      </c>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row>
    <row r="37" hidden="1">
      <c r="A37" s="31" t="s">
        <v>109</v>
      </c>
      <c r="B37" s="172" t="s">
        <v>1162</v>
      </c>
      <c r="C37" s="41" t="s">
        <v>1163</v>
      </c>
      <c r="D37" s="45" t="s">
        <v>1164</v>
      </c>
      <c r="E37" s="41"/>
      <c r="F37" s="168"/>
      <c r="G37" s="168"/>
      <c r="H37" s="168" t="s">
        <v>25</v>
      </c>
      <c r="I37" s="168" t="s">
        <v>25</v>
      </c>
      <c r="J37" s="168" t="s">
        <v>25</v>
      </c>
      <c r="K37" s="163" t="str">
        <f>VLOOKUP(C37,'Term Reference Guide'!$C:$C,1,false)</f>
        <v>GAZ:00001264</v>
      </c>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row>
    <row r="38" hidden="1">
      <c r="A38" s="31" t="s">
        <v>109</v>
      </c>
      <c r="B38" s="172" t="s">
        <v>1165</v>
      </c>
      <c r="C38" s="41" t="s">
        <v>1166</v>
      </c>
      <c r="D38" s="45" t="s">
        <v>1167</v>
      </c>
      <c r="E38" s="41"/>
      <c r="F38" s="168"/>
      <c r="G38" s="168"/>
      <c r="H38" s="168" t="s">
        <v>25</v>
      </c>
      <c r="I38" s="168" t="s">
        <v>25</v>
      </c>
      <c r="J38" s="168" t="s">
        <v>25</v>
      </c>
      <c r="K38" s="163" t="str">
        <f>VLOOKUP(C38,'Term Reference Guide'!$C:$C,1,false)</f>
        <v>GAZ:00003920</v>
      </c>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row>
    <row r="39" hidden="1">
      <c r="A39" s="31" t="s">
        <v>109</v>
      </c>
      <c r="B39" s="172" t="s">
        <v>1168</v>
      </c>
      <c r="C39" s="41" t="s">
        <v>1169</v>
      </c>
      <c r="D39" s="45" t="s">
        <v>1170</v>
      </c>
      <c r="E39" s="41"/>
      <c r="F39" s="168"/>
      <c r="G39" s="168"/>
      <c r="H39" s="168" t="s">
        <v>25</v>
      </c>
      <c r="I39" s="168" t="s">
        <v>25</v>
      </c>
      <c r="J39" s="168" t="s">
        <v>25</v>
      </c>
      <c r="K39" s="163" t="str">
        <f>VLOOKUP(C39,'Term Reference Guide'!$C:$C,1,false)</f>
        <v>GAZ:00002511</v>
      </c>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row>
    <row r="40" hidden="1">
      <c r="A40" s="31" t="s">
        <v>109</v>
      </c>
      <c r="B40" s="172" t="s">
        <v>1171</v>
      </c>
      <c r="C40" s="41" t="s">
        <v>1172</v>
      </c>
      <c r="D40" s="45" t="s">
        <v>1173</v>
      </c>
      <c r="E40" s="41"/>
      <c r="F40" s="168"/>
      <c r="G40" s="168"/>
      <c r="H40" s="168" t="s">
        <v>25</v>
      </c>
      <c r="I40" s="168" t="s">
        <v>25</v>
      </c>
      <c r="J40" s="168" t="s">
        <v>25</v>
      </c>
      <c r="K40" s="163" t="str">
        <f>VLOOKUP(C40,'Term Reference Guide'!$C:$C,1,false)</f>
        <v>GAZ:00025355</v>
      </c>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row>
    <row r="41" hidden="1">
      <c r="A41" s="31" t="s">
        <v>109</v>
      </c>
      <c r="B41" s="172" t="s">
        <v>1174</v>
      </c>
      <c r="C41" s="41" t="s">
        <v>1175</v>
      </c>
      <c r="D41" s="45" t="s">
        <v>1176</v>
      </c>
      <c r="E41" s="41"/>
      <c r="F41" s="168"/>
      <c r="G41" s="168"/>
      <c r="H41" s="168" t="s">
        <v>25</v>
      </c>
      <c r="I41" s="168" t="s">
        <v>25</v>
      </c>
      <c r="J41" s="168" t="s">
        <v>25</v>
      </c>
      <c r="K41" s="163" t="str">
        <f>VLOOKUP(C41,'Term Reference Guide'!$C:$C,1,false)</f>
        <v>GAZ:00006887</v>
      </c>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row>
    <row r="42" hidden="1">
      <c r="A42" s="31" t="s">
        <v>109</v>
      </c>
      <c r="B42" s="172" t="s">
        <v>1177</v>
      </c>
      <c r="C42" s="41" t="s">
        <v>1178</v>
      </c>
      <c r="D42" s="45" t="s">
        <v>1179</v>
      </c>
      <c r="E42" s="41"/>
      <c r="F42" s="168"/>
      <c r="G42" s="168"/>
      <c r="H42" s="168" t="s">
        <v>25</v>
      </c>
      <c r="I42" s="168" t="s">
        <v>25</v>
      </c>
      <c r="J42" s="168" t="s">
        <v>25</v>
      </c>
      <c r="K42" s="163" t="str">
        <f>VLOOKUP(C42,'Term Reference Guide'!$C:$C,1,false)</f>
        <v>GAZ:00001097</v>
      </c>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row>
    <row r="43" hidden="1">
      <c r="A43" s="31" t="s">
        <v>109</v>
      </c>
      <c r="B43" s="172" t="s">
        <v>1180</v>
      </c>
      <c r="C43" s="41" t="s">
        <v>1181</v>
      </c>
      <c r="D43" s="45" t="s">
        <v>1182</v>
      </c>
      <c r="E43" s="41"/>
      <c r="F43" s="168"/>
      <c r="G43" s="168"/>
      <c r="H43" s="168" t="s">
        <v>25</v>
      </c>
      <c r="I43" s="168" t="s">
        <v>25</v>
      </c>
      <c r="J43" s="168" t="s">
        <v>25</v>
      </c>
      <c r="K43" s="163" t="str">
        <f>VLOOKUP(C43,'Term Reference Guide'!$C:$C,1,false)</f>
        <v>GAZ:00001453</v>
      </c>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row>
    <row r="44" hidden="1">
      <c r="A44" s="31" t="s">
        <v>109</v>
      </c>
      <c r="B44" s="172" t="s">
        <v>1183</v>
      </c>
      <c r="C44" s="41" t="s">
        <v>1184</v>
      </c>
      <c r="D44" s="45" t="s">
        <v>1185</v>
      </c>
      <c r="E44" s="41"/>
      <c r="F44" s="168"/>
      <c r="G44" s="168"/>
      <c r="H44" s="168" t="s">
        <v>25</v>
      </c>
      <c r="I44" s="168" t="s">
        <v>25</v>
      </c>
      <c r="J44" s="168" t="s">
        <v>25</v>
      </c>
      <c r="K44" s="163" t="str">
        <f>VLOOKUP(C44,'Term Reference Guide'!$C:$C,1,false)</f>
        <v>GAZ:00002828</v>
      </c>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row>
    <row r="45" hidden="1">
      <c r="A45" s="31" t="s">
        <v>109</v>
      </c>
      <c r="B45" s="172" t="s">
        <v>1186</v>
      </c>
      <c r="C45" s="41" t="s">
        <v>1187</v>
      </c>
      <c r="D45" s="45" t="s">
        <v>1188</v>
      </c>
      <c r="E45" s="41"/>
      <c r="F45" s="168"/>
      <c r="G45" s="168"/>
      <c r="H45" s="168" t="s">
        <v>25</v>
      </c>
      <c r="I45" s="168" t="s">
        <v>25</v>
      </c>
      <c r="J45" s="168" t="s">
        <v>25</v>
      </c>
      <c r="K45" s="163" t="str">
        <f>VLOOKUP(C45,'Term Reference Guide'!$C:$C,1,false)</f>
        <v>GAZ:00003961</v>
      </c>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row>
    <row r="46" hidden="1">
      <c r="A46" s="31" t="s">
        <v>109</v>
      </c>
      <c r="B46" s="172" t="s">
        <v>1189</v>
      </c>
      <c r="C46" s="41" t="s">
        <v>1190</v>
      </c>
      <c r="D46" s="45" t="s">
        <v>1191</v>
      </c>
      <c r="E46" s="41"/>
      <c r="F46" s="168"/>
      <c r="G46" s="168"/>
      <c r="H46" s="168" t="s">
        <v>25</v>
      </c>
      <c r="I46" s="168" t="s">
        <v>25</v>
      </c>
      <c r="J46" s="168" t="s">
        <v>25</v>
      </c>
      <c r="K46" s="163" t="str">
        <f>VLOOKUP(C46,'Term Reference Guide'!$C:$C,1,false)</f>
        <v>GAZ:00003901</v>
      </c>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row>
    <row r="47" hidden="1">
      <c r="A47" s="31" t="s">
        <v>109</v>
      </c>
      <c r="B47" s="172" t="s">
        <v>1192</v>
      </c>
      <c r="C47" s="41" t="s">
        <v>1193</v>
      </c>
      <c r="D47" s="45" t="s">
        <v>1194</v>
      </c>
      <c r="E47" s="41"/>
      <c r="F47" s="168"/>
      <c r="G47" s="168"/>
      <c r="H47" s="168" t="s">
        <v>25</v>
      </c>
      <c r="I47" s="168" t="s">
        <v>25</v>
      </c>
      <c r="J47" s="168" t="s">
        <v>25</v>
      </c>
      <c r="K47" s="163" t="str">
        <f>VLOOKUP(C47,'Term Reference Guide'!$C:$C,1,false)</f>
        <v>GAZ:00002950</v>
      </c>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row>
    <row r="48" hidden="1">
      <c r="A48" s="31" t="s">
        <v>109</v>
      </c>
      <c r="B48" s="172" t="s">
        <v>1195</v>
      </c>
      <c r="C48" s="41" t="s">
        <v>1196</v>
      </c>
      <c r="D48" s="45" t="s">
        <v>1197</v>
      </c>
      <c r="E48" s="41"/>
      <c r="F48" s="168"/>
      <c r="G48" s="168"/>
      <c r="H48" s="168" t="s">
        <v>25</v>
      </c>
      <c r="I48" s="168" t="s">
        <v>25</v>
      </c>
      <c r="J48" s="168" t="s">
        <v>25</v>
      </c>
      <c r="K48" s="163" t="str">
        <f>VLOOKUP(C48,'Term Reference Guide'!$C:$C,1,false)</f>
        <v>GAZ:00000905</v>
      </c>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row>
    <row r="49" hidden="1">
      <c r="A49" s="31" t="s">
        <v>109</v>
      </c>
      <c r="B49" s="172" t="s">
        <v>1198</v>
      </c>
      <c r="C49" s="41" t="s">
        <v>1199</v>
      </c>
      <c r="D49" s="45" t="s">
        <v>1200</v>
      </c>
      <c r="E49" s="41"/>
      <c r="F49" s="168"/>
      <c r="G49" s="168"/>
      <c r="H49" s="168" t="s">
        <v>25</v>
      </c>
      <c r="I49" s="168" t="s">
        <v>25</v>
      </c>
      <c r="J49" s="168" t="s">
        <v>25</v>
      </c>
      <c r="K49" s="163" t="str">
        <f>VLOOKUP(C49,'Term Reference Guide'!$C:$C,1,false)</f>
        <v>GAZ:00001090</v>
      </c>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row>
    <row r="50" hidden="1">
      <c r="A50" s="31" t="s">
        <v>109</v>
      </c>
      <c r="B50" s="172" t="s">
        <v>1201</v>
      </c>
      <c r="C50" s="41" t="s">
        <v>1202</v>
      </c>
      <c r="D50" s="45" t="s">
        <v>1203</v>
      </c>
      <c r="E50" s="41"/>
      <c r="F50" s="168"/>
      <c r="G50" s="168"/>
      <c r="H50" s="168" t="s">
        <v>25</v>
      </c>
      <c r="I50" s="168" t="s">
        <v>25</v>
      </c>
      <c r="J50" s="168" t="s">
        <v>25</v>
      </c>
      <c r="K50" s="163" t="str">
        <f>VLOOKUP(C50,'Term Reference Guide'!$C:$C,1,false)</f>
        <v>GAZ:00006888</v>
      </c>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row>
    <row r="51" hidden="1">
      <c r="A51" s="31" t="s">
        <v>109</v>
      </c>
      <c r="B51" s="172" t="s">
        <v>1204</v>
      </c>
      <c r="C51" s="41" t="s">
        <v>1205</v>
      </c>
      <c r="D51" s="45" t="s">
        <v>1206</v>
      </c>
      <c r="E51" s="41"/>
      <c r="F51" s="168"/>
      <c r="G51" s="168"/>
      <c r="H51" s="168" t="s">
        <v>25</v>
      </c>
      <c r="I51" s="168" t="s">
        <v>25</v>
      </c>
      <c r="J51" s="168" t="s">
        <v>25</v>
      </c>
      <c r="K51" s="163" t="str">
        <f>VLOOKUP(C51,'Term Reference Guide'!$C:$C,1,false)</f>
        <v>GAZ:00001093</v>
      </c>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row>
    <row r="52" hidden="1">
      <c r="A52" s="31" t="s">
        <v>109</v>
      </c>
      <c r="B52" s="172" t="s">
        <v>113</v>
      </c>
      <c r="C52" s="41" t="s">
        <v>1207</v>
      </c>
      <c r="D52" s="45" t="s">
        <v>1208</v>
      </c>
      <c r="E52" s="41"/>
      <c r="F52" s="168"/>
      <c r="G52" s="168"/>
      <c r="H52" s="168" t="s">
        <v>25</v>
      </c>
      <c r="I52" s="168" t="s">
        <v>25</v>
      </c>
      <c r="J52" s="168" t="s">
        <v>25</v>
      </c>
      <c r="K52" s="163" t="str">
        <f>VLOOKUP(C52,'Term Reference Guide'!$C:$C,1,false)</f>
        <v>GAZ:00002560</v>
      </c>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row>
    <row r="53" hidden="1">
      <c r="A53" s="31" t="s">
        <v>109</v>
      </c>
      <c r="B53" s="172" t="s">
        <v>1209</v>
      </c>
      <c r="C53" s="41" t="s">
        <v>1210</v>
      </c>
      <c r="D53" s="45" t="s">
        <v>1211</v>
      </c>
      <c r="E53" s="41"/>
      <c r="F53" s="168"/>
      <c r="G53" s="168"/>
      <c r="H53" s="168" t="s">
        <v>25</v>
      </c>
      <c r="I53" s="168" t="s">
        <v>25</v>
      </c>
      <c r="J53" s="168" t="s">
        <v>25</v>
      </c>
      <c r="K53" s="163" t="str">
        <f>VLOOKUP(C53,'Term Reference Guide'!$C:$C,1,false)</f>
        <v>GAZ:00001227</v>
      </c>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row>
    <row r="54" hidden="1">
      <c r="A54" s="31" t="s">
        <v>109</v>
      </c>
      <c r="B54" s="172" t="s">
        <v>1212</v>
      </c>
      <c r="C54" s="41" t="s">
        <v>1213</v>
      </c>
      <c r="D54" s="45" t="s">
        <v>1214</v>
      </c>
      <c r="E54" s="41"/>
      <c r="F54" s="168"/>
      <c r="G54" s="168"/>
      <c r="H54" s="168" t="s">
        <v>25</v>
      </c>
      <c r="I54" s="168" t="s">
        <v>25</v>
      </c>
      <c r="J54" s="168" t="s">
        <v>25</v>
      </c>
      <c r="K54" s="163" t="str">
        <f>VLOOKUP(C54,'Term Reference Guide'!$C:$C,1,false)</f>
        <v>GAZ:00003986</v>
      </c>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row>
    <row r="55" hidden="1">
      <c r="A55" s="31" t="s">
        <v>109</v>
      </c>
      <c r="B55" s="172" t="s">
        <v>1215</v>
      </c>
      <c r="C55" s="41" t="s">
        <v>1216</v>
      </c>
      <c r="D55" s="45" t="s">
        <v>1217</v>
      </c>
      <c r="E55" s="41"/>
      <c r="F55" s="168"/>
      <c r="G55" s="168"/>
      <c r="H55" s="168" t="s">
        <v>25</v>
      </c>
      <c r="I55" s="168" t="s">
        <v>25</v>
      </c>
      <c r="J55" s="168" t="s">
        <v>25</v>
      </c>
      <c r="K55" s="163" t="str">
        <f>VLOOKUP(C55,'Term Reference Guide'!$C:$C,1,false)</f>
        <v>GAZ:00001089</v>
      </c>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row>
    <row r="56" hidden="1">
      <c r="A56" s="31" t="s">
        <v>109</v>
      </c>
      <c r="B56" s="172" t="s">
        <v>1218</v>
      </c>
      <c r="C56" s="41" t="s">
        <v>1219</v>
      </c>
      <c r="D56" s="45" t="s">
        <v>1220</v>
      </c>
      <c r="E56" s="41"/>
      <c r="F56" s="168"/>
      <c r="G56" s="168"/>
      <c r="H56" s="168" t="s">
        <v>25</v>
      </c>
      <c r="I56" s="168" t="s">
        <v>25</v>
      </c>
      <c r="J56" s="168" t="s">
        <v>25</v>
      </c>
      <c r="K56" s="163" t="str">
        <f>VLOOKUP(C56,'Term Reference Guide'!$C:$C,1,false)</f>
        <v>GAZ:00000586</v>
      </c>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row>
    <row r="57" hidden="1">
      <c r="A57" s="31" t="s">
        <v>109</v>
      </c>
      <c r="B57" s="172" t="s">
        <v>1221</v>
      </c>
      <c r="C57" s="41" t="s">
        <v>1222</v>
      </c>
      <c r="D57" s="45" t="s">
        <v>1223</v>
      </c>
      <c r="E57" s="41"/>
      <c r="F57" s="168"/>
      <c r="G57" s="168"/>
      <c r="H57" s="168" t="s">
        <v>25</v>
      </c>
      <c r="I57" s="168" t="s">
        <v>25</v>
      </c>
      <c r="J57" s="168" t="s">
        <v>25</v>
      </c>
      <c r="K57" s="163" t="str">
        <f>VLOOKUP(C57,'Term Reference Guide'!$C:$C,1,false)</f>
        <v>GAZ:00002825</v>
      </c>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row>
    <row r="58" hidden="1">
      <c r="A58" s="31" t="s">
        <v>109</v>
      </c>
      <c r="B58" s="172" t="s">
        <v>1224</v>
      </c>
      <c r="C58" s="41" t="s">
        <v>1225</v>
      </c>
      <c r="D58" s="45" t="s">
        <v>1226</v>
      </c>
      <c r="E58" s="41"/>
      <c r="F58" s="168"/>
      <c r="G58" s="168"/>
      <c r="H58" s="168" t="s">
        <v>25</v>
      </c>
      <c r="I58" s="168" t="s">
        <v>25</v>
      </c>
      <c r="J58" s="168" t="s">
        <v>25</v>
      </c>
      <c r="K58" s="163" t="str">
        <f>VLOOKUP(C58,'Term Reference Guide'!$C:$C,1,false)</f>
        <v>GAZ:00002845</v>
      </c>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row>
    <row r="59" hidden="1">
      <c r="A59" s="31" t="s">
        <v>109</v>
      </c>
      <c r="B59" s="172" t="s">
        <v>1227</v>
      </c>
      <c r="C59" s="41" t="s">
        <v>1228</v>
      </c>
      <c r="D59" s="45" t="s">
        <v>1229</v>
      </c>
      <c r="E59" s="41"/>
      <c r="F59" s="168"/>
      <c r="G59" s="168"/>
      <c r="H59" s="168" t="s">
        <v>25</v>
      </c>
      <c r="I59" s="168" t="s">
        <v>25</v>
      </c>
      <c r="J59" s="168" t="s">
        <v>25</v>
      </c>
      <c r="K59" s="163" t="str">
        <f>VLOOKUP(C59,'Term Reference Guide'!$C:$C,1,false)</f>
        <v>GAZ:00005915</v>
      </c>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row>
    <row r="60" hidden="1">
      <c r="A60" s="31" t="s">
        <v>109</v>
      </c>
      <c r="B60" s="172" t="s">
        <v>1230</v>
      </c>
      <c r="C60" s="41" t="s">
        <v>1231</v>
      </c>
      <c r="D60" s="45" t="s">
        <v>1232</v>
      </c>
      <c r="E60" s="41"/>
      <c r="F60" s="168"/>
      <c r="G60" s="168"/>
      <c r="H60" s="168" t="s">
        <v>25</v>
      </c>
      <c r="I60" s="168" t="s">
        <v>25</v>
      </c>
      <c r="J60" s="168" t="s">
        <v>25</v>
      </c>
      <c r="K60" s="163" t="str">
        <f>VLOOKUP(C60,'Term Reference Guide'!$C:$C,1,false)</f>
        <v>GAZ:00005838</v>
      </c>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row>
    <row r="61" hidden="1">
      <c r="A61" s="31" t="s">
        <v>109</v>
      </c>
      <c r="B61" s="172" t="s">
        <v>1233</v>
      </c>
      <c r="C61" s="41" t="s">
        <v>1234</v>
      </c>
      <c r="D61" s="45" t="s">
        <v>1235</v>
      </c>
      <c r="E61" s="41"/>
      <c r="F61" s="168"/>
      <c r="G61" s="168"/>
      <c r="H61" s="168" t="s">
        <v>25</v>
      </c>
      <c r="I61" s="168" t="s">
        <v>25</v>
      </c>
      <c r="J61" s="168" t="s">
        <v>25</v>
      </c>
      <c r="K61" s="163" t="str">
        <f>VLOOKUP(C61,'Term Reference Guide'!$C:$C,1,false)</f>
        <v>GAZ:00009721</v>
      </c>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row>
    <row r="62" hidden="1">
      <c r="A62" s="31" t="s">
        <v>109</v>
      </c>
      <c r="B62" s="172" t="s">
        <v>1236</v>
      </c>
      <c r="C62" s="41" t="s">
        <v>1237</v>
      </c>
      <c r="D62" s="45" t="s">
        <v>1238</v>
      </c>
      <c r="E62" s="41"/>
      <c r="F62" s="168"/>
      <c r="G62" s="168"/>
      <c r="H62" s="168" t="s">
        <v>25</v>
      </c>
      <c r="I62" s="168" t="s">
        <v>25</v>
      </c>
      <c r="J62" s="168" t="s">
        <v>25</v>
      </c>
      <c r="K62" s="163" t="str">
        <f>VLOOKUP(C62,'Term Reference Guide'!$C:$C,1,false)</f>
        <v>GAZ:00002929</v>
      </c>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row>
    <row r="63" hidden="1">
      <c r="A63" s="31" t="s">
        <v>109</v>
      </c>
      <c r="B63" s="172" t="s">
        <v>1239</v>
      </c>
      <c r="C63" s="41" t="s">
        <v>1240</v>
      </c>
      <c r="D63" s="45" t="s">
        <v>1241</v>
      </c>
      <c r="E63" s="41"/>
      <c r="F63" s="168"/>
      <c r="G63" s="168"/>
      <c r="H63" s="168" t="s">
        <v>25</v>
      </c>
      <c r="I63" s="168" t="s">
        <v>25</v>
      </c>
      <c r="J63" s="168" t="s">
        <v>25</v>
      </c>
      <c r="K63" s="163" t="str">
        <f>VLOOKUP(C63,'Term Reference Guide'!$C:$C,1,false)</f>
        <v>GAZ:00005820</v>
      </c>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row>
    <row r="64" hidden="1">
      <c r="A64" s="31" t="s">
        <v>109</v>
      </c>
      <c r="B64" s="172" t="s">
        <v>1242</v>
      </c>
      <c r="C64" s="41" t="s">
        <v>1243</v>
      </c>
      <c r="D64" s="45" t="s">
        <v>1244</v>
      </c>
      <c r="E64" s="41"/>
      <c r="F64" s="168"/>
      <c r="G64" s="168"/>
      <c r="H64" s="168" t="s">
        <v>25</v>
      </c>
      <c r="I64" s="168" t="s">
        <v>25</v>
      </c>
      <c r="J64" s="168" t="s">
        <v>25</v>
      </c>
      <c r="K64" s="163" t="str">
        <f>VLOOKUP(C64,'Term Reference Guide'!$C:$C,1,false)</f>
        <v>GAZ:00053798</v>
      </c>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row>
    <row r="65" hidden="1">
      <c r="A65" s="31" t="s">
        <v>109</v>
      </c>
      <c r="B65" s="172" t="s">
        <v>1245</v>
      </c>
      <c r="C65" s="41" t="s">
        <v>1246</v>
      </c>
      <c r="D65" s="45" t="s">
        <v>1247</v>
      </c>
      <c r="E65" s="41"/>
      <c r="F65" s="168"/>
      <c r="G65" s="168"/>
      <c r="H65" s="168" t="s">
        <v>25</v>
      </c>
      <c r="I65" s="168" t="s">
        <v>25</v>
      </c>
      <c r="J65" s="168" t="s">
        <v>25</v>
      </c>
      <c r="K65" s="163" t="str">
        <f>VLOOKUP(C65,'Term Reference Guide'!$C:$C,1,false)</f>
        <v>GAZ:00005917</v>
      </c>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row>
    <row r="66" hidden="1">
      <c r="A66" s="31" t="s">
        <v>109</v>
      </c>
      <c r="B66" s="172" t="s">
        <v>1248</v>
      </c>
      <c r="C66" s="41" t="s">
        <v>1249</v>
      </c>
      <c r="D66" s="45" t="s">
        <v>1250</v>
      </c>
      <c r="E66" s="41"/>
      <c r="F66" s="168"/>
      <c r="G66" s="168"/>
      <c r="H66" s="168" t="s">
        <v>25</v>
      </c>
      <c r="I66" s="168" t="s">
        <v>25</v>
      </c>
      <c r="J66" s="168" t="s">
        <v>25</v>
      </c>
      <c r="K66" s="163" t="str">
        <f>VLOOKUP(C66,'Term Reference Guide'!$C:$C,1,false)</f>
        <v>GAZ:00002901</v>
      </c>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row>
    <row r="67" hidden="1">
      <c r="A67" s="31" t="s">
        <v>109</v>
      </c>
      <c r="B67" s="172" t="s">
        <v>1251</v>
      </c>
      <c r="C67" s="41" t="s">
        <v>1252</v>
      </c>
      <c r="D67" s="45" t="s">
        <v>1253</v>
      </c>
      <c r="E67" s="41"/>
      <c r="F67" s="168"/>
      <c r="G67" s="168"/>
      <c r="H67" s="168" t="s">
        <v>25</v>
      </c>
      <c r="I67" s="168" t="s">
        <v>25</v>
      </c>
      <c r="J67" s="168" t="s">
        <v>25</v>
      </c>
      <c r="K67" s="163" t="str">
        <f>VLOOKUP(C67,'Term Reference Guide'!$C:$C,1,false)</f>
        <v>GAZ:00000906</v>
      </c>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row>
    <row r="68" hidden="1">
      <c r="A68" s="31" t="s">
        <v>109</v>
      </c>
      <c r="B68" s="172" t="s">
        <v>1254</v>
      </c>
      <c r="C68" s="41" t="s">
        <v>1255</v>
      </c>
      <c r="D68" s="45" t="s">
        <v>1256</v>
      </c>
      <c r="E68" s="41"/>
      <c r="F68" s="168"/>
      <c r="G68" s="168"/>
      <c r="H68" s="168" t="s">
        <v>25</v>
      </c>
      <c r="I68" s="168" t="s">
        <v>25</v>
      </c>
      <c r="J68" s="168" t="s">
        <v>25</v>
      </c>
      <c r="K68" s="163" t="str">
        <f>VLOOKUP(C68,'Term Reference Guide'!$C:$C,1,false)</f>
        <v>GAZ:00002719</v>
      </c>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1"/>
      <c r="BV68" s="41"/>
      <c r="BW68" s="41"/>
      <c r="BX68" s="41"/>
      <c r="BY68" s="41"/>
      <c r="BZ68" s="41"/>
      <c r="CA68" s="41"/>
      <c r="CB68" s="41"/>
      <c r="CC68" s="41"/>
      <c r="CD68" s="41"/>
      <c r="CE68" s="41"/>
      <c r="CF68" s="41"/>
      <c r="CG68" s="41"/>
      <c r="CH68" s="41"/>
      <c r="CI68" s="41"/>
      <c r="CJ68" s="41"/>
      <c r="CK68" s="41"/>
      <c r="CL68" s="41"/>
      <c r="CM68" s="41"/>
      <c r="CN68" s="41"/>
      <c r="CO68" s="41"/>
      <c r="CP68" s="41"/>
      <c r="CQ68" s="41"/>
      <c r="CR68" s="41"/>
      <c r="CS68" s="41"/>
    </row>
    <row r="69" hidden="1">
      <c r="A69" s="31" t="s">
        <v>109</v>
      </c>
      <c r="B69" s="172" t="s">
        <v>1257</v>
      </c>
      <c r="C69" s="41" t="s">
        <v>1258</v>
      </c>
      <c r="D69" s="45" t="s">
        <v>1259</v>
      </c>
      <c r="E69" s="41"/>
      <c r="F69" s="168"/>
      <c r="G69" s="168"/>
      <c r="H69" s="168" t="s">
        <v>25</v>
      </c>
      <c r="I69" s="168" t="s">
        <v>25</v>
      </c>
      <c r="J69" s="168" t="s">
        <v>25</v>
      </c>
      <c r="K69" s="163" t="str">
        <f>VLOOKUP(C69,'Term Reference Guide'!$C:$C,1,false)</f>
        <v>GAZ:00003762</v>
      </c>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c r="CH69" s="41"/>
      <c r="CI69" s="41"/>
      <c r="CJ69" s="41"/>
      <c r="CK69" s="41"/>
      <c r="CL69" s="41"/>
      <c r="CM69" s="41"/>
      <c r="CN69" s="41"/>
      <c r="CO69" s="41"/>
      <c r="CP69" s="41"/>
      <c r="CQ69" s="41"/>
      <c r="CR69" s="41"/>
      <c r="CS69" s="41"/>
    </row>
    <row r="70" hidden="1">
      <c r="A70" s="31" t="s">
        <v>109</v>
      </c>
      <c r="B70" s="172" t="s">
        <v>1260</v>
      </c>
      <c r="C70" s="41" t="s">
        <v>1261</v>
      </c>
      <c r="D70" s="45" t="s">
        <v>1262</v>
      </c>
      <c r="E70" s="41"/>
      <c r="F70" s="168"/>
      <c r="G70" s="168"/>
      <c r="H70" s="168" t="s">
        <v>25</v>
      </c>
      <c r="I70" s="168" t="s">
        <v>25</v>
      </c>
      <c r="J70" s="168" t="s">
        <v>25</v>
      </c>
      <c r="K70" s="163" t="str">
        <f>VLOOKUP(C70,'Term Reference Guide'!$C:$C,1,false)</f>
        <v>GAZ:00012582</v>
      </c>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row>
    <row r="71" hidden="1">
      <c r="A71" s="31" t="s">
        <v>109</v>
      </c>
      <c r="B71" s="172" t="s">
        <v>1263</v>
      </c>
      <c r="C71" s="41" t="s">
        <v>1264</v>
      </c>
      <c r="D71" s="45" t="s">
        <v>1265</v>
      </c>
      <c r="E71" s="41"/>
      <c r="F71" s="168"/>
      <c r="G71" s="168"/>
      <c r="H71" s="168" t="s">
        <v>25</v>
      </c>
      <c r="I71" s="168" t="s">
        <v>25</v>
      </c>
      <c r="J71" s="168" t="s">
        <v>25</v>
      </c>
      <c r="K71" s="163" t="str">
        <f>VLOOKUP(C71,'Term Reference Guide'!$C:$C,1,false)</f>
        <v>GAZ:00004006</v>
      </c>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row>
    <row r="72" hidden="1">
      <c r="A72" s="31" t="s">
        <v>109</v>
      </c>
      <c r="B72" s="172" t="s">
        <v>1266</v>
      </c>
      <c r="C72" s="41" t="s">
        <v>1267</v>
      </c>
      <c r="D72" s="45" t="s">
        <v>1268</v>
      </c>
      <c r="E72" s="41"/>
      <c r="F72" s="168"/>
      <c r="G72" s="168"/>
      <c r="H72" s="168" t="s">
        <v>25</v>
      </c>
      <c r="I72" s="168" t="s">
        <v>25</v>
      </c>
      <c r="J72" s="168" t="s">
        <v>25</v>
      </c>
      <c r="K72" s="163" t="str">
        <f>VLOOKUP(C72,'Term Reference Guide'!$C:$C,1,false)</f>
        <v>GAZ:00002954</v>
      </c>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row>
    <row r="73" hidden="1">
      <c r="A73" s="31" t="s">
        <v>109</v>
      </c>
      <c r="B73" s="172" t="s">
        <v>1269</v>
      </c>
      <c r="C73" s="41" t="s">
        <v>1270</v>
      </c>
      <c r="D73" s="45" t="s">
        <v>1271</v>
      </c>
      <c r="E73" s="41"/>
      <c r="F73" s="168"/>
      <c r="G73" s="168"/>
      <c r="H73" s="168" t="s">
        <v>25</v>
      </c>
      <c r="I73" s="168" t="s">
        <v>25</v>
      </c>
      <c r="J73" s="168" t="s">
        <v>25</v>
      </c>
      <c r="K73" s="163" t="str">
        <f>VLOOKUP(C73,'Term Reference Guide'!$C:$C,1,false)</f>
        <v>GAZ:00001086</v>
      </c>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c r="BU73" s="41"/>
      <c r="BV73" s="41"/>
      <c r="BW73" s="41"/>
      <c r="BX73" s="41"/>
      <c r="BY73" s="41"/>
      <c r="BZ73" s="41"/>
      <c r="CA73" s="41"/>
      <c r="CB73" s="41"/>
      <c r="CC73" s="41"/>
      <c r="CD73" s="41"/>
      <c r="CE73" s="41"/>
      <c r="CF73" s="41"/>
      <c r="CG73" s="41"/>
      <c r="CH73" s="41"/>
      <c r="CI73" s="41"/>
      <c r="CJ73" s="41"/>
      <c r="CK73" s="41"/>
      <c r="CL73" s="41"/>
      <c r="CM73" s="41"/>
      <c r="CN73" s="41"/>
      <c r="CO73" s="41"/>
      <c r="CP73" s="41"/>
      <c r="CQ73" s="41"/>
      <c r="CR73" s="41"/>
      <c r="CS73" s="41"/>
    </row>
    <row r="74" hidden="1">
      <c r="A74" s="31" t="s">
        <v>109</v>
      </c>
      <c r="B74" s="172" t="s">
        <v>1272</v>
      </c>
      <c r="C74" s="41" t="s">
        <v>1273</v>
      </c>
      <c r="D74" s="45" t="s">
        <v>1274</v>
      </c>
      <c r="E74" s="41"/>
      <c r="F74" s="168"/>
      <c r="G74" s="168"/>
      <c r="H74" s="168" t="s">
        <v>25</v>
      </c>
      <c r="I74" s="168" t="s">
        <v>25</v>
      </c>
      <c r="J74" s="168" t="s">
        <v>25</v>
      </c>
      <c r="K74" s="163" t="str">
        <f>VLOOKUP(C74,'Term Reference Guide'!$C:$C,1,false)</f>
        <v>GAZ:00005852</v>
      </c>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c r="CD74" s="41"/>
      <c r="CE74" s="41"/>
      <c r="CF74" s="41"/>
      <c r="CG74" s="41"/>
      <c r="CH74" s="41"/>
      <c r="CI74" s="41"/>
      <c r="CJ74" s="41"/>
      <c r="CK74" s="41"/>
      <c r="CL74" s="41"/>
      <c r="CM74" s="41"/>
      <c r="CN74" s="41"/>
      <c r="CO74" s="41"/>
      <c r="CP74" s="41"/>
      <c r="CQ74" s="41"/>
      <c r="CR74" s="41"/>
      <c r="CS74" s="41"/>
    </row>
    <row r="75" hidden="1">
      <c r="A75" s="31" t="s">
        <v>109</v>
      </c>
      <c r="B75" s="172" t="s">
        <v>1275</v>
      </c>
      <c r="C75" s="41" t="s">
        <v>1276</v>
      </c>
      <c r="D75" s="45" t="s">
        <v>1277</v>
      </c>
      <c r="E75" s="41"/>
      <c r="F75" s="168"/>
      <c r="G75" s="168"/>
      <c r="H75" s="168" t="s">
        <v>25</v>
      </c>
      <c r="I75" s="168" t="s">
        <v>25</v>
      </c>
      <c r="J75" s="168" t="s">
        <v>25</v>
      </c>
      <c r="K75" s="163" t="str">
        <f>VLOOKUP(C75,'Term Reference Guide'!$C:$C,1,false)</f>
        <v>GAZ:00000582</v>
      </c>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c r="CD75" s="41"/>
      <c r="CE75" s="41"/>
      <c r="CF75" s="41"/>
      <c r="CG75" s="41"/>
      <c r="CH75" s="41"/>
      <c r="CI75" s="41"/>
      <c r="CJ75" s="41"/>
      <c r="CK75" s="41"/>
      <c r="CL75" s="41"/>
      <c r="CM75" s="41"/>
      <c r="CN75" s="41"/>
      <c r="CO75" s="41"/>
      <c r="CP75" s="41"/>
      <c r="CQ75" s="41"/>
      <c r="CR75" s="41"/>
      <c r="CS75" s="41"/>
    </row>
    <row r="76" hidden="1">
      <c r="A76" s="31" t="s">
        <v>109</v>
      </c>
      <c r="B76" s="172" t="s">
        <v>1278</v>
      </c>
      <c r="C76" s="41" t="s">
        <v>1279</v>
      </c>
      <c r="D76" s="45" t="s">
        <v>1280</v>
      </c>
      <c r="E76" s="41"/>
      <c r="F76" s="168"/>
      <c r="G76" s="168"/>
      <c r="H76" s="168" t="s">
        <v>25</v>
      </c>
      <c r="I76" s="168" t="s">
        <v>25</v>
      </c>
      <c r="J76" s="168" t="s">
        <v>25</v>
      </c>
      <c r="K76" s="163" t="str">
        <f>VLOOKUP(C76,'Term Reference Guide'!$C:$C,1,false)</f>
        <v>GAZ:00006890</v>
      </c>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c r="CD76" s="41"/>
      <c r="CE76" s="41"/>
      <c r="CF76" s="41"/>
      <c r="CG76" s="41"/>
      <c r="CH76" s="41"/>
      <c r="CI76" s="41"/>
      <c r="CJ76" s="41"/>
      <c r="CK76" s="41"/>
      <c r="CL76" s="41"/>
      <c r="CM76" s="41"/>
      <c r="CN76" s="41"/>
      <c r="CO76" s="41"/>
      <c r="CP76" s="41"/>
      <c r="CQ76" s="41"/>
      <c r="CR76" s="41"/>
      <c r="CS76" s="41"/>
    </row>
    <row r="77" hidden="1">
      <c r="A77" s="31" t="s">
        <v>109</v>
      </c>
      <c r="B77" s="172" t="s">
        <v>1281</v>
      </c>
      <c r="C77" s="41" t="s">
        <v>1282</v>
      </c>
      <c r="D77" s="45" t="s">
        <v>1283</v>
      </c>
      <c r="E77" s="41"/>
      <c r="F77" s="168"/>
      <c r="G77" s="168"/>
      <c r="H77" s="168" t="s">
        <v>25</v>
      </c>
      <c r="I77" s="168" t="s">
        <v>25</v>
      </c>
      <c r="J77" s="168" t="s">
        <v>25</v>
      </c>
      <c r="K77" s="163" t="str">
        <f>VLOOKUP(C77,'Term Reference Guide'!$C:$C,1,false)</f>
        <v>GAZ:00003952</v>
      </c>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row>
    <row r="78" hidden="1">
      <c r="A78" s="31" t="s">
        <v>109</v>
      </c>
      <c r="B78" s="172" t="s">
        <v>1284</v>
      </c>
      <c r="C78" s="41" t="s">
        <v>1285</v>
      </c>
      <c r="D78" s="45" t="s">
        <v>1286</v>
      </c>
      <c r="E78" s="41"/>
      <c r="F78" s="168"/>
      <c r="G78" s="168"/>
      <c r="H78" s="168" t="s">
        <v>25</v>
      </c>
      <c r="I78" s="168" t="s">
        <v>25</v>
      </c>
      <c r="J78" s="168" t="s">
        <v>25</v>
      </c>
      <c r="K78" s="163" t="str">
        <f>VLOOKUP(C78,'Term Reference Guide'!$C:$C,1,false)</f>
        <v>GAZ:00002912</v>
      </c>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row>
    <row r="79" hidden="1">
      <c r="A79" s="31" t="s">
        <v>109</v>
      </c>
      <c r="B79" s="172" t="s">
        <v>1287</v>
      </c>
      <c r="C79" s="41" t="s">
        <v>1288</v>
      </c>
      <c r="D79" s="45" t="s">
        <v>1289</v>
      </c>
      <c r="E79" s="41"/>
      <c r="F79" s="168"/>
      <c r="G79" s="168"/>
      <c r="H79" s="168" t="s">
        <v>25</v>
      </c>
      <c r="I79" s="168" t="s">
        <v>25</v>
      </c>
      <c r="J79" s="168" t="s">
        <v>25</v>
      </c>
      <c r="K79" s="163" t="str">
        <f>VLOOKUP(C79,'Term Reference Guide'!$C:$C,1,false)</f>
        <v>GAZ:00003934</v>
      </c>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row>
    <row r="80" hidden="1">
      <c r="A80" s="31" t="s">
        <v>109</v>
      </c>
      <c r="B80" s="172" t="s">
        <v>1290</v>
      </c>
      <c r="C80" s="41" t="s">
        <v>1291</v>
      </c>
      <c r="D80" s="45" t="s">
        <v>1292</v>
      </c>
      <c r="E80" s="41"/>
      <c r="F80" s="168"/>
      <c r="G80" s="168"/>
      <c r="H80" s="168" t="s">
        <v>25</v>
      </c>
      <c r="I80" s="168" t="s">
        <v>25</v>
      </c>
      <c r="J80" s="168" t="s">
        <v>25</v>
      </c>
      <c r="K80" s="163" t="str">
        <f>VLOOKUP(C80,'Term Reference Guide'!$C:$C,1,false)</f>
        <v>GAZ:00002935</v>
      </c>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row>
    <row r="81" hidden="1">
      <c r="A81" s="31" t="s">
        <v>109</v>
      </c>
      <c r="B81" s="172" t="s">
        <v>1293</v>
      </c>
      <c r="C81" s="41" t="s">
        <v>1294</v>
      </c>
      <c r="D81" s="45" t="s">
        <v>1295</v>
      </c>
      <c r="E81" s="41"/>
      <c r="F81" s="168"/>
      <c r="G81" s="168"/>
      <c r="H81" s="168" t="s">
        <v>25</v>
      </c>
      <c r="I81" s="168" t="s">
        <v>25</v>
      </c>
      <c r="J81" s="168" t="s">
        <v>25</v>
      </c>
      <c r="K81" s="163" t="str">
        <f>VLOOKUP(C81,'Term Reference Guide'!$C:$C,1,false)</f>
        <v>GAZ:00001091</v>
      </c>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row>
    <row r="82" hidden="1">
      <c r="A82" s="31" t="s">
        <v>109</v>
      </c>
      <c r="B82" s="172" t="s">
        <v>1296</v>
      </c>
      <c r="C82" s="41" t="s">
        <v>1297</v>
      </c>
      <c r="D82" s="45" t="s">
        <v>1298</v>
      </c>
      <c r="E82" s="41"/>
      <c r="F82" s="168"/>
      <c r="G82" s="168"/>
      <c r="H82" s="168" t="s">
        <v>25</v>
      </c>
      <c r="I82" s="168" t="s">
        <v>25</v>
      </c>
      <c r="J82" s="168" t="s">
        <v>25</v>
      </c>
      <c r="K82" s="163" t="str">
        <f>VLOOKUP(C82,'Term Reference Guide'!$C:$C,1,false)</f>
        <v>GAZ:00000581</v>
      </c>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row>
    <row r="83" hidden="1">
      <c r="A83" s="31" t="s">
        <v>109</v>
      </c>
      <c r="B83" s="172" t="s">
        <v>1299</v>
      </c>
      <c r="C83" s="41" t="s">
        <v>1300</v>
      </c>
      <c r="D83" s="45" t="s">
        <v>1301</v>
      </c>
      <c r="E83" s="41"/>
      <c r="F83" s="168"/>
      <c r="G83" s="168"/>
      <c r="H83" s="168" t="s">
        <v>25</v>
      </c>
      <c r="I83" s="168" t="s">
        <v>25</v>
      </c>
      <c r="J83" s="168" t="s">
        <v>25</v>
      </c>
      <c r="K83" s="163" t="str">
        <f>VLOOKUP(C83,'Term Reference Guide'!$C:$C,1,false)</f>
        <v>GAZ:00002959</v>
      </c>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c r="CD83" s="41"/>
      <c r="CE83" s="41"/>
      <c r="CF83" s="41"/>
      <c r="CG83" s="41"/>
      <c r="CH83" s="41"/>
      <c r="CI83" s="41"/>
      <c r="CJ83" s="41"/>
      <c r="CK83" s="41"/>
      <c r="CL83" s="41"/>
      <c r="CM83" s="41"/>
      <c r="CN83" s="41"/>
      <c r="CO83" s="41"/>
      <c r="CP83" s="41"/>
      <c r="CQ83" s="41"/>
      <c r="CR83" s="41"/>
      <c r="CS83" s="41"/>
    </row>
    <row r="84" hidden="1">
      <c r="A84" s="31" t="s">
        <v>109</v>
      </c>
      <c r="B84" s="172" t="s">
        <v>1302</v>
      </c>
      <c r="C84" s="41" t="s">
        <v>1303</v>
      </c>
      <c r="D84" s="45" t="s">
        <v>1304</v>
      </c>
      <c r="E84" s="41"/>
      <c r="F84" s="168"/>
      <c r="G84" s="168"/>
      <c r="H84" s="168" t="s">
        <v>25</v>
      </c>
      <c r="I84" s="168" t="s">
        <v>25</v>
      </c>
      <c r="J84" s="168" t="s">
        <v>25</v>
      </c>
      <c r="K84" s="163" t="str">
        <f>VLOOKUP(C84,'Term Reference Guide'!$C:$C,1,false)</f>
        <v>GAZ:00001099</v>
      </c>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c r="CK84" s="41"/>
      <c r="CL84" s="41"/>
      <c r="CM84" s="41"/>
      <c r="CN84" s="41"/>
      <c r="CO84" s="41"/>
      <c r="CP84" s="41"/>
      <c r="CQ84" s="41"/>
      <c r="CR84" s="41"/>
      <c r="CS84" s="41"/>
    </row>
    <row r="85" hidden="1">
      <c r="A85" s="31" t="s">
        <v>109</v>
      </c>
      <c r="B85" s="172" t="s">
        <v>1305</v>
      </c>
      <c r="C85" s="41" t="s">
        <v>1306</v>
      </c>
      <c r="D85" s="45" t="s">
        <v>1307</v>
      </c>
      <c r="E85" s="41"/>
      <c r="F85" s="168"/>
      <c r="G85" s="168"/>
      <c r="H85" s="168" t="s">
        <v>25</v>
      </c>
      <c r="I85" s="168" t="s">
        <v>25</v>
      </c>
      <c r="J85" s="168" t="s">
        <v>25</v>
      </c>
      <c r="K85" s="163" t="str">
        <f>VLOOKUP(C85,'Term Reference Guide'!$C:$C,1,false)</f>
        <v>GAZ:00000567</v>
      </c>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1"/>
      <c r="CJ85" s="41"/>
      <c r="CK85" s="41"/>
      <c r="CL85" s="41"/>
      <c r="CM85" s="41"/>
      <c r="CN85" s="41"/>
      <c r="CO85" s="41"/>
      <c r="CP85" s="41"/>
      <c r="CQ85" s="41"/>
      <c r="CR85" s="41"/>
      <c r="CS85" s="41"/>
    </row>
    <row r="86" hidden="1">
      <c r="A86" s="31" t="s">
        <v>109</v>
      </c>
      <c r="B86" s="172" t="s">
        <v>1308</v>
      </c>
      <c r="C86" s="41" t="s">
        <v>1309</v>
      </c>
      <c r="D86" s="45" t="s">
        <v>1310</v>
      </c>
      <c r="E86" s="41"/>
      <c r="F86" s="168"/>
      <c r="G86" s="168"/>
      <c r="H86" s="168" t="s">
        <v>25</v>
      </c>
      <c r="I86" s="168" t="s">
        <v>25</v>
      </c>
      <c r="J86" s="168" t="s">
        <v>25</v>
      </c>
      <c r="K86" s="163" t="str">
        <f>VLOOKUP(C86,'Term Reference Guide'!$C:$C,1,false)</f>
        <v>GAZ:00005811</v>
      </c>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41"/>
      <c r="CR86" s="41"/>
      <c r="CS86" s="41"/>
    </row>
    <row r="87" hidden="1">
      <c r="A87" s="31" t="s">
        <v>109</v>
      </c>
      <c r="B87" s="172" t="s">
        <v>1311</v>
      </c>
      <c r="C87" s="41" t="s">
        <v>1312</v>
      </c>
      <c r="D87" s="45" t="s">
        <v>1313</v>
      </c>
      <c r="E87" s="41"/>
      <c r="F87" s="168"/>
      <c r="G87" s="168"/>
      <c r="H87" s="168" t="s">
        <v>25</v>
      </c>
      <c r="I87" s="168" t="s">
        <v>25</v>
      </c>
      <c r="J87" s="168" t="s">
        <v>25</v>
      </c>
      <c r="K87" s="163" t="str">
        <f>VLOOKUP(C87,'Term Reference Guide'!$C:$C,1,false)</f>
        <v>GAZ:00001412</v>
      </c>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c r="CK87" s="41"/>
      <c r="CL87" s="41"/>
      <c r="CM87" s="41"/>
      <c r="CN87" s="41"/>
      <c r="CO87" s="41"/>
      <c r="CP87" s="41"/>
      <c r="CQ87" s="41"/>
      <c r="CR87" s="41"/>
      <c r="CS87" s="41"/>
    </row>
    <row r="88" hidden="1">
      <c r="A88" s="31" t="s">
        <v>109</v>
      </c>
      <c r="B88" s="172" t="s">
        <v>1314</v>
      </c>
      <c r="C88" s="41" t="s">
        <v>1315</v>
      </c>
      <c r="D88" s="45" t="s">
        <v>1316</v>
      </c>
      <c r="E88" s="41"/>
      <c r="F88" s="168"/>
      <c r="G88" s="168"/>
      <c r="H88" s="168" t="s">
        <v>25</v>
      </c>
      <c r="I88" s="168" t="s">
        <v>25</v>
      </c>
      <c r="J88" s="168" t="s">
        <v>25</v>
      </c>
      <c r="K88" s="163" t="str">
        <f>VLOOKUP(C88,'Term Reference Guide'!$C:$C,1,false)</f>
        <v>GAZ:00059206</v>
      </c>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row>
    <row r="89" hidden="1">
      <c r="A89" s="31" t="s">
        <v>109</v>
      </c>
      <c r="B89" s="172" t="s">
        <v>1317</v>
      </c>
      <c r="C89" s="41" t="s">
        <v>1318</v>
      </c>
      <c r="D89" s="45" t="s">
        <v>1319</v>
      </c>
      <c r="E89" s="41"/>
      <c r="F89" s="168"/>
      <c r="G89" s="168"/>
      <c r="H89" s="168" t="s">
        <v>25</v>
      </c>
      <c r="I89" s="168" t="s">
        <v>25</v>
      </c>
      <c r="J89" s="168" t="s">
        <v>25</v>
      </c>
      <c r="K89" s="163" t="str">
        <f>VLOOKUP(C89,'Term Reference Guide'!$C:$C,1,false)</f>
        <v>GAZ:00006891</v>
      </c>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row>
    <row r="90" hidden="1">
      <c r="A90" s="31" t="s">
        <v>109</v>
      </c>
      <c r="B90" s="172" t="s">
        <v>1320</v>
      </c>
      <c r="C90" s="41" t="s">
        <v>1321</v>
      </c>
      <c r="D90" s="45" t="s">
        <v>1322</v>
      </c>
      <c r="E90" s="41"/>
      <c r="F90" s="168"/>
      <c r="G90" s="168"/>
      <c r="H90" s="168" t="s">
        <v>25</v>
      </c>
      <c r="I90" s="168" t="s">
        <v>25</v>
      </c>
      <c r="J90" s="168" t="s">
        <v>25</v>
      </c>
      <c r="K90" s="163" t="str">
        <f>VLOOKUP(C90,'Term Reference Guide'!$C:$C,1,false)</f>
        <v>GAZ:00002937</v>
      </c>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row>
    <row r="91" hidden="1">
      <c r="A91" s="31" t="s">
        <v>109</v>
      </c>
      <c r="B91" s="172" t="s">
        <v>1323</v>
      </c>
      <c r="C91" s="41" t="s">
        <v>1324</v>
      </c>
      <c r="D91" s="45" t="s">
        <v>1325</v>
      </c>
      <c r="E91" s="41"/>
      <c r="F91" s="168"/>
      <c r="G91" s="168"/>
      <c r="H91" s="168" t="s">
        <v>25</v>
      </c>
      <c r="I91" s="168" t="s">
        <v>25</v>
      </c>
      <c r="J91" s="168" t="s">
        <v>25</v>
      </c>
      <c r="K91" s="163" t="str">
        <f>VLOOKUP(C91,'Term Reference Guide'!$C:$C,1,false)</f>
        <v>GAZ:00003940</v>
      </c>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row>
    <row r="92" hidden="1">
      <c r="A92" s="31" t="s">
        <v>109</v>
      </c>
      <c r="B92" s="172" t="s">
        <v>1326</v>
      </c>
      <c r="C92" s="41" t="s">
        <v>1327</v>
      </c>
      <c r="D92" s="45" t="s">
        <v>1328</v>
      </c>
      <c r="E92" s="41"/>
      <c r="F92" s="168"/>
      <c r="G92" s="168"/>
      <c r="H92" s="168" t="s">
        <v>25</v>
      </c>
      <c r="I92" s="168" t="s">
        <v>25</v>
      </c>
      <c r="J92" s="168" t="s">
        <v>25</v>
      </c>
      <c r="K92" s="163" t="str">
        <f>VLOOKUP(C92,'Term Reference Guide'!$C:$C,1,false)</f>
        <v>GAZ:00002516</v>
      </c>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row>
    <row r="93" hidden="1">
      <c r="A93" s="31" t="s">
        <v>109</v>
      </c>
      <c r="B93" s="172" t="s">
        <v>1329</v>
      </c>
      <c r="C93" s="41" t="s">
        <v>1330</v>
      </c>
      <c r="D93" s="45" t="s">
        <v>1331</v>
      </c>
      <c r="E93" s="41"/>
      <c r="F93" s="168"/>
      <c r="G93" s="168"/>
      <c r="H93" s="168" t="s">
        <v>25</v>
      </c>
      <c r="I93" s="168" t="s">
        <v>25</v>
      </c>
      <c r="J93" s="168" t="s">
        <v>25</v>
      </c>
      <c r="K93" s="163" t="str">
        <f>VLOOKUP(C93,'Term Reference Guide'!$C:$C,1,false)</f>
        <v>GAZ:00002918</v>
      </c>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row>
    <row r="94" hidden="1">
      <c r="A94" s="31" t="s">
        <v>109</v>
      </c>
      <c r="B94" s="172" t="s">
        <v>1332</v>
      </c>
      <c r="C94" s="41" t="s">
        <v>1333</v>
      </c>
      <c r="D94" s="45" t="s">
        <v>1334</v>
      </c>
      <c r="E94" s="41"/>
      <c r="F94" s="168"/>
      <c r="G94" s="168"/>
      <c r="H94" s="168" t="s">
        <v>25</v>
      </c>
      <c r="I94" s="168" t="s">
        <v>25</v>
      </c>
      <c r="J94" s="168" t="s">
        <v>25</v>
      </c>
      <c r="K94" s="163" t="str">
        <f>VLOOKUP(C94,'Term Reference Guide'!$C:$C,1,false)</f>
        <v>GAZ:00003753</v>
      </c>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row>
    <row r="95" hidden="1">
      <c r="A95" s="31" t="s">
        <v>109</v>
      </c>
      <c r="B95" s="172" t="s">
        <v>1335</v>
      </c>
      <c r="C95" s="41" t="s">
        <v>1336</v>
      </c>
      <c r="D95" s="45" t="s">
        <v>1337</v>
      </c>
      <c r="E95" s="41"/>
      <c r="F95" s="168"/>
      <c r="G95" s="168"/>
      <c r="H95" s="168" t="s">
        <v>25</v>
      </c>
      <c r="I95" s="168" t="s">
        <v>25</v>
      </c>
      <c r="J95" s="168" t="s">
        <v>25</v>
      </c>
      <c r="K95" s="163" t="str">
        <f>VLOOKUP(C95,'Term Reference Guide'!$C:$C,1,false)</f>
        <v>GAZ:00001092</v>
      </c>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row>
    <row r="96" hidden="1">
      <c r="A96" s="31" t="s">
        <v>109</v>
      </c>
      <c r="B96" s="172" t="s">
        <v>1338</v>
      </c>
      <c r="C96" s="41" t="s">
        <v>1339</v>
      </c>
      <c r="D96" s="45" t="s">
        <v>1340</v>
      </c>
      <c r="E96" s="41"/>
      <c r="F96" s="168"/>
      <c r="G96" s="168"/>
      <c r="H96" s="168" t="s">
        <v>25</v>
      </c>
      <c r="I96" s="168" t="s">
        <v>25</v>
      </c>
      <c r="J96" s="168" t="s">
        <v>25</v>
      </c>
      <c r="K96" s="163" t="str">
        <f>VLOOKUP(C96,'Term Reference Guide'!$C:$C,1,false)</f>
        <v>GAZ:00000907</v>
      </c>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row>
    <row r="97" hidden="1">
      <c r="A97" s="31" t="s">
        <v>109</v>
      </c>
      <c r="B97" s="172" t="s">
        <v>1341</v>
      </c>
      <c r="C97" s="41" t="s">
        <v>1342</v>
      </c>
      <c r="D97" s="45" t="s">
        <v>1343</v>
      </c>
      <c r="E97" s="41"/>
      <c r="F97" s="168"/>
      <c r="G97" s="168"/>
      <c r="H97" s="168" t="s">
        <v>25</v>
      </c>
      <c r="I97" s="168" t="s">
        <v>25</v>
      </c>
      <c r="J97" s="168" t="s">
        <v>25</v>
      </c>
      <c r="K97" s="163" t="str">
        <f>VLOOKUP(C97,'Term Reference Guide'!$C:$C,1,false)</f>
        <v>GAZ:00009571</v>
      </c>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row>
    <row r="98" hidden="1">
      <c r="A98" s="31" t="s">
        <v>109</v>
      </c>
      <c r="B98" s="172" t="s">
        <v>1344</v>
      </c>
      <c r="C98" s="41" t="s">
        <v>1345</v>
      </c>
      <c r="D98" s="45" t="s">
        <v>1346</v>
      </c>
      <c r="E98" s="41"/>
      <c r="F98" s="168"/>
      <c r="G98" s="168"/>
      <c r="H98" s="168" t="s">
        <v>25</v>
      </c>
      <c r="I98" s="168" t="s">
        <v>25</v>
      </c>
      <c r="J98" s="168" t="s">
        <v>25</v>
      </c>
      <c r="K98" s="163" t="str">
        <f>VLOOKUP(C98,'Term Reference Guide'!$C:$C,1,false)</f>
        <v>GAZ:00004942</v>
      </c>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row>
    <row r="99" hidden="1">
      <c r="A99" s="31" t="s">
        <v>109</v>
      </c>
      <c r="B99" s="172" t="s">
        <v>1347</v>
      </c>
      <c r="C99" s="41" t="s">
        <v>1348</v>
      </c>
      <c r="D99" s="45" t="s">
        <v>1349</v>
      </c>
      <c r="E99" s="41"/>
      <c r="F99" s="168"/>
      <c r="G99" s="168"/>
      <c r="H99" s="168" t="s">
        <v>25</v>
      </c>
      <c r="I99" s="168" t="s">
        <v>25</v>
      </c>
      <c r="J99" s="168" t="s">
        <v>25</v>
      </c>
      <c r="K99" s="163" t="str">
        <f>VLOOKUP(C99,'Term Reference Guide'!$C:$C,1,false)</f>
        <v>GAZ:00002646</v>
      </c>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1"/>
      <c r="CQ99" s="41"/>
      <c r="CR99" s="41"/>
      <c r="CS99" s="41"/>
    </row>
    <row r="100" hidden="1">
      <c r="A100" s="31" t="s">
        <v>109</v>
      </c>
      <c r="B100" s="172" t="s">
        <v>1350</v>
      </c>
      <c r="C100" s="41" t="s">
        <v>1351</v>
      </c>
      <c r="D100" s="45" t="s">
        <v>1352</v>
      </c>
      <c r="E100" s="41"/>
      <c r="F100" s="168"/>
      <c r="G100" s="168"/>
      <c r="H100" s="168" t="s">
        <v>25</v>
      </c>
      <c r="I100" s="168" t="s">
        <v>25</v>
      </c>
      <c r="J100" s="168" t="s">
        <v>25</v>
      </c>
      <c r="K100" s="163" t="str">
        <f>VLOOKUP(C100,'Term Reference Guide'!$C:$C,1,false)</f>
        <v>GAZ:00000908</v>
      </c>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41"/>
      <c r="CR100" s="41"/>
      <c r="CS100" s="41"/>
    </row>
    <row r="101" hidden="1">
      <c r="A101" s="31" t="s">
        <v>109</v>
      </c>
      <c r="B101" s="172" t="s">
        <v>1353</v>
      </c>
      <c r="C101" s="41" t="s">
        <v>1354</v>
      </c>
      <c r="D101" s="45" t="s">
        <v>1355</v>
      </c>
      <c r="E101" s="41"/>
      <c r="F101" s="168"/>
      <c r="G101" s="168"/>
      <c r="H101" s="168" t="s">
        <v>25</v>
      </c>
      <c r="I101" s="168" t="s">
        <v>25</v>
      </c>
      <c r="J101" s="168" t="s">
        <v>25</v>
      </c>
      <c r="K101" s="163" t="str">
        <f>VLOOKUP(C101,'Term Reference Guide'!$C:$C,1,false)</f>
        <v>GAZ:00003987</v>
      </c>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c r="CD101" s="41"/>
      <c r="CE101" s="41"/>
      <c r="CF101" s="41"/>
      <c r="CG101" s="41"/>
      <c r="CH101" s="41"/>
      <c r="CI101" s="41"/>
      <c r="CJ101" s="41"/>
      <c r="CK101" s="41"/>
      <c r="CL101" s="41"/>
      <c r="CM101" s="41"/>
      <c r="CN101" s="41"/>
      <c r="CO101" s="41"/>
      <c r="CP101" s="41"/>
      <c r="CQ101" s="41"/>
      <c r="CR101" s="41"/>
      <c r="CS101" s="41"/>
    </row>
    <row r="102" hidden="1">
      <c r="A102" s="31" t="s">
        <v>109</v>
      </c>
      <c r="B102" s="172" t="s">
        <v>1356</v>
      </c>
      <c r="C102" s="41" t="s">
        <v>1357</v>
      </c>
      <c r="D102" s="45" t="s">
        <v>1358</v>
      </c>
      <c r="E102" s="41"/>
      <c r="F102" s="168"/>
      <c r="G102" s="168"/>
      <c r="H102" s="168" t="s">
        <v>25</v>
      </c>
      <c r="I102" s="168" t="s">
        <v>25</v>
      </c>
      <c r="J102" s="168" t="s">
        <v>25</v>
      </c>
      <c r="K102" s="163" t="str">
        <f>VLOOKUP(C102,'Term Reference Guide'!$C:$C,1,false)</f>
        <v>GAZ:00005808</v>
      </c>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row>
    <row r="103" hidden="1">
      <c r="A103" s="31" t="s">
        <v>109</v>
      </c>
      <c r="B103" s="172" t="s">
        <v>1359</v>
      </c>
      <c r="C103" s="41" t="s">
        <v>1360</v>
      </c>
      <c r="D103" s="45" t="s">
        <v>1361</v>
      </c>
      <c r="E103" s="41"/>
      <c r="F103" s="168"/>
      <c r="G103" s="168"/>
      <c r="H103" s="168" t="s">
        <v>25</v>
      </c>
      <c r="I103" s="168" t="s">
        <v>25</v>
      </c>
      <c r="J103" s="168" t="s">
        <v>25</v>
      </c>
      <c r="K103" s="163" t="str">
        <f>VLOOKUP(C103,'Term Reference Guide'!$C:$C,1,false)</f>
        <v>GAZ:00002945</v>
      </c>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row>
    <row r="104" hidden="1">
      <c r="A104" s="31" t="s">
        <v>109</v>
      </c>
      <c r="B104" s="172" t="s">
        <v>1362</v>
      </c>
      <c r="C104" s="41" t="s">
        <v>1363</v>
      </c>
      <c r="D104" s="45" t="s">
        <v>1364</v>
      </c>
      <c r="E104" s="41"/>
      <c r="F104" s="168"/>
      <c r="G104" s="168"/>
      <c r="H104" s="168" t="s">
        <v>25</v>
      </c>
      <c r="I104" s="168" t="s">
        <v>25</v>
      </c>
      <c r="J104" s="168" t="s">
        <v>25</v>
      </c>
      <c r="K104" s="163" t="str">
        <f>VLOOKUP(C104,'Term Reference Guide'!$C:$C,1,false)</f>
        <v>GAZ:00001507</v>
      </c>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row>
    <row r="105" hidden="1">
      <c r="A105" s="31" t="s">
        <v>109</v>
      </c>
      <c r="B105" s="172" t="s">
        <v>1365</v>
      </c>
      <c r="C105" s="41" t="s">
        <v>1366</v>
      </c>
      <c r="D105" s="45" t="s">
        <v>1367</v>
      </c>
      <c r="E105" s="41"/>
      <c r="F105" s="168"/>
      <c r="G105" s="168"/>
      <c r="H105" s="168" t="s">
        <v>25</v>
      </c>
      <c r="I105" s="168" t="s">
        <v>25</v>
      </c>
      <c r="J105" s="168" t="s">
        <v>25</v>
      </c>
      <c r="K105" s="163" t="str">
        <f>VLOOKUP(C105,'Term Reference Guide'!$C:$C,1,false)</f>
        <v>GAZ:02000573</v>
      </c>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row>
    <row r="106" hidden="1">
      <c r="A106" s="31" t="s">
        <v>109</v>
      </c>
      <c r="B106" s="172" t="s">
        <v>1368</v>
      </c>
      <c r="C106" s="41" t="s">
        <v>1369</v>
      </c>
      <c r="D106" s="45" t="s">
        <v>1370</v>
      </c>
      <c r="E106" s="41"/>
      <c r="F106" s="168"/>
      <c r="G106" s="168"/>
      <c r="H106" s="168" t="s">
        <v>25</v>
      </c>
      <c r="I106" s="168" t="s">
        <v>25</v>
      </c>
      <c r="J106" s="168" t="s">
        <v>25</v>
      </c>
      <c r="K106" s="163" t="str">
        <f>VLOOKUP(C106,'Term Reference Guide'!$C:$C,1,false)</f>
        <v>GAZ:00067142</v>
      </c>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row>
    <row r="107" hidden="1">
      <c r="A107" s="31" t="s">
        <v>109</v>
      </c>
      <c r="B107" s="172" t="s">
        <v>1371</v>
      </c>
      <c r="C107" s="41" t="s">
        <v>1372</v>
      </c>
      <c r="D107" s="45" t="s">
        <v>1373</v>
      </c>
      <c r="E107" s="41"/>
      <c r="F107" s="168"/>
      <c r="G107" s="168"/>
      <c r="H107" s="168" t="s">
        <v>25</v>
      </c>
      <c r="I107" s="168" t="s">
        <v>25</v>
      </c>
      <c r="J107" s="168" t="s">
        <v>25</v>
      </c>
      <c r="K107" s="163" t="str">
        <f>VLOOKUP(C107,'Term Reference Guide'!$C:$C,1,false)</f>
        <v>GAZ:00003706</v>
      </c>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row>
    <row r="108" hidden="1">
      <c r="A108" s="31" t="s">
        <v>109</v>
      </c>
      <c r="B108" s="172" t="s">
        <v>1374</v>
      </c>
      <c r="C108" s="41" t="s">
        <v>1375</v>
      </c>
      <c r="D108" s="45" t="s">
        <v>1376</v>
      </c>
      <c r="E108" s="41"/>
      <c r="F108" s="168"/>
      <c r="G108" s="168"/>
      <c r="H108" s="168" t="s">
        <v>25</v>
      </c>
      <c r="I108" s="168" t="s">
        <v>25</v>
      </c>
      <c r="J108" s="168" t="s">
        <v>25</v>
      </c>
      <c r="K108" s="163" t="str">
        <f>VLOOKUP(C108,'Term Reference Guide'!$C:$C,1,false)</f>
        <v>GAZ:00002936</v>
      </c>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row>
    <row r="109" hidden="1">
      <c r="A109" s="31" t="s">
        <v>109</v>
      </c>
      <c r="B109" s="172" t="s">
        <v>1377</v>
      </c>
      <c r="C109" s="41" t="s">
        <v>1378</v>
      </c>
      <c r="D109" s="45" t="s">
        <v>1379</v>
      </c>
      <c r="E109" s="41"/>
      <c r="F109" s="168"/>
      <c r="G109" s="168"/>
      <c r="H109" s="168" t="s">
        <v>25</v>
      </c>
      <c r="I109" s="168" t="s">
        <v>25</v>
      </c>
      <c r="J109" s="168" t="s">
        <v>25</v>
      </c>
      <c r="K109" s="163" t="str">
        <f>VLOOKUP(C109,'Term Reference Guide'!$C:$C,1,false)</f>
        <v>GAZ:00001550</v>
      </c>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row>
    <row r="110" hidden="1">
      <c r="A110" s="31" t="s">
        <v>109</v>
      </c>
      <c r="B110" s="172" t="s">
        <v>1380</v>
      </c>
      <c r="C110" s="41" t="s">
        <v>1381</v>
      </c>
      <c r="D110" s="45" t="s">
        <v>1382</v>
      </c>
      <c r="E110" s="41"/>
      <c r="F110" s="168"/>
      <c r="G110" s="168"/>
      <c r="H110" s="168" t="s">
        <v>25</v>
      </c>
      <c r="I110" s="168" t="s">
        <v>25</v>
      </c>
      <c r="J110" s="168" t="s">
        <v>25</v>
      </c>
      <c r="K110" s="163" t="str">
        <f>VLOOKUP(C110,'Term Reference Guide'!$C:$C,1,false)</f>
        <v>GAZ:00000909</v>
      </c>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row>
    <row r="111" hidden="1">
      <c r="A111" s="31" t="s">
        <v>109</v>
      </c>
      <c r="B111" s="172" t="s">
        <v>1383</v>
      </c>
      <c r="C111" s="41" t="s">
        <v>1384</v>
      </c>
      <c r="D111" s="45" t="s">
        <v>1385</v>
      </c>
      <c r="E111" s="41"/>
      <c r="F111" s="168"/>
      <c r="G111" s="168"/>
      <c r="H111" s="168" t="s">
        <v>25</v>
      </c>
      <c r="I111" s="168" t="s">
        <v>25</v>
      </c>
      <c r="J111" s="168" t="s">
        <v>25</v>
      </c>
      <c r="K111" s="163" t="str">
        <f>VLOOKUP(C111,'Term Reference Guide'!$C:$C,1,false)</f>
        <v>GAZ:00000910</v>
      </c>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row>
    <row r="112" hidden="1">
      <c r="A112" s="31" t="s">
        <v>109</v>
      </c>
      <c r="B112" s="172" t="s">
        <v>1386</v>
      </c>
      <c r="C112" s="41" t="s">
        <v>1387</v>
      </c>
      <c r="D112" s="45" t="s">
        <v>1388</v>
      </c>
      <c r="E112" s="41"/>
      <c r="F112" s="168"/>
      <c r="G112" s="168"/>
      <c r="H112" s="168" t="s">
        <v>25</v>
      </c>
      <c r="I112" s="168" t="s">
        <v>25</v>
      </c>
      <c r="J112" s="168" t="s">
        <v>25</v>
      </c>
      <c r="K112" s="163" t="str">
        <f>VLOOKUP(C112,'Term Reference Guide'!$C:$C,1,false)</f>
        <v>GAZ:00002522</v>
      </c>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row>
    <row r="113" hidden="1">
      <c r="A113" s="31" t="s">
        <v>109</v>
      </c>
      <c r="B113" s="172" t="s">
        <v>1389</v>
      </c>
      <c r="C113" s="41" t="s">
        <v>1390</v>
      </c>
      <c r="D113" s="45" t="s">
        <v>1391</v>
      </c>
      <c r="E113" s="41"/>
      <c r="F113" s="168"/>
      <c r="G113" s="168"/>
      <c r="H113" s="168" t="s">
        <v>25</v>
      </c>
      <c r="I113" s="168" t="s">
        <v>25</v>
      </c>
      <c r="J113" s="168" t="s">
        <v>25</v>
      </c>
      <c r="K113" s="163" t="str">
        <f>VLOOKUP(C113,'Term Reference Guide'!$C:$C,1,false)</f>
        <v>GAZ:00003953</v>
      </c>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row>
    <row r="114" hidden="1">
      <c r="A114" s="31" t="s">
        <v>109</v>
      </c>
      <c r="B114" s="172" t="s">
        <v>1392</v>
      </c>
      <c r="C114" s="41" t="s">
        <v>1393</v>
      </c>
      <c r="D114" s="45" t="s">
        <v>1394</v>
      </c>
      <c r="E114" s="41"/>
      <c r="F114" s="168"/>
      <c r="G114" s="168"/>
      <c r="H114" s="168" t="s">
        <v>25</v>
      </c>
      <c r="I114" s="168" t="s">
        <v>25</v>
      </c>
      <c r="J114" s="168" t="s">
        <v>25</v>
      </c>
      <c r="K114" s="163" t="str">
        <f>VLOOKUP(C114,'Term Reference Guide'!$C:$C,1,false)</f>
        <v>GAZ:00009718</v>
      </c>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c r="CD114" s="41"/>
      <c r="CE114" s="41"/>
      <c r="CF114" s="41"/>
      <c r="CG114" s="41"/>
      <c r="CH114" s="41"/>
      <c r="CI114" s="41"/>
      <c r="CJ114" s="41"/>
      <c r="CK114" s="41"/>
      <c r="CL114" s="41"/>
      <c r="CM114" s="41"/>
      <c r="CN114" s="41"/>
      <c r="CO114" s="41"/>
      <c r="CP114" s="41"/>
      <c r="CQ114" s="41"/>
      <c r="CR114" s="41"/>
      <c r="CS114" s="41"/>
    </row>
    <row r="115" hidden="1">
      <c r="A115" s="31" t="s">
        <v>109</v>
      </c>
      <c r="B115" s="172" t="s">
        <v>1395</v>
      </c>
      <c r="C115" s="41" t="s">
        <v>1396</v>
      </c>
      <c r="D115" s="45" t="s">
        <v>1397</v>
      </c>
      <c r="E115" s="41"/>
      <c r="F115" s="168"/>
      <c r="G115" s="168"/>
      <c r="H115" s="168" t="s">
        <v>25</v>
      </c>
      <c r="I115" s="168" t="s">
        <v>25</v>
      </c>
      <c r="J115" s="168" t="s">
        <v>25</v>
      </c>
      <c r="K115" s="163" t="str">
        <f>VLOOKUP(C115,'Term Reference Guide'!$C:$C,1,false)</f>
        <v>GAZ:00002894</v>
      </c>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c r="BV115" s="41"/>
      <c r="BW115" s="41"/>
      <c r="BX115" s="41"/>
      <c r="BY115" s="41"/>
      <c r="BZ115" s="41"/>
      <c r="CA115" s="41"/>
      <c r="CB115" s="41"/>
      <c r="CC115" s="41"/>
      <c r="CD115" s="41"/>
      <c r="CE115" s="41"/>
      <c r="CF115" s="41"/>
      <c r="CG115" s="41"/>
      <c r="CH115" s="41"/>
      <c r="CI115" s="41"/>
      <c r="CJ115" s="41"/>
      <c r="CK115" s="41"/>
      <c r="CL115" s="41"/>
      <c r="CM115" s="41"/>
      <c r="CN115" s="41"/>
      <c r="CO115" s="41"/>
      <c r="CP115" s="41"/>
      <c r="CQ115" s="41"/>
      <c r="CR115" s="41"/>
      <c r="CS115" s="41"/>
    </row>
    <row r="116" hidden="1">
      <c r="A116" s="31" t="s">
        <v>109</v>
      </c>
      <c r="B116" s="172" t="s">
        <v>1398</v>
      </c>
      <c r="C116" s="41" t="s">
        <v>1399</v>
      </c>
      <c r="D116" s="45" t="s">
        <v>1400</v>
      </c>
      <c r="E116" s="41"/>
      <c r="F116" s="168"/>
      <c r="G116" s="168"/>
      <c r="H116" s="168" t="s">
        <v>25</v>
      </c>
      <c r="I116" s="168" t="s">
        <v>25</v>
      </c>
      <c r="J116" s="168" t="s">
        <v>25</v>
      </c>
      <c r="K116" s="163" t="str">
        <f>VLOOKUP(C116,'Term Reference Guide'!$C:$C,1,false)</f>
        <v>GAZ:00003203</v>
      </c>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c r="BV116" s="41"/>
      <c r="BW116" s="41"/>
      <c r="BX116" s="41"/>
      <c r="BY116" s="41"/>
      <c r="BZ116" s="41"/>
      <c r="CA116" s="41"/>
      <c r="CB116" s="41"/>
      <c r="CC116" s="41"/>
      <c r="CD116" s="41"/>
      <c r="CE116" s="41"/>
      <c r="CF116" s="41"/>
      <c r="CG116" s="41"/>
      <c r="CH116" s="41"/>
      <c r="CI116" s="41"/>
      <c r="CJ116" s="41"/>
      <c r="CK116" s="41"/>
      <c r="CL116" s="41"/>
      <c r="CM116" s="41"/>
      <c r="CN116" s="41"/>
      <c r="CO116" s="41"/>
      <c r="CP116" s="41"/>
      <c r="CQ116" s="41"/>
      <c r="CR116" s="41"/>
      <c r="CS116" s="41"/>
    </row>
    <row r="117" hidden="1">
      <c r="A117" s="31" t="s">
        <v>109</v>
      </c>
      <c r="B117" s="172" t="s">
        <v>1401</v>
      </c>
      <c r="C117" s="41" t="s">
        <v>1402</v>
      </c>
      <c r="D117" s="45" t="s">
        <v>1403</v>
      </c>
      <c r="E117" s="41"/>
      <c r="F117" s="168"/>
      <c r="G117" s="168"/>
      <c r="H117" s="168" t="s">
        <v>25</v>
      </c>
      <c r="I117" s="168" t="s">
        <v>25</v>
      </c>
      <c r="J117" s="168" t="s">
        <v>25</v>
      </c>
      <c r="K117" s="163" t="str">
        <f>VLOOKUP(C117,'Term Reference Guide'!$C:$C,1,false)</f>
        <v>GAZ:00007120</v>
      </c>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c r="BV117" s="41"/>
      <c r="BW117" s="41"/>
      <c r="BX117" s="41"/>
      <c r="BY117" s="41"/>
      <c r="BZ117" s="41"/>
      <c r="CA117" s="41"/>
      <c r="CB117" s="41"/>
      <c r="CC117" s="41"/>
      <c r="CD117" s="41"/>
      <c r="CE117" s="41"/>
      <c r="CF117" s="41"/>
      <c r="CG117" s="41"/>
      <c r="CH117" s="41"/>
      <c r="CI117" s="41"/>
      <c r="CJ117" s="41"/>
      <c r="CK117" s="41"/>
      <c r="CL117" s="41"/>
      <c r="CM117" s="41"/>
      <c r="CN117" s="41"/>
      <c r="CO117" s="41"/>
      <c r="CP117" s="41"/>
      <c r="CQ117" s="41"/>
      <c r="CR117" s="41"/>
      <c r="CS117" s="41"/>
    </row>
    <row r="118" hidden="1">
      <c r="A118" s="31" t="s">
        <v>109</v>
      </c>
      <c r="B118" s="172" t="s">
        <v>1404</v>
      </c>
      <c r="C118" s="41" t="s">
        <v>1405</v>
      </c>
      <c r="D118" s="45" t="s">
        <v>1406</v>
      </c>
      <c r="E118" s="41"/>
      <c r="F118" s="168"/>
      <c r="G118" s="168"/>
      <c r="H118" s="168" t="s">
        <v>25</v>
      </c>
      <c r="I118" s="168" t="s">
        <v>25</v>
      </c>
      <c r="J118" s="168" t="s">
        <v>25</v>
      </c>
      <c r="K118" s="163" t="str">
        <f>VLOOKUP(C118,'Term Reference Guide'!$C:$C,1,false)</f>
        <v>GAZ:00002952</v>
      </c>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41"/>
      <c r="CR118" s="41"/>
      <c r="CS118" s="41"/>
    </row>
    <row r="119" hidden="1">
      <c r="A119" s="31" t="s">
        <v>109</v>
      </c>
      <c r="B119" s="172" t="s">
        <v>1407</v>
      </c>
      <c r="C119" s="41" t="s">
        <v>1408</v>
      </c>
      <c r="D119" s="45" t="s">
        <v>1409</v>
      </c>
      <c r="E119" s="41"/>
      <c r="F119" s="168"/>
      <c r="G119" s="168"/>
      <c r="H119" s="168" t="s">
        <v>25</v>
      </c>
      <c r="I119" s="168" t="s">
        <v>25</v>
      </c>
      <c r="J119" s="168" t="s">
        <v>25</v>
      </c>
      <c r="K119" s="163" t="str">
        <f>VLOOKUP(C119,'Term Reference Guide'!$C:$C,1,false)</f>
        <v>GAZ:00000843</v>
      </c>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row>
    <row r="120" hidden="1">
      <c r="A120" s="31" t="s">
        <v>109</v>
      </c>
      <c r="B120" s="172" t="s">
        <v>1410</v>
      </c>
      <c r="C120" s="41" t="s">
        <v>1411</v>
      </c>
      <c r="D120" s="45" t="s">
        <v>1412</v>
      </c>
      <c r="E120" s="41"/>
      <c r="F120" s="168"/>
      <c r="G120" s="168"/>
      <c r="H120" s="168" t="s">
        <v>25</v>
      </c>
      <c r="I120" s="168" t="s">
        <v>25</v>
      </c>
      <c r="J120" s="168" t="s">
        <v>25</v>
      </c>
      <c r="K120" s="163" t="str">
        <f>VLOOKUP(C120,'Term Reference Guide'!$C:$C,1,false)</f>
        <v>GAZ:00002839</v>
      </c>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c r="CQ120" s="41"/>
      <c r="CR120" s="41"/>
      <c r="CS120" s="41"/>
    </row>
    <row r="121" hidden="1">
      <c r="A121" s="31" t="s">
        <v>109</v>
      </c>
      <c r="B121" s="172" t="s">
        <v>1413</v>
      </c>
      <c r="C121" s="41" t="s">
        <v>1414</v>
      </c>
      <c r="D121" s="45" t="s">
        <v>1415</v>
      </c>
      <c r="E121" s="41"/>
      <c r="F121" s="168"/>
      <c r="G121" s="168"/>
      <c r="H121" s="168" t="s">
        <v>25</v>
      </c>
      <c r="I121" s="168" t="s">
        <v>25</v>
      </c>
      <c r="J121" s="168" t="s">
        <v>25</v>
      </c>
      <c r="K121" s="163" t="str">
        <f>VLOOKUP(C121,'Term Reference Guide'!$C:$C,1,false)</f>
        <v>GAZ:00003727</v>
      </c>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c r="CQ121" s="41"/>
      <c r="CR121" s="41"/>
      <c r="CS121" s="41"/>
    </row>
    <row r="122" hidden="1">
      <c r="A122" s="31" t="s">
        <v>109</v>
      </c>
      <c r="B122" s="172" t="s">
        <v>1416</v>
      </c>
      <c r="C122" s="41" t="s">
        <v>1417</v>
      </c>
      <c r="D122" s="45" t="s">
        <v>1418</v>
      </c>
      <c r="E122" s="41"/>
      <c r="F122" s="168"/>
      <c r="G122" s="168"/>
      <c r="H122" s="168" t="s">
        <v>25</v>
      </c>
      <c r="I122" s="168" t="s">
        <v>25</v>
      </c>
      <c r="J122" s="168" t="s">
        <v>25</v>
      </c>
      <c r="K122" s="163" t="str">
        <f>VLOOKUP(C122,'Term Reference Guide'!$C:$C,1,false)</f>
        <v>GAZ:00004474</v>
      </c>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41"/>
      <c r="CR122" s="41"/>
      <c r="CS122" s="41"/>
    </row>
    <row r="123" hidden="1">
      <c r="A123" s="31" t="s">
        <v>109</v>
      </c>
      <c r="B123" s="172" t="s">
        <v>1419</v>
      </c>
      <c r="C123" s="41" t="s">
        <v>1420</v>
      </c>
      <c r="D123" s="45" t="s">
        <v>1421</v>
      </c>
      <c r="E123" s="41"/>
      <c r="F123" s="168"/>
      <c r="G123" s="168"/>
      <c r="H123" s="168" t="s">
        <v>25</v>
      </c>
      <c r="I123" s="168" t="s">
        <v>25</v>
      </c>
      <c r="J123" s="168" t="s">
        <v>25</v>
      </c>
      <c r="K123" s="163" t="str">
        <f>VLOOKUP(C123,'Term Reference Guide'!$C:$C,1,false)</f>
        <v>GAZ:00004483</v>
      </c>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c r="CQ123" s="41"/>
      <c r="CR123" s="41"/>
      <c r="CS123" s="41"/>
    </row>
    <row r="124" hidden="1">
      <c r="A124" s="31" t="s">
        <v>109</v>
      </c>
      <c r="B124" s="172" t="s">
        <v>1422</v>
      </c>
      <c r="C124" s="41" t="s">
        <v>1423</v>
      </c>
      <c r="D124" s="45" t="s">
        <v>1424</v>
      </c>
      <c r="E124" s="41"/>
      <c r="F124" s="168"/>
      <c r="G124" s="168"/>
      <c r="H124" s="168" t="s">
        <v>25</v>
      </c>
      <c r="I124" s="168" t="s">
        <v>25</v>
      </c>
      <c r="J124" s="168" t="s">
        <v>25</v>
      </c>
      <c r="K124" s="163" t="str">
        <f>VLOOKUP(C124,'Term Reference Guide'!$C:$C,1,false)</f>
        <v>GAZ:00002943</v>
      </c>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c r="BV124" s="41"/>
      <c r="BW124" s="41"/>
      <c r="BX124" s="41"/>
      <c r="BY124" s="41"/>
      <c r="BZ124" s="41"/>
      <c r="CA124" s="41"/>
      <c r="CB124" s="41"/>
      <c r="CC124" s="41"/>
      <c r="CD124" s="41"/>
      <c r="CE124" s="41"/>
      <c r="CF124" s="41"/>
      <c r="CG124" s="41"/>
      <c r="CH124" s="41"/>
      <c r="CI124" s="41"/>
      <c r="CJ124" s="41"/>
      <c r="CK124" s="41"/>
      <c r="CL124" s="41"/>
      <c r="CM124" s="41"/>
      <c r="CN124" s="41"/>
      <c r="CO124" s="41"/>
      <c r="CP124" s="41"/>
      <c r="CQ124" s="41"/>
      <c r="CR124" s="41"/>
      <c r="CS124" s="41"/>
    </row>
    <row r="125" hidden="1">
      <c r="A125" s="31" t="s">
        <v>109</v>
      </c>
      <c r="B125" s="172" t="s">
        <v>1425</v>
      </c>
      <c r="C125" s="41" t="s">
        <v>1426</v>
      </c>
      <c r="D125" s="45" t="s">
        <v>1427</v>
      </c>
      <c r="E125" s="41"/>
      <c r="F125" s="168"/>
      <c r="G125" s="168"/>
      <c r="H125" s="168" t="s">
        <v>25</v>
      </c>
      <c r="I125" s="168" t="s">
        <v>25</v>
      </c>
      <c r="J125" s="168" t="s">
        <v>25</v>
      </c>
      <c r="K125" s="163" t="str">
        <f>VLOOKUP(C125,'Term Reference Guide'!$C:$C,1,false)</f>
        <v>GAZ:00052477</v>
      </c>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row>
    <row r="126" hidden="1">
      <c r="A126" s="31" t="s">
        <v>109</v>
      </c>
      <c r="B126" s="172" t="s">
        <v>1428</v>
      </c>
      <c r="C126" s="41" t="s">
        <v>1429</v>
      </c>
      <c r="D126" s="45" t="s">
        <v>1430</v>
      </c>
      <c r="E126" s="41"/>
      <c r="F126" s="168"/>
      <c r="G126" s="168"/>
      <c r="H126" s="168" t="s">
        <v>25</v>
      </c>
      <c r="I126" s="168" t="s">
        <v>25</v>
      </c>
      <c r="J126" s="168" t="s">
        <v>25</v>
      </c>
      <c r="K126" s="163" t="str">
        <f>VLOOKUP(C126,'Term Reference Guide'!$C:$C,1,false)</f>
        <v>GAZ:00002476</v>
      </c>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row>
    <row r="127" hidden="1">
      <c r="A127" s="31" t="s">
        <v>109</v>
      </c>
      <c r="B127" s="172" t="s">
        <v>1431</v>
      </c>
      <c r="C127" s="41" t="s">
        <v>1432</v>
      </c>
      <c r="D127" s="45" t="s">
        <v>1433</v>
      </c>
      <c r="E127" s="41"/>
      <c r="F127" s="168"/>
      <c r="G127" s="168"/>
      <c r="H127" s="168" t="s">
        <v>25</v>
      </c>
      <c r="I127" s="168" t="s">
        <v>25</v>
      </c>
      <c r="J127" s="168" t="s">
        <v>25</v>
      </c>
      <c r="K127" s="163" t="str">
        <f>VLOOKUP(C127,'Term Reference Guide'!$C:$C,1,false)</f>
        <v>GAZ:00002650</v>
      </c>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c r="BV127" s="41"/>
      <c r="BW127" s="41"/>
      <c r="BX127" s="41"/>
      <c r="BY127" s="41"/>
      <c r="BZ127" s="41"/>
      <c r="CA127" s="41"/>
      <c r="CB127" s="41"/>
      <c r="CC127" s="41"/>
      <c r="CD127" s="41"/>
      <c r="CE127" s="41"/>
      <c r="CF127" s="41"/>
      <c r="CG127" s="41"/>
      <c r="CH127" s="41"/>
      <c r="CI127" s="41"/>
      <c r="CJ127" s="41"/>
      <c r="CK127" s="41"/>
      <c r="CL127" s="41"/>
      <c r="CM127" s="41"/>
      <c r="CN127" s="41"/>
      <c r="CO127" s="41"/>
      <c r="CP127" s="41"/>
      <c r="CQ127" s="41"/>
      <c r="CR127" s="41"/>
      <c r="CS127" s="41"/>
    </row>
    <row r="128" hidden="1">
      <c r="A128" s="31" t="s">
        <v>109</v>
      </c>
      <c r="B128" s="172" t="s">
        <v>1434</v>
      </c>
      <c r="C128" s="41" t="s">
        <v>1435</v>
      </c>
      <c r="D128" s="45" t="s">
        <v>1436</v>
      </c>
      <c r="E128" s="41"/>
      <c r="F128" s="168"/>
      <c r="G128" s="168"/>
      <c r="H128" s="168" t="s">
        <v>25</v>
      </c>
      <c r="I128" s="168" t="s">
        <v>25</v>
      </c>
      <c r="J128" s="168" t="s">
        <v>25</v>
      </c>
      <c r="K128" s="163" t="str">
        <f>VLOOKUP(C128,'Term Reference Guide'!$C:$C,1,false)</f>
        <v>GAZ:00003781</v>
      </c>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row>
    <row r="129" hidden="1">
      <c r="A129" s="31" t="s">
        <v>109</v>
      </c>
      <c r="B129" s="172" t="s">
        <v>1437</v>
      </c>
      <c r="C129" s="41" t="s">
        <v>1438</v>
      </c>
      <c r="D129" s="45" t="s">
        <v>1439</v>
      </c>
      <c r="E129" s="41"/>
      <c r="F129" s="168"/>
      <c r="G129" s="168"/>
      <c r="H129" s="168" t="s">
        <v>25</v>
      </c>
      <c r="I129" s="168" t="s">
        <v>25</v>
      </c>
      <c r="J129" s="168" t="s">
        <v>25</v>
      </c>
      <c r="K129" s="163" t="str">
        <f>VLOOKUP(C129,'Term Reference Guide'!$C:$C,1,false)</f>
        <v>GAZ:00005853</v>
      </c>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row>
    <row r="130" hidden="1">
      <c r="A130" s="31" t="s">
        <v>109</v>
      </c>
      <c r="B130" s="172" t="s">
        <v>1440</v>
      </c>
      <c r="C130" s="41" t="s">
        <v>1441</v>
      </c>
      <c r="D130" s="45" t="s">
        <v>1442</v>
      </c>
      <c r="E130" s="41"/>
      <c r="F130" s="168"/>
      <c r="G130" s="168"/>
      <c r="H130" s="168" t="s">
        <v>25</v>
      </c>
      <c r="I130" s="168" t="s">
        <v>25</v>
      </c>
      <c r="J130" s="168" t="s">
        <v>25</v>
      </c>
      <c r="K130" s="163" t="str">
        <f>VLOOKUP(C130,'Term Reference Guide'!$C:$C,1,false)</f>
        <v>GAZ:00002747</v>
      </c>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row>
    <row r="131" hidden="1">
      <c r="A131" s="31" t="s">
        <v>109</v>
      </c>
      <c r="B131" s="172" t="s">
        <v>1443</v>
      </c>
      <c r="C131" s="41" t="s">
        <v>1444</v>
      </c>
      <c r="D131" s="45" t="s">
        <v>1445</v>
      </c>
      <c r="E131" s="41"/>
      <c r="F131" s="168"/>
      <c r="G131" s="168"/>
      <c r="H131" s="168" t="s">
        <v>25</v>
      </c>
      <c r="I131" s="168" t="s">
        <v>25</v>
      </c>
      <c r="J131" s="168" t="s">
        <v>25</v>
      </c>
      <c r="K131" s="163" t="str">
        <f>VLOOKUP(C131,'Term Reference Guide'!$C:$C,1,false)</f>
        <v>GAZ:00007118</v>
      </c>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row>
    <row r="132" hidden="1">
      <c r="A132" s="31" t="s">
        <v>109</v>
      </c>
      <c r="B132" s="172" t="s">
        <v>1446</v>
      </c>
      <c r="C132" s="41" t="s">
        <v>1447</v>
      </c>
      <c r="D132" s="45" t="s">
        <v>1448</v>
      </c>
      <c r="E132" s="41"/>
      <c r="F132" s="168"/>
      <c r="G132" s="168"/>
      <c r="H132" s="168" t="s">
        <v>25</v>
      </c>
      <c r="I132" s="168" t="s">
        <v>25</v>
      </c>
      <c r="J132" s="168" t="s">
        <v>25</v>
      </c>
      <c r="K132" s="163" t="str">
        <f>VLOOKUP(C132,'Term Reference Guide'!$C:$C,1,false)</f>
        <v>GAZ:00001551</v>
      </c>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row>
    <row r="133" hidden="1">
      <c r="A133" s="31" t="s">
        <v>109</v>
      </c>
      <c r="B133" s="172" t="s">
        <v>1449</v>
      </c>
      <c r="C133" s="41" t="s">
        <v>1450</v>
      </c>
      <c r="D133" s="45" t="s">
        <v>1451</v>
      </c>
      <c r="E133" s="41"/>
      <c r="F133" s="168"/>
      <c r="G133" s="168"/>
      <c r="H133" s="168" t="s">
        <v>25</v>
      </c>
      <c r="I133" s="168" t="s">
        <v>25</v>
      </c>
      <c r="J133" s="168" t="s">
        <v>25</v>
      </c>
      <c r="K133" s="163" t="str">
        <f>VLOOKUP(C133,'Term Reference Guide'!$C:$C,1,false)</f>
        <v>GAZ:00007114</v>
      </c>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row>
    <row r="134" hidden="1">
      <c r="A134" s="31" t="s">
        <v>109</v>
      </c>
      <c r="B134" s="172" t="s">
        <v>1452</v>
      </c>
      <c r="C134" s="41" t="s">
        <v>1453</v>
      </c>
      <c r="D134" s="45" t="s">
        <v>1454</v>
      </c>
      <c r="E134" s="41"/>
      <c r="F134" s="168"/>
      <c r="G134" s="168"/>
      <c r="H134" s="168" t="s">
        <v>25</v>
      </c>
      <c r="I134" s="168" t="s">
        <v>25</v>
      </c>
      <c r="J134" s="168" t="s">
        <v>25</v>
      </c>
      <c r="K134" s="163" t="str">
        <f>VLOOKUP(C134,'Term Reference Guide'!$C:$C,1,false)</f>
        <v>GAZ:00002473</v>
      </c>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row>
    <row r="135" hidden="1">
      <c r="A135" s="31" t="s">
        <v>109</v>
      </c>
      <c r="B135" s="172" t="s">
        <v>1455</v>
      </c>
      <c r="C135" s="41" t="s">
        <v>1456</v>
      </c>
      <c r="D135" s="45" t="s">
        <v>1457</v>
      </c>
      <c r="E135" s="41"/>
      <c r="F135" s="168"/>
      <c r="G135" s="168"/>
      <c r="H135" s="168" t="s">
        <v>25</v>
      </c>
      <c r="I135" s="168" t="s">
        <v>25</v>
      </c>
      <c r="J135" s="168" t="s">
        <v>25</v>
      </c>
      <c r="K135" s="163" t="str">
        <f>VLOOKUP(C135,'Term Reference Guide'!$C:$C,1,false)</f>
        <v>GAZ:00005809</v>
      </c>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row>
    <row r="136" hidden="1">
      <c r="A136" s="31" t="s">
        <v>109</v>
      </c>
      <c r="B136" s="172" t="s">
        <v>1458</v>
      </c>
      <c r="C136" s="41" t="s">
        <v>1459</v>
      </c>
      <c r="D136" s="45" t="s">
        <v>1460</v>
      </c>
      <c r="E136" s="41"/>
      <c r="F136" s="168"/>
      <c r="G136" s="168"/>
      <c r="H136" s="168" t="s">
        <v>25</v>
      </c>
      <c r="I136" s="168" t="s">
        <v>25</v>
      </c>
      <c r="J136" s="168" t="s">
        <v>25</v>
      </c>
      <c r="K136" s="163" t="str">
        <f>VLOOKUP(C136,'Term Reference Guide'!$C:$C,1,false)</f>
        <v>GAZ:00004999</v>
      </c>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row>
    <row r="137" hidden="1">
      <c r="A137" s="31" t="s">
        <v>109</v>
      </c>
      <c r="B137" s="172" t="s">
        <v>1461</v>
      </c>
      <c r="C137" s="41" t="s">
        <v>1462</v>
      </c>
      <c r="D137" s="45" t="s">
        <v>1463</v>
      </c>
      <c r="E137" s="41"/>
      <c r="F137" s="168"/>
      <c r="G137" s="168"/>
      <c r="H137" s="168" t="s">
        <v>25</v>
      </c>
      <c r="I137" s="168" t="s">
        <v>25</v>
      </c>
      <c r="J137" s="168" t="s">
        <v>25</v>
      </c>
      <c r="K137" s="163" t="str">
        <f>VLOOKUP(C137,'Term Reference Guide'!$C:$C,1,false)</f>
        <v>GAZ:00001101</v>
      </c>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row>
    <row r="138" hidden="1">
      <c r="A138" s="31" t="s">
        <v>109</v>
      </c>
      <c r="B138" s="172" t="s">
        <v>1464</v>
      </c>
      <c r="C138" s="41" t="s">
        <v>1465</v>
      </c>
      <c r="D138" s="45" t="s">
        <v>1466</v>
      </c>
      <c r="E138" s="41"/>
      <c r="F138" s="168"/>
      <c r="G138" s="168"/>
      <c r="H138" s="168" t="s">
        <v>25</v>
      </c>
      <c r="I138" s="168" t="s">
        <v>25</v>
      </c>
      <c r="J138" s="168" t="s">
        <v>25</v>
      </c>
      <c r="K138" s="163" t="str">
        <f>VLOOKUP(C138,'Term Reference Guide'!$C:$C,1,false)</f>
        <v>GAZ:00005682</v>
      </c>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row>
    <row r="139" hidden="1">
      <c r="A139" s="31" t="s">
        <v>109</v>
      </c>
      <c r="B139" s="172" t="s">
        <v>1467</v>
      </c>
      <c r="C139" s="41" t="s">
        <v>1468</v>
      </c>
      <c r="D139" s="45" t="s">
        <v>1469</v>
      </c>
      <c r="E139" s="41"/>
      <c r="F139" s="168"/>
      <c r="G139" s="168"/>
      <c r="H139" s="168" t="s">
        <v>25</v>
      </c>
      <c r="I139" s="168" t="s">
        <v>25</v>
      </c>
      <c r="J139" s="168" t="s">
        <v>25</v>
      </c>
      <c r="K139" s="163" t="str">
        <f>VLOOKUP(C139,'Term Reference Guide'!$C:$C,1,false)</f>
        <v>GAZ:00007116</v>
      </c>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row>
    <row r="140" hidden="1">
      <c r="A140" s="31" t="s">
        <v>109</v>
      </c>
      <c r="B140" s="172" t="s">
        <v>1470</v>
      </c>
      <c r="C140" s="41" t="s">
        <v>1471</v>
      </c>
      <c r="D140" s="45" t="s">
        <v>1472</v>
      </c>
      <c r="E140" s="41"/>
      <c r="F140" s="168"/>
      <c r="G140" s="168"/>
      <c r="H140" s="168" t="s">
        <v>25</v>
      </c>
      <c r="I140" s="168" t="s">
        <v>25</v>
      </c>
      <c r="J140" s="168" t="s">
        <v>25</v>
      </c>
      <c r="K140" s="163" t="str">
        <f>VLOOKUP(C140,'Term Reference Guide'!$C:$C,1,false)</f>
        <v>GAZ:00006894</v>
      </c>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row>
    <row r="141" hidden="1">
      <c r="A141" s="31" t="s">
        <v>109</v>
      </c>
      <c r="B141" s="172" t="s">
        <v>1473</v>
      </c>
      <c r="C141" s="41" t="s">
        <v>1474</v>
      </c>
      <c r="D141" s="45" t="s">
        <v>1475</v>
      </c>
      <c r="E141" s="41"/>
      <c r="F141" s="168"/>
      <c r="G141" s="168"/>
      <c r="H141" s="168" t="s">
        <v>25</v>
      </c>
      <c r="I141" s="168" t="s">
        <v>25</v>
      </c>
      <c r="J141" s="168" t="s">
        <v>25</v>
      </c>
      <c r="K141" s="163" t="str">
        <f>VLOOKUP(C141,'Term Reference Guide'!$C:$C,1,false)</f>
        <v>GAZ:00011337</v>
      </c>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row>
    <row r="142" hidden="1">
      <c r="A142" s="31" t="s">
        <v>109</v>
      </c>
      <c r="B142" s="172" t="s">
        <v>1476</v>
      </c>
      <c r="C142" s="41" t="s">
        <v>1477</v>
      </c>
      <c r="D142" s="45" t="s">
        <v>1478</v>
      </c>
      <c r="E142" s="41"/>
      <c r="F142" s="168"/>
      <c r="G142" s="168"/>
      <c r="H142" s="168" t="s">
        <v>25</v>
      </c>
      <c r="I142" s="168" t="s">
        <v>25</v>
      </c>
      <c r="J142" s="168" t="s">
        <v>25</v>
      </c>
      <c r="K142" s="163" t="str">
        <f>VLOOKUP(C142,'Term Reference Guide'!$C:$C,1,false)</f>
        <v>GAZ:00005285</v>
      </c>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row>
    <row r="143" hidden="1">
      <c r="A143" s="31" t="s">
        <v>109</v>
      </c>
      <c r="B143" s="172" t="s">
        <v>1479</v>
      </c>
      <c r="C143" s="41" t="s">
        <v>1480</v>
      </c>
      <c r="D143" s="45" t="s">
        <v>1481</v>
      </c>
      <c r="E143" s="41"/>
      <c r="F143" s="168"/>
      <c r="G143" s="168"/>
      <c r="H143" s="168" t="s">
        <v>25</v>
      </c>
      <c r="I143" s="168" t="s">
        <v>25</v>
      </c>
      <c r="J143" s="168" t="s">
        <v>25</v>
      </c>
      <c r="K143" s="163" t="str">
        <f>VLOOKUP(C143,'Term Reference Guide'!$C:$C,1,false)</f>
        <v>GAZ:00006893</v>
      </c>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row>
    <row r="144" hidden="1">
      <c r="A144" s="31" t="s">
        <v>109</v>
      </c>
      <c r="B144" s="172" t="s">
        <v>1482</v>
      </c>
      <c r="C144" s="41" t="s">
        <v>1483</v>
      </c>
      <c r="D144" s="45" t="s">
        <v>1484</v>
      </c>
      <c r="E144" s="41"/>
      <c r="F144" s="168"/>
      <c r="G144" s="168"/>
      <c r="H144" s="168" t="s">
        <v>25</v>
      </c>
      <c r="I144" s="168" t="s">
        <v>25</v>
      </c>
      <c r="J144" s="168" t="s">
        <v>25</v>
      </c>
      <c r="K144" s="163" t="str">
        <f>VLOOKUP(C144,'Term Reference Guide'!$C:$C,1,false)</f>
        <v>GAZ:00006889</v>
      </c>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row>
    <row r="145" hidden="1">
      <c r="A145" s="31" t="s">
        <v>109</v>
      </c>
      <c r="B145" s="172" t="s">
        <v>1485</v>
      </c>
      <c r="C145" s="41" t="s">
        <v>1486</v>
      </c>
      <c r="D145" s="45" t="s">
        <v>1487</v>
      </c>
      <c r="E145" s="41"/>
      <c r="F145" s="168"/>
      <c r="G145" s="168"/>
      <c r="H145" s="168" t="s">
        <v>25</v>
      </c>
      <c r="I145" s="168" t="s">
        <v>25</v>
      </c>
      <c r="J145" s="168" t="s">
        <v>25</v>
      </c>
      <c r="K145" s="163" t="str">
        <f>VLOOKUP(C145,'Term Reference Guide'!$C:$C,1,false)</f>
        <v>GAZ:00002958</v>
      </c>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row>
    <row r="146" hidden="1">
      <c r="A146" s="31" t="s">
        <v>109</v>
      </c>
      <c r="B146" s="172" t="s">
        <v>1488</v>
      </c>
      <c r="C146" s="41" t="s">
        <v>1489</v>
      </c>
      <c r="D146" s="45" t="s">
        <v>1490</v>
      </c>
      <c r="E146" s="41"/>
      <c r="F146" s="168"/>
      <c r="G146" s="168"/>
      <c r="H146" s="168" t="s">
        <v>25</v>
      </c>
      <c r="I146" s="168" t="s">
        <v>25</v>
      </c>
      <c r="J146" s="168" t="s">
        <v>25</v>
      </c>
      <c r="K146" s="163" t="str">
        <f>VLOOKUP(C146,'Term Reference Guide'!$C:$C,1,false)</f>
        <v>GAZ:00002478</v>
      </c>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row>
    <row r="147" hidden="1">
      <c r="A147" s="31" t="s">
        <v>109</v>
      </c>
      <c r="B147" s="172" t="s">
        <v>1491</v>
      </c>
      <c r="C147" s="41" t="s">
        <v>1492</v>
      </c>
      <c r="D147" s="45" t="s">
        <v>1493</v>
      </c>
      <c r="E147" s="41"/>
      <c r="F147" s="168"/>
      <c r="G147" s="168"/>
      <c r="H147" s="168" t="s">
        <v>25</v>
      </c>
      <c r="I147" s="168" t="s">
        <v>25</v>
      </c>
      <c r="J147" s="168" t="s">
        <v>25</v>
      </c>
      <c r="K147" s="163" t="str">
        <f>VLOOKUP(C147,'Term Reference Guide'!$C:$C,1,false)</f>
        <v>GAZ:00001098</v>
      </c>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row>
    <row r="148" hidden="1">
      <c r="A148" s="31" t="s">
        <v>109</v>
      </c>
      <c r="B148" s="172" t="s">
        <v>1494</v>
      </c>
      <c r="C148" s="41" t="s">
        <v>1495</v>
      </c>
      <c r="D148" s="45" t="s">
        <v>1496</v>
      </c>
      <c r="E148" s="41"/>
      <c r="F148" s="168"/>
      <c r="G148" s="168"/>
      <c r="H148" s="168" t="s">
        <v>25</v>
      </c>
      <c r="I148" s="168" t="s">
        <v>25</v>
      </c>
      <c r="J148" s="168" t="s">
        <v>25</v>
      </c>
      <c r="K148" s="163" t="str">
        <f>VLOOKUP(C148,'Term Reference Guide'!$C:$C,1,false)</f>
        <v>GAZ:00000911</v>
      </c>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row>
    <row r="149" hidden="1">
      <c r="A149" s="31" t="s">
        <v>109</v>
      </c>
      <c r="B149" s="172" t="s">
        <v>1497</v>
      </c>
      <c r="C149" s="41" t="s">
        <v>1498</v>
      </c>
      <c r="D149" s="45" t="s">
        <v>1499</v>
      </c>
      <c r="E149" s="41"/>
      <c r="F149" s="168"/>
      <c r="G149" s="168"/>
      <c r="H149" s="168" t="s">
        <v>25</v>
      </c>
      <c r="I149" s="168" t="s">
        <v>25</v>
      </c>
      <c r="J149" s="168" t="s">
        <v>25</v>
      </c>
      <c r="K149" s="163" t="str">
        <f>VLOOKUP(C149,'Term Reference Guide'!$C:$C,1,false)</f>
        <v>GAZ:00000566</v>
      </c>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41"/>
      <c r="CR149" s="41"/>
      <c r="CS149" s="41"/>
    </row>
    <row r="150" hidden="1">
      <c r="A150" s="31" t="s">
        <v>109</v>
      </c>
      <c r="B150" s="172" t="s">
        <v>1500</v>
      </c>
      <c r="C150" s="41" t="s">
        <v>1501</v>
      </c>
      <c r="D150" s="45" t="s">
        <v>1502</v>
      </c>
      <c r="E150" s="41"/>
      <c r="F150" s="168"/>
      <c r="G150" s="168"/>
      <c r="H150" s="168" t="s">
        <v>25</v>
      </c>
      <c r="I150" s="168" t="s">
        <v>25</v>
      </c>
      <c r="J150" s="168" t="s">
        <v>25</v>
      </c>
      <c r="K150" s="163" t="str">
        <f>VLOOKUP(C150,'Term Reference Guide'!$C:$C,1,false)</f>
        <v>GAZ:00003858</v>
      </c>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row>
    <row r="151" hidden="1">
      <c r="A151" s="31" t="s">
        <v>109</v>
      </c>
      <c r="B151" s="172" t="s">
        <v>1503</v>
      </c>
      <c r="C151" s="41" t="s">
        <v>1504</v>
      </c>
      <c r="D151" s="45" t="s">
        <v>1505</v>
      </c>
      <c r="E151" s="41"/>
      <c r="F151" s="168"/>
      <c r="G151" s="168"/>
      <c r="H151" s="168" t="s">
        <v>25</v>
      </c>
      <c r="I151" s="168" t="s">
        <v>25</v>
      </c>
      <c r="J151" s="168" t="s">
        <v>25</v>
      </c>
      <c r="K151" s="163" t="str">
        <f>VLOOKUP(C151,'Term Reference Guide'!$C:$C,1,false)</f>
        <v>GAZ:00007144</v>
      </c>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c r="CE151" s="41"/>
      <c r="CF151" s="41"/>
      <c r="CG151" s="41"/>
      <c r="CH151" s="41"/>
      <c r="CI151" s="41"/>
      <c r="CJ151" s="41"/>
      <c r="CK151" s="41"/>
      <c r="CL151" s="41"/>
      <c r="CM151" s="41"/>
      <c r="CN151" s="41"/>
      <c r="CO151" s="41"/>
      <c r="CP151" s="41"/>
      <c r="CQ151" s="41"/>
      <c r="CR151" s="41"/>
      <c r="CS151" s="41"/>
    </row>
    <row r="152" hidden="1">
      <c r="A152" s="31" t="s">
        <v>109</v>
      </c>
      <c r="B152" s="172" t="s">
        <v>1506</v>
      </c>
      <c r="C152" s="41" t="s">
        <v>1507</v>
      </c>
      <c r="D152" s="45" t="s">
        <v>1508</v>
      </c>
      <c r="E152" s="41"/>
      <c r="F152" s="168"/>
      <c r="G152" s="168"/>
      <c r="H152" s="168" t="s">
        <v>25</v>
      </c>
      <c r="I152" s="168" t="s">
        <v>25</v>
      </c>
      <c r="J152" s="168" t="s">
        <v>25</v>
      </c>
      <c r="K152" s="163" t="str">
        <f>VLOOKUP(C152,'Term Reference Guide'!$C:$C,1,false)</f>
        <v>GAZ:00002960</v>
      </c>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c r="CE152" s="41"/>
      <c r="CF152" s="41"/>
      <c r="CG152" s="41"/>
      <c r="CH152" s="41"/>
      <c r="CI152" s="41"/>
      <c r="CJ152" s="41"/>
      <c r="CK152" s="41"/>
      <c r="CL152" s="41"/>
      <c r="CM152" s="41"/>
      <c r="CN152" s="41"/>
      <c r="CO152" s="41"/>
      <c r="CP152" s="41"/>
      <c r="CQ152" s="41"/>
      <c r="CR152" s="41"/>
      <c r="CS152" s="41"/>
    </row>
    <row r="153" hidden="1">
      <c r="A153" s="31" t="s">
        <v>109</v>
      </c>
      <c r="B153" s="172" t="s">
        <v>1509</v>
      </c>
      <c r="C153" s="41" t="s">
        <v>1510</v>
      </c>
      <c r="D153" s="45" t="s">
        <v>1511</v>
      </c>
      <c r="E153" s="41"/>
      <c r="F153" s="168"/>
      <c r="G153" s="168"/>
      <c r="H153" s="168" t="s">
        <v>25</v>
      </c>
      <c r="I153" s="168" t="s">
        <v>25</v>
      </c>
      <c r="J153" s="168" t="s">
        <v>25</v>
      </c>
      <c r="K153" s="163" t="str">
        <f>VLOOKUP(C153,'Term Reference Guide'!$C:$C,1,false)</f>
        <v>GAZ:00002947</v>
      </c>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c r="CE153" s="41"/>
      <c r="CF153" s="41"/>
      <c r="CG153" s="41"/>
      <c r="CH153" s="41"/>
      <c r="CI153" s="41"/>
      <c r="CJ153" s="41"/>
      <c r="CK153" s="41"/>
      <c r="CL153" s="41"/>
      <c r="CM153" s="41"/>
      <c r="CN153" s="41"/>
      <c r="CO153" s="41"/>
      <c r="CP153" s="41"/>
      <c r="CQ153" s="41"/>
      <c r="CR153" s="41"/>
      <c r="CS153" s="41"/>
    </row>
    <row r="154" hidden="1">
      <c r="A154" s="31" t="s">
        <v>109</v>
      </c>
      <c r="B154" s="172" t="s">
        <v>1512</v>
      </c>
      <c r="C154" s="41" t="s">
        <v>1513</v>
      </c>
      <c r="D154" s="45" t="s">
        <v>1514</v>
      </c>
      <c r="E154" s="41"/>
      <c r="F154" s="168"/>
      <c r="G154" s="168"/>
      <c r="H154" s="168" t="s">
        <v>25</v>
      </c>
      <c r="I154" s="168" t="s">
        <v>25</v>
      </c>
      <c r="J154" s="168" t="s">
        <v>25</v>
      </c>
      <c r="K154" s="163" t="str">
        <f>VLOOKUP(C154,'Term Reference Guide'!$C:$C,1,false)</f>
        <v>GAZ:00003202</v>
      </c>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c r="BX154" s="41"/>
      <c r="BY154" s="41"/>
      <c r="BZ154" s="41"/>
      <c r="CA154" s="41"/>
      <c r="CB154" s="41"/>
      <c r="CC154" s="41"/>
      <c r="CD154" s="41"/>
      <c r="CE154" s="41"/>
      <c r="CF154" s="41"/>
      <c r="CG154" s="41"/>
      <c r="CH154" s="41"/>
      <c r="CI154" s="41"/>
      <c r="CJ154" s="41"/>
      <c r="CK154" s="41"/>
      <c r="CL154" s="41"/>
      <c r="CM154" s="41"/>
      <c r="CN154" s="41"/>
      <c r="CO154" s="41"/>
      <c r="CP154" s="41"/>
      <c r="CQ154" s="41"/>
      <c r="CR154" s="41"/>
      <c r="CS154" s="41"/>
    </row>
    <row r="155" hidden="1">
      <c r="A155" s="31" t="s">
        <v>109</v>
      </c>
      <c r="B155" s="172" t="s">
        <v>1515</v>
      </c>
      <c r="C155" s="41" t="s">
        <v>1516</v>
      </c>
      <c r="D155" s="45" t="s">
        <v>1517</v>
      </c>
      <c r="E155" s="41"/>
      <c r="F155" s="168"/>
      <c r="G155" s="168"/>
      <c r="H155" s="168" t="s">
        <v>25</v>
      </c>
      <c r="I155" s="168" t="s">
        <v>25</v>
      </c>
      <c r="J155" s="168" t="s">
        <v>25</v>
      </c>
      <c r="K155" s="163" t="str">
        <f>VLOOKUP(C155,'Term Reference Guide'!$C:$C,1,false)</f>
        <v>GAZ:00001108</v>
      </c>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41"/>
      <c r="BO155" s="41"/>
      <c r="BP155" s="41"/>
      <c r="BQ155" s="41"/>
      <c r="BR155" s="41"/>
      <c r="BS155" s="41"/>
      <c r="BT155" s="41"/>
      <c r="BU155" s="41"/>
      <c r="BV155" s="41"/>
      <c r="BW155" s="41"/>
      <c r="BX155" s="41"/>
      <c r="BY155" s="41"/>
      <c r="BZ155" s="41"/>
      <c r="CA155" s="41"/>
      <c r="CB155" s="41"/>
      <c r="CC155" s="41"/>
      <c r="CD155" s="41"/>
      <c r="CE155" s="41"/>
      <c r="CF155" s="41"/>
      <c r="CG155" s="41"/>
      <c r="CH155" s="41"/>
      <c r="CI155" s="41"/>
      <c r="CJ155" s="41"/>
      <c r="CK155" s="41"/>
      <c r="CL155" s="41"/>
      <c r="CM155" s="41"/>
      <c r="CN155" s="41"/>
      <c r="CO155" s="41"/>
      <c r="CP155" s="41"/>
      <c r="CQ155" s="41"/>
      <c r="CR155" s="41"/>
      <c r="CS155" s="41"/>
    </row>
    <row r="156" hidden="1">
      <c r="A156" s="31" t="s">
        <v>109</v>
      </c>
      <c r="B156" s="172" t="s">
        <v>1518</v>
      </c>
      <c r="C156" s="41" t="s">
        <v>1519</v>
      </c>
      <c r="D156" s="45" t="s">
        <v>1520</v>
      </c>
      <c r="E156" s="41"/>
      <c r="F156" s="168"/>
      <c r="G156" s="168"/>
      <c r="H156" s="168" t="s">
        <v>25</v>
      </c>
      <c r="I156" s="168" t="s">
        <v>25</v>
      </c>
      <c r="J156" s="168" t="s">
        <v>25</v>
      </c>
      <c r="K156" s="163" t="str">
        <f>VLOOKUP(C156,'Term Reference Guide'!$C:$C,1,false)</f>
        <v>GAZ:00001105</v>
      </c>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41"/>
      <c r="BO156" s="41"/>
      <c r="BP156" s="41"/>
      <c r="BQ156" s="41"/>
      <c r="BR156" s="41"/>
      <c r="BS156" s="41"/>
      <c r="BT156" s="41"/>
      <c r="BU156" s="41"/>
      <c r="BV156" s="41"/>
      <c r="BW156" s="41"/>
      <c r="BX156" s="41"/>
      <c r="BY156" s="41"/>
      <c r="BZ156" s="41"/>
      <c r="CA156" s="41"/>
      <c r="CB156" s="41"/>
      <c r="CC156" s="41"/>
      <c r="CD156" s="41"/>
      <c r="CE156" s="41"/>
      <c r="CF156" s="41"/>
      <c r="CG156" s="41"/>
      <c r="CH156" s="41"/>
      <c r="CI156" s="41"/>
      <c r="CJ156" s="41"/>
      <c r="CK156" s="41"/>
      <c r="CL156" s="41"/>
      <c r="CM156" s="41"/>
      <c r="CN156" s="41"/>
      <c r="CO156" s="41"/>
      <c r="CP156" s="41"/>
      <c r="CQ156" s="41"/>
      <c r="CR156" s="41"/>
      <c r="CS156" s="41"/>
    </row>
    <row r="157" hidden="1">
      <c r="A157" s="31" t="s">
        <v>109</v>
      </c>
      <c r="B157" s="172" t="s">
        <v>1521</v>
      </c>
      <c r="C157" s="41" t="s">
        <v>1522</v>
      </c>
      <c r="D157" s="45" t="s">
        <v>1520</v>
      </c>
      <c r="E157" s="41"/>
      <c r="F157" s="168"/>
      <c r="G157" s="168"/>
      <c r="H157" s="168" t="s">
        <v>25</v>
      </c>
      <c r="I157" s="168" t="s">
        <v>25</v>
      </c>
      <c r="J157" s="168" t="s">
        <v>25</v>
      </c>
      <c r="K157" s="163" t="str">
        <f>VLOOKUP(C157,'Term Reference Guide'!$C:$C,1,false)</f>
        <v>GAZ:00003902</v>
      </c>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41"/>
      <c r="BO157" s="41"/>
      <c r="BP157" s="41"/>
      <c r="BQ157" s="41"/>
      <c r="BR157" s="41"/>
      <c r="BS157" s="41"/>
      <c r="BT157" s="41"/>
      <c r="BU157" s="41"/>
      <c r="BV157" s="41"/>
      <c r="BW157" s="41"/>
      <c r="BX157" s="41"/>
      <c r="BY157" s="41"/>
      <c r="BZ157" s="41"/>
      <c r="CA157" s="41"/>
      <c r="CB157" s="41"/>
      <c r="CC157" s="41"/>
      <c r="CD157" s="41"/>
      <c r="CE157" s="41"/>
      <c r="CF157" s="41"/>
      <c r="CG157" s="41"/>
      <c r="CH157" s="41"/>
      <c r="CI157" s="41"/>
      <c r="CJ157" s="41"/>
      <c r="CK157" s="41"/>
      <c r="CL157" s="41"/>
      <c r="CM157" s="41"/>
      <c r="CN157" s="41"/>
      <c r="CO157" s="41"/>
      <c r="CP157" s="41"/>
      <c r="CQ157" s="41"/>
      <c r="CR157" s="41"/>
      <c r="CS157" s="41"/>
    </row>
    <row r="158" hidden="1">
      <c r="A158" s="31" t="s">
        <v>109</v>
      </c>
      <c r="B158" s="172" t="s">
        <v>1523</v>
      </c>
      <c r="C158" s="41" t="s">
        <v>1524</v>
      </c>
      <c r="D158" s="45" t="s">
        <v>1525</v>
      </c>
      <c r="E158" s="41"/>
      <c r="F158" s="168"/>
      <c r="G158" s="168"/>
      <c r="H158" s="168" t="s">
        <v>25</v>
      </c>
      <c r="I158" s="168" t="s">
        <v>25</v>
      </c>
      <c r="J158" s="168" t="s">
        <v>25</v>
      </c>
      <c r="K158" s="163" t="str">
        <f>VLOOKUP(C158,'Term Reference Guide'!$C:$C,1,false)</f>
        <v>GAZ:00006924</v>
      </c>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c r="CE158" s="41"/>
      <c r="CF158" s="41"/>
      <c r="CG158" s="41"/>
      <c r="CH158" s="41"/>
      <c r="CI158" s="41"/>
      <c r="CJ158" s="41"/>
      <c r="CK158" s="41"/>
      <c r="CL158" s="41"/>
      <c r="CM158" s="41"/>
      <c r="CN158" s="41"/>
      <c r="CO158" s="41"/>
      <c r="CP158" s="41"/>
      <c r="CQ158" s="41"/>
      <c r="CR158" s="41"/>
      <c r="CS158" s="41"/>
    </row>
    <row r="159" hidden="1">
      <c r="A159" s="31" t="s">
        <v>109</v>
      </c>
      <c r="B159" s="172" t="s">
        <v>1526</v>
      </c>
      <c r="C159" s="41" t="s">
        <v>1527</v>
      </c>
      <c r="D159" s="45" t="s">
        <v>1528</v>
      </c>
      <c r="E159" s="41"/>
      <c r="F159" s="168"/>
      <c r="G159" s="168"/>
      <c r="H159" s="168" t="s">
        <v>25</v>
      </c>
      <c r="I159" s="168" t="s">
        <v>25</v>
      </c>
      <c r="J159" s="168" t="s">
        <v>25</v>
      </c>
      <c r="K159" s="163" t="str">
        <f>VLOOKUP(C159,'Term Reference Guide'!$C:$C,1,false)</f>
        <v>GAZ:00000584</v>
      </c>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41"/>
      <c r="BO159" s="41"/>
      <c r="BP159" s="41"/>
      <c r="BQ159" s="41"/>
      <c r="BR159" s="41"/>
      <c r="BS159" s="41"/>
      <c r="BT159" s="41"/>
      <c r="BU159" s="41"/>
      <c r="BV159" s="41"/>
      <c r="BW159" s="41"/>
      <c r="BX159" s="41"/>
      <c r="BY159" s="41"/>
      <c r="BZ159" s="41"/>
      <c r="CA159" s="41"/>
      <c r="CB159" s="41"/>
      <c r="CC159" s="41"/>
      <c r="CD159" s="41"/>
      <c r="CE159" s="41"/>
      <c r="CF159" s="41"/>
      <c r="CG159" s="41"/>
      <c r="CH159" s="41"/>
      <c r="CI159" s="41"/>
      <c r="CJ159" s="41"/>
      <c r="CK159" s="41"/>
      <c r="CL159" s="41"/>
      <c r="CM159" s="41"/>
      <c r="CN159" s="41"/>
      <c r="CO159" s="41"/>
      <c r="CP159" s="41"/>
      <c r="CQ159" s="41"/>
      <c r="CR159" s="41"/>
      <c r="CS159" s="41"/>
    </row>
    <row r="160" hidden="1">
      <c r="A160" s="31" t="s">
        <v>109</v>
      </c>
      <c r="B160" s="172" t="s">
        <v>1529</v>
      </c>
      <c r="C160" s="41" t="s">
        <v>1530</v>
      </c>
      <c r="D160" s="45" t="s">
        <v>1531</v>
      </c>
      <c r="E160" s="41"/>
      <c r="F160" s="168"/>
      <c r="G160" s="168"/>
      <c r="H160" s="168" t="s">
        <v>25</v>
      </c>
      <c r="I160" s="168" t="s">
        <v>25</v>
      </c>
      <c r="J160" s="168" t="s">
        <v>25</v>
      </c>
      <c r="K160" s="163" t="str">
        <f>VLOOKUP(C160,'Term Reference Guide'!$C:$C,1,false)</f>
        <v>GAZ:00004017</v>
      </c>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c r="BV160" s="41"/>
      <c r="BW160" s="41"/>
      <c r="BX160" s="41"/>
      <c r="BY160" s="41"/>
      <c r="BZ160" s="41"/>
      <c r="CA160" s="41"/>
      <c r="CB160" s="41"/>
      <c r="CC160" s="41"/>
      <c r="CD160" s="41"/>
      <c r="CE160" s="41"/>
      <c r="CF160" s="41"/>
      <c r="CG160" s="41"/>
      <c r="CH160" s="41"/>
      <c r="CI160" s="41"/>
      <c r="CJ160" s="41"/>
      <c r="CK160" s="41"/>
      <c r="CL160" s="41"/>
      <c r="CM160" s="41"/>
      <c r="CN160" s="41"/>
      <c r="CO160" s="41"/>
      <c r="CP160" s="41"/>
      <c r="CQ160" s="41"/>
      <c r="CR160" s="41"/>
      <c r="CS160" s="41"/>
    </row>
    <row r="161" hidden="1">
      <c r="A161" s="31" t="s">
        <v>109</v>
      </c>
      <c r="B161" s="172" t="s">
        <v>1532</v>
      </c>
      <c r="C161" s="41" t="s">
        <v>1533</v>
      </c>
      <c r="D161" s="45" t="s">
        <v>1534</v>
      </c>
      <c r="E161" s="41"/>
      <c r="F161" s="168"/>
      <c r="G161" s="168"/>
      <c r="H161" s="168" t="s">
        <v>25</v>
      </c>
      <c r="I161" s="168" t="s">
        <v>25</v>
      </c>
      <c r="J161" s="168" t="s">
        <v>25</v>
      </c>
      <c r="K161" s="163" t="str">
        <f>VLOOKUP(C161,'Term Reference Guide'!$C:$C,1,false)</f>
        <v>GAZ:00007161</v>
      </c>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41"/>
      <c r="BO161" s="41"/>
      <c r="BP161" s="41"/>
      <c r="BQ161" s="41"/>
      <c r="BR161" s="41"/>
      <c r="BS161" s="41"/>
      <c r="BT161" s="41"/>
      <c r="BU161" s="41"/>
      <c r="BV161" s="41"/>
      <c r="BW161" s="41"/>
      <c r="BX161" s="41"/>
      <c r="BY161" s="41"/>
      <c r="BZ161" s="41"/>
      <c r="CA161" s="41"/>
      <c r="CB161" s="41"/>
      <c r="CC161" s="41"/>
      <c r="CD161" s="41"/>
      <c r="CE161" s="41"/>
      <c r="CF161" s="41"/>
      <c r="CG161" s="41"/>
      <c r="CH161" s="41"/>
      <c r="CI161" s="41"/>
      <c r="CJ161" s="41"/>
      <c r="CK161" s="41"/>
      <c r="CL161" s="41"/>
      <c r="CM161" s="41"/>
      <c r="CN161" s="41"/>
      <c r="CO161" s="41"/>
      <c r="CP161" s="41"/>
      <c r="CQ161" s="41"/>
      <c r="CR161" s="41"/>
      <c r="CS161" s="41"/>
    </row>
    <row r="162" hidden="1">
      <c r="A162" s="31" t="s">
        <v>109</v>
      </c>
      <c r="B162" s="172" t="s">
        <v>1535</v>
      </c>
      <c r="C162" s="41" t="s">
        <v>1536</v>
      </c>
      <c r="D162" s="45" t="s">
        <v>1537</v>
      </c>
      <c r="E162" s="41"/>
      <c r="F162" s="168"/>
      <c r="G162" s="168"/>
      <c r="H162" s="168" t="s">
        <v>25</v>
      </c>
      <c r="I162" s="168" t="s">
        <v>25</v>
      </c>
      <c r="J162" s="168" t="s">
        <v>25</v>
      </c>
      <c r="K162" s="163" t="str">
        <f>VLOOKUP(C162,'Term Reference Guide'!$C:$C,1,false)</f>
        <v>GAZ:00067143</v>
      </c>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41"/>
      <c r="BO162" s="41"/>
      <c r="BP162" s="41"/>
      <c r="BQ162" s="41"/>
      <c r="BR162" s="41"/>
      <c r="BS162" s="41"/>
      <c r="BT162" s="41"/>
      <c r="BU162" s="41"/>
      <c r="BV162" s="41"/>
      <c r="BW162" s="41"/>
      <c r="BX162" s="41"/>
      <c r="BY162" s="41"/>
      <c r="BZ162" s="41"/>
      <c r="CA162" s="41"/>
      <c r="CB162" s="41"/>
      <c r="CC162" s="41"/>
      <c r="CD162" s="41"/>
      <c r="CE162" s="41"/>
      <c r="CF162" s="41"/>
      <c r="CG162" s="41"/>
      <c r="CH162" s="41"/>
      <c r="CI162" s="41"/>
      <c r="CJ162" s="41"/>
      <c r="CK162" s="41"/>
      <c r="CL162" s="41"/>
      <c r="CM162" s="41"/>
      <c r="CN162" s="41"/>
      <c r="CO162" s="41"/>
      <c r="CP162" s="41"/>
      <c r="CQ162" s="41"/>
      <c r="CR162" s="41"/>
      <c r="CS162" s="41"/>
    </row>
    <row r="163" hidden="1">
      <c r="A163" s="31" t="s">
        <v>109</v>
      </c>
      <c r="B163" s="172" t="s">
        <v>1538</v>
      </c>
      <c r="C163" s="41" t="s">
        <v>1539</v>
      </c>
      <c r="D163" s="45" t="s">
        <v>1540</v>
      </c>
      <c r="E163" s="41"/>
      <c r="F163" s="168"/>
      <c r="G163" s="168"/>
      <c r="H163" s="168" t="s">
        <v>25</v>
      </c>
      <c r="I163" s="168" t="s">
        <v>25</v>
      </c>
      <c r="J163" s="168" t="s">
        <v>25</v>
      </c>
      <c r="K163" s="163" t="str">
        <f>VLOOKUP(C163,'Term Reference Guide'!$C:$C,1,false)</f>
        <v>GAZ:00000583</v>
      </c>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41"/>
      <c r="BO163" s="41"/>
      <c r="BP163" s="41"/>
      <c r="BQ163" s="41"/>
      <c r="BR163" s="41"/>
      <c r="BS163" s="41"/>
      <c r="BT163" s="41"/>
      <c r="BU163" s="41"/>
      <c r="BV163" s="41"/>
      <c r="BW163" s="41"/>
      <c r="BX163" s="41"/>
      <c r="BY163" s="41"/>
      <c r="BZ163" s="41"/>
      <c r="CA163" s="41"/>
      <c r="CB163" s="41"/>
      <c r="CC163" s="41"/>
      <c r="CD163" s="41"/>
      <c r="CE163" s="41"/>
      <c r="CF163" s="41"/>
      <c r="CG163" s="41"/>
      <c r="CH163" s="41"/>
      <c r="CI163" s="41"/>
      <c r="CJ163" s="41"/>
      <c r="CK163" s="41"/>
      <c r="CL163" s="41"/>
      <c r="CM163" s="41"/>
      <c r="CN163" s="41"/>
      <c r="CO163" s="41"/>
      <c r="CP163" s="41"/>
      <c r="CQ163" s="41"/>
      <c r="CR163" s="41"/>
      <c r="CS163" s="41"/>
    </row>
    <row r="164" hidden="1">
      <c r="A164" s="31" t="s">
        <v>109</v>
      </c>
      <c r="B164" s="172" t="s">
        <v>1541</v>
      </c>
      <c r="C164" s="41" t="s">
        <v>1542</v>
      </c>
      <c r="D164" s="45" t="s">
        <v>1543</v>
      </c>
      <c r="E164" s="41"/>
      <c r="F164" s="168"/>
      <c r="G164" s="168"/>
      <c r="H164" s="168" t="s">
        <v>25</v>
      </c>
      <c r="I164" s="168" t="s">
        <v>25</v>
      </c>
      <c r="J164" s="168" t="s">
        <v>25</v>
      </c>
      <c r="K164" s="163" t="str">
        <f>VLOOKUP(C164,'Term Reference Guide'!$C:$C,1,false)</f>
        <v>GAZ:00003745</v>
      </c>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41"/>
      <c r="BO164" s="41"/>
      <c r="BP164" s="41"/>
      <c r="BQ164" s="41"/>
      <c r="BR164" s="41"/>
      <c r="BS164" s="41"/>
      <c r="BT164" s="41"/>
      <c r="BU164" s="41"/>
      <c r="BV164" s="41"/>
      <c r="BW164" s="41"/>
      <c r="BX164" s="41"/>
      <c r="BY164" s="41"/>
      <c r="BZ164" s="41"/>
      <c r="CA164" s="41"/>
      <c r="CB164" s="41"/>
      <c r="CC164" s="41"/>
      <c r="CD164" s="41"/>
      <c r="CE164" s="41"/>
      <c r="CF164" s="41"/>
      <c r="CG164" s="41"/>
      <c r="CH164" s="41"/>
      <c r="CI164" s="41"/>
      <c r="CJ164" s="41"/>
      <c r="CK164" s="41"/>
      <c r="CL164" s="41"/>
      <c r="CM164" s="41"/>
      <c r="CN164" s="41"/>
      <c r="CO164" s="41"/>
      <c r="CP164" s="41"/>
      <c r="CQ164" s="41"/>
      <c r="CR164" s="41"/>
      <c r="CS164" s="41"/>
    </row>
    <row r="165" hidden="1">
      <c r="A165" s="31" t="s">
        <v>109</v>
      </c>
      <c r="B165" s="172" t="s">
        <v>1544</v>
      </c>
      <c r="C165" s="41" t="s">
        <v>1545</v>
      </c>
      <c r="D165" s="45" t="s">
        <v>1546</v>
      </c>
      <c r="E165" s="41"/>
      <c r="F165" s="168"/>
      <c r="G165" s="168"/>
      <c r="H165" s="168" t="s">
        <v>25</v>
      </c>
      <c r="I165" s="168" t="s">
        <v>25</v>
      </c>
      <c r="J165" s="168" t="s">
        <v>25</v>
      </c>
      <c r="K165" s="163" t="str">
        <f>VLOOKUP(C165,'Term Reference Guide'!$C:$C,1,false)</f>
        <v>GAZ:00003943</v>
      </c>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41"/>
      <c r="BO165" s="41"/>
      <c r="BP165" s="41"/>
      <c r="BQ165" s="41"/>
      <c r="BR165" s="41"/>
      <c r="BS165" s="41"/>
      <c r="BT165" s="41"/>
      <c r="BU165" s="41"/>
      <c r="BV165" s="41"/>
      <c r="BW165" s="41"/>
      <c r="BX165" s="41"/>
      <c r="BY165" s="41"/>
      <c r="BZ165" s="41"/>
      <c r="CA165" s="41"/>
      <c r="CB165" s="41"/>
      <c r="CC165" s="41"/>
      <c r="CD165" s="41"/>
      <c r="CE165" s="41"/>
      <c r="CF165" s="41"/>
      <c r="CG165" s="41"/>
      <c r="CH165" s="41"/>
      <c r="CI165" s="41"/>
      <c r="CJ165" s="41"/>
      <c r="CK165" s="41"/>
      <c r="CL165" s="41"/>
      <c r="CM165" s="41"/>
      <c r="CN165" s="41"/>
      <c r="CO165" s="41"/>
      <c r="CP165" s="41"/>
      <c r="CQ165" s="41"/>
      <c r="CR165" s="41"/>
      <c r="CS165" s="41"/>
    </row>
    <row r="166" hidden="1">
      <c r="A166" s="31" t="s">
        <v>109</v>
      </c>
      <c r="B166" s="172" t="s">
        <v>1547</v>
      </c>
      <c r="C166" s="41" t="s">
        <v>1548</v>
      </c>
      <c r="D166" s="45" t="s">
        <v>1549</v>
      </c>
      <c r="E166" s="41"/>
      <c r="F166" s="168"/>
      <c r="G166" s="168"/>
      <c r="H166" s="168" t="s">
        <v>25</v>
      </c>
      <c r="I166" s="168" t="s">
        <v>25</v>
      </c>
      <c r="J166" s="168" t="s">
        <v>25</v>
      </c>
      <c r="K166" s="163" t="str">
        <f>VLOOKUP(C166,'Term Reference Guide'!$C:$C,1,false)</f>
        <v>GAZ:00002852</v>
      </c>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41"/>
      <c r="BO166" s="41"/>
      <c r="BP166" s="41"/>
      <c r="BQ166" s="41"/>
      <c r="BR166" s="41"/>
      <c r="BS166" s="41"/>
      <c r="BT166" s="41"/>
      <c r="BU166" s="41"/>
      <c r="BV166" s="41"/>
      <c r="BW166" s="41"/>
      <c r="BX166" s="41"/>
      <c r="BY166" s="41"/>
      <c r="BZ166" s="41"/>
      <c r="CA166" s="41"/>
      <c r="CB166" s="41"/>
      <c r="CC166" s="41"/>
      <c r="CD166" s="41"/>
      <c r="CE166" s="41"/>
      <c r="CF166" s="41"/>
      <c r="CG166" s="41"/>
      <c r="CH166" s="41"/>
      <c r="CI166" s="41"/>
      <c r="CJ166" s="41"/>
      <c r="CK166" s="41"/>
      <c r="CL166" s="41"/>
      <c r="CM166" s="41"/>
      <c r="CN166" s="41"/>
      <c r="CO166" s="41"/>
      <c r="CP166" s="41"/>
      <c r="CQ166" s="41"/>
      <c r="CR166" s="41"/>
      <c r="CS166" s="41"/>
    </row>
    <row r="167" hidden="1">
      <c r="A167" s="31" t="s">
        <v>109</v>
      </c>
      <c r="B167" s="172" t="s">
        <v>1550</v>
      </c>
      <c r="C167" s="41" t="s">
        <v>1551</v>
      </c>
      <c r="D167" s="45" t="s">
        <v>1552</v>
      </c>
      <c r="E167" s="41"/>
      <c r="F167" s="168"/>
      <c r="G167" s="168"/>
      <c r="H167" s="168" t="s">
        <v>25</v>
      </c>
      <c r="I167" s="168" t="s">
        <v>25</v>
      </c>
      <c r="J167" s="168" t="s">
        <v>25</v>
      </c>
      <c r="K167" s="163" t="str">
        <f>VLOOKUP(C167,'Term Reference Guide'!$C:$C,1,false)</f>
        <v>GAZ:00005862</v>
      </c>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c r="CE167" s="41"/>
      <c r="CF167" s="41"/>
      <c r="CG167" s="41"/>
      <c r="CH167" s="41"/>
      <c r="CI167" s="41"/>
      <c r="CJ167" s="41"/>
      <c r="CK167" s="41"/>
      <c r="CL167" s="41"/>
      <c r="CM167" s="41"/>
      <c r="CN167" s="41"/>
      <c r="CO167" s="41"/>
      <c r="CP167" s="41"/>
      <c r="CQ167" s="41"/>
      <c r="CR167" s="41"/>
      <c r="CS167" s="41"/>
    </row>
    <row r="168" hidden="1">
      <c r="A168" s="31" t="s">
        <v>109</v>
      </c>
      <c r="B168" s="172" t="s">
        <v>1553</v>
      </c>
      <c r="C168" s="41" t="s">
        <v>1554</v>
      </c>
      <c r="D168" s="45" t="s">
        <v>1555</v>
      </c>
      <c r="E168" s="41"/>
      <c r="F168" s="168"/>
      <c r="G168" s="168"/>
      <c r="H168" s="168" t="s">
        <v>25</v>
      </c>
      <c r="I168" s="168" t="s">
        <v>25</v>
      </c>
      <c r="J168" s="168" t="s">
        <v>25</v>
      </c>
      <c r="K168" s="163" t="str">
        <f>VLOOKUP(C168,'Term Reference Guide'!$C:$C,1,false)</f>
        <v>GAZ:00007112</v>
      </c>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41"/>
      <c r="BO168" s="41"/>
      <c r="BP168" s="41"/>
      <c r="BQ168" s="41"/>
      <c r="BR168" s="41"/>
      <c r="BS168" s="41"/>
      <c r="BT168" s="41"/>
      <c r="BU168" s="41"/>
      <c r="BV168" s="41"/>
      <c r="BW168" s="41"/>
      <c r="BX168" s="41"/>
      <c r="BY168" s="41"/>
      <c r="BZ168" s="41"/>
      <c r="CA168" s="41"/>
      <c r="CB168" s="41"/>
      <c r="CC168" s="41"/>
      <c r="CD168" s="41"/>
      <c r="CE168" s="41"/>
      <c r="CF168" s="41"/>
      <c r="CG168" s="41"/>
      <c r="CH168" s="41"/>
      <c r="CI168" s="41"/>
      <c r="CJ168" s="41"/>
      <c r="CK168" s="41"/>
      <c r="CL168" s="41"/>
      <c r="CM168" s="41"/>
      <c r="CN168" s="41"/>
      <c r="CO168" s="41"/>
      <c r="CP168" s="41"/>
      <c r="CQ168" s="41"/>
      <c r="CR168" s="41"/>
      <c r="CS168" s="41"/>
    </row>
    <row r="169" hidden="1">
      <c r="A169" s="31" t="s">
        <v>109</v>
      </c>
      <c r="B169" s="172" t="s">
        <v>1556</v>
      </c>
      <c r="C169" s="41" t="s">
        <v>1557</v>
      </c>
      <c r="D169" s="45" t="s">
        <v>1558</v>
      </c>
      <c r="E169" s="41"/>
      <c r="F169" s="168"/>
      <c r="G169" s="168"/>
      <c r="H169" s="168" t="s">
        <v>25</v>
      </c>
      <c r="I169" s="168" t="s">
        <v>25</v>
      </c>
      <c r="J169" s="168" t="s">
        <v>25</v>
      </c>
      <c r="K169" s="163" t="str">
        <f>VLOOKUP(C169,'Term Reference Guide'!$C:$C,1,false)</f>
        <v>GAZ:00003897</v>
      </c>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41"/>
      <c r="BO169" s="41"/>
      <c r="BP169" s="41"/>
      <c r="BQ169" s="41"/>
      <c r="BR169" s="41"/>
      <c r="BS169" s="41"/>
      <c r="BT169" s="41"/>
      <c r="BU169" s="41"/>
      <c r="BV169" s="41"/>
      <c r="BW169" s="41"/>
      <c r="BX169" s="41"/>
      <c r="BY169" s="41"/>
      <c r="BZ169" s="41"/>
      <c r="CA169" s="41"/>
      <c r="CB169" s="41"/>
      <c r="CC169" s="41"/>
      <c r="CD169" s="41"/>
      <c r="CE169" s="41"/>
      <c r="CF169" s="41"/>
      <c r="CG169" s="41"/>
      <c r="CH169" s="41"/>
      <c r="CI169" s="41"/>
      <c r="CJ169" s="41"/>
      <c r="CK169" s="41"/>
      <c r="CL169" s="41"/>
      <c r="CM169" s="41"/>
      <c r="CN169" s="41"/>
      <c r="CO169" s="41"/>
      <c r="CP169" s="41"/>
      <c r="CQ169" s="41"/>
      <c r="CR169" s="41"/>
      <c r="CS169" s="41"/>
    </row>
    <row r="170" hidden="1">
      <c r="A170" s="31" t="s">
        <v>109</v>
      </c>
      <c r="B170" s="172" t="s">
        <v>1559</v>
      </c>
      <c r="C170" s="41" t="s">
        <v>1560</v>
      </c>
      <c r="D170" s="45" t="s">
        <v>1561</v>
      </c>
      <c r="E170" s="41"/>
      <c r="F170" s="168"/>
      <c r="G170" s="168"/>
      <c r="H170" s="168" t="s">
        <v>25</v>
      </c>
      <c r="I170" s="168" t="s">
        <v>25</v>
      </c>
      <c r="J170" s="168" t="s">
        <v>25</v>
      </c>
      <c r="K170" s="163" t="str">
        <f>VLOOKUP(C170,'Term Reference Guide'!$C:$C,1,false)</f>
        <v>GAZ:00003857</v>
      </c>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41"/>
      <c r="BO170" s="41"/>
      <c r="BP170" s="41"/>
      <c r="BQ170" s="41"/>
      <c r="BR170" s="41"/>
      <c r="BS170" s="41"/>
      <c r="BT170" s="41"/>
      <c r="BU170" s="41"/>
      <c r="BV170" s="41"/>
      <c r="BW170" s="41"/>
      <c r="BX170" s="41"/>
      <c r="BY170" s="41"/>
      <c r="BZ170" s="41"/>
      <c r="CA170" s="41"/>
      <c r="CB170" s="41"/>
      <c r="CC170" s="41"/>
      <c r="CD170" s="41"/>
      <c r="CE170" s="41"/>
      <c r="CF170" s="41"/>
      <c r="CG170" s="41"/>
      <c r="CH170" s="41"/>
      <c r="CI170" s="41"/>
      <c r="CJ170" s="41"/>
      <c r="CK170" s="41"/>
      <c r="CL170" s="41"/>
      <c r="CM170" s="41"/>
      <c r="CN170" s="41"/>
      <c r="CO170" s="41"/>
      <c r="CP170" s="41"/>
      <c r="CQ170" s="41"/>
      <c r="CR170" s="41"/>
      <c r="CS170" s="41"/>
    </row>
    <row r="171" hidden="1">
      <c r="A171" s="31" t="s">
        <v>109</v>
      </c>
      <c r="B171" s="172" t="s">
        <v>1562</v>
      </c>
      <c r="C171" s="41" t="s">
        <v>1563</v>
      </c>
      <c r="D171" s="45" t="s">
        <v>1564</v>
      </c>
      <c r="E171" s="41"/>
      <c r="F171" s="168"/>
      <c r="G171" s="168"/>
      <c r="H171" s="168" t="s">
        <v>25</v>
      </c>
      <c r="I171" s="168" t="s">
        <v>25</v>
      </c>
      <c r="J171" s="168" t="s">
        <v>25</v>
      </c>
      <c r="K171" s="163" t="str">
        <f>VLOOKUP(C171,'Term Reference Guide'!$C:$C,1,false)</f>
        <v>GAZ:00008744</v>
      </c>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c r="BO171" s="41"/>
      <c r="BP171" s="41"/>
      <c r="BQ171" s="41"/>
      <c r="BR171" s="41"/>
      <c r="BS171" s="41"/>
      <c r="BT171" s="41"/>
      <c r="BU171" s="41"/>
      <c r="BV171" s="41"/>
      <c r="BW171" s="41"/>
      <c r="BX171" s="41"/>
      <c r="BY171" s="41"/>
      <c r="BZ171" s="41"/>
      <c r="CA171" s="41"/>
      <c r="CB171" s="41"/>
      <c r="CC171" s="41"/>
      <c r="CD171" s="41"/>
      <c r="CE171" s="41"/>
      <c r="CF171" s="41"/>
      <c r="CG171" s="41"/>
      <c r="CH171" s="41"/>
      <c r="CI171" s="41"/>
      <c r="CJ171" s="41"/>
      <c r="CK171" s="41"/>
      <c r="CL171" s="41"/>
      <c r="CM171" s="41"/>
      <c r="CN171" s="41"/>
      <c r="CO171" s="41"/>
      <c r="CP171" s="41"/>
      <c r="CQ171" s="41"/>
      <c r="CR171" s="41"/>
      <c r="CS171" s="41"/>
    </row>
    <row r="172" hidden="1">
      <c r="A172" s="31" t="s">
        <v>109</v>
      </c>
      <c r="B172" s="172" t="s">
        <v>1565</v>
      </c>
      <c r="C172" s="41" t="s">
        <v>1566</v>
      </c>
      <c r="D172" s="45" t="s">
        <v>1567</v>
      </c>
      <c r="E172" s="41"/>
      <c r="F172" s="168"/>
      <c r="G172" s="168"/>
      <c r="H172" s="168" t="s">
        <v>25</v>
      </c>
      <c r="I172" s="168" t="s">
        <v>25</v>
      </c>
      <c r="J172" s="168" t="s">
        <v>25</v>
      </c>
      <c r="K172" s="163" t="str">
        <f>VLOOKUP(C172,'Term Reference Guide'!$C:$C,1,false)</f>
        <v>GAZ:00006898</v>
      </c>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c r="BO172" s="41"/>
      <c r="BP172" s="41"/>
      <c r="BQ172" s="41"/>
      <c r="BR172" s="41"/>
      <c r="BS172" s="41"/>
      <c r="BT172" s="41"/>
      <c r="BU172" s="41"/>
      <c r="BV172" s="41"/>
      <c r="BW172" s="41"/>
      <c r="BX172" s="41"/>
      <c r="BY172" s="41"/>
      <c r="BZ172" s="41"/>
      <c r="CA172" s="41"/>
      <c r="CB172" s="41"/>
      <c r="CC172" s="41"/>
      <c r="CD172" s="41"/>
      <c r="CE172" s="41"/>
      <c r="CF172" s="41"/>
      <c r="CG172" s="41"/>
      <c r="CH172" s="41"/>
      <c r="CI172" s="41"/>
      <c r="CJ172" s="41"/>
      <c r="CK172" s="41"/>
      <c r="CL172" s="41"/>
      <c r="CM172" s="41"/>
      <c r="CN172" s="41"/>
      <c r="CO172" s="41"/>
      <c r="CP172" s="41"/>
      <c r="CQ172" s="41"/>
      <c r="CR172" s="41"/>
      <c r="CS172" s="41"/>
    </row>
    <row r="173" hidden="1">
      <c r="A173" s="31" t="s">
        <v>109</v>
      </c>
      <c r="B173" s="172" t="s">
        <v>1568</v>
      </c>
      <c r="C173" s="41" t="s">
        <v>1569</v>
      </c>
      <c r="D173" s="45" t="s">
        <v>1570</v>
      </c>
      <c r="E173" s="41"/>
      <c r="F173" s="168"/>
      <c r="G173" s="168"/>
      <c r="H173" s="168" t="s">
        <v>25</v>
      </c>
      <c r="I173" s="168" t="s">
        <v>25</v>
      </c>
      <c r="J173" s="168" t="s">
        <v>25</v>
      </c>
      <c r="K173" s="163" t="str">
        <f>VLOOKUP(C173,'Term Reference Guide'!$C:$C,1,false)</f>
        <v>GAZ:00003988</v>
      </c>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c r="BO173" s="41"/>
      <c r="BP173" s="41"/>
      <c r="BQ173" s="41"/>
      <c r="BR173" s="41"/>
      <c r="BS173" s="41"/>
      <c r="BT173" s="41"/>
      <c r="BU173" s="41"/>
      <c r="BV173" s="41"/>
      <c r="BW173" s="41"/>
      <c r="BX173" s="41"/>
      <c r="BY173" s="41"/>
      <c r="BZ173" s="41"/>
      <c r="CA173" s="41"/>
      <c r="CB173" s="41"/>
      <c r="CC173" s="41"/>
      <c r="CD173" s="41"/>
      <c r="CE173" s="41"/>
      <c r="CF173" s="41"/>
      <c r="CG173" s="41"/>
      <c r="CH173" s="41"/>
      <c r="CI173" s="41"/>
      <c r="CJ173" s="41"/>
      <c r="CK173" s="41"/>
      <c r="CL173" s="41"/>
      <c r="CM173" s="41"/>
      <c r="CN173" s="41"/>
      <c r="CO173" s="41"/>
      <c r="CP173" s="41"/>
      <c r="CQ173" s="41"/>
      <c r="CR173" s="41"/>
      <c r="CS173" s="41"/>
    </row>
    <row r="174" hidden="1">
      <c r="A174" s="31" t="s">
        <v>109</v>
      </c>
      <c r="B174" s="172" t="s">
        <v>1571</v>
      </c>
      <c r="C174" s="41" t="s">
        <v>1572</v>
      </c>
      <c r="D174" s="45" t="s">
        <v>1573</v>
      </c>
      <c r="E174" s="41"/>
      <c r="F174" s="168"/>
      <c r="G174" s="168"/>
      <c r="H174" s="168" t="s">
        <v>25</v>
      </c>
      <c r="I174" s="168" t="s">
        <v>25</v>
      </c>
      <c r="J174" s="168" t="s">
        <v>25</v>
      </c>
      <c r="K174" s="163" t="str">
        <f>VLOOKUP(C174,'Term Reference Guide'!$C:$C,1,false)</f>
        <v>GAZ:00000565</v>
      </c>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c r="BO174" s="41"/>
      <c r="BP174" s="41"/>
      <c r="BQ174" s="41"/>
      <c r="BR174" s="41"/>
      <c r="BS174" s="41"/>
      <c r="BT174" s="41"/>
      <c r="BU174" s="41"/>
      <c r="BV174" s="41"/>
      <c r="BW174" s="41"/>
      <c r="BX174" s="41"/>
      <c r="BY174" s="41"/>
      <c r="BZ174" s="41"/>
      <c r="CA174" s="41"/>
      <c r="CB174" s="41"/>
      <c r="CC174" s="41"/>
      <c r="CD174" s="41"/>
      <c r="CE174" s="41"/>
      <c r="CF174" s="41"/>
      <c r="CG174" s="41"/>
      <c r="CH174" s="41"/>
      <c r="CI174" s="41"/>
      <c r="CJ174" s="41"/>
      <c r="CK174" s="41"/>
      <c r="CL174" s="41"/>
      <c r="CM174" s="41"/>
      <c r="CN174" s="41"/>
      <c r="CO174" s="41"/>
      <c r="CP174" s="41"/>
      <c r="CQ174" s="41"/>
      <c r="CR174" s="41"/>
      <c r="CS174" s="41"/>
    </row>
    <row r="175" hidden="1">
      <c r="A175" s="31" t="s">
        <v>109</v>
      </c>
      <c r="B175" s="172" t="s">
        <v>1574</v>
      </c>
      <c r="C175" s="41" t="s">
        <v>1575</v>
      </c>
      <c r="D175" s="45" t="s">
        <v>1576</v>
      </c>
      <c r="E175" s="41"/>
      <c r="F175" s="168"/>
      <c r="G175" s="168"/>
      <c r="H175" s="168" t="s">
        <v>25</v>
      </c>
      <c r="I175" s="168" t="s">
        <v>25</v>
      </c>
      <c r="J175" s="168" t="s">
        <v>25</v>
      </c>
      <c r="K175" s="163" t="str">
        <f>VLOOKUP(C175,'Term Reference Guide'!$C:$C,1,false)</f>
        <v>GAZ:00001100</v>
      </c>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41"/>
      <c r="BO175" s="41"/>
      <c r="BP175" s="41"/>
      <c r="BQ175" s="41"/>
      <c r="BR175" s="41"/>
      <c r="BS175" s="41"/>
      <c r="BT175" s="41"/>
      <c r="BU175" s="41"/>
      <c r="BV175" s="41"/>
      <c r="BW175" s="41"/>
      <c r="BX175" s="41"/>
      <c r="BY175" s="41"/>
      <c r="BZ175" s="41"/>
      <c r="CA175" s="41"/>
      <c r="CB175" s="41"/>
      <c r="CC175" s="41"/>
      <c r="CD175" s="41"/>
      <c r="CE175" s="41"/>
      <c r="CF175" s="41"/>
      <c r="CG175" s="41"/>
      <c r="CH175" s="41"/>
      <c r="CI175" s="41"/>
      <c r="CJ175" s="41"/>
      <c r="CK175" s="41"/>
      <c r="CL175" s="41"/>
      <c r="CM175" s="41"/>
      <c r="CN175" s="41"/>
      <c r="CO175" s="41"/>
      <c r="CP175" s="41"/>
      <c r="CQ175" s="41"/>
      <c r="CR175" s="41"/>
      <c r="CS175" s="41"/>
    </row>
    <row r="176" hidden="1">
      <c r="A176" s="31" t="s">
        <v>109</v>
      </c>
      <c r="B176" s="172" t="s">
        <v>1577</v>
      </c>
      <c r="C176" s="41" t="s">
        <v>1578</v>
      </c>
      <c r="D176" s="45" t="s">
        <v>1579</v>
      </c>
      <c r="E176" s="41"/>
      <c r="F176" s="168"/>
      <c r="G176" s="168"/>
      <c r="H176" s="168" t="s">
        <v>25</v>
      </c>
      <c r="I176" s="168" t="s">
        <v>25</v>
      </c>
      <c r="J176" s="168" t="s">
        <v>25</v>
      </c>
      <c r="K176" s="163" t="str">
        <f>VLOOKUP(C176,'Term Reference Guide'!$C:$C,1,false)</f>
        <v>GAZ:00006899</v>
      </c>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41"/>
      <c r="BO176" s="41"/>
      <c r="BP176" s="41"/>
      <c r="BQ176" s="41"/>
      <c r="BR176" s="41"/>
      <c r="BS176" s="41"/>
      <c r="BT176" s="41"/>
      <c r="BU176" s="41"/>
      <c r="BV176" s="41"/>
      <c r="BW176" s="41"/>
      <c r="BX176" s="41"/>
      <c r="BY176" s="41"/>
      <c r="BZ176" s="41"/>
      <c r="CA176" s="41"/>
      <c r="CB176" s="41"/>
      <c r="CC176" s="41"/>
      <c r="CD176" s="41"/>
      <c r="CE176" s="41"/>
      <c r="CF176" s="41"/>
      <c r="CG176" s="41"/>
      <c r="CH176" s="41"/>
      <c r="CI176" s="41"/>
      <c r="CJ176" s="41"/>
      <c r="CK176" s="41"/>
      <c r="CL176" s="41"/>
      <c r="CM176" s="41"/>
      <c r="CN176" s="41"/>
      <c r="CO176" s="41"/>
      <c r="CP176" s="41"/>
      <c r="CQ176" s="41"/>
      <c r="CR176" s="41"/>
      <c r="CS176" s="41"/>
    </row>
    <row r="177" hidden="1">
      <c r="A177" s="31" t="s">
        <v>109</v>
      </c>
      <c r="B177" s="172" t="s">
        <v>1580</v>
      </c>
      <c r="C177" s="41" t="s">
        <v>1581</v>
      </c>
      <c r="D177" s="45" t="s">
        <v>1582</v>
      </c>
      <c r="E177" s="41"/>
      <c r="F177" s="168"/>
      <c r="G177" s="168"/>
      <c r="H177" s="168" t="s">
        <v>25</v>
      </c>
      <c r="I177" s="168" t="s">
        <v>25</v>
      </c>
      <c r="J177" s="168" t="s">
        <v>25</v>
      </c>
      <c r="K177" s="163" t="str">
        <f>VLOOKUP(C177,'Term Reference Guide'!$C:$C,1,false)</f>
        <v>GAZ:00001096</v>
      </c>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41"/>
      <c r="BO177" s="41"/>
      <c r="BP177" s="41"/>
      <c r="BQ177" s="41"/>
      <c r="BR177" s="41"/>
      <c r="BS177" s="41"/>
      <c r="BT177" s="41"/>
      <c r="BU177" s="41"/>
      <c r="BV177" s="41"/>
      <c r="BW177" s="41"/>
      <c r="BX177" s="41"/>
      <c r="BY177" s="41"/>
      <c r="BZ177" s="41"/>
      <c r="CA177" s="41"/>
      <c r="CB177" s="41"/>
      <c r="CC177" s="41"/>
      <c r="CD177" s="41"/>
      <c r="CE177" s="41"/>
      <c r="CF177" s="41"/>
      <c r="CG177" s="41"/>
      <c r="CH177" s="41"/>
      <c r="CI177" s="41"/>
      <c r="CJ177" s="41"/>
      <c r="CK177" s="41"/>
      <c r="CL177" s="41"/>
      <c r="CM177" s="41"/>
      <c r="CN177" s="41"/>
      <c r="CO177" s="41"/>
      <c r="CP177" s="41"/>
      <c r="CQ177" s="41"/>
      <c r="CR177" s="41"/>
      <c r="CS177" s="41"/>
    </row>
    <row r="178" hidden="1">
      <c r="A178" s="31" t="s">
        <v>109</v>
      </c>
      <c r="B178" s="172" t="s">
        <v>1583</v>
      </c>
      <c r="C178" s="41" t="s">
        <v>1584</v>
      </c>
      <c r="D178" s="45" t="s">
        <v>1585</v>
      </c>
      <c r="E178" s="41"/>
      <c r="F178" s="168"/>
      <c r="G178" s="168"/>
      <c r="H178" s="168" t="s">
        <v>25</v>
      </c>
      <c r="I178" s="168" t="s">
        <v>25</v>
      </c>
      <c r="J178" s="168" t="s">
        <v>25</v>
      </c>
      <c r="K178" s="163" t="str">
        <f>VLOOKUP(C178,'Term Reference Guide'!$C:$C,1,false)</f>
        <v>GAZ:00006900</v>
      </c>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c r="BO178" s="41"/>
      <c r="BP178" s="41"/>
      <c r="BQ178" s="41"/>
      <c r="BR178" s="41"/>
      <c r="BS178" s="41"/>
      <c r="BT178" s="41"/>
      <c r="BU178" s="41"/>
      <c r="BV178" s="41"/>
      <c r="BW178" s="41"/>
      <c r="BX178" s="41"/>
      <c r="BY178" s="41"/>
      <c r="BZ178" s="41"/>
      <c r="CA178" s="41"/>
      <c r="CB178" s="41"/>
      <c r="CC178" s="41"/>
      <c r="CD178" s="41"/>
      <c r="CE178" s="41"/>
      <c r="CF178" s="41"/>
      <c r="CG178" s="41"/>
      <c r="CH178" s="41"/>
      <c r="CI178" s="41"/>
      <c r="CJ178" s="41"/>
      <c r="CK178" s="41"/>
      <c r="CL178" s="41"/>
      <c r="CM178" s="41"/>
      <c r="CN178" s="41"/>
      <c r="CO178" s="41"/>
      <c r="CP178" s="41"/>
      <c r="CQ178" s="41"/>
      <c r="CR178" s="41"/>
      <c r="CS178" s="41"/>
    </row>
    <row r="179" hidden="1">
      <c r="A179" s="31" t="s">
        <v>109</v>
      </c>
      <c r="B179" s="172" t="s">
        <v>1586</v>
      </c>
      <c r="C179" s="41" t="s">
        <v>1587</v>
      </c>
      <c r="D179" s="45" t="s">
        <v>1588</v>
      </c>
      <c r="E179" s="41"/>
      <c r="F179" s="168"/>
      <c r="G179" s="168"/>
      <c r="H179" s="168" t="s">
        <v>25</v>
      </c>
      <c r="I179" s="168" t="s">
        <v>25</v>
      </c>
      <c r="J179" s="168" t="s">
        <v>25</v>
      </c>
      <c r="K179" s="163" t="str">
        <f>VLOOKUP(C179,'Term Reference Guide'!$C:$C,1,false)</f>
        <v>GAZ:00007119</v>
      </c>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41"/>
      <c r="BO179" s="41"/>
      <c r="BP179" s="41"/>
      <c r="BQ179" s="41"/>
      <c r="BR179" s="41"/>
      <c r="BS179" s="41"/>
      <c r="BT179" s="41"/>
      <c r="BU179" s="41"/>
      <c r="BV179" s="41"/>
      <c r="BW179" s="41"/>
      <c r="BX179" s="41"/>
      <c r="BY179" s="41"/>
      <c r="BZ179" s="41"/>
      <c r="CA179" s="41"/>
      <c r="CB179" s="41"/>
      <c r="CC179" s="41"/>
      <c r="CD179" s="41"/>
      <c r="CE179" s="41"/>
      <c r="CF179" s="41"/>
      <c r="CG179" s="41"/>
      <c r="CH179" s="41"/>
      <c r="CI179" s="41"/>
      <c r="CJ179" s="41"/>
      <c r="CK179" s="41"/>
      <c r="CL179" s="41"/>
      <c r="CM179" s="41"/>
      <c r="CN179" s="41"/>
      <c r="CO179" s="41"/>
      <c r="CP179" s="41"/>
      <c r="CQ179" s="41"/>
      <c r="CR179" s="41"/>
      <c r="CS179" s="41"/>
    </row>
    <row r="180" hidden="1">
      <c r="A180" s="31" t="s">
        <v>109</v>
      </c>
      <c r="B180" s="172" t="s">
        <v>1589</v>
      </c>
      <c r="C180" s="41" t="s">
        <v>1590</v>
      </c>
      <c r="D180" s="45" t="s">
        <v>1591</v>
      </c>
      <c r="E180" s="41"/>
      <c r="F180" s="168"/>
      <c r="G180" s="168"/>
      <c r="H180" s="168" t="s">
        <v>25</v>
      </c>
      <c r="I180" s="168" t="s">
        <v>25</v>
      </c>
      <c r="J180" s="168" t="s">
        <v>25</v>
      </c>
      <c r="K180" s="163" t="str">
        <f>VLOOKUP(C180,'Term Reference Guide'!$C:$C,1,false)</f>
        <v>GAZ:00004399</v>
      </c>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c r="BO180" s="41"/>
      <c r="BP180" s="41"/>
      <c r="BQ180" s="41"/>
      <c r="BR180" s="41"/>
      <c r="BS180" s="41"/>
      <c r="BT180" s="41"/>
      <c r="BU180" s="41"/>
      <c r="BV180" s="41"/>
      <c r="BW180" s="41"/>
      <c r="BX180" s="41"/>
      <c r="BY180" s="41"/>
      <c r="BZ180" s="41"/>
      <c r="CA180" s="41"/>
      <c r="CB180" s="41"/>
      <c r="CC180" s="41"/>
      <c r="CD180" s="41"/>
      <c r="CE180" s="41"/>
      <c r="CF180" s="41"/>
      <c r="CG180" s="41"/>
      <c r="CH180" s="41"/>
      <c r="CI180" s="41"/>
      <c r="CJ180" s="41"/>
      <c r="CK180" s="41"/>
      <c r="CL180" s="41"/>
      <c r="CM180" s="41"/>
      <c r="CN180" s="41"/>
      <c r="CO180" s="41"/>
      <c r="CP180" s="41"/>
      <c r="CQ180" s="41"/>
      <c r="CR180" s="41"/>
      <c r="CS180" s="41"/>
    </row>
    <row r="181" hidden="1">
      <c r="A181" s="31" t="s">
        <v>109</v>
      </c>
      <c r="B181" s="172" t="s">
        <v>1592</v>
      </c>
      <c r="C181" s="41" t="s">
        <v>1593</v>
      </c>
      <c r="D181" s="45" t="s">
        <v>1594</v>
      </c>
      <c r="E181" s="41"/>
      <c r="F181" s="168"/>
      <c r="G181" s="168"/>
      <c r="H181" s="168" t="s">
        <v>25</v>
      </c>
      <c r="I181" s="168" t="s">
        <v>25</v>
      </c>
      <c r="J181" s="168" t="s">
        <v>25</v>
      </c>
      <c r="K181" s="163" t="str">
        <f>VLOOKUP(C181,'Term Reference Guide'!$C:$C,1,false)</f>
        <v>GAZ:00002946</v>
      </c>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41"/>
      <c r="BO181" s="41"/>
      <c r="BP181" s="41"/>
      <c r="BQ181" s="41"/>
      <c r="BR181" s="41"/>
      <c r="BS181" s="41"/>
      <c r="BT181" s="41"/>
      <c r="BU181" s="41"/>
      <c r="BV181" s="41"/>
      <c r="BW181" s="41"/>
      <c r="BX181" s="41"/>
      <c r="BY181" s="41"/>
      <c r="BZ181" s="41"/>
      <c r="CA181" s="41"/>
      <c r="CB181" s="41"/>
      <c r="CC181" s="41"/>
      <c r="CD181" s="41"/>
      <c r="CE181" s="41"/>
      <c r="CF181" s="41"/>
      <c r="CG181" s="41"/>
      <c r="CH181" s="41"/>
      <c r="CI181" s="41"/>
      <c r="CJ181" s="41"/>
      <c r="CK181" s="41"/>
      <c r="CL181" s="41"/>
      <c r="CM181" s="41"/>
      <c r="CN181" s="41"/>
      <c r="CO181" s="41"/>
      <c r="CP181" s="41"/>
      <c r="CQ181" s="41"/>
      <c r="CR181" s="41"/>
      <c r="CS181" s="41"/>
    </row>
    <row r="182" hidden="1">
      <c r="A182" s="31" t="s">
        <v>109</v>
      </c>
      <c r="B182" s="172" t="s">
        <v>1595</v>
      </c>
      <c r="C182" s="41" t="s">
        <v>1596</v>
      </c>
      <c r="D182" s="45" t="s">
        <v>1597</v>
      </c>
      <c r="E182" s="41"/>
      <c r="F182" s="168"/>
      <c r="G182" s="168"/>
      <c r="H182" s="168" t="s">
        <v>25</v>
      </c>
      <c r="I182" s="168" t="s">
        <v>25</v>
      </c>
      <c r="J182" s="168" t="s">
        <v>25</v>
      </c>
      <c r="K182" s="163" t="str">
        <f>VLOOKUP(C182,'Term Reference Guide'!$C:$C,1,false)</f>
        <v>GAZ:00005206</v>
      </c>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c r="BO182" s="41"/>
      <c r="BP182" s="41"/>
      <c r="BQ182" s="41"/>
      <c r="BR182" s="41"/>
      <c r="BS182" s="41"/>
      <c r="BT182" s="41"/>
      <c r="BU182" s="41"/>
      <c r="BV182" s="41"/>
      <c r="BW182" s="41"/>
      <c r="BX182" s="41"/>
      <c r="BY182" s="41"/>
      <c r="BZ182" s="41"/>
      <c r="CA182" s="41"/>
      <c r="CB182" s="41"/>
      <c r="CC182" s="41"/>
      <c r="CD182" s="41"/>
      <c r="CE182" s="41"/>
      <c r="CF182" s="41"/>
      <c r="CG182" s="41"/>
      <c r="CH182" s="41"/>
      <c r="CI182" s="41"/>
      <c r="CJ182" s="41"/>
      <c r="CK182" s="41"/>
      <c r="CL182" s="41"/>
      <c r="CM182" s="41"/>
      <c r="CN182" s="41"/>
      <c r="CO182" s="41"/>
      <c r="CP182" s="41"/>
      <c r="CQ182" s="41"/>
      <c r="CR182" s="41"/>
      <c r="CS182" s="41"/>
    </row>
    <row r="183" hidden="1">
      <c r="A183" s="31" t="s">
        <v>109</v>
      </c>
      <c r="B183" s="172" t="s">
        <v>1598</v>
      </c>
      <c r="C183" s="41" t="s">
        <v>1599</v>
      </c>
      <c r="D183" s="45" t="s">
        <v>1600</v>
      </c>
      <c r="E183" s="41"/>
      <c r="F183" s="168"/>
      <c r="G183" s="168"/>
      <c r="H183" s="168" t="s">
        <v>25</v>
      </c>
      <c r="I183" s="168" t="s">
        <v>25</v>
      </c>
      <c r="J183" s="168" t="s">
        <v>25</v>
      </c>
      <c r="K183" s="163" t="str">
        <f>VLOOKUP(C183,'Term Reference Guide'!$C:$C,1,false)</f>
        <v>GAZ:00000469</v>
      </c>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c r="CB183" s="41"/>
      <c r="CC183" s="41"/>
      <c r="CD183" s="41"/>
      <c r="CE183" s="41"/>
      <c r="CF183" s="41"/>
      <c r="CG183" s="41"/>
      <c r="CH183" s="41"/>
      <c r="CI183" s="41"/>
      <c r="CJ183" s="41"/>
      <c r="CK183" s="41"/>
      <c r="CL183" s="41"/>
      <c r="CM183" s="41"/>
      <c r="CN183" s="41"/>
      <c r="CO183" s="41"/>
      <c r="CP183" s="41"/>
      <c r="CQ183" s="41"/>
      <c r="CR183" s="41"/>
      <c r="CS183" s="41"/>
    </row>
    <row r="184" hidden="1">
      <c r="A184" s="31" t="s">
        <v>109</v>
      </c>
      <c r="B184" s="172" t="s">
        <v>1601</v>
      </c>
      <c r="C184" s="41" t="s">
        <v>1602</v>
      </c>
      <c r="D184" s="45" t="s">
        <v>1603</v>
      </c>
      <c r="E184" s="41"/>
      <c r="F184" s="168"/>
      <c r="G184" s="168"/>
      <c r="H184" s="168" t="s">
        <v>25</v>
      </c>
      <c r="I184" s="168" t="s">
        <v>25</v>
      </c>
      <c r="J184" s="168" t="s">
        <v>25</v>
      </c>
      <c r="K184" s="163" t="str">
        <f>VLOOKUP(C184,'Term Reference Guide'!$C:$C,1,false)</f>
        <v>GAZ:00002978</v>
      </c>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row>
    <row r="185" hidden="1">
      <c r="A185" s="31" t="s">
        <v>109</v>
      </c>
      <c r="B185" s="172" t="s">
        <v>1604</v>
      </c>
      <c r="C185" s="41" t="s">
        <v>1605</v>
      </c>
      <c r="D185" s="45" t="s">
        <v>1606</v>
      </c>
      <c r="E185" s="41"/>
      <c r="F185" s="168"/>
      <c r="G185" s="168"/>
      <c r="H185" s="168" t="s">
        <v>25</v>
      </c>
      <c r="I185" s="168" t="s">
        <v>25</v>
      </c>
      <c r="J185" s="168" t="s">
        <v>25</v>
      </c>
      <c r="K185" s="163" t="str">
        <f>VLOOKUP(C185,'Term Reference Guide'!$C:$C,1,false)</f>
        <v>GAZ:00000585</v>
      </c>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row>
    <row r="186" hidden="1">
      <c r="A186" s="31" t="s">
        <v>109</v>
      </c>
      <c r="B186" s="172" t="s">
        <v>1607</v>
      </c>
      <c r="C186" s="41" t="s">
        <v>1608</v>
      </c>
      <c r="D186" s="45" t="s">
        <v>1609</v>
      </c>
      <c r="E186" s="41"/>
      <c r="F186" s="168"/>
      <c r="G186" s="168"/>
      <c r="H186" s="168" t="s">
        <v>25</v>
      </c>
      <c r="I186" s="168" t="s">
        <v>25</v>
      </c>
      <c r="J186" s="168" t="s">
        <v>25</v>
      </c>
      <c r="K186" s="163" t="str">
        <f>VLOOKUP(C186,'Term Reference Guide'!$C:$C,1,false)</f>
        <v>GAZ:00000912</v>
      </c>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row>
    <row r="187" hidden="1">
      <c r="A187" s="31" t="s">
        <v>109</v>
      </c>
      <c r="B187" s="172" t="s">
        <v>1610</v>
      </c>
      <c r="C187" s="41" t="s">
        <v>1611</v>
      </c>
      <c r="D187" s="45" t="s">
        <v>1612</v>
      </c>
      <c r="E187" s="41"/>
      <c r="F187" s="168"/>
      <c r="G187" s="168"/>
      <c r="H187" s="168" t="s">
        <v>25</v>
      </c>
      <c r="I187" s="168" t="s">
        <v>25</v>
      </c>
      <c r="J187" s="168" t="s">
        <v>25</v>
      </c>
      <c r="K187" s="163" t="str">
        <f>VLOOKUP(C187,'Term Reference Guide'!$C:$C,1,false)</f>
        <v>GAZ:00006902</v>
      </c>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row>
    <row r="188" hidden="1">
      <c r="A188" s="31" t="s">
        <v>109</v>
      </c>
      <c r="B188" s="172" t="s">
        <v>1613</v>
      </c>
      <c r="C188" s="41" t="s">
        <v>1614</v>
      </c>
      <c r="D188" s="45" t="s">
        <v>1615</v>
      </c>
      <c r="E188" s="41"/>
      <c r="F188" s="168"/>
      <c r="G188" s="168"/>
      <c r="H188" s="168" t="s">
        <v>25</v>
      </c>
      <c r="I188" s="168" t="s">
        <v>25</v>
      </c>
      <c r="J188" s="168" t="s">
        <v>25</v>
      </c>
      <c r="K188" s="163" t="str">
        <f>VLOOKUP(C188,'Term Reference Guide'!$C:$C,1,false)</f>
        <v>GAZ:00005908</v>
      </c>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row>
    <row r="189" hidden="1">
      <c r="A189" s="31" t="s">
        <v>109</v>
      </c>
      <c r="B189" s="172" t="s">
        <v>1616</v>
      </c>
      <c r="C189" s="41" t="s">
        <v>1617</v>
      </c>
      <c r="D189" s="45" t="s">
        <v>1618</v>
      </c>
      <c r="E189" s="41"/>
      <c r="F189" s="168"/>
      <c r="G189" s="168"/>
      <c r="H189" s="168" t="s">
        <v>25</v>
      </c>
      <c r="I189" s="168" t="s">
        <v>25</v>
      </c>
      <c r="J189" s="168" t="s">
        <v>25</v>
      </c>
      <c r="K189" s="163" t="str">
        <f>VLOOKUP(C189,'Term Reference Guide'!$C:$C,1,false)</f>
        <v>GAZ:00002801</v>
      </c>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row>
    <row r="190" hidden="1">
      <c r="A190" s="31" t="s">
        <v>109</v>
      </c>
      <c r="B190" s="172" t="s">
        <v>1619</v>
      </c>
      <c r="C190" s="41" t="s">
        <v>1620</v>
      </c>
      <c r="D190" s="45" t="s">
        <v>1621</v>
      </c>
      <c r="E190" s="41"/>
      <c r="F190" s="168"/>
      <c r="G190" s="168"/>
      <c r="H190" s="168" t="s">
        <v>25</v>
      </c>
      <c r="I190" s="168" t="s">
        <v>25</v>
      </c>
      <c r="J190" s="168" t="s">
        <v>25</v>
      </c>
      <c r="K190" s="163" t="str">
        <f>VLOOKUP(C190,'Term Reference Guide'!$C:$C,1,false)</f>
        <v>GAZ:00006895</v>
      </c>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row>
    <row r="191" hidden="1">
      <c r="A191" s="31" t="s">
        <v>109</v>
      </c>
      <c r="B191" s="172" t="s">
        <v>1622</v>
      </c>
      <c r="C191" s="41" t="s">
        <v>1623</v>
      </c>
      <c r="D191" s="45" t="s">
        <v>1624</v>
      </c>
      <c r="E191" s="41"/>
      <c r="F191" s="168"/>
      <c r="G191" s="168"/>
      <c r="H191" s="168" t="s">
        <v>25</v>
      </c>
      <c r="I191" s="168" t="s">
        <v>25</v>
      </c>
      <c r="J191" s="168" t="s">
        <v>25</v>
      </c>
      <c r="K191" s="163" t="str">
        <f>VLOOKUP(C191,'Term Reference Guide'!$C:$C,1,false)</f>
        <v>GAZ:00002284</v>
      </c>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row>
    <row r="192" hidden="1">
      <c r="A192" s="31" t="s">
        <v>109</v>
      </c>
      <c r="B192" s="172" t="s">
        <v>1625</v>
      </c>
      <c r="C192" s="41" t="s">
        <v>1626</v>
      </c>
      <c r="D192" s="45" t="s">
        <v>1627</v>
      </c>
      <c r="E192" s="41"/>
      <c r="F192" s="168"/>
      <c r="G192" s="168"/>
      <c r="H192" s="168" t="s">
        <v>25</v>
      </c>
      <c r="I192" s="168" t="s">
        <v>25</v>
      </c>
      <c r="J192" s="168" t="s">
        <v>25</v>
      </c>
      <c r="K192" s="163" t="str">
        <f>VLOOKUP(C192,'Term Reference Guide'!$C:$C,1,false)</f>
        <v>GAZ:00003958</v>
      </c>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c r="BO192" s="41"/>
      <c r="BP192" s="41"/>
      <c r="BQ192" s="41"/>
      <c r="BR192" s="41"/>
      <c r="BS192" s="41"/>
      <c r="BT192" s="41"/>
      <c r="BU192" s="41"/>
      <c r="BV192" s="41"/>
      <c r="BW192" s="41"/>
      <c r="BX192" s="41"/>
      <c r="BY192" s="41"/>
      <c r="BZ192" s="41"/>
      <c r="CA192" s="41"/>
      <c r="CB192" s="41"/>
      <c r="CC192" s="41"/>
      <c r="CD192" s="41"/>
      <c r="CE192" s="41"/>
      <c r="CF192" s="41"/>
      <c r="CG192" s="41"/>
      <c r="CH192" s="41"/>
      <c r="CI192" s="41"/>
      <c r="CJ192" s="41"/>
      <c r="CK192" s="41"/>
      <c r="CL192" s="41"/>
      <c r="CM192" s="41"/>
      <c r="CN192" s="41"/>
      <c r="CO192" s="41"/>
      <c r="CP192" s="41"/>
      <c r="CQ192" s="41"/>
      <c r="CR192" s="41"/>
      <c r="CS192" s="41"/>
    </row>
    <row r="193" hidden="1">
      <c r="A193" s="31" t="s">
        <v>109</v>
      </c>
      <c r="B193" s="172" t="s">
        <v>1628</v>
      </c>
      <c r="C193" s="41" t="s">
        <v>1629</v>
      </c>
      <c r="D193" s="45" t="s">
        <v>1630</v>
      </c>
      <c r="E193" s="41"/>
      <c r="F193" s="168"/>
      <c r="G193" s="168"/>
      <c r="H193" s="168" t="s">
        <v>25</v>
      </c>
      <c r="I193" s="168" t="s">
        <v>25</v>
      </c>
      <c r="J193" s="168" t="s">
        <v>25</v>
      </c>
      <c r="K193" s="163" t="str">
        <f>VLOOKUP(C193,'Term Reference Guide'!$C:$C,1,false)</f>
        <v>GAZ:00002699</v>
      </c>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41"/>
      <c r="BO193" s="41"/>
      <c r="BP193" s="41"/>
      <c r="BQ193" s="41"/>
      <c r="BR193" s="41"/>
      <c r="BS193" s="41"/>
      <c r="BT193" s="41"/>
      <c r="BU193" s="41"/>
      <c r="BV193" s="41"/>
      <c r="BW193" s="41"/>
      <c r="BX193" s="41"/>
      <c r="BY193" s="41"/>
      <c r="BZ193" s="41"/>
      <c r="CA193" s="41"/>
      <c r="CB193" s="41"/>
      <c r="CC193" s="41"/>
      <c r="CD193" s="41"/>
      <c r="CE193" s="41"/>
      <c r="CF193" s="41"/>
      <c r="CG193" s="41"/>
      <c r="CH193" s="41"/>
      <c r="CI193" s="41"/>
      <c r="CJ193" s="41"/>
      <c r="CK193" s="41"/>
      <c r="CL193" s="41"/>
      <c r="CM193" s="41"/>
      <c r="CN193" s="41"/>
      <c r="CO193" s="41"/>
      <c r="CP193" s="41"/>
      <c r="CQ193" s="41"/>
      <c r="CR193" s="41"/>
      <c r="CS193" s="41"/>
    </row>
    <row r="194" hidden="1">
      <c r="A194" s="31" t="s">
        <v>109</v>
      </c>
      <c r="B194" s="172" t="s">
        <v>1631</v>
      </c>
      <c r="C194" s="41" t="s">
        <v>1632</v>
      </c>
      <c r="D194" s="45" t="s">
        <v>1633</v>
      </c>
      <c r="E194" s="41"/>
      <c r="F194" s="168"/>
      <c r="G194" s="168"/>
      <c r="H194" s="168" t="s">
        <v>25</v>
      </c>
      <c r="I194" s="168" t="s">
        <v>25</v>
      </c>
      <c r="J194" s="168" t="s">
        <v>25</v>
      </c>
      <c r="K194" s="163" t="str">
        <f>VLOOKUP(C194,'Term Reference Guide'!$C:$C,1,false)</f>
        <v>GAZ:00005283</v>
      </c>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c r="BO194" s="41"/>
      <c r="BP194" s="41"/>
      <c r="BQ194" s="41"/>
      <c r="BR194" s="41"/>
      <c r="BS194" s="41"/>
      <c r="BT194" s="41"/>
      <c r="BU194" s="41"/>
      <c r="BV194" s="41"/>
      <c r="BW194" s="41"/>
      <c r="BX194" s="41"/>
      <c r="BY194" s="41"/>
      <c r="BZ194" s="41"/>
      <c r="CA194" s="41"/>
      <c r="CB194" s="41"/>
      <c r="CC194" s="41"/>
      <c r="CD194" s="41"/>
      <c r="CE194" s="41"/>
      <c r="CF194" s="41"/>
      <c r="CG194" s="41"/>
      <c r="CH194" s="41"/>
      <c r="CI194" s="41"/>
      <c r="CJ194" s="41"/>
      <c r="CK194" s="41"/>
      <c r="CL194" s="41"/>
      <c r="CM194" s="41"/>
      <c r="CN194" s="41"/>
      <c r="CO194" s="41"/>
      <c r="CP194" s="41"/>
      <c r="CQ194" s="41"/>
      <c r="CR194" s="41"/>
      <c r="CS194" s="41"/>
    </row>
    <row r="195" hidden="1">
      <c r="A195" s="31" t="s">
        <v>109</v>
      </c>
      <c r="B195" s="172" t="s">
        <v>1634</v>
      </c>
      <c r="C195" s="41" t="s">
        <v>1635</v>
      </c>
      <c r="D195" s="45" t="s">
        <v>1636</v>
      </c>
      <c r="E195" s="41"/>
      <c r="F195" s="168"/>
      <c r="G195" s="168"/>
      <c r="H195" s="168" t="s">
        <v>25</v>
      </c>
      <c r="I195" s="168" t="s">
        <v>25</v>
      </c>
      <c r="J195" s="168" t="s">
        <v>25</v>
      </c>
      <c r="K195" s="163" t="str">
        <f>VLOOKUP(C195,'Term Reference Guide'!$C:$C,1,false)</f>
        <v>GAZ:00005246</v>
      </c>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41"/>
      <c r="BO195" s="41"/>
      <c r="BP195" s="41"/>
      <c r="BQ195" s="41"/>
      <c r="BR195" s="41"/>
      <c r="BS195" s="41"/>
      <c r="BT195" s="41"/>
      <c r="BU195" s="41"/>
      <c r="BV195" s="41"/>
      <c r="BW195" s="41"/>
      <c r="BX195" s="41"/>
      <c r="BY195" s="41"/>
      <c r="BZ195" s="41"/>
      <c r="CA195" s="41"/>
      <c r="CB195" s="41"/>
      <c r="CC195" s="41"/>
      <c r="CD195" s="41"/>
      <c r="CE195" s="41"/>
      <c r="CF195" s="41"/>
      <c r="CG195" s="41"/>
      <c r="CH195" s="41"/>
      <c r="CI195" s="41"/>
      <c r="CJ195" s="41"/>
      <c r="CK195" s="41"/>
      <c r="CL195" s="41"/>
      <c r="CM195" s="41"/>
      <c r="CN195" s="41"/>
      <c r="CO195" s="41"/>
      <c r="CP195" s="41"/>
      <c r="CQ195" s="41"/>
      <c r="CR195" s="41"/>
      <c r="CS195" s="41"/>
    </row>
    <row r="196" hidden="1">
      <c r="A196" s="31" t="s">
        <v>109</v>
      </c>
      <c r="B196" s="172" t="s">
        <v>1637</v>
      </c>
      <c r="C196" s="41" t="s">
        <v>1638</v>
      </c>
      <c r="D196" s="45" t="s">
        <v>1639</v>
      </c>
      <c r="E196" s="41"/>
      <c r="F196" s="168"/>
      <c r="G196" s="168"/>
      <c r="H196" s="168" t="s">
        <v>25</v>
      </c>
      <c r="I196" s="168" t="s">
        <v>25</v>
      </c>
      <c r="J196" s="168" t="s">
        <v>25</v>
      </c>
      <c r="K196" s="163" t="str">
        <f>VLOOKUP(C196,'Term Reference Guide'!$C:$C,1,false)</f>
        <v>GAZ:00006905</v>
      </c>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41"/>
      <c r="BO196" s="41"/>
      <c r="BP196" s="41"/>
      <c r="BQ196" s="41"/>
      <c r="BR196" s="41"/>
      <c r="BS196" s="41"/>
      <c r="BT196" s="41"/>
      <c r="BU196" s="41"/>
      <c r="BV196" s="41"/>
      <c r="BW196" s="41"/>
      <c r="BX196" s="41"/>
      <c r="BY196" s="41"/>
      <c r="BZ196" s="41"/>
      <c r="CA196" s="41"/>
      <c r="CB196" s="41"/>
      <c r="CC196" s="41"/>
      <c r="CD196" s="41"/>
      <c r="CE196" s="41"/>
      <c r="CF196" s="41"/>
      <c r="CG196" s="41"/>
      <c r="CH196" s="41"/>
      <c r="CI196" s="41"/>
      <c r="CJ196" s="41"/>
      <c r="CK196" s="41"/>
      <c r="CL196" s="41"/>
      <c r="CM196" s="41"/>
      <c r="CN196" s="41"/>
      <c r="CO196" s="41"/>
      <c r="CP196" s="41"/>
      <c r="CQ196" s="41"/>
      <c r="CR196" s="41"/>
      <c r="CS196" s="41"/>
    </row>
    <row r="197" hidden="1">
      <c r="A197" s="31" t="s">
        <v>109</v>
      </c>
      <c r="B197" s="172" t="s">
        <v>1640</v>
      </c>
      <c r="C197" s="41" t="s">
        <v>1641</v>
      </c>
      <c r="D197" s="45" t="s">
        <v>1642</v>
      </c>
      <c r="E197" s="41"/>
      <c r="F197" s="168"/>
      <c r="G197" s="168"/>
      <c r="H197" s="168" t="s">
        <v>25</v>
      </c>
      <c r="I197" s="168" t="s">
        <v>25</v>
      </c>
      <c r="J197" s="168" t="s">
        <v>25</v>
      </c>
      <c r="K197" s="163" t="str">
        <f>VLOOKUP(C197,'Term Reference Guide'!$C:$C,1,false)</f>
        <v>GAZ:00002892</v>
      </c>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41"/>
      <c r="BO197" s="41"/>
      <c r="BP197" s="41"/>
      <c r="BQ197" s="41"/>
      <c r="BR197" s="41"/>
      <c r="BS197" s="41"/>
      <c r="BT197" s="41"/>
      <c r="BU197" s="41"/>
      <c r="BV197" s="41"/>
      <c r="BW197" s="41"/>
      <c r="BX197" s="41"/>
      <c r="BY197" s="41"/>
      <c r="BZ197" s="41"/>
      <c r="CA197" s="41"/>
      <c r="CB197" s="41"/>
      <c r="CC197" s="41"/>
      <c r="CD197" s="41"/>
      <c r="CE197" s="41"/>
      <c r="CF197" s="41"/>
      <c r="CG197" s="41"/>
      <c r="CH197" s="41"/>
      <c r="CI197" s="41"/>
      <c r="CJ197" s="41"/>
      <c r="CK197" s="41"/>
      <c r="CL197" s="41"/>
      <c r="CM197" s="41"/>
      <c r="CN197" s="41"/>
      <c r="CO197" s="41"/>
      <c r="CP197" s="41"/>
      <c r="CQ197" s="41"/>
      <c r="CR197" s="41"/>
      <c r="CS197" s="41"/>
    </row>
    <row r="198" hidden="1">
      <c r="A198" s="31" t="s">
        <v>109</v>
      </c>
      <c r="B198" s="172" t="s">
        <v>1643</v>
      </c>
      <c r="C198" s="41" t="s">
        <v>1644</v>
      </c>
      <c r="D198" s="45" t="s">
        <v>1645</v>
      </c>
      <c r="E198" s="41"/>
      <c r="F198" s="168"/>
      <c r="G198" s="168"/>
      <c r="H198" s="168" t="s">
        <v>25</v>
      </c>
      <c r="I198" s="168" t="s">
        <v>25</v>
      </c>
      <c r="J198" s="168" t="s">
        <v>25</v>
      </c>
      <c r="K198" s="163" t="str">
        <f>VLOOKUP(C198,'Term Reference Guide'!$C:$C,1,false)</f>
        <v>GAZ:00003922</v>
      </c>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c r="BO198" s="41"/>
      <c r="BP198" s="41"/>
      <c r="BQ198" s="41"/>
      <c r="BR198" s="41"/>
      <c r="BS198" s="41"/>
      <c r="BT198" s="41"/>
      <c r="BU198" s="41"/>
      <c r="BV198" s="41"/>
      <c r="BW198" s="41"/>
      <c r="BX198" s="41"/>
      <c r="BY198" s="41"/>
      <c r="BZ198" s="41"/>
      <c r="CA198" s="41"/>
      <c r="CB198" s="41"/>
      <c r="CC198" s="41"/>
      <c r="CD198" s="41"/>
      <c r="CE198" s="41"/>
      <c r="CF198" s="41"/>
      <c r="CG198" s="41"/>
      <c r="CH198" s="41"/>
      <c r="CI198" s="41"/>
      <c r="CJ198" s="41"/>
      <c r="CK198" s="41"/>
      <c r="CL198" s="41"/>
      <c r="CM198" s="41"/>
      <c r="CN198" s="41"/>
      <c r="CO198" s="41"/>
      <c r="CP198" s="41"/>
      <c r="CQ198" s="41"/>
      <c r="CR198" s="41"/>
      <c r="CS198" s="41"/>
    </row>
    <row r="199" hidden="1">
      <c r="A199" s="31" t="s">
        <v>109</v>
      </c>
      <c r="B199" s="172" t="s">
        <v>1646</v>
      </c>
      <c r="C199" s="41" t="s">
        <v>1647</v>
      </c>
      <c r="D199" s="45" t="s">
        <v>1648</v>
      </c>
      <c r="E199" s="41"/>
      <c r="F199" s="168"/>
      <c r="G199" s="168"/>
      <c r="H199" s="168" t="s">
        <v>25</v>
      </c>
      <c r="I199" s="168" t="s">
        <v>25</v>
      </c>
      <c r="J199" s="168" t="s">
        <v>25</v>
      </c>
      <c r="K199" s="163" t="str">
        <f>VLOOKUP(C199,'Term Reference Guide'!$C:$C,1,false)</f>
        <v>GAZ:00010832</v>
      </c>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41"/>
      <c r="BO199" s="41"/>
      <c r="BP199" s="41"/>
      <c r="BQ199" s="41"/>
      <c r="BR199" s="41"/>
      <c r="BS199" s="41"/>
      <c r="BT199" s="41"/>
      <c r="BU199" s="41"/>
      <c r="BV199" s="41"/>
      <c r="BW199" s="41"/>
      <c r="BX199" s="41"/>
      <c r="BY199" s="41"/>
      <c r="BZ199" s="41"/>
      <c r="CA199" s="41"/>
      <c r="CB199" s="41"/>
      <c r="CC199" s="41"/>
      <c r="CD199" s="41"/>
      <c r="CE199" s="41"/>
      <c r="CF199" s="41"/>
      <c r="CG199" s="41"/>
      <c r="CH199" s="41"/>
      <c r="CI199" s="41"/>
      <c r="CJ199" s="41"/>
      <c r="CK199" s="41"/>
      <c r="CL199" s="41"/>
      <c r="CM199" s="41"/>
      <c r="CN199" s="41"/>
      <c r="CO199" s="41"/>
      <c r="CP199" s="41"/>
      <c r="CQ199" s="41"/>
      <c r="CR199" s="41"/>
      <c r="CS199" s="41"/>
    </row>
    <row r="200" hidden="1">
      <c r="A200" s="31" t="s">
        <v>109</v>
      </c>
      <c r="B200" s="172" t="s">
        <v>1649</v>
      </c>
      <c r="C200" s="41" t="s">
        <v>1650</v>
      </c>
      <c r="D200" s="45" t="s">
        <v>1651</v>
      </c>
      <c r="E200" s="41"/>
      <c r="F200" s="168"/>
      <c r="G200" s="168"/>
      <c r="H200" s="168" t="s">
        <v>25</v>
      </c>
      <c r="I200" s="168" t="s">
        <v>25</v>
      </c>
      <c r="J200" s="168" t="s">
        <v>25</v>
      </c>
      <c r="K200" s="163" t="str">
        <f>VLOOKUP(C200,'Term Reference Guide'!$C:$C,1,false)</f>
        <v>GAZ:00002933</v>
      </c>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41"/>
      <c r="BO200" s="41"/>
      <c r="BP200" s="41"/>
      <c r="BQ200" s="41"/>
      <c r="BR200" s="41"/>
      <c r="BS200" s="41"/>
      <c r="BT200" s="41"/>
      <c r="BU200" s="41"/>
      <c r="BV200" s="41"/>
      <c r="BW200" s="41"/>
      <c r="BX200" s="41"/>
      <c r="BY200" s="41"/>
      <c r="BZ200" s="41"/>
      <c r="CA200" s="41"/>
      <c r="CB200" s="41"/>
      <c r="CC200" s="41"/>
      <c r="CD200" s="41"/>
      <c r="CE200" s="41"/>
      <c r="CF200" s="41"/>
      <c r="CG200" s="41"/>
      <c r="CH200" s="41"/>
      <c r="CI200" s="41"/>
      <c r="CJ200" s="41"/>
      <c r="CK200" s="41"/>
      <c r="CL200" s="41"/>
      <c r="CM200" s="41"/>
      <c r="CN200" s="41"/>
      <c r="CO200" s="41"/>
      <c r="CP200" s="41"/>
      <c r="CQ200" s="41"/>
      <c r="CR200" s="41"/>
      <c r="CS200" s="41"/>
    </row>
    <row r="201" hidden="1">
      <c r="A201" s="31" t="s">
        <v>109</v>
      </c>
      <c r="B201" s="172" t="s">
        <v>1652</v>
      </c>
      <c r="C201" s="41" t="s">
        <v>1653</v>
      </c>
      <c r="D201" s="45" t="s">
        <v>1654</v>
      </c>
      <c r="E201" s="41"/>
      <c r="F201" s="168"/>
      <c r="G201" s="168"/>
      <c r="H201" s="168" t="s">
        <v>25</v>
      </c>
      <c r="I201" s="168" t="s">
        <v>25</v>
      </c>
      <c r="J201" s="168" t="s">
        <v>25</v>
      </c>
      <c r="K201" s="163" t="str">
        <f>VLOOKUP(C201,'Term Reference Guide'!$C:$C,1,false)</f>
        <v>GAZ:00002932</v>
      </c>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41"/>
      <c r="BO201" s="41"/>
      <c r="BP201" s="41"/>
      <c r="BQ201" s="41"/>
      <c r="BR201" s="41"/>
      <c r="BS201" s="41"/>
      <c r="BT201" s="41"/>
      <c r="BU201" s="41"/>
      <c r="BV201" s="41"/>
      <c r="BW201" s="41"/>
      <c r="BX201" s="41"/>
      <c r="BY201" s="41"/>
      <c r="BZ201" s="41"/>
      <c r="CA201" s="41"/>
      <c r="CB201" s="41"/>
      <c r="CC201" s="41"/>
      <c r="CD201" s="41"/>
      <c r="CE201" s="41"/>
      <c r="CF201" s="41"/>
      <c r="CG201" s="41"/>
      <c r="CH201" s="41"/>
      <c r="CI201" s="41"/>
      <c r="CJ201" s="41"/>
      <c r="CK201" s="41"/>
      <c r="CL201" s="41"/>
      <c r="CM201" s="41"/>
      <c r="CN201" s="41"/>
      <c r="CO201" s="41"/>
      <c r="CP201" s="41"/>
      <c r="CQ201" s="41"/>
      <c r="CR201" s="41"/>
      <c r="CS201" s="41"/>
    </row>
    <row r="202" hidden="1">
      <c r="A202" s="31" t="s">
        <v>109</v>
      </c>
      <c r="B202" s="172" t="s">
        <v>1655</v>
      </c>
      <c r="C202" s="41" t="s">
        <v>1656</v>
      </c>
      <c r="D202" s="45" t="s">
        <v>1657</v>
      </c>
      <c r="E202" s="41"/>
      <c r="F202" s="168"/>
      <c r="G202" s="168"/>
      <c r="H202" s="168" t="s">
        <v>25</v>
      </c>
      <c r="I202" s="168" t="s">
        <v>25</v>
      </c>
      <c r="J202" s="168" t="s">
        <v>25</v>
      </c>
      <c r="K202" s="163" t="str">
        <f>VLOOKUP(C202,'Term Reference Guide'!$C:$C,1,false)</f>
        <v>GAZ:00004525</v>
      </c>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c r="AT202" s="41"/>
      <c r="AU202" s="41"/>
      <c r="AV202" s="41"/>
      <c r="AW202" s="41"/>
      <c r="AX202" s="41"/>
      <c r="AY202" s="41"/>
      <c r="AZ202" s="41"/>
      <c r="BA202" s="41"/>
      <c r="BB202" s="41"/>
      <c r="BC202" s="41"/>
      <c r="BD202" s="41"/>
      <c r="BE202" s="41"/>
      <c r="BF202" s="41"/>
      <c r="BG202" s="41"/>
      <c r="BH202" s="41"/>
      <c r="BI202" s="41"/>
      <c r="BJ202" s="41"/>
      <c r="BK202" s="41"/>
      <c r="BL202" s="41"/>
      <c r="BM202" s="41"/>
      <c r="BN202" s="41"/>
      <c r="BO202" s="41"/>
      <c r="BP202" s="41"/>
      <c r="BQ202" s="41"/>
      <c r="BR202" s="41"/>
      <c r="BS202" s="41"/>
      <c r="BT202" s="41"/>
      <c r="BU202" s="41"/>
      <c r="BV202" s="41"/>
      <c r="BW202" s="41"/>
      <c r="BX202" s="41"/>
      <c r="BY202" s="41"/>
      <c r="BZ202" s="41"/>
      <c r="CA202" s="41"/>
      <c r="CB202" s="41"/>
      <c r="CC202" s="41"/>
      <c r="CD202" s="41"/>
      <c r="CE202" s="41"/>
      <c r="CF202" s="41"/>
      <c r="CG202" s="41"/>
      <c r="CH202" s="41"/>
      <c r="CI202" s="41"/>
      <c r="CJ202" s="41"/>
      <c r="CK202" s="41"/>
      <c r="CL202" s="41"/>
      <c r="CM202" s="41"/>
      <c r="CN202" s="41"/>
      <c r="CO202" s="41"/>
      <c r="CP202" s="41"/>
      <c r="CQ202" s="41"/>
      <c r="CR202" s="41"/>
      <c r="CS202" s="41"/>
    </row>
    <row r="203" hidden="1">
      <c r="A203" s="31" t="s">
        <v>109</v>
      </c>
      <c r="B203" s="172" t="s">
        <v>1658</v>
      </c>
      <c r="C203" s="41" t="s">
        <v>1659</v>
      </c>
      <c r="D203" s="45" t="s">
        <v>1660</v>
      </c>
      <c r="E203" s="41"/>
      <c r="F203" s="168"/>
      <c r="G203" s="168"/>
      <c r="H203" s="168" t="s">
        <v>25</v>
      </c>
      <c r="I203" s="168" t="s">
        <v>25</v>
      </c>
      <c r="J203" s="168" t="s">
        <v>25</v>
      </c>
      <c r="K203" s="163" t="str">
        <f>VLOOKUP(C203,'Term Reference Guide'!$C:$C,1,false)</f>
        <v>GAZ:00005867</v>
      </c>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c r="BD203" s="41"/>
      <c r="BE203" s="41"/>
      <c r="BF203" s="41"/>
      <c r="BG203" s="41"/>
      <c r="BH203" s="41"/>
      <c r="BI203" s="41"/>
      <c r="BJ203" s="41"/>
      <c r="BK203" s="41"/>
      <c r="BL203" s="41"/>
      <c r="BM203" s="41"/>
      <c r="BN203" s="41"/>
      <c r="BO203" s="41"/>
      <c r="BP203" s="41"/>
      <c r="BQ203" s="41"/>
      <c r="BR203" s="41"/>
      <c r="BS203" s="41"/>
      <c r="BT203" s="41"/>
      <c r="BU203" s="41"/>
      <c r="BV203" s="41"/>
      <c r="BW203" s="41"/>
      <c r="BX203" s="41"/>
      <c r="BY203" s="41"/>
      <c r="BZ203" s="41"/>
      <c r="CA203" s="41"/>
      <c r="CB203" s="41"/>
      <c r="CC203" s="41"/>
      <c r="CD203" s="41"/>
      <c r="CE203" s="41"/>
      <c r="CF203" s="41"/>
      <c r="CG203" s="41"/>
      <c r="CH203" s="41"/>
      <c r="CI203" s="41"/>
      <c r="CJ203" s="41"/>
      <c r="CK203" s="41"/>
      <c r="CL203" s="41"/>
      <c r="CM203" s="41"/>
      <c r="CN203" s="41"/>
      <c r="CO203" s="41"/>
      <c r="CP203" s="41"/>
      <c r="CQ203" s="41"/>
      <c r="CR203" s="41"/>
      <c r="CS203" s="41"/>
    </row>
    <row r="204" hidden="1">
      <c r="A204" s="31" t="s">
        <v>109</v>
      </c>
      <c r="B204" s="172" t="s">
        <v>1661</v>
      </c>
      <c r="C204" s="41" t="s">
        <v>1662</v>
      </c>
      <c r="D204" s="45" t="s">
        <v>1663</v>
      </c>
      <c r="E204" s="41"/>
      <c r="F204" s="168"/>
      <c r="G204" s="168"/>
      <c r="H204" s="168" t="s">
        <v>25</v>
      </c>
      <c r="I204" s="168" t="s">
        <v>25</v>
      </c>
      <c r="J204" s="168" t="s">
        <v>25</v>
      </c>
      <c r="K204" s="163" t="str">
        <f>VLOOKUP(C204,'Term Reference Guide'!$C:$C,1,false)</f>
        <v>GAZ:00002939</v>
      </c>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c r="AT204" s="41"/>
      <c r="AU204" s="41"/>
      <c r="AV204" s="41"/>
      <c r="AW204" s="41"/>
      <c r="AX204" s="41"/>
      <c r="AY204" s="41"/>
      <c r="AZ204" s="41"/>
      <c r="BA204" s="41"/>
      <c r="BB204" s="41"/>
      <c r="BC204" s="41"/>
      <c r="BD204" s="41"/>
      <c r="BE204" s="41"/>
      <c r="BF204" s="41"/>
      <c r="BG204" s="41"/>
      <c r="BH204" s="41"/>
      <c r="BI204" s="41"/>
      <c r="BJ204" s="41"/>
      <c r="BK204" s="41"/>
      <c r="BL204" s="41"/>
      <c r="BM204" s="41"/>
      <c r="BN204" s="41"/>
      <c r="BO204" s="41"/>
      <c r="BP204" s="41"/>
      <c r="BQ204" s="41"/>
      <c r="BR204" s="41"/>
      <c r="BS204" s="41"/>
      <c r="BT204" s="41"/>
      <c r="BU204" s="41"/>
      <c r="BV204" s="41"/>
      <c r="BW204" s="41"/>
      <c r="BX204" s="41"/>
      <c r="BY204" s="41"/>
      <c r="BZ204" s="41"/>
      <c r="CA204" s="41"/>
      <c r="CB204" s="41"/>
      <c r="CC204" s="41"/>
      <c r="CD204" s="41"/>
      <c r="CE204" s="41"/>
      <c r="CF204" s="41"/>
      <c r="CG204" s="41"/>
      <c r="CH204" s="41"/>
      <c r="CI204" s="41"/>
      <c r="CJ204" s="41"/>
      <c r="CK204" s="41"/>
      <c r="CL204" s="41"/>
      <c r="CM204" s="41"/>
      <c r="CN204" s="41"/>
      <c r="CO204" s="41"/>
      <c r="CP204" s="41"/>
      <c r="CQ204" s="41"/>
      <c r="CR204" s="41"/>
      <c r="CS204" s="41"/>
    </row>
    <row r="205" hidden="1">
      <c r="A205" s="31" t="s">
        <v>109</v>
      </c>
      <c r="B205" s="172" t="s">
        <v>1664</v>
      </c>
      <c r="C205" s="41" t="s">
        <v>1665</v>
      </c>
      <c r="D205" s="45" t="s">
        <v>1666</v>
      </c>
      <c r="E205" s="41"/>
      <c r="F205" s="168"/>
      <c r="G205" s="168"/>
      <c r="H205" s="168" t="s">
        <v>25</v>
      </c>
      <c r="I205" s="168" t="s">
        <v>25</v>
      </c>
      <c r="J205" s="168" t="s">
        <v>25</v>
      </c>
      <c r="K205" s="163" t="str">
        <f>VLOOKUP(C205,'Term Reference Guide'!$C:$C,1,false)</f>
        <v>GAZ:00004126</v>
      </c>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41"/>
      <c r="BO205" s="41"/>
      <c r="BP205" s="41"/>
      <c r="BQ205" s="41"/>
      <c r="BR205" s="41"/>
      <c r="BS205" s="41"/>
      <c r="BT205" s="41"/>
      <c r="BU205" s="41"/>
      <c r="BV205" s="41"/>
      <c r="BW205" s="41"/>
      <c r="BX205" s="41"/>
      <c r="BY205" s="41"/>
      <c r="BZ205" s="41"/>
      <c r="CA205" s="41"/>
      <c r="CB205" s="41"/>
      <c r="CC205" s="41"/>
      <c r="CD205" s="41"/>
      <c r="CE205" s="41"/>
      <c r="CF205" s="41"/>
      <c r="CG205" s="41"/>
      <c r="CH205" s="41"/>
      <c r="CI205" s="41"/>
      <c r="CJ205" s="41"/>
      <c r="CK205" s="41"/>
      <c r="CL205" s="41"/>
      <c r="CM205" s="41"/>
      <c r="CN205" s="41"/>
      <c r="CO205" s="41"/>
      <c r="CP205" s="41"/>
      <c r="CQ205" s="41"/>
      <c r="CR205" s="41"/>
      <c r="CS205" s="41"/>
    </row>
    <row r="206" hidden="1">
      <c r="A206" s="31" t="s">
        <v>109</v>
      </c>
      <c r="B206" s="172" t="s">
        <v>1667</v>
      </c>
      <c r="C206" s="41" t="s">
        <v>1668</v>
      </c>
      <c r="D206" s="45" t="s">
        <v>1669</v>
      </c>
      <c r="E206" s="41"/>
      <c r="F206" s="168"/>
      <c r="G206" s="168"/>
      <c r="H206" s="168" t="s">
        <v>25</v>
      </c>
      <c r="I206" s="168" t="s">
        <v>25</v>
      </c>
      <c r="J206" s="168" t="s">
        <v>25</v>
      </c>
      <c r="K206" s="163" t="str">
        <f>VLOOKUP(C206,'Term Reference Guide'!$C:$C,1,false)</f>
        <v>GAZ:00006935</v>
      </c>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c r="BP206" s="41"/>
      <c r="BQ206" s="41"/>
      <c r="BR206" s="41"/>
      <c r="BS206" s="41"/>
      <c r="BT206" s="41"/>
      <c r="BU206" s="41"/>
      <c r="BV206" s="41"/>
      <c r="BW206" s="41"/>
      <c r="BX206" s="41"/>
      <c r="BY206" s="41"/>
      <c r="BZ206" s="41"/>
      <c r="CA206" s="41"/>
      <c r="CB206" s="41"/>
      <c r="CC206" s="41"/>
      <c r="CD206" s="41"/>
      <c r="CE206" s="41"/>
      <c r="CF206" s="41"/>
      <c r="CG206" s="41"/>
      <c r="CH206" s="41"/>
      <c r="CI206" s="41"/>
      <c r="CJ206" s="41"/>
      <c r="CK206" s="41"/>
      <c r="CL206" s="41"/>
      <c r="CM206" s="41"/>
      <c r="CN206" s="41"/>
      <c r="CO206" s="41"/>
      <c r="CP206" s="41"/>
      <c r="CQ206" s="41"/>
      <c r="CR206" s="41"/>
      <c r="CS206" s="41"/>
    </row>
    <row r="207" hidden="1">
      <c r="A207" s="31" t="s">
        <v>109</v>
      </c>
      <c r="B207" s="172" t="s">
        <v>1670</v>
      </c>
      <c r="C207" s="41" t="s">
        <v>1671</v>
      </c>
      <c r="D207" s="45" t="s">
        <v>1672</v>
      </c>
      <c r="E207" s="41"/>
      <c r="F207" s="168"/>
      <c r="G207" s="168"/>
      <c r="H207" s="168" t="s">
        <v>25</v>
      </c>
      <c r="I207" s="168" t="s">
        <v>25</v>
      </c>
      <c r="J207" s="168" t="s">
        <v>25</v>
      </c>
      <c r="K207" s="163" t="str">
        <f>VLOOKUP(C207,'Term Reference Guide'!$C:$C,1,false)</f>
        <v>GAZ:00005286</v>
      </c>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41"/>
      <c r="BO207" s="41"/>
      <c r="BP207" s="41"/>
      <c r="BQ207" s="41"/>
      <c r="BR207" s="41"/>
      <c r="BS207" s="41"/>
      <c r="BT207" s="41"/>
      <c r="BU207" s="41"/>
      <c r="BV207" s="41"/>
      <c r="BW207" s="41"/>
      <c r="BX207" s="41"/>
      <c r="BY207" s="41"/>
      <c r="BZ207" s="41"/>
      <c r="CA207" s="41"/>
      <c r="CB207" s="41"/>
      <c r="CC207" s="41"/>
      <c r="CD207" s="41"/>
      <c r="CE207" s="41"/>
      <c r="CF207" s="41"/>
      <c r="CG207" s="41"/>
      <c r="CH207" s="41"/>
      <c r="CI207" s="41"/>
      <c r="CJ207" s="41"/>
      <c r="CK207" s="41"/>
      <c r="CL207" s="41"/>
      <c r="CM207" s="41"/>
      <c r="CN207" s="41"/>
      <c r="CO207" s="41"/>
      <c r="CP207" s="41"/>
      <c r="CQ207" s="41"/>
      <c r="CR207" s="41"/>
      <c r="CS207" s="41"/>
    </row>
    <row r="208" hidden="1">
      <c r="A208" s="31" t="s">
        <v>109</v>
      </c>
      <c r="B208" s="172" t="s">
        <v>1673</v>
      </c>
      <c r="C208" s="41" t="s">
        <v>1674</v>
      </c>
      <c r="D208" s="45" t="s">
        <v>1675</v>
      </c>
      <c r="E208" s="41"/>
      <c r="F208" s="168"/>
      <c r="G208" s="168"/>
      <c r="H208" s="168" t="s">
        <v>25</v>
      </c>
      <c r="I208" s="168" t="s">
        <v>25</v>
      </c>
      <c r="J208" s="168" t="s">
        <v>25</v>
      </c>
      <c r="K208" s="163" t="str">
        <f>VLOOKUP(C208,'Term Reference Guide'!$C:$C,1,false)</f>
        <v>GAZ:00001088</v>
      </c>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41"/>
      <c r="BO208" s="41"/>
      <c r="BP208" s="41"/>
      <c r="BQ208" s="41"/>
      <c r="BR208" s="41"/>
      <c r="BS208" s="41"/>
      <c r="BT208" s="41"/>
      <c r="BU208" s="41"/>
      <c r="BV208" s="41"/>
      <c r="BW208" s="41"/>
      <c r="BX208" s="41"/>
      <c r="BY208" s="41"/>
      <c r="BZ208" s="41"/>
      <c r="CA208" s="41"/>
      <c r="CB208" s="41"/>
      <c r="CC208" s="41"/>
      <c r="CD208" s="41"/>
      <c r="CE208" s="41"/>
      <c r="CF208" s="41"/>
      <c r="CG208" s="41"/>
      <c r="CH208" s="41"/>
      <c r="CI208" s="41"/>
      <c r="CJ208" s="41"/>
      <c r="CK208" s="41"/>
      <c r="CL208" s="41"/>
      <c r="CM208" s="41"/>
      <c r="CN208" s="41"/>
      <c r="CO208" s="41"/>
      <c r="CP208" s="41"/>
      <c r="CQ208" s="41"/>
      <c r="CR208" s="41"/>
      <c r="CS208" s="41"/>
    </row>
    <row r="209" hidden="1">
      <c r="A209" s="31" t="s">
        <v>109</v>
      </c>
      <c r="B209" s="172" t="s">
        <v>1676</v>
      </c>
      <c r="C209" s="41" t="s">
        <v>1677</v>
      </c>
      <c r="D209" s="45" t="s">
        <v>1678</v>
      </c>
      <c r="E209" s="41"/>
      <c r="F209" s="168"/>
      <c r="G209" s="168"/>
      <c r="H209" s="168" t="s">
        <v>25</v>
      </c>
      <c r="I209" s="168" t="s">
        <v>25</v>
      </c>
      <c r="J209" s="168" t="s">
        <v>25</v>
      </c>
      <c r="K209" s="163" t="str">
        <f>VLOOKUP(C209,'Term Reference Guide'!$C:$C,1,false)</f>
        <v>GAZ:00003945</v>
      </c>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c r="BO209" s="41"/>
      <c r="BP209" s="41"/>
      <c r="BQ209" s="41"/>
      <c r="BR209" s="41"/>
      <c r="BS209" s="41"/>
      <c r="BT209" s="41"/>
      <c r="BU209" s="41"/>
      <c r="BV209" s="41"/>
      <c r="BW209" s="41"/>
      <c r="BX209" s="41"/>
      <c r="BY209" s="41"/>
      <c r="BZ209" s="41"/>
      <c r="CA209" s="41"/>
      <c r="CB209" s="41"/>
      <c r="CC209" s="41"/>
      <c r="CD209" s="41"/>
      <c r="CE209" s="41"/>
      <c r="CF209" s="41"/>
      <c r="CG209" s="41"/>
      <c r="CH209" s="41"/>
      <c r="CI209" s="41"/>
      <c r="CJ209" s="41"/>
      <c r="CK209" s="41"/>
      <c r="CL209" s="41"/>
      <c r="CM209" s="41"/>
      <c r="CN209" s="41"/>
      <c r="CO209" s="41"/>
      <c r="CP209" s="41"/>
      <c r="CQ209" s="41"/>
      <c r="CR209" s="41"/>
      <c r="CS209" s="41"/>
    </row>
    <row r="210" hidden="1">
      <c r="A210" s="31" t="s">
        <v>109</v>
      </c>
      <c r="B210" s="172" t="s">
        <v>1679</v>
      </c>
      <c r="C210" s="41" t="s">
        <v>1680</v>
      </c>
      <c r="D210" s="45" t="s">
        <v>1681</v>
      </c>
      <c r="E210" s="41"/>
      <c r="F210" s="168"/>
      <c r="G210" s="168"/>
      <c r="H210" s="168" t="s">
        <v>25</v>
      </c>
      <c r="I210" s="168" t="s">
        <v>25</v>
      </c>
      <c r="J210" s="168" t="s">
        <v>25</v>
      </c>
      <c r="K210" s="163" t="str">
        <f>VLOOKUP(C210,'Term Reference Guide'!$C:$C,1,false)</f>
        <v>GAZ:00002951</v>
      </c>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c r="BO210" s="41"/>
      <c r="BP210" s="41"/>
      <c r="BQ210" s="41"/>
      <c r="BR210" s="41"/>
      <c r="BS210" s="41"/>
      <c r="BT210" s="41"/>
      <c r="BU210" s="41"/>
      <c r="BV210" s="41"/>
      <c r="BW210" s="41"/>
      <c r="BX210" s="41"/>
      <c r="BY210" s="41"/>
      <c r="BZ210" s="41"/>
      <c r="CA210" s="41"/>
      <c r="CB210" s="41"/>
      <c r="CC210" s="41"/>
      <c r="CD210" s="41"/>
      <c r="CE210" s="41"/>
      <c r="CF210" s="41"/>
      <c r="CG210" s="41"/>
      <c r="CH210" s="41"/>
      <c r="CI210" s="41"/>
      <c r="CJ210" s="41"/>
      <c r="CK210" s="41"/>
      <c r="CL210" s="41"/>
      <c r="CM210" s="41"/>
      <c r="CN210" s="41"/>
      <c r="CO210" s="41"/>
      <c r="CP210" s="41"/>
      <c r="CQ210" s="41"/>
      <c r="CR210" s="41"/>
      <c r="CS210" s="41"/>
    </row>
    <row r="211" hidden="1">
      <c r="A211" s="31" t="s">
        <v>109</v>
      </c>
      <c r="B211" s="172" t="s">
        <v>1682</v>
      </c>
      <c r="C211" s="41" t="s">
        <v>1683</v>
      </c>
      <c r="D211" s="45" t="s">
        <v>1684</v>
      </c>
      <c r="E211" s="41"/>
      <c r="F211" s="168"/>
      <c r="G211" s="168"/>
      <c r="H211" s="168" t="s">
        <v>25</v>
      </c>
      <c r="I211" s="168" t="s">
        <v>25</v>
      </c>
      <c r="J211" s="168" t="s">
        <v>25</v>
      </c>
      <c r="K211" s="163" t="str">
        <f>VLOOKUP(C211,'Term Reference Guide'!$C:$C,1,false)</f>
        <v>GAZ:00023304</v>
      </c>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c r="BO211" s="41"/>
      <c r="BP211" s="41"/>
      <c r="BQ211" s="41"/>
      <c r="BR211" s="41"/>
      <c r="BS211" s="41"/>
      <c r="BT211" s="41"/>
      <c r="BU211" s="41"/>
      <c r="BV211" s="41"/>
      <c r="BW211" s="41"/>
      <c r="BX211" s="41"/>
      <c r="BY211" s="41"/>
      <c r="BZ211" s="41"/>
      <c r="CA211" s="41"/>
      <c r="CB211" s="41"/>
      <c r="CC211" s="41"/>
      <c r="CD211" s="41"/>
      <c r="CE211" s="41"/>
      <c r="CF211" s="41"/>
      <c r="CG211" s="41"/>
      <c r="CH211" s="41"/>
      <c r="CI211" s="41"/>
      <c r="CJ211" s="41"/>
      <c r="CK211" s="41"/>
      <c r="CL211" s="41"/>
      <c r="CM211" s="41"/>
      <c r="CN211" s="41"/>
      <c r="CO211" s="41"/>
      <c r="CP211" s="41"/>
      <c r="CQ211" s="41"/>
      <c r="CR211" s="41"/>
      <c r="CS211" s="41"/>
    </row>
    <row r="212" hidden="1">
      <c r="A212" s="31" t="s">
        <v>109</v>
      </c>
      <c r="B212" s="172" t="s">
        <v>1685</v>
      </c>
      <c r="C212" s="41" t="s">
        <v>1686</v>
      </c>
      <c r="D212" s="45" t="s">
        <v>1687</v>
      </c>
      <c r="E212" s="41"/>
      <c r="F212" s="168"/>
      <c r="G212" s="168"/>
      <c r="H212" s="168" t="s">
        <v>25</v>
      </c>
      <c r="I212" s="168" t="s">
        <v>25</v>
      </c>
      <c r="J212" s="168" t="s">
        <v>25</v>
      </c>
      <c r="K212" s="163" t="str">
        <f>VLOOKUP(C212,'Term Reference Guide'!$C:$C,1,false)</f>
        <v>GAZ:00002721</v>
      </c>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c r="BO212" s="41"/>
      <c r="BP212" s="41"/>
      <c r="BQ212" s="41"/>
      <c r="BR212" s="41"/>
      <c r="BS212" s="41"/>
      <c r="BT212" s="41"/>
      <c r="BU212" s="41"/>
      <c r="BV212" s="41"/>
      <c r="BW212" s="41"/>
      <c r="BX212" s="41"/>
      <c r="BY212" s="41"/>
      <c r="BZ212" s="41"/>
      <c r="CA212" s="41"/>
      <c r="CB212" s="41"/>
      <c r="CC212" s="41"/>
      <c r="CD212" s="41"/>
      <c r="CE212" s="41"/>
      <c r="CF212" s="41"/>
      <c r="CG212" s="41"/>
      <c r="CH212" s="41"/>
      <c r="CI212" s="41"/>
      <c r="CJ212" s="41"/>
      <c r="CK212" s="41"/>
      <c r="CL212" s="41"/>
      <c r="CM212" s="41"/>
      <c r="CN212" s="41"/>
      <c r="CO212" s="41"/>
      <c r="CP212" s="41"/>
      <c r="CQ212" s="41"/>
      <c r="CR212" s="41"/>
      <c r="CS212" s="41"/>
    </row>
    <row r="213" hidden="1">
      <c r="A213" s="31" t="s">
        <v>109</v>
      </c>
      <c r="B213" s="172" t="s">
        <v>1688</v>
      </c>
      <c r="C213" s="41" t="s">
        <v>1689</v>
      </c>
      <c r="D213" s="45" t="s">
        <v>1690</v>
      </c>
      <c r="E213" s="41"/>
      <c r="F213" s="168"/>
      <c r="G213" s="168"/>
      <c r="H213" s="168" t="s">
        <v>25</v>
      </c>
      <c r="I213" s="168" t="s">
        <v>25</v>
      </c>
      <c r="J213" s="168" t="s">
        <v>25</v>
      </c>
      <c r="K213" s="163" t="str">
        <f>VLOOKUP(C213,'Term Reference Guide'!$C:$C,1,false)</f>
        <v>GAZ:00001087</v>
      </c>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c r="BO213" s="41"/>
      <c r="BP213" s="41"/>
      <c r="BQ213" s="41"/>
      <c r="BR213" s="41"/>
      <c r="BS213" s="41"/>
      <c r="BT213" s="41"/>
      <c r="BU213" s="41"/>
      <c r="BV213" s="41"/>
      <c r="BW213" s="41"/>
      <c r="BX213" s="41"/>
      <c r="BY213" s="41"/>
      <c r="BZ213" s="41"/>
      <c r="CA213" s="41"/>
      <c r="CB213" s="41"/>
      <c r="CC213" s="41"/>
      <c r="CD213" s="41"/>
      <c r="CE213" s="41"/>
      <c r="CF213" s="41"/>
      <c r="CG213" s="41"/>
      <c r="CH213" s="41"/>
      <c r="CI213" s="41"/>
      <c r="CJ213" s="41"/>
      <c r="CK213" s="41"/>
      <c r="CL213" s="41"/>
      <c r="CM213" s="41"/>
      <c r="CN213" s="41"/>
      <c r="CO213" s="41"/>
      <c r="CP213" s="41"/>
      <c r="CQ213" s="41"/>
      <c r="CR213" s="41"/>
      <c r="CS213" s="41"/>
    </row>
    <row r="214" hidden="1">
      <c r="A214" s="31" t="s">
        <v>109</v>
      </c>
      <c r="B214" s="172" t="s">
        <v>1691</v>
      </c>
      <c r="C214" s="41" t="s">
        <v>1692</v>
      </c>
      <c r="D214" s="45" t="s">
        <v>1693</v>
      </c>
      <c r="E214" s="41"/>
      <c r="F214" s="168"/>
      <c r="G214" s="168"/>
      <c r="H214" s="168" t="s">
        <v>25</v>
      </c>
      <c r="I214" s="168" t="s">
        <v>25</v>
      </c>
      <c r="J214" s="168" t="s">
        <v>25</v>
      </c>
      <c r="K214" s="163" t="str">
        <f>VLOOKUP(C214,'Term Reference Guide'!$C:$C,1,false)</f>
        <v>GAZ:00000849</v>
      </c>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c r="BO214" s="41"/>
      <c r="BP214" s="41"/>
      <c r="BQ214" s="41"/>
      <c r="BR214" s="41"/>
      <c r="BS214" s="41"/>
      <c r="BT214" s="41"/>
      <c r="BU214" s="41"/>
      <c r="BV214" s="41"/>
      <c r="BW214" s="41"/>
      <c r="BX214" s="41"/>
      <c r="BY214" s="41"/>
      <c r="BZ214" s="41"/>
      <c r="CA214" s="41"/>
      <c r="CB214" s="41"/>
      <c r="CC214" s="41"/>
      <c r="CD214" s="41"/>
      <c r="CE214" s="41"/>
      <c r="CF214" s="41"/>
      <c r="CG214" s="41"/>
      <c r="CH214" s="41"/>
      <c r="CI214" s="41"/>
      <c r="CJ214" s="41"/>
      <c r="CK214" s="41"/>
      <c r="CL214" s="41"/>
      <c r="CM214" s="41"/>
      <c r="CN214" s="41"/>
      <c r="CO214" s="41"/>
      <c r="CP214" s="41"/>
      <c r="CQ214" s="41"/>
      <c r="CR214" s="41"/>
      <c r="CS214" s="41"/>
    </row>
    <row r="215" hidden="1">
      <c r="A215" s="31" t="s">
        <v>109</v>
      </c>
      <c r="B215" s="172" t="s">
        <v>1694</v>
      </c>
      <c r="C215" s="41" t="s">
        <v>1695</v>
      </c>
      <c r="D215" s="45" t="s">
        <v>1696</v>
      </c>
      <c r="E215" s="41"/>
      <c r="F215" s="168"/>
      <c r="G215" s="168"/>
      <c r="H215" s="168" t="s">
        <v>25</v>
      </c>
      <c r="I215" s="168" t="s">
        <v>25</v>
      </c>
      <c r="J215" s="168" t="s">
        <v>25</v>
      </c>
      <c r="K215" s="163" t="str">
        <f>VLOOKUP(C215,'Term Reference Guide'!$C:$C,1,false)</f>
        <v>GAZ:00006906</v>
      </c>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41"/>
      <c r="BO215" s="41"/>
      <c r="BP215" s="41"/>
      <c r="BQ215" s="41"/>
      <c r="BR215" s="41"/>
      <c r="BS215" s="41"/>
      <c r="BT215" s="41"/>
      <c r="BU215" s="41"/>
      <c r="BV215" s="41"/>
      <c r="BW215" s="41"/>
      <c r="BX215" s="41"/>
      <c r="BY215" s="41"/>
      <c r="BZ215" s="41"/>
      <c r="CA215" s="41"/>
      <c r="CB215" s="41"/>
      <c r="CC215" s="41"/>
      <c r="CD215" s="41"/>
      <c r="CE215" s="41"/>
      <c r="CF215" s="41"/>
      <c r="CG215" s="41"/>
      <c r="CH215" s="41"/>
      <c r="CI215" s="41"/>
      <c r="CJ215" s="41"/>
      <c r="CK215" s="41"/>
      <c r="CL215" s="41"/>
      <c r="CM215" s="41"/>
      <c r="CN215" s="41"/>
      <c r="CO215" s="41"/>
      <c r="CP215" s="41"/>
      <c r="CQ215" s="41"/>
      <c r="CR215" s="41"/>
      <c r="CS215" s="41"/>
    </row>
    <row r="216" hidden="1">
      <c r="A216" s="31" t="s">
        <v>109</v>
      </c>
      <c r="B216" s="172" t="s">
        <v>1697</v>
      </c>
      <c r="C216" s="41" t="s">
        <v>1698</v>
      </c>
      <c r="D216" s="45" t="s">
        <v>1699</v>
      </c>
      <c r="E216" s="41"/>
      <c r="F216" s="168"/>
      <c r="G216" s="168"/>
      <c r="H216" s="168" t="s">
        <v>25</v>
      </c>
      <c r="I216" s="168" t="s">
        <v>25</v>
      </c>
      <c r="J216" s="168" t="s">
        <v>25</v>
      </c>
      <c r="K216" s="163" t="str">
        <f>VLOOKUP(C216,'Term Reference Guide'!$C:$C,1,false)</f>
        <v>GAZ:00006909</v>
      </c>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c r="BO216" s="41"/>
      <c r="BP216" s="41"/>
      <c r="BQ216" s="41"/>
      <c r="BR216" s="41"/>
      <c r="BS216" s="41"/>
      <c r="BT216" s="41"/>
      <c r="BU216" s="41"/>
      <c r="BV216" s="41"/>
      <c r="BW216" s="41"/>
      <c r="BX216" s="41"/>
      <c r="BY216" s="41"/>
      <c r="BZ216" s="41"/>
      <c r="CA216" s="41"/>
      <c r="CB216" s="41"/>
      <c r="CC216" s="41"/>
      <c r="CD216" s="41"/>
      <c r="CE216" s="41"/>
      <c r="CF216" s="41"/>
      <c r="CG216" s="41"/>
      <c r="CH216" s="41"/>
      <c r="CI216" s="41"/>
      <c r="CJ216" s="41"/>
      <c r="CK216" s="41"/>
      <c r="CL216" s="41"/>
      <c r="CM216" s="41"/>
      <c r="CN216" s="41"/>
      <c r="CO216" s="41"/>
      <c r="CP216" s="41"/>
      <c r="CQ216" s="41"/>
      <c r="CR216" s="41"/>
      <c r="CS216" s="41"/>
    </row>
    <row r="217" hidden="1">
      <c r="A217" s="31" t="s">
        <v>109</v>
      </c>
      <c r="B217" s="172" t="s">
        <v>1700</v>
      </c>
      <c r="C217" s="41" t="s">
        <v>1701</v>
      </c>
      <c r="D217" s="45" t="s">
        <v>1702</v>
      </c>
      <c r="E217" s="41"/>
      <c r="F217" s="168"/>
      <c r="G217" s="168"/>
      <c r="H217" s="168" t="s">
        <v>25</v>
      </c>
      <c r="I217" s="168" t="s">
        <v>25</v>
      </c>
      <c r="J217" s="168" t="s">
        <v>25</v>
      </c>
      <c r="K217" s="163" t="str">
        <f>VLOOKUP(C217,'Term Reference Guide'!$C:$C,1,false)</f>
        <v>GAZ:00003942</v>
      </c>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41"/>
      <c r="BO217" s="41"/>
      <c r="BP217" s="41"/>
      <c r="BQ217" s="41"/>
      <c r="BR217" s="41"/>
      <c r="BS217" s="41"/>
      <c r="BT217" s="41"/>
      <c r="BU217" s="41"/>
      <c r="BV217" s="41"/>
      <c r="BW217" s="41"/>
      <c r="BX217" s="41"/>
      <c r="BY217" s="41"/>
      <c r="BZ217" s="41"/>
      <c r="CA217" s="41"/>
      <c r="CB217" s="41"/>
      <c r="CC217" s="41"/>
      <c r="CD217" s="41"/>
      <c r="CE217" s="41"/>
      <c r="CF217" s="41"/>
      <c r="CG217" s="41"/>
      <c r="CH217" s="41"/>
      <c r="CI217" s="41"/>
      <c r="CJ217" s="41"/>
      <c r="CK217" s="41"/>
      <c r="CL217" s="41"/>
      <c r="CM217" s="41"/>
      <c r="CN217" s="41"/>
      <c r="CO217" s="41"/>
      <c r="CP217" s="41"/>
      <c r="CQ217" s="41"/>
      <c r="CR217" s="41"/>
      <c r="CS217" s="41"/>
    </row>
    <row r="218" hidden="1">
      <c r="A218" s="31" t="s">
        <v>109</v>
      </c>
      <c r="B218" s="172" t="s">
        <v>1703</v>
      </c>
      <c r="C218" s="41" t="s">
        <v>1704</v>
      </c>
      <c r="D218" s="45" t="s">
        <v>1705</v>
      </c>
      <c r="E218" s="41"/>
      <c r="F218" s="168"/>
      <c r="G218" s="168"/>
      <c r="H218" s="168" t="s">
        <v>25</v>
      </c>
      <c r="I218" s="168" t="s">
        <v>25</v>
      </c>
      <c r="J218" s="168" t="s">
        <v>25</v>
      </c>
      <c r="K218" s="163" t="str">
        <f>VLOOKUP(C218,'Term Reference Guide'!$C:$C,1,false)</f>
        <v>GAZ:00005841</v>
      </c>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41"/>
      <c r="BO218" s="41"/>
      <c r="BP218" s="41"/>
      <c r="BQ218" s="41"/>
      <c r="BR218" s="41"/>
      <c r="BS218" s="41"/>
      <c r="BT218" s="41"/>
      <c r="BU218" s="41"/>
      <c r="BV218" s="41"/>
      <c r="BW218" s="41"/>
      <c r="BX218" s="41"/>
      <c r="BY218" s="41"/>
      <c r="BZ218" s="41"/>
      <c r="CA218" s="41"/>
      <c r="CB218" s="41"/>
      <c r="CC218" s="41"/>
      <c r="CD218" s="41"/>
      <c r="CE218" s="41"/>
      <c r="CF218" s="41"/>
      <c r="CG218" s="41"/>
      <c r="CH218" s="41"/>
      <c r="CI218" s="41"/>
      <c r="CJ218" s="41"/>
      <c r="CK218" s="41"/>
      <c r="CL218" s="41"/>
      <c r="CM218" s="41"/>
      <c r="CN218" s="41"/>
      <c r="CO218" s="41"/>
      <c r="CP218" s="41"/>
      <c r="CQ218" s="41"/>
      <c r="CR218" s="41"/>
      <c r="CS218" s="41"/>
    </row>
    <row r="219" hidden="1">
      <c r="A219" s="31" t="s">
        <v>109</v>
      </c>
      <c r="B219" s="172" t="s">
        <v>1706</v>
      </c>
      <c r="C219" s="41" t="s">
        <v>1707</v>
      </c>
      <c r="D219" s="45" t="s">
        <v>1708</v>
      </c>
      <c r="E219" s="41"/>
      <c r="F219" s="168"/>
      <c r="G219" s="168"/>
      <c r="H219" s="168" t="s">
        <v>25</v>
      </c>
      <c r="I219" s="168" t="s">
        <v>25</v>
      </c>
      <c r="J219" s="168" t="s">
        <v>25</v>
      </c>
      <c r="K219" s="163" t="str">
        <f>VLOOKUP(C219,'Term Reference Guide'!$C:$C,1,false)</f>
        <v>GAZ:02000565</v>
      </c>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41"/>
      <c r="BO219" s="41"/>
      <c r="BP219" s="41"/>
      <c r="BQ219" s="41"/>
      <c r="BR219" s="41"/>
      <c r="BS219" s="41"/>
      <c r="BT219" s="41"/>
      <c r="BU219" s="41"/>
      <c r="BV219" s="41"/>
      <c r="BW219" s="41"/>
      <c r="BX219" s="41"/>
      <c r="BY219" s="41"/>
      <c r="BZ219" s="41"/>
      <c r="CA219" s="41"/>
      <c r="CB219" s="41"/>
      <c r="CC219" s="41"/>
      <c r="CD219" s="41"/>
      <c r="CE219" s="41"/>
      <c r="CF219" s="41"/>
      <c r="CG219" s="41"/>
      <c r="CH219" s="41"/>
      <c r="CI219" s="41"/>
      <c r="CJ219" s="41"/>
      <c r="CK219" s="41"/>
      <c r="CL219" s="41"/>
      <c r="CM219" s="41"/>
      <c r="CN219" s="41"/>
      <c r="CO219" s="41"/>
      <c r="CP219" s="41"/>
      <c r="CQ219" s="41"/>
      <c r="CR219" s="41"/>
      <c r="CS219" s="41"/>
    </row>
    <row r="220" hidden="1">
      <c r="A220" s="31" t="s">
        <v>109</v>
      </c>
      <c r="B220" s="172" t="s">
        <v>1709</v>
      </c>
      <c r="C220" s="41" t="s">
        <v>1710</v>
      </c>
      <c r="D220" s="45" t="s">
        <v>1711</v>
      </c>
      <c r="E220" s="41"/>
      <c r="F220" s="168"/>
      <c r="G220" s="168"/>
      <c r="H220" s="168" t="s">
        <v>25</v>
      </c>
      <c r="I220" s="168" t="s">
        <v>25</v>
      </c>
      <c r="J220" s="168" t="s">
        <v>25</v>
      </c>
      <c r="K220" s="163" t="str">
        <f>VLOOKUP(C220,'Term Reference Guide'!$C:$C,1,false)</f>
        <v>GAZ:00006910</v>
      </c>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41"/>
      <c r="BO220" s="41"/>
      <c r="BP220" s="41"/>
      <c r="BQ220" s="41"/>
      <c r="BR220" s="41"/>
      <c r="BS220" s="41"/>
      <c r="BT220" s="41"/>
      <c r="BU220" s="41"/>
      <c r="BV220" s="41"/>
      <c r="BW220" s="41"/>
      <c r="BX220" s="41"/>
      <c r="BY220" s="41"/>
      <c r="BZ220" s="41"/>
      <c r="CA220" s="41"/>
      <c r="CB220" s="41"/>
      <c r="CC220" s="41"/>
      <c r="CD220" s="41"/>
      <c r="CE220" s="41"/>
      <c r="CF220" s="41"/>
      <c r="CG220" s="41"/>
      <c r="CH220" s="41"/>
      <c r="CI220" s="41"/>
      <c r="CJ220" s="41"/>
      <c r="CK220" s="41"/>
      <c r="CL220" s="41"/>
      <c r="CM220" s="41"/>
      <c r="CN220" s="41"/>
      <c r="CO220" s="41"/>
      <c r="CP220" s="41"/>
      <c r="CQ220" s="41"/>
      <c r="CR220" s="41"/>
      <c r="CS220" s="41"/>
    </row>
    <row r="221" hidden="1">
      <c r="A221" s="31" t="s">
        <v>109</v>
      </c>
      <c r="B221" s="41" t="s">
        <v>1712</v>
      </c>
      <c r="C221" s="41" t="s">
        <v>1713</v>
      </c>
      <c r="D221" s="45" t="s">
        <v>1714</v>
      </c>
      <c r="E221" s="41"/>
      <c r="F221" s="168"/>
      <c r="G221" s="168"/>
      <c r="H221" s="168" t="s">
        <v>25</v>
      </c>
      <c r="I221" s="168" t="s">
        <v>25</v>
      </c>
      <c r="J221" s="168" t="s">
        <v>25</v>
      </c>
      <c r="K221" s="163" t="str">
        <f>VLOOKUP(C221,'Term Reference Guide'!$C:$C,1,false)</f>
        <v>GAZ:00003102</v>
      </c>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c r="BP221" s="41"/>
      <c r="BQ221" s="41"/>
      <c r="BR221" s="41"/>
      <c r="BS221" s="41"/>
      <c r="BT221" s="41"/>
      <c r="BU221" s="41"/>
      <c r="BV221" s="41"/>
      <c r="BW221" s="41"/>
      <c r="BX221" s="41"/>
      <c r="BY221" s="41"/>
      <c r="BZ221" s="41"/>
      <c r="CA221" s="41"/>
      <c r="CB221" s="41"/>
      <c r="CC221" s="41"/>
      <c r="CD221" s="41"/>
      <c r="CE221" s="41"/>
      <c r="CF221" s="41"/>
      <c r="CG221" s="41"/>
      <c r="CH221" s="41"/>
      <c r="CI221" s="41"/>
      <c r="CJ221" s="41"/>
      <c r="CK221" s="41"/>
      <c r="CL221" s="41"/>
      <c r="CM221" s="41"/>
      <c r="CN221" s="41"/>
      <c r="CO221" s="41"/>
      <c r="CP221" s="41"/>
      <c r="CQ221" s="41"/>
      <c r="CR221" s="41"/>
      <c r="CS221" s="41"/>
    </row>
    <row r="222" hidden="1">
      <c r="A222" s="31" t="s">
        <v>109</v>
      </c>
      <c r="B222" s="41" t="s">
        <v>1715</v>
      </c>
      <c r="C222" s="41" t="s">
        <v>1716</v>
      </c>
      <c r="D222" s="45" t="s">
        <v>1717</v>
      </c>
      <c r="E222" s="41"/>
      <c r="F222" s="168"/>
      <c r="G222" s="168"/>
      <c r="H222" s="168" t="s">
        <v>25</v>
      </c>
      <c r="I222" s="168" t="s">
        <v>25</v>
      </c>
      <c r="J222" s="168" t="s">
        <v>25</v>
      </c>
      <c r="K222" s="163" t="str">
        <f>VLOOKUP(C222,'Term Reference Guide'!$C:$C,1,false)</f>
        <v>GAZ:00006927</v>
      </c>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c r="BP222" s="41"/>
      <c r="BQ222" s="41"/>
      <c r="BR222" s="41"/>
      <c r="BS222" s="41"/>
      <c r="BT222" s="41"/>
      <c r="BU222" s="41"/>
      <c r="BV222" s="41"/>
      <c r="BW222" s="41"/>
      <c r="BX222" s="41"/>
      <c r="BY222" s="41"/>
      <c r="BZ222" s="41"/>
      <c r="CA222" s="41"/>
      <c r="CB222" s="41"/>
      <c r="CC222" s="41"/>
      <c r="CD222" s="41"/>
      <c r="CE222" s="41"/>
      <c r="CF222" s="41"/>
      <c r="CG222" s="41"/>
      <c r="CH222" s="41"/>
      <c r="CI222" s="41"/>
      <c r="CJ222" s="41"/>
      <c r="CK222" s="41"/>
      <c r="CL222" s="41"/>
      <c r="CM222" s="41"/>
      <c r="CN222" s="41"/>
      <c r="CO222" s="41"/>
      <c r="CP222" s="41"/>
      <c r="CQ222" s="41"/>
      <c r="CR222" s="41"/>
      <c r="CS222" s="41"/>
    </row>
    <row r="223" hidden="1">
      <c r="A223" s="31" t="s">
        <v>109</v>
      </c>
      <c r="B223" s="41" t="s">
        <v>1718</v>
      </c>
      <c r="C223" s="41" t="s">
        <v>1719</v>
      </c>
      <c r="D223" s="45" t="s">
        <v>1720</v>
      </c>
      <c r="E223" s="41"/>
      <c r="F223" s="168"/>
      <c r="G223" s="168"/>
      <c r="H223" s="168" t="s">
        <v>25</v>
      </c>
      <c r="I223" s="168" t="s">
        <v>25</v>
      </c>
      <c r="J223" s="168" t="s">
        <v>25</v>
      </c>
      <c r="K223" s="163" t="str">
        <f>VLOOKUP(C223,'Term Reference Guide'!$C:$C,1,false)</f>
        <v>GAZ:00005279</v>
      </c>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c r="BP223" s="41"/>
      <c r="BQ223" s="41"/>
      <c r="BR223" s="41"/>
      <c r="BS223" s="41"/>
      <c r="BT223" s="41"/>
      <c r="BU223" s="41"/>
      <c r="BV223" s="41"/>
      <c r="BW223" s="41"/>
      <c r="BX223" s="41"/>
      <c r="BY223" s="41"/>
      <c r="BZ223" s="41"/>
      <c r="CA223" s="41"/>
      <c r="CB223" s="41"/>
      <c r="CC223" s="41"/>
      <c r="CD223" s="41"/>
      <c r="CE223" s="41"/>
      <c r="CF223" s="41"/>
      <c r="CG223" s="41"/>
      <c r="CH223" s="41"/>
      <c r="CI223" s="41"/>
      <c r="CJ223" s="41"/>
      <c r="CK223" s="41"/>
      <c r="CL223" s="41"/>
      <c r="CM223" s="41"/>
      <c r="CN223" s="41"/>
      <c r="CO223" s="41"/>
      <c r="CP223" s="41"/>
      <c r="CQ223" s="41"/>
      <c r="CR223" s="41"/>
      <c r="CS223" s="41"/>
    </row>
    <row r="224" hidden="1">
      <c r="A224" s="31" t="s">
        <v>109</v>
      </c>
      <c r="B224" s="41" t="s">
        <v>1721</v>
      </c>
      <c r="C224" s="41" t="s">
        <v>1722</v>
      </c>
      <c r="D224" s="45" t="s">
        <v>1723</v>
      </c>
      <c r="E224" s="41"/>
      <c r="F224" s="168"/>
      <c r="G224" s="168"/>
      <c r="H224" s="168" t="s">
        <v>25</v>
      </c>
      <c r="I224" s="168" t="s">
        <v>25</v>
      </c>
      <c r="J224" s="168" t="s">
        <v>25</v>
      </c>
      <c r="K224" s="163" t="str">
        <f>VLOOKUP(C224,'Term Reference Guide'!$C:$C,1,false)</f>
        <v>GAZ:00000913</v>
      </c>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c r="BP224" s="41"/>
      <c r="BQ224" s="41"/>
      <c r="BR224" s="41"/>
      <c r="BS224" s="41"/>
      <c r="BT224" s="41"/>
      <c r="BU224" s="41"/>
      <c r="BV224" s="41"/>
      <c r="BW224" s="41"/>
      <c r="BX224" s="41"/>
      <c r="BY224" s="41"/>
      <c r="BZ224" s="41"/>
      <c r="CA224" s="41"/>
      <c r="CB224" s="41"/>
      <c r="CC224" s="41"/>
      <c r="CD224" s="41"/>
      <c r="CE224" s="41"/>
      <c r="CF224" s="41"/>
      <c r="CG224" s="41"/>
      <c r="CH224" s="41"/>
      <c r="CI224" s="41"/>
      <c r="CJ224" s="41"/>
      <c r="CK224" s="41"/>
      <c r="CL224" s="41"/>
      <c r="CM224" s="41"/>
      <c r="CN224" s="41"/>
      <c r="CO224" s="41"/>
      <c r="CP224" s="41"/>
      <c r="CQ224" s="41"/>
      <c r="CR224" s="41"/>
      <c r="CS224" s="41"/>
    </row>
    <row r="225" hidden="1">
      <c r="A225" s="31" t="s">
        <v>109</v>
      </c>
      <c r="B225" s="41" t="s">
        <v>1724</v>
      </c>
      <c r="C225" s="41" t="s">
        <v>1725</v>
      </c>
      <c r="D225" s="45" t="s">
        <v>1726</v>
      </c>
      <c r="E225" s="41"/>
      <c r="F225" s="168"/>
      <c r="G225" s="168"/>
      <c r="H225" s="168" t="s">
        <v>25</v>
      </c>
      <c r="I225" s="168" t="s">
        <v>25</v>
      </c>
      <c r="J225" s="168" t="s">
        <v>25</v>
      </c>
      <c r="K225" s="163" t="str">
        <f>VLOOKUP(C225,'Term Reference Guide'!$C:$C,1,false)</f>
        <v>GAZ:00002957</v>
      </c>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c r="BP225" s="41"/>
      <c r="BQ225" s="41"/>
      <c r="BR225" s="41"/>
      <c r="BS225" s="41"/>
      <c r="BT225" s="41"/>
      <c r="BU225" s="41"/>
      <c r="BV225" s="41"/>
      <c r="BW225" s="41"/>
      <c r="BX225" s="41"/>
      <c r="BY225" s="41"/>
      <c r="BZ225" s="41"/>
      <c r="CA225" s="41"/>
      <c r="CB225" s="41"/>
      <c r="CC225" s="41"/>
      <c r="CD225" s="41"/>
      <c r="CE225" s="41"/>
      <c r="CF225" s="41"/>
      <c r="CG225" s="41"/>
      <c r="CH225" s="41"/>
      <c r="CI225" s="41"/>
      <c r="CJ225" s="41"/>
      <c r="CK225" s="41"/>
      <c r="CL225" s="41"/>
      <c r="CM225" s="41"/>
      <c r="CN225" s="41"/>
      <c r="CO225" s="41"/>
      <c r="CP225" s="41"/>
      <c r="CQ225" s="41"/>
      <c r="CR225" s="41"/>
      <c r="CS225" s="41"/>
    </row>
    <row r="226" hidden="1">
      <c r="A226" s="31" t="s">
        <v>109</v>
      </c>
      <c r="B226" s="41" t="s">
        <v>1727</v>
      </c>
      <c r="C226" s="41" t="s">
        <v>1728</v>
      </c>
      <c r="D226" s="45" t="s">
        <v>1729</v>
      </c>
      <c r="E226" s="41"/>
      <c r="F226" s="168"/>
      <c r="G226" s="168"/>
      <c r="H226" s="168" t="s">
        <v>25</v>
      </c>
      <c r="I226" s="168" t="s">
        <v>25</v>
      </c>
      <c r="J226" s="168" t="s">
        <v>25</v>
      </c>
      <c r="K226" s="163" t="str">
        <f>VLOOKUP(C226,'Term Reference Guide'!$C:$C,1,false)</f>
        <v>GAZ:00006922</v>
      </c>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c r="BP226" s="41"/>
      <c r="BQ226" s="41"/>
      <c r="BR226" s="41"/>
      <c r="BS226" s="41"/>
      <c r="BT226" s="41"/>
      <c r="BU226" s="41"/>
      <c r="BV226" s="41"/>
      <c r="BW226" s="41"/>
      <c r="BX226" s="41"/>
      <c r="BY226" s="41"/>
      <c r="BZ226" s="41"/>
      <c r="CA226" s="41"/>
      <c r="CB226" s="41"/>
      <c r="CC226" s="41"/>
      <c r="CD226" s="41"/>
      <c r="CE226" s="41"/>
      <c r="CF226" s="41"/>
      <c r="CG226" s="41"/>
      <c r="CH226" s="41"/>
      <c r="CI226" s="41"/>
      <c r="CJ226" s="41"/>
      <c r="CK226" s="41"/>
      <c r="CL226" s="41"/>
      <c r="CM226" s="41"/>
      <c r="CN226" s="41"/>
      <c r="CO226" s="41"/>
      <c r="CP226" s="41"/>
      <c r="CQ226" s="41"/>
      <c r="CR226" s="41"/>
      <c r="CS226" s="41"/>
    </row>
    <row r="227" hidden="1">
      <c r="A227" s="31" t="s">
        <v>109</v>
      </c>
      <c r="B227" s="41" t="s">
        <v>1730</v>
      </c>
      <c r="C227" s="41" t="s">
        <v>1731</v>
      </c>
      <c r="D227" s="45" t="s">
        <v>1732</v>
      </c>
      <c r="E227" s="41"/>
      <c r="F227" s="168"/>
      <c r="G227" s="168"/>
      <c r="H227" s="168" t="s">
        <v>25</v>
      </c>
      <c r="I227" s="168" t="s">
        <v>25</v>
      </c>
      <c r="J227" s="168" t="s">
        <v>25</v>
      </c>
      <c r="K227" s="163" t="str">
        <f>VLOOKUP(C227,'Term Reference Guide'!$C:$C,1,false)</f>
        <v>GAZ:00000914</v>
      </c>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c r="BP227" s="41"/>
      <c r="BQ227" s="41"/>
      <c r="BR227" s="41"/>
      <c r="BS227" s="41"/>
      <c r="BT227" s="41"/>
      <c r="BU227" s="41"/>
      <c r="BV227" s="41"/>
      <c r="BW227" s="41"/>
      <c r="BX227" s="41"/>
      <c r="BY227" s="41"/>
      <c r="BZ227" s="41"/>
      <c r="CA227" s="41"/>
      <c r="CB227" s="41"/>
      <c r="CC227" s="41"/>
      <c r="CD227" s="41"/>
      <c r="CE227" s="41"/>
      <c r="CF227" s="41"/>
      <c r="CG227" s="41"/>
      <c r="CH227" s="41"/>
      <c r="CI227" s="41"/>
      <c r="CJ227" s="41"/>
      <c r="CK227" s="41"/>
      <c r="CL227" s="41"/>
      <c r="CM227" s="41"/>
      <c r="CN227" s="41"/>
      <c r="CO227" s="41"/>
      <c r="CP227" s="41"/>
      <c r="CQ227" s="41"/>
      <c r="CR227" s="41"/>
      <c r="CS227" s="41"/>
    </row>
    <row r="228" hidden="1">
      <c r="A228" s="31" t="s">
        <v>109</v>
      </c>
      <c r="B228" s="41" t="s">
        <v>1733</v>
      </c>
      <c r="C228" s="41" t="s">
        <v>1734</v>
      </c>
      <c r="D228" s="45" t="s">
        <v>1735</v>
      </c>
      <c r="E228" s="41"/>
      <c r="F228" s="168"/>
      <c r="G228" s="168"/>
      <c r="H228" s="168" t="s">
        <v>25</v>
      </c>
      <c r="I228" s="168" t="s">
        <v>25</v>
      </c>
      <c r="J228" s="168" t="s">
        <v>25</v>
      </c>
      <c r="K228" s="163" t="str">
        <f>VLOOKUP(C228,'Term Reference Guide'!$C:$C,1,false)</f>
        <v>GAZ:00003923</v>
      </c>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c r="BP228" s="41"/>
      <c r="BQ228" s="41"/>
      <c r="BR228" s="41"/>
      <c r="BS228" s="41"/>
      <c r="BT228" s="41"/>
      <c r="BU228" s="41"/>
      <c r="BV228" s="41"/>
      <c r="BW228" s="41"/>
      <c r="BX228" s="41"/>
      <c r="BY228" s="41"/>
      <c r="BZ228" s="41"/>
      <c r="CA228" s="41"/>
      <c r="CB228" s="41"/>
      <c r="CC228" s="41"/>
      <c r="CD228" s="41"/>
      <c r="CE228" s="41"/>
      <c r="CF228" s="41"/>
      <c r="CG228" s="41"/>
      <c r="CH228" s="41"/>
      <c r="CI228" s="41"/>
      <c r="CJ228" s="41"/>
      <c r="CK228" s="41"/>
      <c r="CL228" s="41"/>
      <c r="CM228" s="41"/>
      <c r="CN228" s="41"/>
      <c r="CO228" s="41"/>
      <c r="CP228" s="41"/>
      <c r="CQ228" s="41"/>
      <c r="CR228" s="41"/>
      <c r="CS228" s="41"/>
    </row>
    <row r="229" hidden="1">
      <c r="A229" s="31" t="s">
        <v>109</v>
      </c>
      <c r="B229" s="41" t="s">
        <v>1736</v>
      </c>
      <c r="C229" s="41" t="s">
        <v>1737</v>
      </c>
      <c r="D229" s="45" t="s">
        <v>1738</v>
      </c>
      <c r="E229" s="41"/>
      <c r="F229" s="168"/>
      <c r="G229" s="168"/>
      <c r="H229" s="168" t="s">
        <v>25</v>
      </c>
      <c r="I229" s="168" t="s">
        <v>25</v>
      </c>
      <c r="J229" s="168" t="s">
        <v>25</v>
      </c>
      <c r="K229" s="163" t="str">
        <f>VLOOKUP(C229,'Term Reference Guide'!$C:$C,1,false)</f>
        <v>GAZ:00012579</v>
      </c>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c r="BP229" s="41"/>
      <c r="BQ229" s="41"/>
      <c r="BR229" s="41"/>
      <c r="BS229" s="41"/>
      <c r="BT229" s="41"/>
      <c r="BU229" s="41"/>
      <c r="BV229" s="41"/>
      <c r="BW229" s="41"/>
      <c r="BX229" s="41"/>
      <c r="BY229" s="41"/>
      <c r="BZ229" s="41"/>
      <c r="CA229" s="41"/>
      <c r="CB229" s="41"/>
      <c r="CC229" s="41"/>
      <c r="CD229" s="41"/>
      <c r="CE229" s="41"/>
      <c r="CF229" s="41"/>
      <c r="CG229" s="41"/>
      <c r="CH229" s="41"/>
      <c r="CI229" s="41"/>
      <c r="CJ229" s="41"/>
      <c r="CK229" s="41"/>
      <c r="CL229" s="41"/>
      <c r="CM229" s="41"/>
      <c r="CN229" s="41"/>
      <c r="CO229" s="41"/>
      <c r="CP229" s="41"/>
      <c r="CQ229" s="41"/>
      <c r="CR229" s="41"/>
      <c r="CS229" s="41"/>
    </row>
    <row r="230" hidden="1">
      <c r="A230" s="31" t="s">
        <v>109</v>
      </c>
      <c r="B230" s="41" t="s">
        <v>1739</v>
      </c>
      <c r="C230" s="41" t="s">
        <v>1740</v>
      </c>
      <c r="D230" s="45" t="s">
        <v>1741</v>
      </c>
      <c r="E230" s="41"/>
      <c r="F230" s="168"/>
      <c r="G230" s="168"/>
      <c r="H230" s="168" t="s">
        <v>25</v>
      </c>
      <c r="I230" s="168" t="s">
        <v>25</v>
      </c>
      <c r="J230" s="168" t="s">
        <v>25</v>
      </c>
      <c r="K230" s="163" t="str">
        <f>VLOOKUP(C230,'Term Reference Guide'!$C:$C,1,false)</f>
        <v>GAZ:00002956</v>
      </c>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c r="BP230" s="41"/>
      <c r="BQ230" s="41"/>
      <c r="BR230" s="41"/>
      <c r="BS230" s="41"/>
      <c r="BT230" s="41"/>
      <c r="BU230" s="41"/>
      <c r="BV230" s="41"/>
      <c r="BW230" s="41"/>
      <c r="BX230" s="41"/>
      <c r="BY230" s="41"/>
      <c r="BZ230" s="41"/>
      <c r="CA230" s="41"/>
      <c r="CB230" s="41"/>
      <c r="CC230" s="41"/>
      <c r="CD230" s="41"/>
      <c r="CE230" s="41"/>
      <c r="CF230" s="41"/>
      <c r="CG230" s="41"/>
      <c r="CH230" s="41"/>
      <c r="CI230" s="41"/>
      <c r="CJ230" s="41"/>
      <c r="CK230" s="41"/>
      <c r="CL230" s="41"/>
      <c r="CM230" s="41"/>
      <c r="CN230" s="41"/>
      <c r="CO230" s="41"/>
      <c r="CP230" s="41"/>
      <c r="CQ230" s="41"/>
      <c r="CR230" s="41"/>
      <c r="CS230" s="41"/>
    </row>
    <row r="231" hidden="1">
      <c r="A231" s="31" t="s">
        <v>109</v>
      </c>
      <c r="B231" s="41" t="s">
        <v>1742</v>
      </c>
      <c r="C231" s="41" t="s">
        <v>1743</v>
      </c>
      <c r="D231" s="45" t="s">
        <v>1744</v>
      </c>
      <c r="E231" s="41"/>
      <c r="F231" s="168"/>
      <c r="G231" s="168"/>
      <c r="H231" s="168" t="s">
        <v>25</v>
      </c>
      <c r="I231" s="168" t="s">
        <v>25</v>
      </c>
      <c r="J231" s="168" t="s">
        <v>25</v>
      </c>
      <c r="K231" s="163" t="str">
        <f>VLOOKUP(C231,'Term Reference Guide'!$C:$C,1,false)</f>
        <v>GAZ:00002955</v>
      </c>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c r="BP231" s="41"/>
      <c r="BQ231" s="41"/>
      <c r="BR231" s="41"/>
      <c r="BS231" s="41"/>
      <c r="BT231" s="41"/>
      <c r="BU231" s="41"/>
      <c r="BV231" s="41"/>
      <c r="BW231" s="41"/>
      <c r="BX231" s="41"/>
      <c r="BY231" s="41"/>
      <c r="BZ231" s="41"/>
      <c r="CA231" s="41"/>
      <c r="CB231" s="41"/>
      <c r="CC231" s="41"/>
      <c r="CD231" s="41"/>
      <c r="CE231" s="41"/>
      <c r="CF231" s="41"/>
      <c r="CG231" s="41"/>
      <c r="CH231" s="41"/>
      <c r="CI231" s="41"/>
      <c r="CJ231" s="41"/>
      <c r="CK231" s="41"/>
      <c r="CL231" s="41"/>
      <c r="CM231" s="41"/>
      <c r="CN231" s="41"/>
      <c r="CO231" s="41"/>
      <c r="CP231" s="41"/>
      <c r="CQ231" s="41"/>
      <c r="CR231" s="41"/>
      <c r="CS231" s="41"/>
    </row>
    <row r="232" hidden="1">
      <c r="A232" s="31" t="s">
        <v>109</v>
      </c>
      <c r="B232" s="41" t="s">
        <v>1745</v>
      </c>
      <c r="C232" s="41" t="s">
        <v>1746</v>
      </c>
      <c r="D232" s="45" t="s">
        <v>1747</v>
      </c>
      <c r="E232" s="41"/>
      <c r="F232" s="168"/>
      <c r="G232" s="168"/>
      <c r="H232" s="168" t="s">
        <v>25</v>
      </c>
      <c r="I232" s="168" t="s">
        <v>25</v>
      </c>
      <c r="J232" s="168" t="s">
        <v>25</v>
      </c>
      <c r="K232" s="163" t="str">
        <f>VLOOKUP(C232,'Term Reference Guide'!$C:$C,1,false)</f>
        <v>GAZ:00005275</v>
      </c>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c r="BP232" s="41"/>
      <c r="BQ232" s="41"/>
      <c r="BR232" s="41"/>
      <c r="BS232" s="41"/>
      <c r="BT232" s="41"/>
      <c r="BU232" s="41"/>
      <c r="BV232" s="41"/>
      <c r="BW232" s="41"/>
      <c r="BX232" s="41"/>
      <c r="BY232" s="41"/>
      <c r="BZ232" s="41"/>
      <c r="CA232" s="41"/>
      <c r="CB232" s="41"/>
      <c r="CC232" s="41"/>
      <c r="CD232" s="41"/>
      <c r="CE232" s="41"/>
      <c r="CF232" s="41"/>
      <c r="CG232" s="41"/>
      <c r="CH232" s="41"/>
      <c r="CI232" s="41"/>
      <c r="CJ232" s="41"/>
      <c r="CK232" s="41"/>
      <c r="CL232" s="41"/>
      <c r="CM232" s="41"/>
      <c r="CN232" s="41"/>
      <c r="CO232" s="41"/>
      <c r="CP232" s="41"/>
      <c r="CQ232" s="41"/>
      <c r="CR232" s="41"/>
      <c r="CS232" s="41"/>
    </row>
    <row r="233" hidden="1">
      <c r="A233" s="31" t="s">
        <v>109</v>
      </c>
      <c r="B233" s="41" t="s">
        <v>1748</v>
      </c>
      <c r="C233" s="41" t="s">
        <v>1749</v>
      </c>
      <c r="D233" s="45" t="s">
        <v>1750</v>
      </c>
      <c r="E233" s="41"/>
      <c r="F233" s="168"/>
      <c r="G233" s="168"/>
      <c r="H233" s="168" t="s">
        <v>25</v>
      </c>
      <c r="I233" s="168" t="s">
        <v>25</v>
      </c>
      <c r="J233" s="168" t="s">
        <v>25</v>
      </c>
      <c r="K233" s="163" t="str">
        <f>VLOOKUP(C233,'Term Reference Guide'!$C:$C,1,false)</f>
        <v>GAZ:00001104</v>
      </c>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c r="BP233" s="41"/>
      <c r="BQ233" s="41"/>
      <c r="BR233" s="41"/>
      <c r="BS233" s="41"/>
      <c r="BT233" s="41"/>
      <c r="BU233" s="41"/>
      <c r="BV233" s="41"/>
      <c r="BW233" s="41"/>
      <c r="BX233" s="41"/>
      <c r="BY233" s="41"/>
      <c r="BZ233" s="41"/>
      <c r="CA233" s="41"/>
      <c r="CB233" s="41"/>
      <c r="CC233" s="41"/>
      <c r="CD233" s="41"/>
      <c r="CE233" s="41"/>
      <c r="CF233" s="41"/>
      <c r="CG233" s="41"/>
      <c r="CH233" s="41"/>
      <c r="CI233" s="41"/>
      <c r="CJ233" s="41"/>
      <c r="CK233" s="41"/>
      <c r="CL233" s="41"/>
      <c r="CM233" s="41"/>
      <c r="CN233" s="41"/>
      <c r="CO233" s="41"/>
      <c r="CP233" s="41"/>
      <c r="CQ233" s="41"/>
      <c r="CR233" s="41"/>
      <c r="CS233" s="41"/>
    </row>
    <row r="234" hidden="1">
      <c r="A234" s="31" t="s">
        <v>109</v>
      </c>
      <c r="B234" s="41" t="s">
        <v>1751</v>
      </c>
      <c r="C234" s="41" t="s">
        <v>1752</v>
      </c>
      <c r="D234" s="45" t="s">
        <v>1753</v>
      </c>
      <c r="E234" s="41"/>
      <c r="F234" s="168"/>
      <c r="G234" s="168"/>
      <c r="H234" s="168" t="s">
        <v>25</v>
      </c>
      <c r="I234" s="168" t="s">
        <v>25</v>
      </c>
      <c r="J234" s="168" t="s">
        <v>25</v>
      </c>
      <c r="K234" s="163" t="str">
        <f>VLOOKUP(C234,'Term Reference Guide'!$C:$C,1,false)</f>
        <v>GAZ:00001094</v>
      </c>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c r="BP234" s="41"/>
      <c r="BQ234" s="41"/>
      <c r="BR234" s="41"/>
      <c r="BS234" s="41"/>
      <c r="BT234" s="41"/>
      <c r="BU234" s="41"/>
      <c r="BV234" s="41"/>
      <c r="BW234" s="41"/>
      <c r="BX234" s="41"/>
      <c r="BY234" s="41"/>
      <c r="BZ234" s="41"/>
      <c r="CA234" s="41"/>
      <c r="CB234" s="41"/>
      <c r="CC234" s="41"/>
      <c r="CD234" s="41"/>
      <c r="CE234" s="41"/>
      <c r="CF234" s="41"/>
      <c r="CG234" s="41"/>
      <c r="CH234" s="41"/>
      <c r="CI234" s="41"/>
      <c r="CJ234" s="41"/>
      <c r="CK234" s="41"/>
      <c r="CL234" s="41"/>
      <c r="CM234" s="41"/>
      <c r="CN234" s="41"/>
      <c r="CO234" s="41"/>
      <c r="CP234" s="41"/>
      <c r="CQ234" s="41"/>
      <c r="CR234" s="41"/>
      <c r="CS234" s="41"/>
    </row>
    <row r="235" hidden="1">
      <c r="A235" s="31" t="s">
        <v>109</v>
      </c>
      <c r="B235" s="41" t="s">
        <v>1754</v>
      </c>
      <c r="C235" s="41" t="s">
        <v>1755</v>
      </c>
      <c r="D235" s="45" t="s">
        <v>1756</v>
      </c>
      <c r="E235" s="41"/>
      <c r="F235" s="168"/>
      <c r="G235" s="168"/>
      <c r="H235" s="168" t="s">
        <v>25</v>
      </c>
      <c r="I235" s="168" t="s">
        <v>25</v>
      </c>
      <c r="J235" s="168" t="s">
        <v>25</v>
      </c>
      <c r="K235" s="163" t="str">
        <f>VLOOKUP(C235,'Term Reference Guide'!$C:$C,1,false)</f>
        <v>GAZ:00003990</v>
      </c>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c r="BP235" s="41"/>
      <c r="BQ235" s="41"/>
      <c r="BR235" s="41"/>
      <c r="BS235" s="41"/>
      <c r="BT235" s="41"/>
      <c r="BU235" s="41"/>
      <c r="BV235" s="41"/>
      <c r="BW235" s="41"/>
      <c r="BX235" s="41"/>
      <c r="BY235" s="41"/>
      <c r="BZ235" s="41"/>
      <c r="CA235" s="41"/>
      <c r="CB235" s="41"/>
      <c r="CC235" s="41"/>
      <c r="CD235" s="41"/>
      <c r="CE235" s="41"/>
      <c r="CF235" s="41"/>
      <c r="CG235" s="41"/>
      <c r="CH235" s="41"/>
      <c r="CI235" s="41"/>
      <c r="CJ235" s="41"/>
      <c r="CK235" s="41"/>
      <c r="CL235" s="41"/>
      <c r="CM235" s="41"/>
      <c r="CN235" s="41"/>
      <c r="CO235" s="41"/>
      <c r="CP235" s="41"/>
      <c r="CQ235" s="41"/>
      <c r="CR235" s="41"/>
      <c r="CS235" s="41"/>
    </row>
    <row r="236" hidden="1">
      <c r="A236" s="31" t="s">
        <v>109</v>
      </c>
      <c r="B236" s="41" t="s">
        <v>1757</v>
      </c>
      <c r="C236" s="41" t="s">
        <v>1758</v>
      </c>
      <c r="D236" s="45" t="s">
        <v>1759</v>
      </c>
      <c r="E236" s="41"/>
      <c r="F236" s="168"/>
      <c r="G236" s="168"/>
      <c r="H236" s="168" t="s">
        <v>25</v>
      </c>
      <c r="I236" s="168" t="s">
        <v>25</v>
      </c>
      <c r="J236" s="168" t="s">
        <v>25</v>
      </c>
      <c r="K236" s="163" t="str">
        <f>VLOOKUP(C236,'Term Reference Guide'!$C:$C,1,false)</f>
        <v>GAZ:00002802</v>
      </c>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c r="BP236" s="41"/>
      <c r="BQ236" s="41"/>
      <c r="BR236" s="41"/>
      <c r="BS236" s="41"/>
      <c r="BT236" s="41"/>
      <c r="BU236" s="41"/>
      <c r="BV236" s="41"/>
      <c r="BW236" s="41"/>
      <c r="BX236" s="41"/>
      <c r="BY236" s="41"/>
      <c r="BZ236" s="41"/>
      <c r="CA236" s="41"/>
      <c r="CB236" s="41"/>
      <c r="CC236" s="41"/>
      <c r="CD236" s="41"/>
      <c r="CE236" s="41"/>
      <c r="CF236" s="41"/>
      <c r="CG236" s="41"/>
      <c r="CH236" s="41"/>
      <c r="CI236" s="41"/>
      <c r="CJ236" s="41"/>
      <c r="CK236" s="41"/>
      <c r="CL236" s="41"/>
      <c r="CM236" s="41"/>
      <c r="CN236" s="41"/>
      <c r="CO236" s="41"/>
      <c r="CP236" s="41"/>
      <c r="CQ236" s="41"/>
      <c r="CR236" s="41"/>
      <c r="CS236" s="41"/>
    </row>
    <row r="237" hidden="1">
      <c r="A237" s="31" t="s">
        <v>109</v>
      </c>
      <c r="B237" s="41" t="s">
        <v>1760</v>
      </c>
      <c r="C237" s="41" t="s">
        <v>1761</v>
      </c>
      <c r="D237" s="45" t="s">
        <v>1762</v>
      </c>
      <c r="E237" s="41"/>
      <c r="F237" s="168"/>
      <c r="G237" s="168"/>
      <c r="H237" s="168" t="s">
        <v>25</v>
      </c>
      <c r="I237" s="168" t="s">
        <v>25</v>
      </c>
      <c r="J237" s="168" t="s">
        <v>25</v>
      </c>
      <c r="K237" s="163" t="str">
        <f>VLOOKUP(C237,'Term Reference Guide'!$C:$C,1,false)</f>
        <v>GAZ:00233439</v>
      </c>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c r="BP237" s="41"/>
      <c r="BQ237" s="41"/>
      <c r="BR237" s="41"/>
      <c r="BS237" s="41"/>
      <c r="BT237" s="41"/>
      <c r="BU237" s="41"/>
      <c r="BV237" s="41"/>
      <c r="BW237" s="41"/>
      <c r="BX237" s="41"/>
      <c r="BY237" s="41"/>
      <c r="BZ237" s="41"/>
      <c r="CA237" s="41"/>
      <c r="CB237" s="41"/>
      <c r="CC237" s="41"/>
      <c r="CD237" s="41"/>
      <c r="CE237" s="41"/>
      <c r="CF237" s="41"/>
      <c r="CG237" s="41"/>
      <c r="CH237" s="41"/>
      <c r="CI237" s="41"/>
      <c r="CJ237" s="41"/>
      <c r="CK237" s="41"/>
      <c r="CL237" s="41"/>
      <c r="CM237" s="41"/>
      <c r="CN237" s="41"/>
      <c r="CO237" s="41"/>
      <c r="CP237" s="41"/>
      <c r="CQ237" s="41"/>
      <c r="CR237" s="41"/>
      <c r="CS237" s="41"/>
    </row>
    <row r="238">
      <c r="A238" s="31" t="s">
        <v>109</v>
      </c>
      <c r="B238" s="41" t="s">
        <v>1763</v>
      </c>
      <c r="C238" s="41" t="s">
        <v>1764</v>
      </c>
      <c r="D238" s="45" t="s">
        <v>1765</v>
      </c>
      <c r="E238" s="41"/>
      <c r="F238" s="168"/>
      <c r="G238" s="168"/>
      <c r="H238" s="168" t="s">
        <v>25</v>
      </c>
      <c r="I238" s="168" t="s">
        <v>25</v>
      </c>
      <c r="J238" s="168" t="s">
        <v>25</v>
      </c>
      <c r="K238" s="163" t="str">
        <f>VLOOKUP(C238,'Term Reference Guide'!$C:$C,1,false)</f>
        <v>#N/A</v>
      </c>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c r="BP238" s="41"/>
      <c r="BQ238" s="41"/>
      <c r="BR238" s="41"/>
      <c r="BS238" s="41"/>
      <c r="BT238" s="41"/>
      <c r="BU238" s="41"/>
      <c r="BV238" s="41"/>
      <c r="BW238" s="41"/>
      <c r="BX238" s="41"/>
      <c r="BY238" s="41"/>
      <c r="BZ238" s="41"/>
      <c r="CA238" s="41"/>
      <c r="CB238" s="41"/>
      <c r="CC238" s="41"/>
      <c r="CD238" s="41"/>
      <c r="CE238" s="41"/>
      <c r="CF238" s="41"/>
      <c r="CG238" s="41"/>
      <c r="CH238" s="41"/>
      <c r="CI238" s="41"/>
      <c r="CJ238" s="41"/>
      <c r="CK238" s="41"/>
      <c r="CL238" s="41"/>
      <c r="CM238" s="41"/>
      <c r="CN238" s="41"/>
      <c r="CO238" s="41"/>
      <c r="CP238" s="41"/>
      <c r="CQ238" s="41"/>
      <c r="CR238" s="41"/>
      <c r="CS238" s="41"/>
    </row>
    <row r="239" hidden="1">
      <c r="A239" s="31" t="s">
        <v>109</v>
      </c>
      <c r="B239" s="41" t="s">
        <v>1766</v>
      </c>
      <c r="C239" s="41" t="s">
        <v>1767</v>
      </c>
      <c r="D239" s="45" t="s">
        <v>1768</v>
      </c>
      <c r="E239" s="41"/>
      <c r="F239" s="168"/>
      <c r="G239" s="168"/>
      <c r="H239" s="168" t="s">
        <v>25</v>
      </c>
      <c r="I239" s="168" t="s">
        <v>25</v>
      </c>
      <c r="J239" s="168" t="s">
        <v>25</v>
      </c>
      <c r="K239" s="163" t="str">
        <f>VLOOKUP(C239,'Term Reference Guide'!$C:$C,1,false)</f>
        <v>GAZ:00010831</v>
      </c>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c r="BP239" s="41"/>
      <c r="BQ239" s="41"/>
      <c r="BR239" s="41"/>
      <c r="BS239" s="41"/>
      <c r="BT239" s="41"/>
      <c r="BU239" s="41"/>
      <c r="BV239" s="41"/>
      <c r="BW239" s="41"/>
      <c r="BX239" s="41"/>
      <c r="BY239" s="41"/>
      <c r="BZ239" s="41"/>
      <c r="CA239" s="41"/>
      <c r="CB239" s="41"/>
      <c r="CC239" s="41"/>
      <c r="CD239" s="41"/>
      <c r="CE239" s="41"/>
      <c r="CF239" s="41"/>
      <c r="CG239" s="41"/>
      <c r="CH239" s="41"/>
      <c r="CI239" s="41"/>
      <c r="CJ239" s="41"/>
      <c r="CK239" s="41"/>
      <c r="CL239" s="41"/>
      <c r="CM239" s="41"/>
      <c r="CN239" s="41"/>
      <c r="CO239" s="41"/>
      <c r="CP239" s="41"/>
      <c r="CQ239" s="41"/>
      <c r="CR239" s="41"/>
      <c r="CS239" s="41"/>
    </row>
    <row r="240" hidden="1">
      <c r="A240" s="31" t="s">
        <v>109</v>
      </c>
      <c r="B240" s="41" t="s">
        <v>1769</v>
      </c>
      <c r="C240" s="41" t="s">
        <v>1770</v>
      </c>
      <c r="D240" s="45" t="s">
        <v>1771</v>
      </c>
      <c r="E240" s="41"/>
      <c r="F240" s="168"/>
      <c r="G240" s="168"/>
      <c r="H240" s="168" t="s">
        <v>25</v>
      </c>
      <c r="I240" s="168" t="s">
        <v>25</v>
      </c>
      <c r="J240" s="168" t="s">
        <v>25</v>
      </c>
      <c r="K240" s="163" t="str">
        <f>VLOOKUP(C240,'Term Reference Guide'!$C:$C,1,false)</f>
        <v>GAZ:00003924</v>
      </c>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c r="BP240" s="41"/>
      <c r="BQ240" s="41"/>
      <c r="BR240" s="41"/>
      <c r="BS240" s="41"/>
      <c r="BT240" s="41"/>
      <c r="BU240" s="41"/>
      <c r="BV240" s="41"/>
      <c r="BW240" s="41"/>
      <c r="BX240" s="41"/>
      <c r="BY240" s="41"/>
      <c r="BZ240" s="41"/>
      <c r="CA240" s="41"/>
      <c r="CB240" s="41"/>
      <c r="CC240" s="41"/>
      <c r="CD240" s="41"/>
      <c r="CE240" s="41"/>
      <c r="CF240" s="41"/>
      <c r="CG240" s="41"/>
      <c r="CH240" s="41"/>
      <c r="CI240" s="41"/>
      <c r="CJ240" s="41"/>
      <c r="CK240" s="41"/>
      <c r="CL240" s="41"/>
      <c r="CM240" s="41"/>
      <c r="CN240" s="41"/>
      <c r="CO240" s="41"/>
      <c r="CP240" s="41"/>
      <c r="CQ240" s="41"/>
      <c r="CR240" s="41"/>
      <c r="CS240" s="41"/>
    </row>
    <row r="241" hidden="1">
      <c r="A241" s="31" t="s">
        <v>109</v>
      </c>
      <c r="B241" s="41" t="s">
        <v>1772</v>
      </c>
      <c r="C241" s="41" t="s">
        <v>1773</v>
      </c>
      <c r="D241" s="45" t="s">
        <v>1774</v>
      </c>
      <c r="E241" s="41"/>
      <c r="F241" s="168"/>
      <c r="G241" s="168"/>
      <c r="H241" s="168" t="s">
        <v>25</v>
      </c>
      <c r="I241" s="168" t="s">
        <v>25</v>
      </c>
      <c r="J241" s="168" t="s">
        <v>25</v>
      </c>
      <c r="K241" s="163" t="str">
        <f>VLOOKUP(C241,'Term Reference Guide'!$C:$C,1,false)</f>
        <v>GAZ:00002475</v>
      </c>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c r="BP241" s="41"/>
      <c r="BQ241" s="41"/>
      <c r="BR241" s="41"/>
      <c r="BS241" s="41"/>
      <c r="BT241" s="41"/>
      <c r="BU241" s="41"/>
      <c r="BV241" s="41"/>
      <c r="BW241" s="41"/>
      <c r="BX241" s="41"/>
      <c r="BY241" s="41"/>
      <c r="BZ241" s="41"/>
      <c r="CA241" s="41"/>
      <c r="CB241" s="41"/>
      <c r="CC241" s="41"/>
      <c r="CD241" s="41"/>
      <c r="CE241" s="41"/>
      <c r="CF241" s="41"/>
      <c r="CG241" s="41"/>
      <c r="CH241" s="41"/>
      <c r="CI241" s="41"/>
      <c r="CJ241" s="41"/>
      <c r="CK241" s="41"/>
      <c r="CL241" s="41"/>
      <c r="CM241" s="41"/>
      <c r="CN241" s="41"/>
      <c r="CO241" s="41"/>
      <c r="CP241" s="41"/>
      <c r="CQ241" s="41"/>
      <c r="CR241" s="41"/>
      <c r="CS241" s="41"/>
    </row>
    <row r="242" hidden="1">
      <c r="A242" s="31" t="s">
        <v>109</v>
      </c>
      <c r="B242" s="41" t="s">
        <v>1775</v>
      </c>
      <c r="C242" s="41" t="s">
        <v>1776</v>
      </c>
      <c r="D242" s="45" t="s">
        <v>1777</v>
      </c>
      <c r="E242" s="41"/>
      <c r="F242" s="168"/>
      <c r="G242" s="168"/>
      <c r="H242" s="168" t="s">
        <v>25</v>
      </c>
      <c r="I242" s="168" t="s">
        <v>25</v>
      </c>
      <c r="J242" s="168" t="s">
        <v>25</v>
      </c>
      <c r="K242" s="163" t="str">
        <f>VLOOKUP(C242,'Term Reference Guide'!$C:$C,1,false)</f>
        <v>GAZ:00000560</v>
      </c>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c r="BP242" s="41"/>
      <c r="BQ242" s="41"/>
      <c r="BR242" s="41"/>
      <c r="BS242" s="41"/>
      <c r="BT242" s="41"/>
      <c r="BU242" s="41"/>
      <c r="BV242" s="41"/>
      <c r="BW242" s="41"/>
      <c r="BX242" s="41"/>
      <c r="BY242" s="41"/>
      <c r="BZ242" s="41"/>
      <c r="CA242" s="41"/>
      <c r="CB242" s="41"/>
      <c r="CC242" s="41"/>
      <c r="CD242" s="41"/>
      <c r="CE242" s="41"/>
      <c r="CF242" s="41"/>
      <c r="CG242" s="41"/>
      <c r="CH242" s="41"/>
      <c r="CI242" s="41"/>
      <c r="CJ242" s="41"/>
      <c r="CK242" s="41"/>
      <c r="CL242" s="41"/>
      <c r="CM242" s="41"/>
      <c r="CN242" s="41"/>
      <c r="CO242" s="41"/>
      <c r="CP242" s="41"/>
      <c r="CQ242" s="41"/>
      <c r="CR242" s="41"/>
      <c r="CS242" s="41"/>
    </row>
    <row r="243" hidden="1">
      <c r="A243" s="31" t="s">
        <v>109</v>
      </c>
      <c r="B243" s="41" t="s">
        <v>1778</v>
      </c>
      <c r="C243" s="41" t="s">
        <v>1779</v>
      </c>
      <c r="D243" s="45" t="s">
        <v>1780</v>
      </c>
      <c r="E243" s="41"/>
      <c r="F243" s="168"/>
      <c r="G243" s="168"/>
      <c r="H243" s="168" t="s">
        <v>25</v>
      </c>
      <c r="I243" s="168" t="s">
        <v>25</v>
      </c>
      <c r="J243" s="168" t="s">
        <v>25</v>
      </c>
      <c r="K243" s="163" t="str">
        <f>VLOOKUP(C243,'Term Reference Guide'!$C:$C,1,false)</f>
        <v>GAZ:00002525</v>
      </c>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c r="BP243" s="41"/>
      <c r="BQ243" s="41"/>
      <c r="BR243" s="41"/>
      <c r="BS243" s="41"/>
      <c r="BT243" s="41"/>
      <c r="BU243" s="41"/>
      <c r="BV243" s="41"/>
      <c r="BW243" s="41"/>
      <c r="BX243" s="41"/>
      <c r="BY243" s="41"/>
      <c r="BZ243" s="41"/>
      <c r="CA243" s="41"/>
      <c r="CB243" s="41"/>
      <c r="CC243" s="41"/>
      <c r="CD243" s="41"/>
      <c r="CE243" s="41"/>
      <c r="CF243" s="41"/>
      <c r="CG243" s="41"/>
      <c r="CH243" s="41"/>
      <c r="CI243" s="41"/>
      <c r="CJ243" s="41"/>
      <c r="CK243" s="41"/>
      <c r="CL243" s="41"/>
      <c r="CM243" s="41"/>
      <c r="CN243" s="41"/>
      <c r="CO243" s="41"/>
      <c r="CP243" s="41"/>
      <c r="CQ243" s="41"/>
      <c r="CR243" s="41"/>
      <c r="CS243" s="41"/>
    </row>
    <row r="244" hidden="1">
      <c r="A244" s="31" t="s">
        <v>109</v>
      </c>
      <c r="B244" s="41" t="s">
        <v>1781</v>
      </c>
      <c r="C244" s="41" t="s">
        <v>1782</v>
      </c>
      <c r="D244" s="45" t="s">
        <v>1783</v>
      </c>
      <c r="E244" s="41"/>
      <c r="F244" s="168"/>
      <c r="G244" s="168"/>
      <c r="H244" s="168" t="s">
        <v>25</v>
      </c>
      <c r="I244" s="168" t="s">
        <v>25</v>
      </c>
      <c r="J244" s="168" t="s">
        <v>25</v>
      </c>
      <c r="K244" s="163" t="str">
        <f>VLOOKUP(C244,'Term Reference Guide'!$C:$C,1,false)</f>
        <v>GAZ:00005396</v>
      </c>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c r="BP244" s="41"/>
      <c r="BQ244" s="41"/>
      <c r="BR244" s="41"/>
      <c r="BS244" s="41"/>
      <c r="BT244" s="41"/>
      <c r="BU244" s="41"/>
      <c r="BV244" s="41"/>
      <c r="BW244" s="41"/>
      <c r="BX244" s="41"/>
      <c r="BY244" s="41"/>
      <c r="BZ244" s="41"/>
      <c r="CA244" s="41"/>
      <c r="CB244" s="41"/>
      <c r="CC244" s="41"/>
      <c r="CD244" s="41"/>
      <c r="CE244" s="41"/>
      <c r="CF244" s="41"/>
      <c r="CG244" s="41"/>
      <c r="CH244" s="41"/>
      <c r="CI244" s="41"/>
      <c r="CJ244" s="41"/>
      <c r="CK244" s="41"/>
      <c r="CL244" s="41"/>
      <c r="CM244" s="41"/>
      <c r="CN244" s="41"/>
      <c r="CO244" s="41"/>
      <c r="CP244" s="41"/>
      <c r="CQ244" s="41"/>
      <c r="CR244" s="41"/>
      <c r="CS244" s="41"/>
    </row>
    <row r="245" hidden="1">
      <c r="A245" s="31" t="s">
        <v>109</v>
      </c>
      <c r="B245" s="41" t="s">
        <v>1784</v>
      </c>
      <c r="C245" s="41" t="s">
        <v>1303</v>
      </c>
      <c r="D245" s="45" t="s">
        <v>1304</v>
      </c>
      <c r="E245" s="41"/>
      <c r="F245" s="168"/>
      <c r="G245" s="168"/>
      <c r="H245" s="168" t="s">
        <v>25</v>
      </c>
      <c r="I245" s="168" t="s">
        <v>25</v>
      </c>
      <c r="J245" s="168" t="s">
        <v>25</v>
      </c>
      <c r="K245" s="163" t="str">
        <f>VLOOKUP(C245,'Term Reference Guide'!$C:$C,1,false)</f>
        <v>GAZ:00001099</v>
      </c>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c r="BP245" s="41"/>
      <c r="BQ245" s="41"/>
      <c r="BR245" s="41"/>
      <c r="BS245" s="41"/>
      <c r="BT245" s="41"/>
      <c r="BU245" s="41"/>
      <c r="BV245" s="41"/>
      <c r="BW245" s="41"/>
      <c r="BX245" s="41"/>
      <c r="BY245" s="41"/>
      <c r="BZ245" s="41"/>
      <c r="CA245" s="41"/>
      <c r="CB245" s="41"/>
      <c r="CC245" s="41"/>
      <c r="CD245" s="41"/>
      <c r="CE245" s="41"/>
      <c r="CF245" s="41"/>
      <c r="CG245" s="41"/>
      <c r="CH245" s="41"/>
      <c r="CI245" s="41"/>
      <c r="CJ245" s="41"/>
      <c r="CK245" s="41"/>
      <c r="CL245" s="41"/>
      <c r="CM245" s="41"/>
      <c r="CN245" s="41"/>
      <c r="CO245" s="41"/>
      <c r="CP245" s="41"/>
      <c r="CQ245" s="41"/>
      <c r="CR245" s="41"/>
      <c r="CS245" s="41"/>
    </row>
    <row r="246" hidden="1">
      <c r="A246" s="31" t="s">
        <v>109</v>
      </c>
      <c r="B246" s="41" t="s">
        <v>1785</v>
      </c>
      <c r="C246" s="41" t="s">
        <v>1786</v>
      </c>
      <c r="D246" s="45" t="s">
        <v>1787</v>
      </c>
      <c r="E246" s="41"/>
      <c r="F246" s="168"/>
      <c r="G246" s="168"/>
      <c r="H246" s="168" t="s">
        <v>25</v>
      </c>
      <c r="I246" s="168" t="s">
        <v>25</v>
      </c>
      <c r="J246" s="168" t="s">
        <v>25</v>
      </c>
      <c r="K246" s="163" t="str">
        <f>VLOOKUP(C246,'Term Reference Guide'!$C:$C,1,false)</f>
        <v>GAZ:00002729</v>
      </c>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c r="BP246" s="41"/>
      <c r="BQ246" s="41"/>
      <c r="BR246" s="41"/>
      <c r="BS246" s="41"/>
      <c r="BT246" s="41"/>
      <c r="BU246" s="41"/>
      <c r="BV246" s="41"/>
      <c r="BW246" s="41"/>
      <c r="BX246" s="41"/>
      <c r="BY246" s="41"/>
      <c r="BZ246" s="41"/>
      <c r="CA246" s="41"/>
      <c r="CB246" s="41"/>
      <c r="CC246" s="41"/>
      <c r="CD246" s="41"/>
      <c r="CE246" s="41"/>
      <c r="CF246" s="41"/>
      <c r="CG246" s="41"/>
      <c r="CH246" s="41"/>
      <c r="CI246" s="41"/>
      <c r="CJ246" s="41"/>
      <c r="CK246" s="41"/>
      <c r="CL246" s="41"/>
      <c r="CM246" s="41"/>
      <c r="CN246" s="41"/>
      <c r="CO246" s="41"/>
      <c r="CP246" s="41"/>
      <c r="CQ246" s="41"/>
      <c r="CR246" s="41"/>
      <c r="CS246" s="41"/>
    </row>
    <row r="247" hidden="1">
      <c r="A247" s="31" t="s">
        <v>109</v>
      </c>
      <c r="B247" s="41" t="s">
        <v>1788</v>
      </c>
      <c r="C247" s="41" t="s">
        <v>1789</v>
      </c>
      <c r="D247" s="45" t="s">
        <v>1790</v>
      </c>
      <c r="E247" s="41"/>
      <c r="F247" s="168"/>
      <c r="G247" s="168"/>
      <c r="H247" s="168" t="s">
        <v>25</v>
      </c>
      <c r="I247" s="168" t="s">
        <v>25</v>
      </c>
      <c r="J247" s="168" t="s">
        <v>25</v>
      </c>
      <c r="K247" s="163" t="str">
        <f>VLOOKUP(C247,'Term Reference Guide'!$C:$C,1,false)</f>
        <v>GAZ:00002941</v>
      </c>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c r="BP247" s="41"/>
      <c r="BQ247" s="41"/>
      <c r="BR247" s="41"/>
      <c r="BS247" s="41"/>
      <c r="BT247" s="41"/>
      <c r="BU247" s="41"/>
      <c r="BV247" s="41"/>
      <c r="BW247" s="41"/>
      <c r="BX247" s="41"/>
      <c r="BY247" s="41"/>
      <c r="BZ247" s="41"/>
      <c r="CA247" s="41"/>
      <c r="CB247" s="41"/>
      <c r="CC247" s="41"/>
      <c r="CD247" s="41"/>
      <c r="CE247" s="41"/>
      <c r="CF247" s="41"/>
      <c r="CG247" s="41"/>
      <c r="CH247" s="41"/>
      <c r="CI247" s="41"/>
      <c r="CJ247" s="41"/>
      <c r="CK247" s="41"/>
      <c r="CL247" s="41"/>
      <c r="CM247" s="41"/>
      <c r="CN247" s="41"/>
      <c r="CO247" s="41"/>
      <c r="CP247" s="41"/>
      <c r="CQ247" s="41"/>
      <c r="CR247" s="41"/>
      <c r="CS247" s="41"/>
    </row>
    <row r="248" hidden="1">
      <c r="A248" s="31" t="s">
        <v>109</v>
      </c>
      <c r="B248" s="41" t="s">
        <v>1791</v>
      </c>
      <c r="C248" s="41" t="s">
        <v>1792</v>
      </c>
      <c r="D248" s="45" t="s">
        <v>1793</v>
      </c>
      <c r="E248" s="41"/>
      <c r="F248" s="168"/>
      <c r="G248" s="168"/>
      <c r="H248" s="168" t="s">
        <v>25</v>
      </c>
      <c r="I248" s="168" t="s">
        <v>25</v>
      </c>
      <c r="J248" s="168" t="s">
        <v>25</v>
      </c>
      <c r="K248" s="163" t="str">
        <f>VLOOKUP(C248,'Term Reference Guide'!$C:$C,1,false)</f>
        <v>GAZ:00002474</v>
      </c>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c r="BP248" s="41"/>
      <c r="BQ248" s="41"/>
      <c r="BR248" s="41"/>
      <c r="BS248" s="41"/>
      <c r="BT248" s="41"/>
      <c r="BU248" s="41"/>
      <c r="BV248" s="41"/>
      <c r="BW248" s="41"/>
      <c r="BX248" s="41"/>
      <c r="BY248" s="41"/>
      <c r="BZ248" s="41"/>
      <c r="CA248" s="41"/>
      <c r="CB248" s="41"/>
      <c r="CC248" s="41"/>
      <c r="CD248" s="41"/>
      <c r="CE248" s="41"/>
      <c r="CF248" s="41"/>
      <c r="CG248" s="41"/>
      <c r="CH248" s="41"/>
      <c r="CI248" s="41"/>
      <c r="CJ248" s="41"/>
      <c r="CK248" s="41"/>
      <c r="CL248" s="41"/>
      <c r="CM248" s="41"/>
      <c r="CN248" s="41"/>
      <c r="CO248" s="41"/>
      <c r="CP248" s="41"/>
      <c r="CQ248" s="41"/>
      <c r="CR248" s="41"/>
      <c r="CS248" s="41"/>
    </row>
    <row r="249" hidden="1">
      <c r="A249" s="31" t="s">
        <v>109</v>
      </c>
      <c r="B249" s="41" t="s">
        <v>1794</v>
      </c>
      <c r="C249" s="41" t="s">
        <v>1795</v>
      </c>
      <c r="D249" s="45" t="s">
        <v>1796</v>
      </c>
      <c r="E249" s="41"/>
      <c r="F249" s="168"/>
      <c r="G249" s="168"/>
      <c r="H249" s="168" t="s">
        <v>25</v>
      </c>
      <c r="I249" s="168" t="s">
        <v>25</v>
      </c>
      <c r="J249" s="168" t="s">
        <v>25</v>
      </c>
      <c r="K249" s="163" t="str">
        <f>VLOOKUP(C249,'Term Reference Guide'!$C:$C,1,false)</f>
        <v>GAZ:00005341</v>
      </c>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c r="BP249" s="41"/>
      <c r="BQ249" s="41"/>
      <c r="BR249" s="41"/>
      <c r="BS249" s="41"/>
      <c r="BT249" s="41"/>
      <c r="BU249" s="41"/>
      <c r="BV249" s="41"/>
      <c r="BW249" s="41"/>
      <c r="BX249" s="41"/>
      <c r="BY249" s="41"/>
      <c r="BZ249" s="41"/>
      <c r="CA249" s="41"/>
      <c r="CB249" s="41"/>
      <c r="CC249" s="41"/>
      <c r="CD249" s="41"/>
      <c r="CE249" s="41"/>
      <c r="CF249" s="41"/>
      <c r="CG249" s="41"/>
      <c r="CH249" s="41"/>
      <c r="CI249" s="41"/>
      <c r="CJ249" s="41"/>
      <c r="CK249" s="41"/>
      <c r="CL249" s="41"/>
      <c r="CM249" s="41"/>
      <c r="CN249" s="41"/>
      <c r="CO249" s="41"/>
      <c r="CP249" s="41"/>
      <c r="CQ249" s="41"/>
      <c r="CR249" s="41"/>
      <c r="CS249" s="41"/>
    </row>
    <row r="250" hidden="1">
      <c r="A250" s="31" t="s">
        <v>109</v>
      </c>
      <c r="B250" s="41" t="s">
        <v>1797</v>
      </c>
      <c r="C250" s="41" t="s">
        <v>1798</v>
      </c>
      <c r="D250" s="45" t="s">
        <v>1799</v>
      </c>
      <c r="E250" s="41"/>
      <c r="F250" s="168"/>
      <c r="G250" s="168"/>
      <c r="H250" s="168" t="s">
        <v>25</v>
      </c>
      <c r="I250" s="168" t="s">
        <v>25</v>
      </c>
      <c r="J250" s="168" t="s">
        <v>25</v>
      </c>
      <c r="K250" s="163" t="str">
        <f>VLOOKUP(C250,'Term Reference Guide'!$C:$C,1,false)</f>
        <v>GAZ:00006912</v>
      </c>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c r="BP250" s="41"/>
      <c r="BQ250" s="41"/>
      <c r="BR250" s="41"/>
      <c r="BS250" s="41"/>
      <c r="BT250" s="41"/>
      <c r="BU250" s="41"/>
      <c r="BV250" s="41"/>
      <c r="BW250" s="41"/>
      <c r="BX250" s="41"/>
      <c r="BY250" s="41"/>
      <c r="BZ250" s="41"/>
      <c r="CA250" s="41"/>
      <c r="CB250" s="41"/>
      <c r="CC250" s="41"/>
      <c r="CD250" s="41"/>
      <c r="CE250" s="41"/>
      <c r="CF250" s="41"/>
      <c r="CG250" s="41"/>
      <c r="CH250" s="41"/>
      <c r="CI250" s="41"/>
      <c r="CJ250" s="41"/>
      <c r="CK250" s="41"/>
      <c r="CL250" s="41"/>
      <c r="CM250" s="41"/>
      <c r="CN250" s="41"/>
      <c r="CO250" s="41"/>
      <c r="CP250" s="41"/>
      <c r="CQ250" s="41"/>
      <c r="CR250" s="41"/>
      <c r="CS250" s="41"/>
    </row>
    <row r="251" hidden="1">
      <c r="A251" s="31" t="s">
        <v>109</v>
      </c>
      <c r="B251" s="41" t="s">
        <v>1800</v>
      </c>
      <c r="C251" s="41" t="s">
        <v>1801</v>
      </c>
      <c r="D251" s="45" t="s">
        <v>1802</v>
      </c>
      <c r="E251" s="41"/>
      <c r="F251" s="168"/>
      <c r="G251" s="168"/>
      <c r="H251" s="168" t="s">
        <v>25</v>
      </c>
      <c r="I251" s="168" t="s">
        <v>25</v>
      </c>
      <c r="J251" s="168" t="s">
        <v>25</v>
      </c>
      <c r="K251" s="163" t="str">
        <f>VLOOKUP(C251,'Term Reference Guide'!$C:$C,1,false)</f>
        <v>GAZ:00001103</v>
      </c>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c r="BP251" s="41"/>
      <c r="BQ251" s="41"/>
      <c r="BR251" s="41"/>
      <c r="BS251" s="41"/>
      <c r="BT251" s="41"/>
      <c r="BU251" s="41"/>
      <c r="BV251" s="41"/>
      <c r="BW251" s="41"/>
      <c r="BX251" s="41"/>
      <c r="BY251" s="41"/>
      <c r="BZ251" s="41"/>
      <c r="CA251" s="41"/>
      <c r="CB251" s="41"/>
      <c r="CC251" s="41"/>
      <c r="CD251" s="41"/>
      <c r="CE251" s="41"/>
      <c r="CF251" s="41"/>
      <c r="CG251" s="41"/>
      <c r="CH251" s="41"/>
      <c r="CI251" s="41"/>
      <c r="CJ251" s="41"/>
      <c r="CK251" s="41"/>
      <c r="CL251" s="41"/>
      <c r="CM251" s="41"/>
      <c r="CN251" s="41"/>
      <c r="CO251" s="41"/>
      <c r="CP251" s="41"/>
      <c r="CQ251" s="41"/>
      <c r="CR251" s="41"/>
      <c r="CS251" s="41"/>
    </row>
    <row r="252" hidden="1">
      <c r="A252" s="31" t="s">
        <v>109</v>
      </c>
      <c r="B252" s="41" t="s">
        <v>1803</v>
      </c>
      <c r="C252" s="41" t="s">
        <v>1804</v>
      </c>
      <c r="D252" s="45" t="s">
        <v>1805</v>
      </c>
      <c r="E252" s="41"/>
      <c r="F252" s="168"/>
      <c r="G252" s="168"/>
      <c r="H252" s="168" t="s">
        <v>25</v>
      </c>
      <c r="I252" s="168" t="s">
        <v>25</v>
      </c>
      <c r="J252" s="168" t="s">
        <v>25</v>
      </c>
      <c r="K252" s="163" t="str">
        <f>VLOOKUP(C252,'Term Reference Guide'!$C:$C,1,false)</f>
        <v>GAZ:00003744</v>
      </c>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c r="BP252" s="41"/>
      <c r="BQ252" s="41"/>
      <c r="BR252" s="41"/>
      <c r="BS252" s="41"/>
      <c r="BT252" s="41"/>
      <c r="BU252" s="41"/>
      <c r="BV252" s="41"/>
      <c r="BW252" s="41"/>
      <c r="BX252" s="41"/>
      <c r="BY252" s="41"/>
      <c r="BZ252" s="41"/>
      <c r="CA252" s="41"/>
      <c r="CB252" s="41"/>
      <c r="CC252" s="41"/>
      <c r="CD252" s="41"/>
      <c r="CE252" s="41"/>
      <c r="CF252" s="41"/>
      <c r="CG252" s="41"/>
      <c r="CH252" s="41"/>
      <c r="CI252" s="41"/>
      <c r="CJ252" s="41"/>
      <c r="CK252" s="41"/>
      <c r="CL252" s="41"/>
      <c r="CM252" s="41"/>
      <c r="CN252" s="41"/>
      <c r="CO252" s="41"/>
      <c r="CP252" s="41"/>
      <c r="CQ252" s="41"/>
      <c r="CR252" s="41"/>
      <c r="CS252" s="41"/>
    </row>
    <row r="253" hidden="1">
      <c r="A253" s="31" t="s">
        <v>109</v>
      </c>
      <c r="B253" s="41" t="s">
        <v>1806</v>
      </c>
      <c r="C253" s="41" t="s">
        <v>1807</v>
      </c>
      <c r="D253" s="45" t="s">
        <v>1808</v>
      </c>
      <c r="E253" s="41"/>
      <c r="F253" s="168"/>
      <c r="G253" s="168"/>
      <c r="H253" s="168" t="s">
        <v>25</v>
      </c>
      <c r="I253" s="168" t="s">
        <v>25</v>
      </c>
      <c r="J253" s="168" t="s">
        <v>25</v>
      </c>
      <c r="K253" s="163" t="str">
        <f>VLOOKUP(C253,'Term Reference Guide'!$C:$C,1,false)</f>
        <v>GAZ:00006913</v>
      </c>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c r="BP253" s="41"/>
      <c r="BQ253" s="41"/>
      <c r="BR253" s="41"/>
      <c r="BS253" s="41"/>
      <c r="BT253" s="41"/>
      <c r="BU253" s="41"/>
      <c r="BV253" s="41"/>
      <c r="BW253" s="41"/>
      <c r="BX253" s="41"/>
      <c r="BY253" s="41"/>
      <c r="BZ253" s="41"/>
      <c r="CA253" s="41"/>
      <c r="CB253" s="41"/>
      <c r="CC253" s="41"/>
      <c r="CD253" s="41"/>
      <c r="CE253" s="41"/>
      <c r="CF253" s="41"/>
      <c r="CG253" s="41"/>
      <c r="CH253" s="41"/>
      <c r="CI253" s="41"/>
      <c r="CJ253" s="41"/>
      <c r="CK253" s="41"/>
      <c r="CL253" s="41"/>
      <c r="CM253" s="41"/>
      <c r="CN253" s="41"/>
      <c r="CO253" s="41"/>
      <c r="CP253" s="41"/>
      <c r="CQ253" s="41"/>
      <c r="CR253" s="41"/>
      <c r="CS253" s="41"/>
    </row>
    <row r="254" hidden="1">
      <c r="A254" s="31" t="s">
        <v>109</v>
      </c>
      <c r="B254" s="41" t="s">
        <v>1809</v>
      </c>
      <c r="C254" s="41" t="s">
        <v>1810</v>
      </c>
      <c r="D254" s="45" t="s">
        <v>1811</v>
      </c>
      <c r="E254" s="41"/>
      <c r="F254" s="168"/>
      <c r="G254" s="168"/>
      <c r="H254" s="168" t="s">
        <v>25</v>
      </c>
      <c r="I254" s="168" t="s">
        <v>25</v>
      </c>
      <c r="J254" s="168" t="s">
        <v>25</v>
      </c>
      <c r="K254" s="163" t="str">
        <f>VLOOKUP(C254,'Term Reference Guide'!$C:$C,1,false)</f>
        <v>GAZ:00000915</v>
      </c>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c r="BP254" s="41"/>
      <c r="BQ254" s="41"/>
      <c r="BR254" s="41"/>
      <c r="BS254" s="41"/>
      <c r="BT254" s="41"/>
      <c r="BU254" s="41"/>
      <c r="BV254" s="41"/>
      <c r="BW254" s="41"/>
      <c r="BX254" s="41"/>
      <c r="BY254" s="41"/>
      <c r="BZ254" s="41"/>
      <c r="CA254" s="41"/>
      <c r="CB254" s="41"/>
      <c r="CC254" s="41"/>
      <c r="CD254" s="41"/>
      <c r="CE254" s="41"/>
      <c r="CF254" s="41"/>
      <c r="CG254" s="41"/>
      <c r="CH254" s="41"/>
      <c r="CI254" s="41"/>
      <c r="CJ254" s="41"/>
      <c r="CK254" s="41"/>
      <c r="CL254" s="41"/>
      <c r="CM254" s="41"/>
      <c r="CN254" s="41"/>
      <c r="CO254" s="41"/>
      <c r="CP254" s="41"/>
      <c r="CQ254" s="41"/>
      <c r="CR254" s="41"/>
      <c r="CS254" s="41"/>
    </row>
    <row r="255" hidden="1">
      <c r="A255" s="31" t="s">
        <v>109</v>
      </c>
      <c r="B255" s="41" t="s">
        <v>1812</v>
      </c>
      <c r="C255" s="41" t="s">
        <v>1813</v>
      </c>
      <c r="D255" s="45" t="s">
        <v>1814</v>
      </c>
      <c r="E255" s="41"/>
      <c r="F255" s="168"/>
      <c r="G255" s="168"/>
      <c r="H255" s="168" t="s">
        <v>25</v>
      </c>
      <c r="I255" s="168" t="s">
        <v>25</v>
      </c>
      <c r="J255" s="168" t="s">
        <v>25</v>
      </c>
      <c r="K255" s="163" t="str">
        <f>VLOOKUP(C255,'Term Reference Guide'!$C:$C,1,false)</f>
        <v>GAZ:00260188</v>
      </c>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c r="BP255" s="41"/>
      <c r="BQ255" s="41"/>
      <c r="BR255" s="41"/>
      <c r="BS255" s="41"/>
      <c r="BT255" s="41"/>
      <c r="BU255" s="41"/>
      <c r="BV255" s="41"/>
      <c r="BW255" s="41"/>
      <c r="BX255" s="41"/>
      <c r="BY255" s="41"/>
      <c r="BZ255" s="41"/>
      <c r="CA255" s="41"/>
      <c r="CB255" s="41"/>
      <c r="CC255" s="41"/>
      <c r="CD255" s="41"/>
      <c r="CE255" s="41"/>
      <c r="CF255" s="41"/>
      <c r="CG255" s="41"/>
      <c r="CH255" s="41"/>
      <c r="CI255" s="41"/>
      <c r="CJ255" s="41"/>
      <c r="CK255" s="41"/>
      <c r="CL255" s="41"/>
      <c r="CM255" s="41"/>
      <c r="CN255" s="41"/>
      <c r="CO255" s="41"/>
      <c r="CP255" s="41"/>
      <c r="CQ255" s="41"/>
      <c r="CR255" s="41"/>
      <c r="CS255" s="41"/>
    </row>
    <row r="256" hidden="1">
      <c r="A256" s="31" t="s">
        <v>109</v>
      </c>
      <c r="B256" s="41" t="s">
        <v>1815</v>
      </c>
      <c r="C256" s="41" t="s">
        <v>1816</v>
      </c>
      <c r="D256" s="45" t="s">
        <v>1817</v>
      </c>
      <c r="E256" s="41"/>
      <c r="F256" s="168"/>
      <c r="G256" s="168"/>
      <c r="H256" s="168" t="s">
        <v>25</v>
      </c>
      <c r="I256" s="168" t="s">
        <v>25</v>
      </c>
      <c r="J256" s="168" t="s">
        <v>25</v>
      </c>
      <c r="K256" s="163" t="str">
        <f>VLOOKUP(C256,'Term Reference Guide'!$C:$C,1,false)</f>
        <v>GAZ:00006916</v>
      </c>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c r="BP256" s="41"/>
      <c r="BQ256" s="41"/>
      <c r="BR256" s="41"/>
      <c r="BS256" s="41"/>
      <c r="BT256" s="41"/>
      <c r="BU256" s="41"/>
      <c r="BV256" s="41"/>
      <c r="BW256" s="41"/>
      <c r="BX256" s="41"/>
      <c r="BY256" s="41"/>
      <c r="BZ256" s="41"/>
      <c r="CA256" s="41"/>
      <c r="CB256" s="41"/>
      <c r="CC256" s="41"/>
      <c r="CD256" s="41"/>
      <c r="CE256" s="41"/>
      <c r="CF256" s="41"/>
      <c r="CG256" s="41"/>
      <c r="CH256" s="41"/>
      <c r="CI256" s="41"/>
      <c r="CJ256" s="41"/>
      <c r="CK256" s="41"/>
      <c r="CL256" s="41"/>
      <c r="CM256" s="41"/>
      <c r="CN256" s="41"/>
      <c r="CO256" s="41"/>
      <c r="CP256" s="41"/>
      <c r="CQ256" s="41"/>
      <c r="CR256" s="41"/>
      <c r="CS256" s="41"/>
    </row>
    <row r="257" hidden="1">
      <c r="A257" s="31" t="s">
        <v>109</v>
      </c>
      <c r="B257" s="41" t="s">
        <v>1818</v>
      </c>
      <c r="C257" s="41" t="s">
        <v>1819</v>
      </c>
      <c r="D257" s="45" t="s">
        <v>1820</v>
      </c>
      <c r="E257" s="41"/>
      <c r="F257" s="168"/>
      <c r="G257" s="168"/>
      <c r="H257" s="168" t="s">
        <v>25</v>
      </c>
      <c r="I257" s="168" t="s">
        <v>25</v>
      </c>
      <c r="J257" s="168" t="s">
        <v>25</v>
      </c>
      <c r="K257" s="163" t="str">
        <f>VLOOKUP(C257,'Term Reference Guide'!$C:$C,1,false)</f>
        <v>GAZ:00003767</v>
      </c>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c r="BP257" s="41"/>
      <c r="BQ257" s="41"/>
      <c r="BR257" s="41"/>
      <c r="BS257" s="41"/>
      <c r="BT257" s="41"/>
      <c r="BU257" s="41"/>
      <c r="BV257" s="41"/>
      <c r="BW257" s="41"/>
      <c r="BX257" s="41"/>
      <c r="BY257" s="41"/>
      <c r="BZ257" s="41"/>
      <c r="CA257" s="41"/>
      <c r="CB257" s="41"/>
      <c r="CC257" s="41"/>
      <c r="CD257" s="41"/>
      <c r="CE257" s="41"/>
      <c r="CF257" s="41"/>
      <c r="CG257" s="41"/>
      <c r="CH257" s="41"/>
      <c r="CI257" s="41"/>
      <c r="CJ257" s="41"/>
      <c r="CK257" s="41"/>
      <c r="CL257" s="41"/>
      <c r="CM257" s="41"/>
      <c r="CN257" s="41"/>
      <c r="CO257" s="41"/>
      <c r="CP257" s="41"/>
      <c r="CQ257" s="41"/>
      <c r="CR257" s="41"/>
      <c r="CS257" s="41"/>
    </row>
    <row r="258" hidden="1">
      <c r="A258" s="31" t="s">
        <v>109</v>
      </c>
      <c r="B258" s="41" t="s">
        <v>1821</v>
      </c>
      <c r="C258" s="41" t="s">
        <v>1822</v>
      </c>
      <c r="D258" s="45" t="s">
        <v>1823</v>
      </c>
      <c r="E258" s="41"/>
      <c r="F258" s="168"/>
      <c r="G258" s="168"/>
      <c r="H258" s="168" t="s">
        <v>25</v>
      </c>
      <c r="I258" s="168" t="s">
        <v>25</v>
      </c>
      <c r="J258" s="168" t="s">
        <v>25</v>
      </c>
      <c r="K258" s="163" t="str">
        <f>VLOOKUP(C258,'Term Reference Guide'!$C:$C,1,false)</f>
        <v>GAZ:00005812</v>
      </c>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c r="BP258" s="41"/>
      <c r="BQ258" s="41"/>
      <c r="BR258" s="41"/>
      <c r="BS258" s="41"/>
      <c r="BT258" s="41"/>
      <c r="BU258" s="41"/>
      <c r="BV258" s="41"/>
      <c r="BW258" s="41"/>
      <c r="BX258" s="41"/>
      <c r="BY258" s="41"/>
      <c r="BZ258" s="41"/>
      <c r="CA258" s="41"/>
      <c r="CB258" s="41"/>
      <c r="CC258" s="41"/>
      <c r="CD258" s="41"/>
      <c r="CE258" s="41"/>
      <c r="CF258" s="41"/>
      <c r="CG258" s="41"/>
      <c r="CH258" s="41"/>
      <c r="CI258" s="41"/>
      <c r="CJ258" s="41"/>
      <c r="CK258" s="41"/>
      <c r="CL258" s="41"/>
      <c r="CM258" s="41"/>
      <c r="CN258" s="41"/>
      <c r="CO258" s="41"/>
      <c r="CP258" s="41"/>
      <c r="CQ258" s="41"/>
      <c r="CR258" s="41"/>
      <c r="CS258" s="41"/>
    </row>
    <row r="259" hidden="1">
      <c r="A259" s="31" t="s">
        <v>109</v>
      </c>
      <c r="B259" s="41" t="s">
        <v>1824</v>
      </c>
      <c r="C259" s="41" t="s">
        <v>1825</v>
      </c>
      <c r="D259" s="45" t="s">
        <v>1826</v>
      </c>
      <c r="E259" s="41"/>
      <c r="F259" s="168"/>
      <c r="G259" s="168"/>
      <c r="H259" s="168" t="s">
        <v>25</v>
      </c>
      <c r="I259" s="168" t="s">
        <v>25</v>
      </c>
      <c r="J259" s="168" t="s">
        <v>25</v>
      </c>
      <c r="K259" s="163" t="str">
        <f>VLOOKUP(C259,'Term Reference Guide'!$C:$C,1,false)</f>
        <v>GAZ:00000562</v>
      </c>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c r="BP259" s="41"/>
      <c r="BQ259" s="41"/>
      <c r="BR259" s="41"/>
      <c r="BS259" s="41"/>
      <c r="BT259" s="41"/>
      <c r="BU259" s="41"/>
      <c r="BV259" s="41"/>
      <c r="BW259" s="41"/>
      <c r="BX259" s="41"/>
      <c r="BY259" s="41"/>
      <c r="BZ259" s="41"/>
      <c r="CA259" s="41"/>
      <c r="CB259" s="41"/>
      <c r="CC259" s="41"/>
      <c r="CD259" s="41"/>
      <c r="CE259" s="41"/>
      <c r="CF259" s="41"/>
      <c r="CG259" s="41"/>
      <c r="CH259" s="41"/>
      <c r="CI259" s="41"/>
      <c r="CJ259" s="41"/>
      <c r="CK259" s="41"/>
      <c r="CL259" s="41"/>
      <c r="CM259" s="41"/>
      <c r="CN259" s="41"/>
      <c r="CO259" s="41"/>
      <c r="CP259" s="41"/>
      <c r="CQ259" s="41"/>
      <c r="CR259" s="41"/>
      <c r="CS259" s="41"/>
    </row>
    <row r="260" hidden="1">
      <c r="A260" s="31" t="s">
        <v>109</v>
      </c>
      <c r="B260" s="41" t="s">
        <v>1827</v>
      </c>
      <c r="C260" s="41" t="s">
        <v>1828</v>
      </c>
      <c r="D260" s="45" t="s">
        <v>1829</v>
      </c>
      <c r="E260" s="41"/>
      <c r="F260" s="168"/>
      <c r="G260" s="168"/>
      <c r="H260" s="168" t="s">
        <v>25</v>
      </c>
      <c r="I260" s="168" t="s">
        <v>25</v>
      </c>
      <c r="J260" s="168" t="s">
        <v>25</v>
      </c>
      <c r="K260" s="163" t="str">
        <f>VLOOKUP(C260,'Term Reference Guide'!$C:$C,1,false)</f>
        <v>GAZ:00000558</v>
      </c>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c r="BP260" s="41"/>
      <c r="BQ260" s="41"/>
      <c r="BR260" s="41"/>
      <c r="BS260" s="41"/>
      <c r="BT260" s="41"/>
      <c r="BU260" s="41"/>
      <c r="BV260" s="41"/>
      <c r="BW260" s="41"/>
      <c r="BX260" s="41"/>
      <c r="BY260" s="41"/>
      <c r="BZ260" s="41"/>
      <c r="CA260" s="41"/>
      <c r="CB260" s="41"/>
      <c r="CC260" s="41"/>
      <c r="CD260" s="41"/>
      <c r="CE260" s="41"/>
      <c r="CF260" s="41"/>
      <c r="CG260" s="41"/>
      <c r="CH260" s="41"/>
      <c r="CI260" s="41"/>
      <c r="CJ260" s="41"/>
      <c r="CK260" s="41"/>
      <c r="CL260" s="41"/>
      <c r="CM260" s="41"/>
      <c r="CN260" s="41"/>
      <c r="CO260" s="41"/>
      <c r="CP260" s="41"/>
      <c r="CQ260" s="41"/>
      <c r="CR260" s="41"/>
      <c r="CS260" s="41"/>
    </row>
    <row r="261" hidden="1">
      <c r="A261" s="31" t="s">
        <v>109</v>
      </c>
      <c r="B261" s="41" t="s">
        <v>1830</v>
      </c>
      <c r="C261" s="41" t="s">
        <v>1831</v>
      </c>
      <c r="D261" s="45" t="s">
        <v>1832</v>
      </c>
      <c r="E261" s="41"/>
      <c r="F261" s="168"/>
      <c r="G261" s="168"/>
      <c r="H261" s="168" t="s">
        <v>25</v>
      </c>
      <c r="I261" s="168" t="s">
        <v>25</v>
      </c>
      <c r="J261" s="168" t="s">
        <v>25</v>
      </c>
      <c r="K261" s="163" t="str">
        <f>VLOOKUP(C261,'Term Reference Guide'!$C:$C,1,false)</f>
        <v>GAZ:00005018</v>
      </c>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c r="BP261" s="41"/>
      <c r="BQ261" s="41"/>
      <c r="BR261" s="41"/>
      <c r="BS261" s="41"/>
      <c r="BT261" s="41"/>
      <c r="BU261" s="41"/>
      <c r="BV261" s="41"/>
      <c r="BW261" s="41"/>
      <c r="BX261" s="41"/>
      <c r="BY261" s="41"/>
      <c r="BZ261" s="41"/>
      <c r="CA261" s="41"/>
      <c r="CB261" s="41"/>
      <c r="CC261" s="41"/>
      <c r="CD261" s="41"/>
      <c r="CE261" s="41"/>
      <c r="CF261" s="41"/>
      <c r="CG261" s="41"/>
      <c r="CH261" s="41"/>
      <c r="CI261" s="41"/>
      <c r="CJ261" s="41"/>
      <c r="CK261" s="41"/>
      <c r="CL261" s="41"/>
      <c r="CM261" s="41"/>
      <c r="CN261" s="41"/>
      <c r="CO261" s="41"/>
      <c r="CP261" s="41"/>
      <c r="CQ261" s="41"/>
      <c r="CR261" s="41"/>
      <c r="CS261" s="41"/>
    </row>
    <row r="262" hidden="1">
      <c r="A262" s="31" t="s">
        <v>109</v>
      </c>
      <c r="B262" s="41" t="s">
        <v>1833</v>
      </c>
      <c r="C262" s="41" t="s">
        <v>1834</v>
      </c>
      <c r="D262" s="45" t="s">
        <v>1835</v>
      </c>
      <c r="E262" s="41"/>
      <c r="F262" s="168"/>
      <c r="G262" s="168"/>
      <c r="H262" s="168" t="s">
        <v>25</v>
      </c>
      <c r="I262" s="168" t="s">
        <v>25</v>
      </c>
      <c r="J262" s="168" t="s">
        <v>25</v>
      </c>
      <c r="K262" s="163" t="str">
        <f>VLOOKUP(C262,'Term Reference Guide'!$C:$C,1,false)</f>
        <v>GAZ:00003955</v>
      </c>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c r="BP262" s="41"/>
      <c r="BQ262" s="41"/>
      <c r="BR262" s="41"/>
      <c r="BS262" s="41"/>
      <c r="BT262" s="41"/>
      <c r="BU262" s="41"/>
      <c r="BV262" s="41"/>
      <c r="BW262" s="41"/>
      <c r="BX262" s="41"/>
      <c r="BY262" s="41"/>
      <c r="BZ262" s="41"/>
      <c r="CA262" s="41"/>
      <c r="CB262" s="41"/>
      <c r="CC262" s="41"/>
      <c r="CD262" s="41"/>
      <c r="CE262" s="41"/>
      <c r="CF262" s="41"/>
      <c r="CG262" s="41"/>
      <c r="CH262" s="41"/>
      <c r="CI262" s="41"/>
      <c r="CJ262" s="41"/>
      <c r="CK262" s="41"/>
      <c r="CL262" s="41"/>
      <c r="CM262" s="41"/>
      <c r="CN262" s="41"/>
      <c r="CO262" s="41"/>
      <c r="CP262" s="41"/>
      <c r="CQ262" s="41"/>
      <c r="CR262" s="41"/>
      <c r="CS262" s="41"/>
    </row>
    <row r="263" hidden="1">
      <c r="A263" s="31" t="s">
        <v>109</v>
      </c>
      <c r="B263" s="41" t="s">
        <v>1836</v>
      </c>
      <c r="C263" s="41" t="s">
        <v>1837</v>
      </c>
      <c r="D263" s="45" t="s">
        <v>1838</v>
      </c>
      <c r="E263" s="41"/>
      <c r="F263" s="168"/>
      <c r="G263" s="168"/>
      <c r="H263" s="168" t="s">
        <v>25</v>
      </c>
      <c r="I263" s="168" t="s">
        <v>25</v>
      </c>
      <c r="J263" s="168" t="s">
        <v>25</v>
      </c>
      <c r="K263" s="163" t="str">
        <f>VLOOKUP(C263,'Term Reference Guide'!$C:$C,1,false)</f>
        <v>GAZ:00009715</v>
      </c>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c r="BP263" s="41"/>
      <c r="BQ263" s="41"/>
      <c r="BR263" s="41"/>
      <c r="BS263" s="41"/>
      <c r="BT263" s="41"/>
      <c r="BU263" s="41"/>
      <c r="BV263" s="41"/>
      <c r="BW263" s="41"/>
      <c r="BX263" s="41"/>
      <c r="BY263" s="41"/>
      <c r="BZ263" s="41"/>
      <c r="CA263" s="41"/>
      <c r="CB263" s="41"/>
      <c r="CC263" s="41"/>
      <c r="CD263" s="41"/>
      <c r="CE263" s="41"/>
      <c r="CF263" s="41"/>
      <c r="CG263" s="41"/>
      <c r="CH263" s="41"/>
      <c r="CI263" s="41"/>
      <c r="CJ263" s="41"/>
      <c r="CK263" s="41"/>
      <c r="CL263" s="41"/>
      <c r="CM263" s="41"/>
      <c r="CN263" s="41"/>
      <c r="CO263" s="41"/>
      <c r="CP263" s="41"/>
      <c r="CQ263" s="41"/>
      <c r="CR263" s="41"/>
      <c r="CS263" s="41"/>
    </row>
    <row r="264" hidden="1">
      <c r="A264" s="31" t="s">
        <v>109</v>
      </c>
      <c r="B264" s="41" t="s">
        <v>1839</v>
      </c>
      <c r="C264" s="41" t="s">
        <v>1840</v>
      </c>
      <c r="D264" s="45" t="s">
        <v>1841</v>
      </c>
      <c r="E264" s="41"/>
      <c r="F264" s="168"/>
      <c r="G264" s="168"/>
      <c r="H264" s="168" t="s">
        <v>25</v>
      </c>
      <c r="I264" s="168" t="s">
        <v>25</v>
      </c>
      <c r="J264" s="168" t="s">
        <v>25</v>
      </c>
      <c r="K264" s="163" t="str">
        <f>VLOOKUP(C264,'Term Reference Guide'!$C:$C,1,false)</f>
        <v>GAZ:00002459</v>
      </c>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c r="BP264" s="41"/>
      <c r="BQ264" s="41"/>
      <c r="BR264" s="41"/>
      <c r="BS264" s="41"/>
      <c r="BT264" s="41"/>
      <c r="BU264" s="41"/>
      <c r="BV264" s="41"/>
      <c r="BW264" s="41"/>
      <c r="BX264" s="41"/>
      <c r="BY264" s="41"/>
      <c r="BZ264" s="41"/>
      <c r="CA264" s="41"/>
      <c r="CB264" s="41"/>
      <c r="CC264" s="41"/>
      <c r="CD264" s="41"/>
      <c r="CE264" s="41"/>
      <c r="CF264" s="41"/>
      <c r="CG264" s="41"/>
      <c r="CH264" s="41"/>
      <c r="CI264" s="41"/>
      <c r="CJ264" s="41"/>
      <c r="CK264" s="41"/>
      <c r="CL264" s="41"/>
      <c r="CM264" s="41"/>
      <c r="CN264" s="41"/>
      <c r="CO264" s="41"/>
      <c r="CP264" s="41"/>
      <c r="CQ264" s="41"/>
      <c r="CR264" s="41"/>
      <c r="CS264" s="41"/>
    </row>
    <row r="265" hidden="1">
      <c r="A265" s="31" t="s">
        <v>109</v>
      </c>
      <c r="B265" s="41" t="s">
        <v>1842</v>
      </c>
      <c r="C265" s="41" t="s">
        <v>1843</v>
      </c>
      <c r="D265" s="45" t="s">
        <v>1844</v>
      </c>
      <c r="E265" s="41"/>
      <c r="F265" s="168"/>
      <c r="G265" s="168"/>
      <c r="H265" s="168" t="s">
        <v>25</v>
      </c>
      <c r="I265" s="168" t="s">
        <v>25</v>
      </c>
      <c r="J265" s="168" t="s">
        <v>25</v>
      </c>
      <c r="K265" s="163" t="str">
        <f>VLOOKUP(C265,'Term Reference Guide'!$C:$C,1,false)</f>
        <v>GAZ:00001102</v>
      </c>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row>
    <row r="266" hidden="1">
      <c r="A266" s="31" t="s">
        <v>109</v>
      </c>
      <c r="B266" s="41" t="s">
        <v>1845</v>
      </c>
      <c r="C266" s="41" t="s">
        <v>1846</v>
      </c>
      <c r="D266" s="45" t="s">
        <v>1847</v>
      </c>
      <c r="E266" s="41"/>
      <c r="F266" s="168"/>
      <c r="G266" s="168"/>
      <c r="H266" s="168" t="s">
        <v>25</v>
      </c>
      <c r="I266" s="168" t="s">
        <v>25</v>
      </c>
      <c r="J266" s="168" t="s">
        <v>25</v>
      </c>
      <c r="K266" s="163" t="str">
        <f>VLOOKUP(C266,'Term Reference Guide'!$C:$C,1,false)</f>
        <v>GAZ:00002724</v>
      </c>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c r="BP266" s="41"/>
      <c r="BQ266" s="41"/>
      <c r="BR266" s="41"/>
      <c r="BS266" s="41"/>
      <c r="BT266" s="41"/>
      <c r="BU266" s="41"/>
      <c r="BV266" s="41"/>
      <c r="BW266" s="41"/>
      <c r="BX266" s="41"/>
      <c r="BY266" s="41"/>
      <c r="BZ266" s="41"/>
      <c r="CA266" s="41"/>
      <c r="CB266" s="41"/>
      <c r="CC266" s="41"/>
      <c r="CD266" s="41"/>
      <c r="CE266" s="41"/>
      <c r="CF266" s="41"/>
      <c r="CG266" s="41"/>
      <c r="CH266" s="41"/>
      <c r="CI266" s="41"/>
      <c r="CJ266" s="41"/>
      <c r="CK266" s="41"/>
      <c r="CL266" s="41"/>
      <c r="CM266" s="41"/>
      <c r="CN266" s="41"/>
      <c r="CO266" s="41"/>
      <c r="CP266" s="41"/>
      <c r="CQ266" s="41"/>
      <c r="CR266" s="41"/>
      <c r="CS266" s="41"/>
    </row>
    <row r="267" hidden="1">
      <c r="A267" s="31" t="s">
        <v>109</v>
      </c>
      <c r="B267" s="41" t="s">
        <v>1848</v>
      </c>
      <c r="C267" s="41" t="s">
        <v>1849</v>
      </c>
      <c r="D267" s="45" t="s">
        <v>1850</v>
      </c>
      <c r="E267" s="41"/>
      <c r="F267" s="168"/>
      <c r="G267" s="168"/>
      <c r="H267" s="168" t="s">
        <v>25</v>
      </c>
      <c r="I267" s="168" t="s">
        <v>25</v>
      </c>
      <c r="J267" s="168" t="s">
        <v>25</v>
      </c>
      <c r="K267" s="163" t="str">
        <f>VLOOKUP(C267,'Term Reference Guide'!$C:$C,1,false)</f>
        <v>GAZ:00005282</v>
      </c>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c r="BP267" s="41"/>
      <c r="BQ267" s="41"/>
      <c r="BR267" s="41"/>
      <c r="BS267" s="41"/>
      <c r="BT267" s="41"/>
      <c r="BU267" s="41"/>
      <c r="BV267" s="41"/>
      <c r="BW267" s="41"/>
      <c r="BX267" s="41"/>
      <c r="BY267" s="41"/>
      <c r="BZ267" s="41"/>
      <c r="CA267" s="41"/>
      <c r="CB267" s="41"/>
      <c r="CC267" s="41"/>
      <c r="CD267" s="41"/>
      <c r="CE267" s="41"/>
      <c r="CF267" s="41"/>
      <c r="CG267" s="41"/>
      <c r="CH267" s="41"/>
      <c r="CI267" s="41"/>
      <c r="CJ267" s="41"/>
      <c r="CK267" s="41"/>
      <c r="CL267" s="41"/>
      <c r="CM267" s="41"/>
      <c r="CN267" s="41"/>
      <c r="CO267" s="41"/>
      <c r="CP267" s="41"/>
      <c r="CQ267" s="41"/>
      <c r="CR267" s="41"/>
      <c r="CS267" s="41"/>
    </row>
    <row r="268" hidden="1">
      <c r="A268" s="31" t="s">
        <v>109</v>
      </c>
      <c r="B268" s="41" t="s">
        <v>1851</v>
      </c>
      <c r="C268" s="41" t="s">
        <v>1852</v>
      </c>
      <c r="D268" s="45" t="s">
        <v>1853</v>
      </c>
      <c r="E268" s="41"/>
      <c r="F268" s="168"/>
      <c r="G268" s="168"/>
      <c r="H268" s="168" t="s">
        <v>25</v>
      </c>
      <c r="I268" s="168" t="s">
        <v>25</v>
      </c>
      <c r="J268" s="168" t="s">
        <v>25</v>
      </c>
      <c r="K268" s="163" t="str">
        <f>VLOOKUP(C268,'Term Reference Guide'!$C:$C,1,false)</f>
        <v>GAZ:00002637</v>
      </c>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c r="BP268" s="41"/>
      <c r="BQ268" s="41"/>
      <c r="BR268" s="41"/>
      <c r="BS268" s="41"/>
      <c r="BT268" s="41"/>
      <c r="BU268" s="41"/>
      <c r="BV268" s="41"/>
      <c r="BW268" s="41"/>
      <c r="BX268" s="41"/>
      <c r="BY268" s="41"/>
      <c r="BZ268" s="41"/>
      <c r="CA268" s="41"/>
      <c r="CB268" s="41"/>
      <c r="CC268" s="41"/>
      <c r="CD268" s="41"/>
      <c r="CE268" s="41"/>
      <c r="CF268" s="41"/>
      <c r="CG268" s="41"/>
      <c r="CH268" s="41"/>
      <c r="CI268" s="41"/>
      <c r="CJ268" s="41"/>
      <c r="CK268" s="41"/>
      <c r="CL268" s="41"/>
      <c r="CM268" s="41"/>
      <c r="CN268" s="41"/>
      <c r="CO268" s="41"/>
      <c r="CP268" s="41"/>
      <c r="CQ268" s="41"/>
      <c r="CR268" s="41"/>
      <c r="CS268" s="41"/>
    </row>
    <row r="269" hidden="1">
      <c r="A269" s="31" t="s">
        <v>109</v>
      </c>
      <c r="B269" s="41" t="s">
        <v>1854</v>
      </c>
      <c r="C269" s="41" t="s">
        <v>1855</v>
      </c>
      <c r="D269" s="45" t="s">
        <v>1856</v>
      </c>
      <c r="E269" s="41"/>
      <c r="F269" s="168"/>
      <c r="G269" s="168"/>
      <c r="H269" s="168" t="s">
        <v>25</v>
      </c>
      <c r="I269" s="168" t="s">
        <v>25</v>
      </c>
      <c r="J269" s="168" t="s">
        <v>25</v>
      </c>
      <c r="K269" s="163" t="str">
        <f>VLOOKUP(C269,'Term Reference Guide'!$C:$C,1,false)</f>
        <v>GAZ:00002930</v>
      </c>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c r="BP269" s="41"/>
      <c r="BQ269" s="41"/>
      <c r="BR269" s="41"/>
      <c r="BS269" s="41"/>
      <c r="BT269" s="41"/>
      <c r="BU269" s="41"/>
      <c r="BV269" s="41"/>
      <c r="BW269" s="41"/>
      <c r="BX269" s="41"/>
      <c r="BY269" s="41"/>
      <c r="BZ269" s="41"/>
      <c r="CA269" s="41"/>
      <c r="CB269" s="41"/>
      <c r="CC269" s="41"/>
      <c r="CD269" s="41"/>
      <c r="CE269" s="41"/>
      <c r="CF269" s="41"/>
      <c r="CG269" s="41"/>
      <c r="CH269" s="41"/>
      <c r="CI269" s="41"/>
      <c r="CJ269" s="41"/>
      <c r="CK269" s="41"/>
      <c r="CL269" s="41"/>
      <c r="CM269" s="41"/>
      <c r="CN269" s="41"/>
      <c r="CO269" s="41"/>
      <c r="CP269" s="41"/>
      <c r="CQ269" s="41"/>
      <c r="CR269" s="41"/>
      <c r="CS269" s="41"/>
    </row>
    <row r="270" hidden="1">
      <c r="A270" s="31" t="s">
        <v>109</v>
      </c>
      <c r="B270" s="41" t="s">
        <v>1857</v>
      </c>
      <c r="C270" s="41" t="s">
        <v>1858</v>
      </c>
      <c r="D270" s="45" t="s">
        <v>1859</v>
      </c>
      <c r="E270" s="41"/>
      <c r="F270" s="168"/>
      <c r="G270" s="168"/>
      <c r="H270" s="168" t="s">
        <v>25</v>
      </c>
      <c r="I270" s="168" t="s">
        <v>25</v>
      </c>
      <c r="J270" s="168" t="s">
        <v>25</v>
      </c>
      <c r="K270" s="163" t="str">
        <f>VLOOKUP(C270,'Term Reference Guide'!$C:$C,1,false)</f>
        <v>GAZ:00004979</v>
      </c>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c r="BP270" s="41"/>
      <c r="BQ270" s="41"/>
      <c r="BR270" s="41"/>
      <c r="BS270" s="41"/>
      <c r="BT270" s="41"/>
      <c r="BU270" s="41"/>
      <c r="BV270" s="41"/>
      <c r="BW270" s="41"/>
      <c r="BX270" s="41"/>
      <c r="BY270" s="41"/>
      <c r="BZ270" s="41"/>
      <c r="CA270" s="41"/>
      <c r="CB270" s="41"/>
      <c r="CC270" s="41"/>
      <c r="CD270" s="41"/>
      <c r="CE270" s="41"/>
      <c r="CF270" s="41"/>
      <c r="CG270" s="41"/>
      <c r="CH270" s="41"/>
      <c r="CI270" s="41"/>
      <c r="CJ270" s="41"/>
      <c r="CK270" s="41"/>
      <c r="CL270" s="41"/>
      <c r="CM270" s="41"/>
      <c r="CN270" s="41"/>
      <c r="CO270" s="41"/>
      <c r="CP270" s="41"/>
      <c r="CQ270" s="41"/>
      <c r="CR270" s="41"/>
      <c r="CS270" s="41"/>
    </row>
    <row r="271" hidden="1">
      <c r="A271" s="31" t="s">
        <v>109</v>
      </c>
      <c r="B271" s="41" t="s">
        <v>1860</v>
      </c>
      <c r="C271" s="41" t="s">
        <v>1861</v>
      </c>
      <c r="D271" s="45" t="s">
        <v>1862</v>
      </c>
      <c r="E271" s="41"/>
      <c r="F271" s="168"/>
      <c r="G271" s="168"/>
      <c r="H271" s="168" t="s">
        <v>25</v>
      </c>
      <c r="I271" s="168" t="s">
        <v>25</v>
      </c>
      <c r="J271" s="168" t="s">
        <v>25</v>
      </c>
      <c r="K271" s="163" t="str">
        <f>VLOOKUP(C271,'Term Reference Guide'!$C:$C,1,false)</f>
        <v>GAZ:00006918</v>
      </c>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c r="BP271" s="41"/>
      <c r="BQ271" s="41"/>
      <c r="BR271" s="41"/>
      <c r="BS271" s="41"/>
      <c r="BT271" s="41"/>
      <c r="BU271" s="41"/>
      <c r="BV271" s="41"/>
      <c r="BW271" s="41"/>
      <c r="BX271" s="41"/>
      <c r="BY271" s="41"/>
      <c r="BZ271" s="41"/>
      <c r="CA271" s="41"/>
      <c r="CB271" s="41"/>
      <c r="CC271" s="41"/>
      <c r="CD271" s="41"/>
      <c r="CE271" s="41"/>
      <c r="CF271" s="41"/>
      <c r="CG271" s="41"/>
      <c r="CH271" s="41"/>
      <c r="CI271" s="41"/>
      <c r="CJ271" s="41"/>
      <c r="CK271" s="41"/>
      <c r="CL271" s="41"/>
      <c r="CM271" s="41"/>
      <c r="CN271" s="41"/>
      <c r="CO271" s="41"/>
      <c r="CP271" s="41"/>
      <c r="CQ271" s="41"/>
      <c r="CR271" s="41"/>
      <c r="CS271" s="41"/>
    </row>
    <row r="272" hidden="1">
      <c r="A272" s="31" t="s">
        <v>109</v>
      </c>
      <c r="B272" s="41" t="s">
        <v>1863</v>
      </c>
      <c r="C272" s="41" t="s">
        <v>1864</v>
      </c>
      <c r="D272" s="45" t="s">
        <v>1865</v>
      </c>
      <c r="E272" s="41"/>
      <c r="F272" s="168"/>
      <c r="G272" s="168"/>
      <c r="H272" s="168" t="s">
        <v>25</v>
      </c>
      <c r="I272" s="168" t="s">
        <v>25</v>
      </c>
      <c r="J272" s="168" t="s">
        <v>25</v>
      </c>
      <c r="K272" s="163" t="str">
        <f>VLOOKUP(C272,'Term Reference Guide'!$C:$C,1,false)</f>
        <v>GAZ:00002931</v>
      </c>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c r="BP272" s="41"/>
      <c r="BQ272" s="41"/>
      <c r="BR272" s="41"/>
      <c r="BS272" s="41"/>
      <c r="BT272" s="41"/>
      <c r="BU272" s="41"/>
      <c r="BV272" s="41"/>
      <c r="BW272" s="41"/>
      <c r="BX272" s="41"/>
      <c r="BY272" s="41"/>
      <c r="BZ272" s="41"/>
      <c r="CA272" s="41"/>
      <c r="CB272" s="41"/>
      <c r="CC272" s="41"/>
      <c r="CD272" s="41"/>
      <c r="CE272" s="41"/>
      <c r="CF272" s="41"/>
      <c r="CG272" s="41"/>
      <c r="CH272" s="41"/>
      <c r="CI272" s="41"/>
      <c r="CJ272" s="41"/>
      <c r="CK272" s="41"/>
      <c r="CL272" s="41"/>
      <c r="CM272" s="41"/>
      <c r="CN272" s="41"/>
      <c r="CO272" s="41"/>
      <c r="CP272" s="41"/>
      <c r="CQ272" s="41"/>
      <c r="CR272" s="41"/>
      <c r="CS272" s="41"/>
    </row>
    <row r="273" hidden="1">
      <c r="A273" s="31" t="s">
        <v>109</v>
      </c>
      <c r="B273" s="41" t="s">
        <v>1866</v>
      </c>
      <c r="C273" s="41" t="s">
        <v>1867</v>
      </c>
      <c r="D273" s="45" t="s">
        <v>1868</v>
      </c>
      <c r="E273" s="41"/>
      <c r="F273" s="168"/>
      <c r="G273" s="168"/>
      <c r="H273" s="168" t="s">
        <v>25</v>
      </c>
      <c r="I273" s="168" t="s">
        <v>25</v>
      </c>
      <c r="J273" s="168" t="s">
        <v>25</v>
      </c>
      <c r="K273" s="163" t="str">
        <f>VLOOKUP(C273,'Term Reference Guide'!$C:$C,1,false)</f>
        <v>GAZ:00003756</v>
      </c>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c r="BP273" s="41"/>
      <c r="BQ273" s="41"/>
      <c r="BR273" s="41"/>
      <c r="BS273" s="41"/>
      <c r="BT273" s="41"/>
      <c r="BU273" s="41"/>
      <c r="BV273" s="41"/>
      <c r="BW273" s="41"/>
      <c r="BX273" s="41"/>
      <c r="BY273" s="41"/>
      <c r="BZ273" s="41"/>
      <c r="CA273" s="41"/>
      <c r="CB273" s="41"/>
      <c r="CC273" s="41"/>
      <c r="CD273" s="41"/>
      <c r="CE273" s="41"/>
      <c r="CF273" s="41"/>
      <c r="CG273" s="41"/>
      <c r="CH273" s="41"/>
      <c r="CI273" s="41"/>
      <c r="CJ273" s="41"/>
      <c r="CK273" s="41"/>
      <c r="CL273" s="41"/>
      <c r="CM273" s="41"/>
      <c r="CN273" s="41"/>
      <c r="CO273" s="41"/>
      <c r="CP273" s="41"/>
      <c r="CQ273" s="41"/>
      <c r="CR273" s="41"/>
      <c r="CS273" s="41"/>
    </row>
    <row r="274" hidden="1">
      <c r="A274" s="31" t="s">
        <v>109</v>
      </c>
      <c r="B274" s="41" t="s">
        <v>1869</v>
      </c>
      <c r="C274" s="41" t="s">
        <v>1870</v>
      </c>
      <c r="D274" s="45" t="s">
        <v>1871</v>
      </c>
      <c r="E274" s="41"/>
      <c r="F274" s="168"/>
      <c r="G274" s="168"/>
      <c r="H274" s="168" t="s">
        <v>25</v>
      </c>
      <c r="I274" s="168" t="s">
        <v>25</v>
      </c>
      <c r="J274" s="168" t="s">
        <v>25</v>
      </c>
      <c r="K274" s="163" t="str">
        <f>VLOOKUP(C274,'Term Reference Guide'!$C:$C,1,false)</f>
        <v>GAZ:00003959</v>
      </c>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c r="BP274" s="41"/>
      <c r="BQ274" s="41"/>
      <c r="BR274" s="41"/>
      <c r="BS274" s="41"/>
      <c r="BT274" s="41"/>
      <c r="BU274" s="41"/>
      <c r="BV274" s="41"/>
      <c r="BW274" s="41"/>
      <c r="BX274" s="41"/>
      <c r="BY274" s="41"/>
      <c r="BZ274" s="41"/>
      <c r="CA274" s="41"/>
      <c r="CB274" s="41"/>
      <c r="CC274" s="41"/>
      <c r="CD274" s="41"/>
      <c r="CE274" s="41"/>
      <c r="CF274" s="41"/>
      <c r="CG274" s="41"/>
      <c r="CH274" s="41"/>
      <c r="CI274" s="41"/>
      <c r="CJ274" s="41"/>
      <c r="CK274" s="41"/>
      <c r="CL274" s="41"/>
      <c r="CM274" s="41"/>
      <c r="CN274" s="41"/>
      <c r="CO274" s="41"/>
      <c r="CP274" s="41"/>
      <c r="CQ274" s="41"/>
      <c r="CR274" s="41"/>
      <c r="CS274" s="41"/>
    </row>
    <row r="275" hidden="1">
      <c r="A275" s="31" t="s">
        <v>109</v>
      </c>
      <c r="B275" s="41" t="s">
        <v>1872</v>
      </c>
      <c r="C275" s="41" t="s">
        <v>1873</v>
      </c>
      <c r="D275" s="45" t="s">
        <v>1874</v>
      </c>
      <c r="E275" s="41"/>
      <c r="F275" s="168"/>
      <c r="G275" s="168"/>
      <c r="H275" s="168" t="s">
        <v>25</v>
      </c>
      <c r="I275" s="168" t="s">
        <v>25</v>
      </c>
      <c r="J275" s="168" t="s">
        <v>25</v>
      </c>
      <c r="K275" s="163" t="str">
        <f>VLOOKUP(C275,'Term Reference Guide'!$C:$C,1,false)</f>
        <v>GAZ:00007111</v>
      </c>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c r="BP275" s="41"/>
      <c r="BQ275" s="41"/>
      <c r="BR275" s="41"/>
      <c r="BS275" s="41"/>
      <c r="BT275" s="41"/>
      <c r="BU275" s="41"/>
      <c r="BV275" s="41"/>
      <c r="BW275" s="41"/>
      <c r="BX275" s="41"/>
      <c r="BY275" s="41"/>
      <c r="BZ275" s="41"/>
      <c r="CA275" s="41"/>
      <c r="CB275" s="41"/>
      <c r="CC275" s="41"/>
      <c r="CD275" s="41"/>
      <c r="CE275" s="41"/>
      <c r="CF275" s="41"/>
      <c r="CG275" s="41"/>
      <c r="CH275" s="41"/>
      <c r="CI275" s="41"/>
      <c r="CJ275" s="41"/>
      <c r="CK275" s="41"/>
      <c r="CL275" s="41"/>
      <c r="CM275" s="41"/>
      <c r="CN275" s="41"/>
      <c r="CO275" s="41"/>
      <c r="CP275" s="41"/>
      <c r="CQ275" s="41"/>
      <c r="CR275" s="41"/>
      <c r="CS275" s="41"/>
    </row>
    <row r="276" hidden="1">
      <c r="A276" s="31" t="s">
        <v>109</v>
      </c>
      <c r="B276" s="41" t="s">
        <v>1875</v>
      </c>
      <c r="C276" s="41" t="s">
        <v>1876</v>
      </c>
      <c r="D276" s="45" t="s">
        <v>1877</v>
      </c>
      <c r="E276" s="41"/>
      <c r="F276" s="168"/>
      <c r="G276" s="168"/>
      <c r="H276" s="168" t="s">
        <v>25</v>
      </c>
      <c r="I276" s="168" t="s">
        <v>25</v>
      </c>
      <c r="J276" s="168" t="s">
        <v>25</v>
      </c>
      <c r="K276" s="163" t="str">
        <f>VLOOKUP(C276,'Term Reference Guide'!$C:$C,1,false)</f>
        <v>GAZ:00007191</v>
      </c>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c r="BP276" s="41"/>
      <c r="BQ276" s="41"/>
      <c r="BR276" s="41"/>
      <c r="BS276" s="41"/>
      <c r="BT276" s="41"/>
      <c r="BU276" s="41"/>
      <c r="BV276" s="41"/>
      <c r="BW276" s="41"/>
      <c r="BX276" s="41"/>
      <c r="BY276" s="41"/>
      <c r="BZ276" s="41"/>
      <c r="CA276" s="41"/>
      <c r="CB276" s="41"/>
      <c r="CC276" s="41"/>
      <c r="CD276" s="41"/>
      <c r="CE276" s="41"/>
      <c r="CF276" s="41"/>
      <c r="CG276" s="41"/>
      <c r="CH276" s="41"/>
      <c r="CI276" s="41"/>
      <c r="CJ276" s="41"/>
      <c r="CK276" s="41"/>
      <c r="CL276" s="41"/>
      <c r="CM276" s="41"/>
      <c r="CN276" s="41"/>
      <c r="CO276" s="41"/>
      <c r="CP276" s="41"/>
      <c r="CQ276" s="41"/>
      <c r="CR276" s="41"/>
      <c r="CS276" s="41"/>
    </row>
    <row r="277" hidden="1">
      <c r="A277" s="31" t="s">
        <v>109</v>
      </c>
      <c r="B277" s="41" t="s">
        <v>1878</v>
      </c>
      <c r="C277" s="41" t="s">
        <v>1879</v>
      </c>
      <c r="D277" s="45" t="s">
        <v>1880</v>
      </c>
      <c r="E277" s="41"/>
      <c r="F277" s="168"/>
      <c r="G277" s="168"/>
      <c r="H277" s="168" t="s">
        <v>25</v>
      </c>
      <c r="I277" s="168" t="s">
        <v>25</v>
      </c>
      <c r="J277" s="168" t="s">
        <v>25</v>
      </c>
      <c r="K277" s="163" t="str">
        <f>VLOOKUP(C277,'Term Reference Guide'!$C:$C,1,false)</f>
        <v>GAZ:00009572</v>
      </c>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c r="BP277" s="41"/>
      <c r="BQ277" s="41"/>
      <c r="BR277" s="41"/>
      <c r="BS277" s="41"/>
      <c r="BT277" s="41"/>
      <c r="BU277" s="41"/>
      <c r="BV277" s="41"/>
      <c r="BW277" s="41"/>
      <c r="BX277" s="41"/>
      <c r="BY277" s="41"/>
      <c r="BZ277" s="41"/>
      <c r="CA277" s="41"/>
      <c r="CB277" s="41"/>
      <c r="CC277" s="41"/>
      <c r="CD277" s="41"/>
      <c r="CE277" s="41"/>
      <c r="CF277" s="41"/>
      <c r="CG277" s="41"/>
      <c r="CH277" s="41"/>
      <c r="CI277" s="41"/>
      <c r="CJ277" s="41"/>
      <c r="CK277" s="41"/>
      <c r="CL277" s="41"/>
      <c r="CM277" s="41"/>
      <c r="CN277" s="41"/>
      <c r="CO277" s="41"/>
      <c r="CP277" s="41"/>
      <c r="CQ277" s="41"/>
      <c r="CR277" s="41"/>
      <c r="CS277" s="41"/>
    </row>
    <row r="278" hidden="1">
      <c r="A278" s="31" t="s">
        <v>109</v>
      </c>
      <c r="B278" s="41" t="s">
        <v>1881</v>
      </c>
      <c r="C278" s="41" t="s">
        <v>1882</v>
      </c>
      <c r="D278" s="45" t="s">
        <v>1883</v>
      </c>
      <c r="E278" s="41"/>
      <c r="F278" s="168"/>
      <c r="G278" s="168"/>
      <c r="H278" s="168" t="s">
        <v>25</v>
      </c>
      <c r="I278" s="168" t="s">
        <v>25</v>
      </c>
      <c r="J278" s="168" t="s">
        <v>25</v>
      </c>
      <c r="K278" s="163" t="str">
        <f>VLOOKUP(C278,'Term Reference Guide'!$C:$C,1,false)</f>
        <v>GAZ:00000564</v>
      </c>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c r="BV278" s="41"/>
      <c r="BW278" s="41"/>
      <c r="BX278" s="41"/>
      <c r="BY278" s="41"/>
      <c r="BZ278" s="41"/>
      <c r="CA278" s="41"/>
      <c r="CB278" s="41"/>
      <c r="CC278" s="41"/>
      <c r="CD278" s="41"/>
      <c r="CE278" s="41"/>
      <c r="CF278" s="41"/>
      <c r="CG278" s="41"/>
      <c r="CH278" s="41"/>
      <c r="CI278" s="41"/>
      <c r="CJ278" s="41"/>
      <c r="CK278" s="41"/>
      <c r="CL278" s="41"/>
      <c r="CM278" s="41"/>
      <c r="CN278" s="41"/>
      <c r="CO278" s="41"/>
      <c r="CP278" s="41"/>
      <c r="CQ278" s="41"/>
      <c r="CR278" s="41"/>
      <c r="CS278" s="41"/>
    </row>
    <row r="279" hidden="1">
      <c r="A279" s="31" t="s">
        <v>109</v>
      </c>
      <c r="B279" s="41" t="s">
        <v>1884</v>
      </c>
      <c r="C279" s="41" t="s">
        <v>1885</v>
      </c>
      <c r="D279" s="45" t="s">
        <v>1886</v>
      </c>
      <c r="E279" s="41"/>
      <c r="F279" s="168"/>
      <c r="G279" s="168"/>
      <c r="H279" s="168" t="s">
        <v>25</v>
      </c>
      <c r="I279" s="168" t="s">
        <v>25</v>
      </c>
      <c r="J279" s="168" t="s">
        <v>25</v>
      </c>
      <c r="K279" s="163" t="str">
        <f>VLOOKUP(C279,'Term Reference Guide'!$C:$C,1,false)</f>
        <v>GAZ:00005284</v>
      </c>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c r="BP279" s="41"/>
      <c r="BQ279" s="41"/>
      <c r="BR279" s="41"/>
      <c r="BS279" s="41"/>
      <c r="BT279" s="41"/>
      <c r="BU279" s="41"/>
      <c r="BV279" s="41"/>
      <c r="BW279" s="41"/>
      <c r="BX279" s="41"/>
      <c r="BY279" s="41"/>
      <c r="BZ279" s="41"/>
      <c r="CA279" s="41"/>
      <c r="CB279" s="41"/>
      <c r="CC279" s="41"/>
      <c r="CD279" s="41"/>
      <c r="CE279" s="41"/>
      <c r="CF279" s="41"/>
      <c r="CG279" s="41"/>
      <c r="CH279" s="41"/>
      <c r="CI279" s="41"/>
      <c r="CJ279" s="41"/>
      <c r="CK279" s="41"/>
      <c r="CL279" s="41"/>
      <c r="CM279" s="41"/>
      <c r="CN279" s="41"/>
      <c r="CO279" s="41"/>
      <c r="CP279" s="41"/>
      <c r="CQ279" s="41"/>
      <c r="CR279" s="41"/>
      <c r="CS279" s="41"/>
    </row>
    <row r="280" hidden="1">
      <c r="A280" s="31" t="s">
        <v>109</v>
      </c>
      <c r="B280" s="41" t="s">
        <v>1887</v>
      </c>
      <c r="C280" s="41" t="s">
        <v>1888</v>
      </c>
      <c r="D280" s="45" t="s">
        <v>1889</v>
      </c>
      <c r="E280" s="41"/>
      <c r="F280" s="168"/>
      <c r="G280" s="168"/>
      <c r="H280" s="168" t="s">
        <v>25</v>
      </c>
      <c r="I280" s="168" t="s">
        <v>25</v>
      </c>
      <c r="J280" s="168" t="s">
        <v>25</v>
      </c>
      <c r="K280" s="163" t="str">
        <f>VLOOKUP(C280,'Term Reference Guide'!$C:$C,1,false)</f>
        <v>GAZ:00001107</v>
      </c>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c r="BP280" s="41"/>
      <c r="BQ280" s="41"/>
      <c r="BR280" s="41"/>
      <c r="BS280" s="41"/>
      <c r="BT280" s="41"/>
      <c r="BU280" s="41"/>
      <c r="BV280" s="41"/>
      <c r="BW280" s="41"/>
      <c r="BX280" s="41"/>
      <c r="BY280" s="41"/>
      <c r="BZ280" s="41"/>
      <c r="CA280" s="41"/>
      <c r="CB280" s="41"/>
      <c r="CC280" s="41"/>
      <c r="CD280" s="41"/>
      <c r="CE280" s="41"/>
      <c r="CF280" s="41"/>
      <c r="CG280" s="41"/>
      <c r="CH280" s="41"/>
      <c r="CI280" s="41"/>
      <c r="CJ280" s="41"/>
      <c r="CK280" s="41"/>
      <c r="CL280" s="41"/>
      <c r="CM280" s="41"/>
      <c r="CN280" s="41"/>
      <c r="CO280" s="41"/>
      <c r="CP280" s="41"/>
      <c r="CQ280" s="41"/>
      <c r="CR280" s="41"/>
      <c r="CS280" s="41"/>
    </row>
    <row r="281" hidden="1">
      <c r="A281" s="31" t="s">
        <v>109</v>
      </c>
      <c r="B281" s="41" t="s">
        <v>1890</v>
      </c>
      <c r="C281" s="41" t="s">
        <v>1891</v>
      </c>
      <c r="D281" s="45" t="s">
        <v>1892</v>
      </c>
      <c r="E281" s="41"/>
      <c r="F281" s="168"/>
      <c r="G281" s="168"/>
      <c r="H281" s="168" t="s">
        <v>25</v>
      </c>
      <c r="I281" s="168" t="s">
        <v>25</v>
      </c>
      <c r="J281" s="168" t="s">
        <v>25</v>
      </c>
      <c r="K281" s="163" t="str">
        <f>VLOOKUP(C281,'Term Reference Guide'!$C:$C,1,false)</f>
        <v>GAZ:00001106</v>
      </c>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c r="BP281" s="41"/>
      <c r="BQ281" s="41"/>
      <c r="BR281" s="41"/>
      <c r="BS281" s="41"/>
      <c r="BT281" s="41"/>
      <c r="BU281" s="41"/>
      <c r="BV281" s="41"/>
      <c r="BW281" s="41"/>
      <c r="BX281" s="41"/>
      <c r="BY281" s="41"/>
      <c r="BZ281" s="41"/>
      <c r="CA281" s="41"/>
      <c r="CB281" s="41"/>
      <c r="CC281" s="41"/>
      <c r="CD281" s="41"/>
      <c r="CE281" s="41"/>
      <c r="CF281" s="41"/>
      <c r="CG281" s="41"/>
      <c r="CH281" s="41"/>
      <c r="CI281" s="41"/>
      <c r="CJ281" s="41"/>
      <c r="CK281" s="41"/>
      <c r="CL281" s="41"/>
      <c r="CM281" s="41"/>
      <c r="CN281" s="41"/>
      <c r="CO281" s="41"/>
      <c r="CP281" s="41"/>
      <c r="CQ281" s="41"/>
      <c r="CR281" s="41"/>
      <c r="CS281" s="41"/>
    </row>
    <row r="282">
      <c r="A282" s="173"/>
      <c r="B282" s="173"/>
      <c r="C282" s="173"/>
      <c r="D282" s="141"/>
      <c r="E282" s="173"/>
      <c r="F282" s="173"/>
      <c r="G282" s="173"/>
      <c r="H282" s="173"/>
      <c r="I282" s="173"/>
      <c r="J282" s="141"/>
      <c r="K282" s="163" t="str">
        <f>VLOOKUP(C282,'Term Reference Guide'!$C:$C,1,false)</f>
        <v>#N/A</v>
      </c>
      <c r="L282" s="173"/>
      <c r="M282" s="173"/>
      <c r="N282" s="173"/>
      <c r="O282" s="173"/>
      <c r="P282" s="173"/>
      <c r="Q282" s="173"/>
      <c r="R282" s="173"/>
      <c r="S282" s="173"/>
      <c r="T282" s="173"/>
      <c r="U282" s="173"/>
      <c r="V282" s="173"/>
      <c r="W282" s="173"/>
      <c r="X282" s="173"/>
      <c r="Y282" s="173"/>
      <c r="Z282" s="173"/>
      <c r="AA282" s="173"/>
      <c r="AB282" s="173"/>
      <c r="AC282" s="173"/>
      <c r="AD282" s="173"/>
      <c r="AE282" s="173"/>
      <c r="AF282" s="173"/>
      <c r="AG282" s="173"/>
      <c r="AH282" s="173"/>
      <c r="AI282" s="173"/>
      <c r="AJ282" s="173"/>
      <c r="AK282" s="173"/>
      <c r="AL282" s="173"/>
      <c r="AM282" s="173"/>
      <c r="AN282" s="173"/>
      <c r="AO282" s="173"/>
      <c r="AP282" s="173"/>
      <c r="AQ282" s="173"/>
      <c r="AR282" s="173"/>
      <c r="AS282" s="173"/>
      <c r="AT282" s="173"/>
      <c r="AU282" s="173"/>
      <c r="AV282" s="173"/>
      <c r="AW282" s="173"/>
      <c r="AX282" s="173"/>
      <c r="AY282" s="173"/>
      <c r="AZ282" s="173"/>
      <c r="BA282" s="173"/>
      <c r="BB282" s="173"/>
      <c r="BC282" s="173"/>
      <c r="BD282" s="173"/>
      <c r="BE282" s="173"/>
      <c r="BF282" s="173"/>
      <c r="BG282" s="173"/>
      <c r="BH282" s="173"/>
      <c r="BI282" s="173"/>
      <c r="BJ282" s="173"/>
      <c r="BK282" s="173"/>
      <c r="BL282" s="173"/>
      <c r="BM282" s="173"/>
      <c r="BN282" s="173"/>
      <c r="BO282" s="173"/>
      <c r="BP282" s="173"/>
      <c r="BQ282" s="173"/>
      <c r="BR282" s="173"/>
      <c r="BS282" s="173"/>
      <c r="BT282" s="173"/>
      <c r="BU282" s="173"/>
      <c r="BV282" s="173"/>
      <c r="BW282" s="173"/>
      <c r="BX282" s="173"/>
      <c r="BY282" s="173"/>
      <c r="BZ282" s="173"/>
      <c r="CA282" s="173"/>
      <c r="CB282" s="173"/>
      <c r="CC282" s="173"/>
      <c r="CD282" s="173"/>
      <c r="CE282" s="173"/>
      <c r="CF282" s="173"/>
      <c r="CG282" s="173"/>
      <c r="CH282" s="173"/>
      <c r="CI282" s="173"/>
      <c r="CJ282" s="173"/>
      <c r="CK282" s="173"/>
      <c r="CL282" s="173"/>
      <c r="CM282" s="173"/>
      <c r="CN282" s="173"/>
      <c r="CO282" s="173"/>
      <c r="CP282" s="173"/>
      <c r="CQ282" s="173"/>
      <c r="CR282" s="173"/>
      <c r="CS282" s="173"/>
    </row>
    <row r="283">
      <c r="A283" s="27" t="s">
        <v>144</v>
      </c>
      <c r="B283" s="174"/>
      <c r="C283" s="174"/>
      <c r="D283" s="175"/>
      <c r="E283" s="174"/>
      <c r="F283" s="174"/>
      <c r="G283" s="174"/>
      <c r="H283" s="176"/>
      <c r="I283" s="176"/>
      <c r="J283" s="177"/>
      <c r="K283" s="163" t="str">
        <f>VLOOKUP(C283,'Term Reference Guide'!$C:$C,1,false)</f>
        <v>#N/A</v>
      </c>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c r="AH283" s="178"/>
      <c r="AI283" s="178"/>
      <c r="AJ283" s="178"/>
      <c r="AK283" s="178"/>
      <c r="AL283" s="178"/>
      <c r="AM283" s="178"/>
      <c r="AN283" s="178"/>
      <c r="AO283" s="178"/>
      <c r="AP283" s="178"/>
      <c r="AQ283" s="178"/>
      <c r="AR283" s="178"/>
      <c r="AS283" s="178"/>
      <c r="AT283" s="178"/>
      <c r="AU283" s="178"/>
      <c r="AV283" s="178"/>
      <c r="AW283" s="178"/>
      <c r="AX283" s="178"/>
      <c r="AY283" s="178"/>
      <c r="AZ283" s="178"/>
      <c r="BA283" s="178"/>
      <c r="BB283" s="178"/>
      <c r="BC283" s="178"/>
      <c r="BD283" s="178"/>
      <c r="BE283" s="178"/>
      <c r="BF283" s="178"/>
      <c r="BG283" s="178"/>
      <c r="BH283" s="178"/>
      <c r="BI283" s="178"/>
      <c r="BJ283" s="178"/>
      <c r="BK283" s="178"/>
      <c r="BL283" s="178"/>
      <c r="BM283" s="178"/>
      <c r="BN283" s="178"/>
      <c r="BO283" s="178"/>
      <c r="BP283" s="178"/>
      <c r="BQ283" s="178"/>
      <c r="BR283" s="178"/>
      <c r="BS283" s="178"/>
      <c r="BT283" s="178"/>
      <c r="BU283" s="178"/>
      <c r="BV283" s="178"/>
      <c r="BW283" s="178"/>
      <c r="BX283" s="178"/>
      <c r="BY283" s="178"/>
      <c r="BZ283" s="178"/>
      <c r="CA283" s="178"/>
      <c r="CB283" s="178"/>
      <c r="CC283" s="178"/>
      <c r="CD283" s="178"/>
      <c r="CE283" s="178"/>
      <c r="CF283" s="178"/>
      <c r="CG283" s="178"/>
      <c r="CH283" s="178"/>
      <c r="CI283" s="178"/>
      <c r="CJ283" s="178"/>
      <c r="CK283" s="178"/>
      <c r="CL283" s="178"/>
      <c r="CM283" s="178"/>
      <c r="CN283" s="178"/>
      <c r="CO283" s="178"/>
      <c r="CP283" s="178"/>
      <c r="CQ283" s="178"/>
      <c r="CR283" s="178"/>
      <c r="CS283" s="178"/>
    </row>
    <row r="284" hidden="1">
      <c r="A284" s="173" t="str">
        <f t="shared" ref="A284:A285" si="1">A$283</f>
        <v>watershed shapefile availability</v>
      </c>
      <c r="B284" s="179" t="s">
        <v>1893</v>
      </c>
      <c r="C284" s="40" t="s">
        <v>1894</v>
      </c>
      <c r="D284" s="70" t="s">
        <v>1895</v>
      </c>
      <c r="E284" s="173"/>
      <c r="F284" s="168"/>
      <c r="G284" s="168"/>
      <c r="H284" s="168" t="s">
        <v>25</v>
      </c>
      <c r="I284" s="168" t="s">
        <v>25</v>
      </c>
      <c r="J284" s="168" t="s">
        <v>25</v>
      </c>
      <c r="K284" s="163" t="str">
        <f>VLOOKUP(C284,'Term Reference Guide'!$C:$C,1,false)</f>
        <v>GENEPIO:0100993</v>
      </c>
      <c r="L284" s="173"/>
      <c r="M284" s="173"/>
      <c r="N284" s="173"/>
      <c r="O284" s="173"/>
      <c r="P284" s="173"/>
      <c r="Q284" s="173"/>
      <c r="R284" s="173"/>
      <c r="S284" s="173"/>
      <c r="T284" s="173"/>
      <c r="U284" s="173"/>
      <c r="V284" s="173"/>
      <c r="W284" s="173"/>
      <c r="X284" s="173"/>
      <c r="Y284" s="173"/>
      <c r="Z284" s="173"/>
      <c r="AA284" s="173"/>
      <c r="AB284" s="173"/>
      <c r="AC284" s="173"/>
      <c r="AD284" s="173"/>
      <c r="AE284" s="173"/>
      <c r="AF284" s="173"/>
      <c r="AG284" s="173"/>
      <c r="AH284" s="173"/>
      <c r="AI284" s="173"/>
      <c r="AJ284" s="173"/>
      <c r="AK284" s="173"/>
      <c r="AL284" s="173"/>
      <c r="AM284" s="173"/>
      <c r="AN284" s="173"/>
      <c r="AO284" s="173"/>
      <c r="AP284" s="173"/>
      <c r="AQ284" s="173"/>
      <c r="AR284" s="173"/>
      <c r="AS284" s="173"/>
      <c r="AT284" s="173"/>
      <c r="AU284" s="173"/>
      <c r="AV284" s="173"/>
      <c r="AW284" s="173"/>
      <c r="AX284" s="173"/>
      <c r="AY284" s="173"/>
      <c r="AZ284" s="173"/>
      <c r="BA284" s="173"/>
      <c r="BB284" s="173"/>
      <c r="BC284" s="173"/>
      <c r="BD284" s="173"/>
      <c r="BE284" s="173"/>
      <c r="BF284" s="173"/>
      <c r="BG284" s="173"/>
      <c r="BH284" s="173"/>
      <c r="BI284" s="173"/>
      <c r="BJ284" s="173"/>
      <c r="BK284" s="173"/>
      <c r="BL284" s="173"/>
      <c r="BM284" s="173"/>
      <c r="BN284" s="173"/>
      <c r="BO284" s="173"/>
      <c r="BP284" s="173"/>
      <c r="BQ284" s="173"/>
      <c r="BR284" s="173"/>
      <c r="BS284" s="173"/>
      <c r="BT284" s="173"/>
      <c r="BU284" s="173"/>
      <c r="BV284" s="173"/>
      <c r="BW284" s="173"/>
      <c r="BX284" s="173"/>
      <c r="BY284" s="173"/>
      <c r="BZ284" s="173"/>
      <c r="CA284" s="173"/>
      <c r="CB284" s="173"/>
      <c r="CC284" s="173"/>
      <c r="CD284" s="173"/>
      <c r="CE284" s="173"/>
      <c r="CF284" s="173"/>
      <c r="CG284" s="173"/>
      <c r="CH284" s="173"/>
      <c r="CI284" s="173"/>
      <c r="CJ284" s="173"/>
      <c r="CK284" s="173"/>
      <c r="CL284" s="173"/>
      <c r="CM284" s="173"/>
      <c r="CN284" s="173"/>
      <c r="CO284" s="173"/>
      <c r="CP284" s="173"/>
      <c r="CQ284" s="173"/>
      <c r="CR284" s="173"/>
      <c r="CS284" s="173"/>
    </row>
    <row r="285" hidden="1">
      <c r="A285" s="173" t="str">
        <f t="shared" si="1"/>
        <v>watershed shapefile availability</v>
      </c>
      <c r="B285" s="179" t="s">
        <v>1896</v>
      </c>
      <c r="C285" s="40" t="s">
        <v>1897</v>
      </c>
      <c r="D285" s="70" t="s">
        <v>1898</v>
      </c>
      <c r="E285" s="173"/>
      <c r="F285" s="168"/>
      <c r="G285" s="168"/>
      <c r="H285" s="168" t="s">
        <v>25</v>
      </c>
      <c r="I285" s="168" t="s">
        <v>25</v>
      </c>
      <c r="J285" s="168" t="s">
        <v>25</v>
      </c>
      <c r="K285" s="163" t="str">
        <f>VLOOKUP(C285,'Term Reference Guide'!$C:$C,1,false)</f>
        <v>GENEPIO:0100995</v>
      </c>
      <c r="L285" s="173"/>
      <c r="M285" s="173"/>
      <c r="N285" s="173"/>
      <c r="O285" s="173"/>
      <c r="P285" s="173"/>
      <c r="Q285" s="173"/>
      <c r="R285" s="173"/>
      <c r="S285" s="173"/>
      <c r="T285" s="173"/>
      <c r="U285" s="173"/>
      <c r="V285" s="173"/>
      <c r="W285" s="173"/>
      <c r="X285" s="173"/>
      <c r="Y285" s="173"/>
      <c r="Z285" s="173"/>
      <c r="AA285" s="173"/>
      <c r="AB285" s="173"/>
      <c r="AC285" s="173"/>
      <c r="AD285" s="173"/>
      <c r="AE285" s="173"/>
      <c r="AF285" s="173"/>
      <c r="AG285" s="173"/>
      <c r="AH285" s="173"/>
      <c r="AI285" s="173"/>
      <c r="AJ285" s="173"/>
      <c r="AK285" s="173"/>
      <c r="AL285" s="173"/>
      <c r="AM285" s="173"/>
      <c r="AN285" s="173"/>
      <c r="AO285" s="173"/>
      <c r="AP285" s="173"/>
      <c r="AQ285" s="173"/>
      <c r="AR285" s="173"/>
      <c r="AS285" s="173"/>
      <c r="AT285" s="173"/>
      <c r="AU285" s="173"/>
      <c r="AV285" s="173"/>
      <c r="AW285" s="173"/>
      <c r="AX285" s="173"/>
      <c r="AY285" s="173"/>
      <c r="AZ285" s="173"/>
      <c r="BA285" s="173"/>
      <c r="BB285" s="173"/>
      <c r="BC285" s="173"/>
      <c r="BD285" s="173"/>
      <c r="BE285" s="173"/>
      <c r="BF285" s="173"/>
      <c r="BG285" s="173"/>
      <c r="BH285" s="173"/>
      <c r="BI285" s="173"/>
      <c r="BJ285" s="173"/>
      <c r="BK285" s="173"/>
      <c r="BL285" s="173"/>
      <c r="BM285" s="173"/>
      <c r="BN285" s="173"/>
      <c r="BO285" s="173"/>
      <c r="BP285" s="173"/>
      <c r="BQ285" s="173"/>
      <c r="BR285" s="173"/>
      <c r="BS285" s="173"/>
      <c r="BT285" s="173"/>
      <c r="BU285" s="173"/>
      <c r="BV285" s="173"/>
      <c r="BW285" s="173"/>
      <c r="BX285" s="173"/>
      <c r="BY285" s="173"/>
      <c r="BZ285" s="173"/>
      <c r="CA285" s="173"/>
      <c r="CB285" s="173"/>
      <c r="CC285" s="173"/>
      <c r="CD285" s="173"/>
      <c r="CE285" s="173"/>
      <c r="CF285" s="173"/>
      <c r="CG285" s="173"/>
      <c r="CH285" s="173"/>
      <c r="CI285" s="173"/>
      <c r="CJ285" s="173"/>
      <c r="CK285" s="173"/>
      <c r="CL285" s="173"/>
      <c r="CM285" s="173"/>
      <c r="CN285" s="173"/>
      <c r="CO285" s="173"/>
      <c r="CP285" s="173"/>
      <c r="CQ285" s="173"/>
      <c r="CR285" s="173"/>
      <c r="CS285" s="173"/>
    </row>
    <row r="286">
      <c r="A286" s="173"/>
      <c r="B286" s="173"/>
      <c r="C286" s="173"/>
      <c r="D286" s="141"/>
      <c r="E286" s="173"/>
      <c r="F286" s="173"/>
      <c r="G286" s="173"/>
      <c r="H286" s="173"/>
      <c r="I286" s="173"/>
      <c r="J286" s="141"/>
      <c r="K286" s="163" t="str">
        <f>VLOOKUP(C286,'Term Reference Guide'!$C:$C,1,false)</f>
        <v>#N/A</v>
      </c>
      <c r="L286" s="173"/>
      <c r="M286" s="173"/>
      <c r="N286" s="173"/>
      <c r="O286" s="173"/>
      <c r="P286" s="173"/>
      <c r="Q286" s="173"/>
      <c r="R286" s="173"/>
      <c r="S286" s="173"/>
      <c r="T286" s="173"/>
      <c r="U286" s="173"/>
      <c r="V286" s="173"/>
      <c r="W286" s="173"/>
      <c r="X286" s="173"/>
      <c r="Y286" s="173"/>
      <c r="Z286" s="173"/>
      <c r="AA286" s="173"/>
      <c r="AB286" s="173"/>
      <c r="AC286" s="173"/>
      <c r="AD286" s="173"/>
      <c r="AE286" s="173"/>
      <c r="AF286" s="173"/>
      <c r="AG286" s="173"/>
      <c r="AH286" s="173"/>
      <c r="AI286" s="173"/>
      <c r="AJ286" s="173"/>
      <c r="AK286" s="173"/>
      <c r="AL286" s="173"/>
      <c r="AM286" s="173"/>
      <c r="AN286" s="173"/>
      <c r="AO286" s="173"/>
      <c r="AP286" s="173"/>
      <c r="AQ286" s="173"/>
      <c r="AR286" s="173"/>
      <c r="AS286" s="173"/>
      <c r="AT286" s="173"/>
      <c r="AU286" s="173"/>
      <c r="AV286" s="173"/>
      <c r="AW286" s="173"/>
      <c r="AX286" s="173"/>
      <c r="AY286" s="173"/>
      <c r="AZ286" s="173"/>
      <c r="BA286" s="173"/>
      <c r="BB286" s="173"/>
      <c r="BC286" s="173"/>
      <c r="BD286" s="173"/>
      <c r="BE286" s="173"/>
      <c r="BF286" s="173"/>
      <c r="BG286" s="173"/>
      <c r="BH286" s="173"/>
      <c r="BI286" s="173"/>
      <c r="BJ286" s="173"/>
      <c r="BK286" s="173"/>
      <c r="BL286" s="173"/>
      <c r="BM286" s="173"/>
      <c r="BN286" s="173"/>
      <c r="BO286" s="173"/>
      <c r="BP286" s="173"/>
      <c r="BQ286" s="173"/>
      <c r="BR286" s="173"/>
      <c r="BS286" s="173"/>
      <c r="BT286" s="173"/>
      <c r="BU286" s="173"/>
      <c r="BV286" s="173"/>
      <c r="BW286" s="173"/>
      <c r="BX286" s="173"/>
      <c r="BY286" s="173"/>
      <c r="BZ286" s="173"/>
      <c r="CA286" s="173"/>
      <c r="CB286" s="173"/>
      <c r="CC286" s="173"/>
      <c r="CD286" s="173"/>
      <c r="CE286" s="173"/>
      <c r="CF286" s="173"/>
      <c r="CG286" s="173"/>
      <c r="CH286" s="173"/>
      <c r="CI286" s="173"/>
      <c r="CJ286" s="173"/>
      <c r="CK286" s="173"/>
      <c r="CL286" s="173"/>
      <c r="CM286" s="173"/>
      <c r="CN286" s="173"/>
      <c r="CO286" s="173"/>
      <c r="CP286" s="173"/>
      <c r="CQ286" s="173"/>
      <c r="CR286" s="173"/>
      <c r="CS286" s="173"/>
    </row>
    <row r="287">
      <c r="A287" s="170" t="s">
        <v>159</v>
      </c>
      <c r="B287" s="156"/>
      <c r="C287" s="156"/>
      <c r="D287" s="139"/>
      <c r="E287" s="156"/>
      <c r="F287" s="156"/>
      <c r="G287" s="156"/>
      <c r="H287" s="164"/>
      <c r="I287" s="164"/>
      <c r="J287" s="171"/>
      <c r="K287" s="163" t="str">
        <f>VLOOKUP(C287,'Term Reference Guide'!$C:$C,1,false)</f>
        <v>#N/A</v>
      </c>
      <c r="L287" s="163"/>
      <c r="M287" s="163"/>
      <c r="N287" s="163"/>
      <c r="O287" s="163"/>
      <c r="P287" s="163"/>
      <c r="Q287" s="163"/>
      <c r="R287" s="163"/>
      <c r="S287" s="163"/>
      <c r="T287" s="163"/>
      <c r="U287" s="163"/>
      <c r="V287" s="163"/>
      <c r="W287" s="163"/>
      <c r="X287" s="163"/>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c r="BP287" s="41"/>
      <c r="BQ287" s="41"/>
      <c r="BR287" s="41"/>
      <c r="BS287" s="41"/>
      <c r="BT287" s="41"/>
      <c r="BU287" s="41"/>
      <c r="BV287" s="41"/>
      <c r="BW287" s="41"/>
      <c r="BX287" s="41"/>
      <c r="BY287" s="41"/>
      <c r="BZ287" s="41"/>
      <c r="CA287" s="41"/>
      <c r="CB287" s="41"/>
      <c r="CC287" s="41"/>
      <c r="CD287" s="41"/>
      <c r="CE287" s="41"/>
      <c r="CF287" s="41"/>
      <c r="CG287" s="41"/>
      <c r="CH287" s="41"/>
      <c r="CI287" s="41"/>
      <c r="CJ287" s="41"/>
      <c r="CK287" s="41"/>
      <c r="CL287" s="41"/>
      <c r="CM287" s="41"/>
      <c r="CN287" s="41"/>
      <c r="CO287" s="41"/>
      <c r="CP287" s="41"/>
      <c r="CQ287" s="41"/>
      <c r="CR287" s="41"/>
      <c r="CS287" s="41"/>
    </row>
    <row r="288" hidden="1">
      <c r="A288" s="163" t="s">
        <v>159</v>
      </c>
      <c r="B288" s="168" t="s">
        <v>1899</v>
      </c>
      <c r="C288" s="180" t="s">
        <v>1900</v>
      </c>
      <c r="D288" s="33" t="s">
        <v>1901</v>
      </c>
      <c r="E288" s="163"/>
      <c r="F288" s="168"/>
      <c r="G288" s="168"/>
      <c r="H288" s="168" t="s">
        <v>25</v>
      </c>
      <c r="I288" s="168" t="s">
        <v>25</v>
      </c>
      <c r="J288" s="168" t="s">
        <v>25</v>
      </c>
      <c r="K288" s="163" t="str">
        <f>VLOOKUP(C288,'Term Reference Guide'!$C:$C,1,false)</f>
        <v>GENEPIO:0100869</v>
      </c>
      <c r="L288" s="163"/>
      <c r="M288" s="163"/>
      <c r="N288" s="163"/>
      <c r="O288" s="163"/>
      <c r="P288" s="163"/>
      <c r="Q288" s="163"/>
      <c r="R288" s="163"/>
      <c r="S288" s="163"/>
      <c r="T288" s="163"/>
      <c r="U288" s="163"/>
      <c r="V288" s="163"/>
      <c r="W288" s="163"/>
      <c r="X288" s="163"/>
      <c r="Y288" s="163"/>
      <c r="Z288" s="163"/>
      <c r="AA288" s="173"/>
      <c r="AB288" s="173"/>
      <c r="AC288" s="173"/>
      <c r="AD288" s="173"/>
      <c r="AE288" s="173"/>
      <c r="AF288" s="173"/>
      <c r="AG288" s="173"/>
      <c r="AH288" s="173"/>
      <c r="AI288" s="173"/>
      <c r="AJ288" s="173"/>
      <c r="AK288" s="173"/>
      <c r="AL288" s="173"/>
      <c r="AM288" s="173"/>
      <c r="AN288" s="173"/>
      <c r="AO288" s="173"/>
      <c r="AP288" s="173"/>
      <c r="AQ288" s="173"/>
      <c r="AR288" s="173"/>
      <c r="AS288" s="173"/>
      <c r="AT288" s="173"/>
      <c r="AU288" s="173"/>
      <c r="AV288" s="173"/>
      <c r="AW288" s="173"/>
      <c r="AX288" s="173"/>
      <c r="AY288" s="173"/>
      <c r="AZ288" s="173"/>
      <c r="BA288" s="173"/>
      <c r="BB288" s="173"/>
      <c r="BC288" s="173"/>
      <c r="BD288" s="173"/>
      <c r="BE288" s="173"/>
      <c r="BF288" s="173"/>
      <c r="BG288" s="173"/>
      <c r="BH288" s="173"/>
      <c r="BI288" s="173"/>
      <c r="BJ288" s="173"/>
      <c r="BK288" s="173"/>
      <c r="BL288" s="173"/>
      <c r="BM288" s="173"/>
      <c r="BN288" s="173"/>
      <c r="BO288" s="173"/>
      <c r="BP288" s="173"/>
      <c r="BQ288" s="173"/>
      <c r="BR288" s="173"/>
      <c r="BS288" s="173"/>
      <c r="BT288" s="173"/>
      <c r="BU288" s="173"/>
      <c r="BV288" s="173"/>
      <c r="BW288" s="173"/>
      <c r="BX288" s="173"/>
      <c r="BY288" s="173"/>
      <c r="BZ288" s="173"/>
      <c r="CA288" s="173"/>
      <c r="CB288" s="173"/>
      <c r="CC288" s="173"/>
      <c r="CD288" s="173"/>
      <c r="CE288" s="173"/>
      <c r="CF288" s="173"/>
      <c r="CG288" s="173"/>
      <c r="CH288" s="173"/>
      <c r="CI288" s="173"/>
      <c r="CJ288" s="173"/>
      <c r="CK288" s="173"/>
      <c r="CL288" s="173"/>
      <c r="CM288" s="173"/>
      <c r="CN288" s="173"/>
      <c r="CO288" s="173"/>
      <c r="CP288" s="173"/>
      <c r="CQ288" s="173"/>
      <c r="CR288" s="173"/>
      <c r="CS288" s="173"/>
    </row>
    <row r="289" hidden="1">
      <c r="A289" s="163" t="s">
        <v>159</v>
      </c>
      <c r="B289" s="168" t="s">
        <v>1902</v>
      </c>
      <c r="C289" s="180" t="s">
        <v>1903</v>
      </c>
      <c r="D289" s="33" t="s">
        <v>1904</v>
      </c>
      <c r="E289" s="163"/>
      <c r="F289" s="168"/>
      <c r="G289" s="168"/>
      <c r="H289" s="168" t="s">
        <v>25</v>
      </c>
      <c r="I289" s="168" t="s">
        <v>25</v>
      </c>
      <c r="J289" s="168" t="s">
        <v>25</v>
      </c>
      <c r="K289" s="163" t="str">
        <f>VLOOKUP(C289,'Term Reference Guide'!$C:$C,1,false)</f>
        <v>GENEPIO:0100870</v>
      </c>
      <c r="L289" s="163"/>
      <c r="M289" s="163"/>
      <c r="N289" s="163"/>
      <c r="O289" s="163"/>
      <c r="P289" s="163"/>
      <c r="Q289" s="163"/>
      <c r="R289" s="163"/>
      <c r="S289" s="163"/>
      <c r="T289" s="163"/>
      <c r="U289" s="163"/>
      <c r="V289" s="163"/>
      <c r="W289" s="163"/>
      <c r="X289" s="163"/>
      <c r="Y289" s="163"/>
      <c r="Z289" s="163"/>
      <c r="AA289" s="173"/>
      <c r="AB289" s="173"/>
      <c r="AC289" s="173"/>
      <c r="AD289" s="173"/>
      <c r="AE289" s="173"/>
      <c r="AF289" s="173"/>
      <c r="AG289" s="173"/>
      <c r="AH289" s="173"/>
      <c r="AI289" s="173"/>
      <c r="AJ289" s="173"/>
      <c r="AK289" s="173"/>
      <c r="AL289" s="173"/>
      <c r="AM289" s="173"/>
      <c r="AN289" s="173"/>
      <c r="AO289" s="173"/>
      <c r="AP289" s="173"/>
      <c r="AQ289" s="173"/>
      <c r="AR289" s="173"/>
      <c r="AS289" s="173"/>
      <c r="AT289" s="173"/>
      <c r="AU289" s="173"/>
      <c r="AV289" s="173"/>
      <c r="AW289" s="173"/>
      <c r="AX289" s="173"/>
      <c r="AY289" s="173"/>
      <c r="AZ289" s="173"/>
      <c r="BA289" s="173"/>
      <c r="BB289" s="173"/>
      <c r="BC289" s="173"/>
      <c r="BD289" s="173"/>
      <c r="BE289" s="173"/>
      <c r="BF289" s="173"/>
      <c r="BG289" s="173"/>
      <c r="BH289" s="173"/>
      <c r="BI289" s="173"/>
      <c r="BJ289" s="173"/>
      <c r="BK289" s="173"/>
      <c r="BL289" s="173"/>
      <c r="BM289" s="173"/>
      <c r="BN289" s="173"/>
      <c r="BO289" s="173"/>
      <c r="BP289" s="173"/>
      <c r="BQ289" s="173"/>
      <c r="BR289" s="173"/>
      <c r="BS289" s="173"/>
      <c r="BT289" s="173"/>
      <c r="BU289" s="173"/>
      <c r="BV289" s="173"/>
      <c r="BW289" s="173"/>
      <c r="BX289" s="173"/>
      <c r="BY289" s="173"/>
      <c r="BZ289" s="173"/>
      <c r="CA289" s="173"/>
      <c r="CB289" s="173"/>
      <c r="CC289" s="173"/>
      <c r="CD289" s="173"/>
      <c r="CE289" s="173"/>
      <c r="CF289" s="173"/>
      <c r="CG289" s="173"/>
      <c r="CH289" s="173"/>
      <c r="CI289" s="173"/>
      <c r="CJ289" s="173"/>
      <c r="CK289" s="173"/>
      <c r="CL289" s="173"/>
      <c r="CM289" s="173"/>
      <c r="CN289" s="173"/>
      <c r="CO289" s="173"/>
      <c r="CP289" s="173"/>
      <c r="CQ289" s="173"/>
      <c r="CR289" s="173"/>
      <c r="CS289" s="173"/>
    </row>
    <row r="290" hidden="1">
      <c r="A290" s="163" t="s">
        <v>159</v>
      </c>
      <c r="B290" s="168" t="s">
        <v>1905</v>
      </c>
      <c r="C290" s="180" t="s">
        <v>1906</v>
      </c>
      <c r="D290" s="33" t="s">
        <v>1907</v>
      </c>
      <c r="E290" s="163"/>
      <c r="F290" s="168"/>
      <c r="G290" s="168"/>
      <c r="H290" s="168" t="s">
        <v>25</v>
      </c>
      <c r="I290" s="168" t="s">
        <v>25</v>
      </c>
      <c r="J290" s="168" t="s">
        <v>25</v>
      </c>
      <c r="K290" s="163" t="str">
        <f>VLOOKUP(C290,'Term Reference Guide'!$C:$C,1,false)</f>
        <v>GENEPIO:0100871</v>
      </c>
      <c r="L290" s="163"/>
      <c r="M290" s="163"/>
      <c r="N290" s="163"/>
      <c r="O290" s="163"/>
      <c r="P290" s="163"/>
      <c r="Q290" s="163"/>
      <c r="R290" s="163"/>
      <c r="S290" s="163"/>
      <c r="T290" s="163"/>
      <c r="U290" s="163"/>
      <c r="V290" s="163"/>
      <c r="W290" s="163"/>
      <c r="X290" s="163"/>
      <c r="Y290" s="163"/>
      <c r="Z290" s="163"/>
      <c r="AA290" s="173"/>
      <c r="AB290" s="173"/>
      <c r="AC290" s="173"/>
      <c r="AD290" s="173"/>
      <c r="AE290" s="173"/>
      <c r="AF290" s="173"/>
      <c r="AG290" s="173"/>
      <c r="AH290" s="173"/>
      <c r="AI290" s="173"/>
      <c r="AJ290" s="173"/>
      <c r="AK290" s="173"/>
      <c r="AL290" s="173"/>
      <c r="AM290" s="173"/>
      <c r="AN290" s="173"/>
      <c r="AO290" s="173"/>
      <c r="AP290" s="173"/>
      <c r="AQ290" s="173"/>
      <c r="AR290" s="173"/>
      <c r="AS290" s="173"/>
      <c r="AT290" s="173"/>
      <c r="AU290" s="173"/>
      <c r="AV290" s="173"/>
      <c r="AW290" s="173"/>
      <c r="AX290" s="173"/>
      <c r="AY290" s="173"/>
      <c r="AZ290" s="173"/>
      <c r="BA290" s="173"/>
      <c r="BB290" s="173"/>
      <c r="BC290" s="173"/>
      <c r="BD290" s="173"/>
      <c r="BE290" s="173"/>
      <c r="BF290" s="173"/>
      <c r="BG290" s="173"/>
      <c r="BH290" s="173"/>
      <c r="BI290" s="173"/>
      <c r="BJ290" s="173"/>
      <c r="BK290" s="173"/>
      <c r="BL290" s="173"/>
      <c r="BM290" s="173"/>
      <c r="BN290" s="173"/>
      <c r="BO290" s="173"/>
      <c r="BP290" s="173"/>
      <c r="BQ290" s="173"/>
      <c r="BR290" s="173"/>
      <c r="BS290" s="173"/>
      <c r="BT290" s="173"/>
      <c r="BU290" s="173"/>
      <c r="BV290" s="173"/>
      <c r="BW290" s="173"/>
      <c r="BX290" s="173"/>
      <c r="BY290" s="173"/>
      <c r="BZ290" s="173"/>
      <c r="CA290" s="173"/>
      <c r="CB290" s="173"/>
      <c r="CC290" s="173"/>
      <c r="CD290" s="173"/>
      <c r="CE290" s="173"/>
      <c r="CF290" s="173"/>
      <c r="CG290" s="173"/>
      <c r="CH290" s="173"/>
      <c r="CI290" s="173"/>
      <c r="CJ290" s="173"/>
      <c r="CK290" s="173"/>
      <c r="CL290" s="173"/>
      <c r="CM290" s="173"/>
      <c r="CN290" s="173"/>
      <c r="CO290" s="173"/>
      <c r="CP290" s="173"/>
      <c r="CQ290" s="173"/>
      <c r="CR290" s="173"/>
      <c r="CS290" s="173"/>
    </row>
    <row r="291" hidden="1">
      <c r="A291" s="163" t="s">
        <v>159</v>
      </c>
      <c r="B291" s="168" t="s">
        <v>1908</v>
      </c>
      <c r="C291" s="180" t="s">
        <v>1909</v>
      </c>
      <c r="D291" s="33" t="s">
        <v>1910</v>
      </c>
      <c r="E291" s="163"/>
      <c r="F291" s="168"/>
      <c r="G291" s="168"/>
      <c r="H291" s="168" t="s">
        <v>25</v>
      </c>
      <c r="I291" s="168" t="s">
        <v>25</v>
      </c>
      <c r="J291" s="168" t="s">
        <v>25</v>
      </c>
      <c r="K291" s="163" t="str">
        <f>VLOOKUP(C291,'Term Reference Guide'!$C:$C,1,false)</f>
        <v>GENEPIO:0100872</v>
      </c>
      <c r="L291" s="163"/>
      <c r="M291" s="163"/>
      <c r="N291" s="163"/>
      <c r="O291" s="163"/>
      <c r="P291" s="163"/>
      <c r="Q291" s="163"/>
      <c r="R291" s="163"/>
      <c r="S291" s="163"/>
      <c r="T291" s="163"/>
      <c r="U291" s="163"/>
      <c r="V291" s="163"/>
      <c r="W291" s="163"/>
      <c r="X291" s="163"/>
      <c r="Y291" s="163"/>
      <c r="Z291" s="163"/>
      <c r="AA291" s="173"/>
      <c r="AB291" s="173"/>
      <c r="AC291" s="173"/>
      <c r="AD291" s="173"/>
      <c r="AE291" s="173"/>
      <c r="AF291" s="173"/>
      <c r="AG291" s="173"/>
      <c r="AH291" s="173"/>
      <c r="AI291" s="173"/>
      <c r="AJ291" s="173"/>
      <c r="AK291" s="173"/>
      <c r="AL291" s="173"/>
      <c r="AM291" s="173"/>
      <c r="AN291" s="173"/>
      <c r="AO291" s="173"/>
      <c r="AP291" s="173"/>
      <c r="AQ291" s="173"/>
      <c r="AR291" s="173"/>
      <c r="AS291" s="173"/>
      <c r="AT291" s="173"/>
      <c r="AU291" s="173"/>
      <c r="AV291" s="173"/>
      <c r="AW291" s="173"/>
      <c r="AX291" s="173"/>
      <c r="AY291" s="173"/>
      <c r="AZ291" s="173"/>
      <c r="BA291" s="173"/>
      <c r="BB291" s="173"/>
      <c r="BC291" s="173"/>
      <c r="BD291" s="173"/>
      <c r="BE291" s="173"/>
      <c r="BF291" s="173"/>
      <c r="BG291" s="173"/>
      <c r="BH291" s="173"/>
      <c r="BI291" s="173"/>
      <c r="BJ291" s="173"/>
      <c r="BK291" s="173"/>
      <c r="BL291" s="173"/>
      <c r="BM291" s="173"/>
      <c r="BN291" s="173"/>
      <c r="BO291" s="173"/>
      <c r="BP291" s="173"/>
      <c r="BQ291" s="173"/>
      <c r="BR291" s="173"/>
      <c r="BS291" s="173"/>
      <c r="BT291" s="173"/>
      <c r="BU291" s="173"/>
      <c r="BV291" s="173"/>
      <c r="BW291" s="173"/>
      <c r="BX291" s="173"/>
      <c r="BY291" s="173"/>
      <c r="BZ291" s="173"/>
      <c r="CA291" s="173"/>
      <c r="CB291" s="173"/>
      <c r="CC291" s="173"/>
      <c r="CD291" s="173"/>
      <c r="CE291" s="173"/>
      <c r="CF291" s="173"/>
      <c r="CG291" s="173"/>
      <c r="CH291" s="173"/>
      <c r="CI291" s="173"/>
      <c r="CJ291" s="173"/>
      <c r="CK291" s="173"/>
      <c r="CL291" s="173"/>
      <c r="CM291" s="173"/>
      <c r="CN291" s="173"/>
      <c r="CO291" s="173"/>
      <c r="CP291" s="173"/>
      <c r="CQ291" s="173"/>
      <c r="CR291" s="173"/>
      <c r="CS291" s="173"/>
    </row>
    <row r="292" hidden="1">
      <c r="A292" s="163" t="s">
        <v>159</v>
      </c>
      <c r="B292" s="163" t="s">
        <v>1911</v>
      </c>
      <c r="C292" s="163" t="s">
        <v>1912</v>
      </c>
      <c r="D292" s="181" t="s">
        <v>1913</v>
      </c>
      <c r="E292" s="163"/>
      <c r="F292" s="168"/>
      <c r="G292" s="168"/>
      <c r="H292" s="168" t="s">
        <v>25</v>
      </c>
      <c r="I292" s="168" t="s">
        <v>25</v>
      </c>
      <c r="J292" s="168" t="s">
        <v>25</v>
      </c>
      <c r="K292" s="163" t="str">
        <f>VLOOKUP(C292,'Term Reference Guide'!$C:$C,1,false)</f>
        <v>GENEPIO:0100003</v>
      </c>
      <c r="L292" s="163"/>
      <c r="M292" s="163"/>
      <c r="N292" s="163"/>
      <c r="O292" s="163"/>
      <c r="P292" s="163"/>
      <c r="Q292" s="163"/>
      <c r="R292" s="163"/>
      <c r="S292" s="163"/>
      <c r="T292" s="163"/>
      <c r="U292" s="163"/>
      <c r="V292" s="163"/>
      <c r="W292" s="163"/>
      <c r="X292" s="163"/>
      <c r="Y292" s="163"/>
      <c r="Z292" s="163"/>
      <c r="AA292" s="173"/>
      <c r="AB292" s="173"/>
      <c r="AC292" s="173"/>
      <c r="AD292" s="173"/>
      <c r="AE292" s="173"/>
      <c r="AF292" s="173"/>
      <c r="AG292" s="173"/>
      <c r="AH292" s="173"/>
      <c r="AI292" s="173"/>
      <c r="AJ292" s="173"/>
      <c r="AK292" s="173"/>
      <c r="AL292" s="173"/>
      <c r="AM292" s="173"/>
      <c r="AN292" s="173"/>
      <c r="AO292" s="173"/>
      <c r="AP292" s="173"/>
      <c r="AQ292" s="173"/>
      <c r="AR292" s="173"/>
      <c r="AS292" s="173"/>
      <c r="AT292" s="173"/>
      <c r="AU292" s="173"/>
      <c r="AV292" s="173"/>
      <c r="AW292" s="173"/>
      <c r="AX292" s="173"/>
      <c r="AY292" s="173"/>
      <c r="AZ292" s="173"/>
      <c r="BA292" s="173"/>
      <c r="BB292" s="173"/>
      <c r="BC292" s="173"/>
      <c r="BD292" s="173"/>
      <c r="BE292" s="173"/>
      <c r="BF292" s="173"/>
      <c r="BG292" s="173"/>
      <c r="BH292" s="173"/>
      <c r="BI292" s="173"/>
      <c r="BJ292" s="173"/>
      <c r="BK292" s="173"/>
      <c r="BL292" s="173"/>
      <c r="BM292" s="173"/>
      <c r="BN292" s="173"/>
      <c r="BO292" s="173"/>
      <c r="BP292" s="173"/>
      <c r="BQ292" s="173"/>
      <c r="BR292" s="173"/>
      <c r="BS292" s="173"/>
      <c r="BT292" s="173"/>
      <c r="BU292" s="173"/>
      <c r="BV292" s="173"/>
      <c r="BW292" s="173"/>
      <c r="BX292" s="173"/>
      <c r="BY292" s="173"/>
      <c r="BZ292" s="173"/>
      <c r="CA292" s="173"/>
      <c r="CB292" s="173"/>
      <c r="CC292" s="173"/>
      <c r="CD292" s="173"/>
      <c r="CE292" s="173"/>
      <c r="CF292" s="173"/>
      <c r="CG292" s="173"/>
      <c r="CH292" s="173"/>
      <c r="CI292" s="173"/>
      <c r="CJ292" s="173"/>
      <c r="CK292" s="173"/>
      <c r="CL292" s="173"/>
      <c r="CM292" s="173"/>
      <c r="CN292" s="173"/>
      <c r="CO292" s="173"/>
      <c r="CP292" s="173"/>
      <c r="CQ292" s="173"/>
      <c r="CR292" s="173"/>
      <c r="CS292" s="173"/>
    </row>
    <row r="293" hidden="1">
      <c r="A293" s="163" t="s">
        <v>159</v>
      </c>
      <c r="B293" s="168" t="s">
        <v>1914</v>
      </c>
      <c r="C293" s="37" t="s">
        <v>1915</v>
      </c>
      <c r="D293" s="181" t="s">
        <v>1916</v>
      </c>
      <c r="E293" s="163"/>
      <c r="F293" s="168"/>
      <c r="G293" s="168"/>
      <c r="H293" s="168" t="s">
        <v>25</v>
      </c>
      <c r="I293" s="168" t="s">
        <v>25</v>
      </c>
      <c r="J293" s="168" t="s">
        <v>25</v>
      </c>
      <c r="K293" s="163" t="str">
        <f>VLOOKUP(C293,'Term Reference Guide'!$C:$C,1,false)</f>
        <v>GENEPIO:0100873</v>
      </c>
      <c r="L293" s="163"/>
      <c r="M293" s="163"/>
      <c r="N293" s="163"/>
      <c r="O293" s="163"/>
      <c r="P293" s="163"/>
      <c r="Q293" s="163"/>
      <c r="R293" s="163"/>
      <c r="S293" s="163"/>
      <c r="T293" s="163"/>
      <c r="U293" s="163"/>
      <c r="V293" s="163"/>
      <c r="W293" s="163"/>
      <c r="X293" s="163"/>
      <c r="Y293" s="163"/>
      <c r="Z293" s="163"/>
      <c r="AA293" s="173"/>
      <c r="AB293" s="173"/>
      <c r="AC293" s="173"/>
      <c r="AD293" s="173"/>
      <c r="AE293" s="173"/>
      <c r="AF293" s="173"/>
      <c r="AG293" s="173"/>
      <c r="AH293" s="173"/>
      <c r="AI293" s="173"/>
      <c r="AJ293" s="173"/>
      <c r="AK293" s="173"/>
      <c r="AL293" s="173"/>
      <c r="AM293" s="173"/>
      <c r="AN293" s="173"/>
      <c r="AO293" s="173"/>
      <c r="AP293" s="173"/>
      <c r="AQ293" s="173"/>
      <c r="AR293" s="173"/>
      <c r="AS293" s="173"/>
      <c r="AT293" s="173"/>
      <c r="AU293" s="173"/>
      <c r="AV293" s="173"/>
      <c r="AW293" s="173"/>
      <c r="AX293" s="173"/>
      <c r="AY293" s="173"/>
      <c r="AZ293" s="173"/>
      <c r="BA293" s="173"/>
      <c r="BB293" s="173"/>
      <c r="BC293" s="173"/>
      <c r="BD293" s="173"/>
      <c r="BE293" s="173"/>
      <c r="BF293" s="173"/>
      <c r="BG293" s="173"/>
      <c r="BH293" s="173"/>
      <c r="BI293" s="173"/>
      <c r="BJ293" s="173"/>
      <c r="BK293" s="173"/>
      <c r="BL293" s="173"/>
      <c r="BM293" s="173"/>
      <c r="BN293" s="173"/>
      <c r="BO293" s="173"/>
      <c r="BP293" s="173"/>
      <c r="BQ293" s="173"/>
      <c r="BR293" s="173"/>
      <c r="BS293" s="173"/>
      <c r="BT293" s="173"/>
      <c r="BU293" s="173"/>
      <c r="BV293" s="173"/>
      <c r="BW293" s="173"/>
      <c r="BX293" s="173"/>
      <c r="BY293" s="173"/>
      <c r="BZ293" s="173"/>
      <c r="CA293" s="173"/>
      <c r="CB293" s="173"/>
      <c r="CC293" s="173"/>
      <c r="CD293" s="173"/>
      <c r="CE293" s="173"/>
      <c r="CF293" s="173"/>
      <c r="CG293" s="173"/>
      <c r="CH293" s="173"/>
      <c r="CI293" s="173"/>
      <c r="CJ293" s="173"/>
      <c r="CK293" s="173"/>
      <c r="CL293" s="173"/>
      <c r="CM293" s="173"/>
      <c r="CN293" s="173"/>
      <c r="CO293" s="173"/>
      <c r="CP293" s="173"/>
      <c r="CQ293" s="173"/>
      <c r="CR293" s="173"/>
      <c r="CS293" s="173"/>
    </row>
    <row r="294" hidden="1">
      <c r="A294" s="163" t="s">
        <v>159</v>
      </c>
      <c r="B294" s="163" t="s">
        <v>1917</v>
      </c>
      <c r="C294" s="163" t="s">
        <v>1918</v>
      </c>
      <c r="D294" s="167" t="s">
        <v>1919</v>
      </c>
      <c r="E294" s="163"/>
      <c r="F294" s="168"/>
      <c r="G294" s="168"/>
      <c r="H294" s="168" t="s">
        <v>25</v>
      </c>
      <c r="I294" s="168" t="s">
        <v>25</v>
      </c>
      <c r="J294" s="168" t="s">
        <v>25</v>
      </c>
      <c r="K294" s="163" t="str">
        <f>VLOOKUP(C294,'Term Reference Guide'!$C:$C,1,false)</f>
        <v>GENEPIO:0100024</v>
      </c>
      <c r="L294" s="163"/>
      <c r="M294" s="163"/>
      <c r="N294" s="163"/>
      <c r="O294" s="163"/>
      <c r="P294" s="163"/>
      <c r="Q294" s="163"/>
      <c r="R294" s="163"/>
      <c r="S294" s="163"/>
      <c r="T294" s="163"/>
      <c r="U294" s="163"/>
      <c r="V294" s="163"/>
      <c r="W294" s="163"/>
      <c r="X294" s="163"/>
      <c r="Y294" s="163"/>
      <c r="Z294" s="163"/>
      <c r="AA294" s="173"/>
      <c r="AB294" s="173"/>
      <c r="AC294" s="173"/>
      <c r="AD294" s="173"/>
      <c r="AE294" s="173"/>
      <c r="AF294" s="173"/>
      <c r="AG294" s="173"/>
      <c r="AH294" s="173"/>
      <c r="AI294" s="173"/>
      <c r="AJ294" s="173"/>
      <c r="AK294" s="173"/>
      <c r="AL294" s="173"/>
      <c r="AM294" s="173"/>
      <c r="AN294" s="173"/>
      <c r="AO294" s="173"/>
      <c r="AP294" s="173"/>
      <c r="AQ294" s="173"/>
      <c r="AR294" s="173"/>
      <c r="AS294" s="173"/>
      <c r="AT294" s="173"/>
      <c r="AU294" s="173"/>
      <c r="AV294" s="173"/>
      <c r="AW294" s="173"/>
      <c r="AX294" s="173"/>
      <c r="AY294" s="173"/>
      <c r="AZ294" s="173"/>
      <c r="BA294" s="173"/>
      <c r="BB294" s="173"/>
      <c r="BC294" s="173"/>
      <c r="BD294" s="173"/>
      <c r="BE294" s="173"/>
      <c r="BF294" s="173"/>
      <c r="BG294" s="173"/>
      <c r="BH294" s="173"/>
      <c r="BI294" s="173"/>
      <c r="BJ294" s="173"/>
      <c r="BK294" s="173"/>
      <c r="BL294" s="173"/>
      <c r="BM294" s="173"/>
      <c r="BN294" s="173"/>
      <c r="BO294" s="173"/>
      <c r="BP294" s="173"/>
      <c r="BQ294" s="173"/>
      <c r="BR294" s="173"/>
      <c r="BS294" s="173"/>
      <c r="BT294" s="173"/>
      <c r="BU294" s="173"/>
      <c r="BV294" s="173"/>
      <c r="BW294" s="173"/>
      <c r="BX294" s="173"/>
      <c r="BY294" s="173"/>
      <c r="BZ294" s="173"/>
      <c r="CA294" s="173"/>
      <c r="CB294" s="173"/>
      <c r="CC294" s="173"/>
      <c r="CD294" s="173"/>
      <c r="CE294" s="173"/>
      <c r="CF294" s="173"/>
      <c r="CG294" s="173"/>
      <c r="CH294" s="173"/>
      <c r="CI294" s="173"/>
      <c r="CJ294" s="173"/>
      <c r="CK294" s="173"/>
      <c r="CL294" s="173"/>
      <c r="CM294" s="173"/>
      <c r="CN294" s="173"/>
      <c r="CO294" s="173"/>
      <c r="CP294" s="173"/>
      <c r="CQ294" s="173"/>
      <c r="CR294" s="173"/>
      <c r="CS294" s="173"/>
    </row>
    <row r="295">
      <c r="A295" s="173"/>
      <c r="B295" s="173"/>
      <c r="C295" s="173"/>
      <c r="D295" s="141"/>
      <c r="E295" s="173"/>
      <c r="F295" s="173"/>
      <c r="G295" s="173"/>
      <c r="H295" s="173"/>
      <c r="I295" s="173"/>
      <c r="J295" s="141"/>
      <c r="K295" s="163" t="str">
        <f>VLOOKUP(C295,'Term Reference Guide'!$C:$C,1,false)</f>
        <v>#N/A</v>
      </c>
      <c r="L295" s="173"/>
      <c r="M295" s="173"/>
      <c r="N295" s="173"/>
      <c r="O295" s="173"/>
      <c r="P295" s="173"/>
      <c r="Q295" s="173"/>
      <c r="R295" s="173"/>
      <c r="S295" s="173"/>
      <c r="T295" s="173"/>
      <c r="U295" s="173"/>
      <c r="V295" s="173"/>
      <c r="W295" s="173"/>
      <c r="X295" s="173"/>
      <c r="Y295" s="173"/>
      <c r="Z295" s="173"/>
      <c r="AA295" s="173"/>
      <c r="AB295" s="173"/>
      <c r="AC295" s="173"/>
      <c r="AD295" s="173"/>
      <c r="AE295" s="173"/>
      <c r="AF295" s="173"/>
      <c r="AG295" s="173"/>
      <c r="AH295" s="173"/>
      <c r="AI295" s="173"/>
      <c r="AJ295" s="173"/>
      <c r="AK295" s="173"/>
      <c r="AL295" s="173"/>
      <c r="AM295" s="173"/>
      <c r="AN295" s="173"/>
      <c r="AO295" s="173"/>
      <c r="AP295" s="173"/>
      <c r="AQ295" s="173"/>
      <c r="AR295" s="173"/>
      <c r="AS295" s="173"/>
      <c r="AT295" s="173"/>
      <c r="AU295" s="173"/>
      <c r="AV295" s="173"/>
      <c r="AW295" s="173"/>
      <c r="AX295" s="173"/>
      <c r="AY295" s="173"/>
      <c r="AZ295" s="173"/>
      <c r="BA295" s="173"/>
      <c r="BB295" s="173"/>
      <c r="BC295" s="173"/>
      <c r="BD295" s="173"/>
      <c r="BE295" s="173"/>
      <c r="BF295" s="173"/>
      <c r="BG295" s="173"/>
      <c r="BH295" s="173"/>
      <c r="BI295" s="173"/>
      <c r="BJ295" s="173"/>
      <c r="BK295" s="173"/>
      <c r="BL295" s="173"/>
      <c r="BM295" s="173"/>
      <c r="BN295" s="173"/>
      <c r="BO295" s="173"/>
      <c r="BP295" s="173"/>
      <c r="BQ295" s="173"/>
      <c r="BR295" s="173"/>
      <c r="BS295" s="173"/>
      <c r="BT295" s="173"/>
      <c r="BU295" s="173"/>
      <c r="BV295" s="173"/>
      <c r="BW295" s="173"/>
      <c r="BX295" s="173"/>
      <c r="BY295" s="173"/>
      <c r="BZ295" s="173"/>
      <c r="CA295" s="173"/>
      <c r="CB295" s="173"/>
      <c r="CC295" s="173"/>
      <c r="CD295" s="173"/>
      <c r="CE295" s="173"/>
      <c r="CF295" s="173"/>
      <c r="CG295" s="173"/>
      <c r="CH295" s="173"/>
      <c r="CI295" s="173"/>
      <c r="CJ295" s="173"/>
      <c r="CK295" s="173"/>
      <c r="CL295" s="173"/>
      <c r="CM295" s="173"/>
      <c r="CN295" s="173"/>
      <c r="CO295" s="173"/>
      <c r="CP295" s="173"/>
      <c r="CQ295" s="173"/>
      <c r="CR295" s="173"/>
      <c r="CS295" s="173"/>
    </row>
    <row r="296">
      <c r="A296" s="170" t="s">
        <v>164</v>
      </c>
      <c r="B296" s="156"/>
      <c r="C296" s="156"/>
      <c r="D296" s="139"/>
      <c r="E296" s="156"/>
      <c r="F296" s="156"/>
      <c r="G296" s="156"/>
      <c r="H296" s="164"/>
      <c r="I296" s="164"/>
      <c r="J296" s="171"/>
      <c r="K296" s="163" t="str">
        <f>VLOOKUP(C296,'Term Reference Guide'!$C:$C,1,false)</f>
        <v>#N/A</v>
      </c>
      <c r="L296" s="163"/>
      <c r="M296" s="163"/>
      <c r="N296" s="163"/>
      <c r="O296" s="163"/>
      <c r="P296" s="163"/>
      <c r="Q296" s="163"/>
      <c r="R296" s="163"/>
      <c r="S296" s="163"/>
      <c r="T296" s="163"/>
      <c r="U296" s="163"/>
      <c r="V296" s="163"/>
      <c r="W296" s="163"/>
      <c r="X296" s="163"/>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c r="BP296" s="41"/>
      <c r="BQ296" s="41"/>
      <c r="BR296" s="41"/>
      <c r="BS296" s="41"/>
      <c r="BT296" s="41"/>
      <c r="BU296" s="41"/>
      <c r="BV296" s="41"/>
      <c r="BW296" s="41"/>
      <c r="BX296" s="41"/>
      <c r="BY296" s="41"/>
      <c r="BZ296" s="41"/>
      <c r="CA296" s="41"/>
      <c r="CB296" s="41"/>
      <c r="CC296" s="41"/>
      <c r="CD296" s="41"/>
      <c r="CE296" s="41"/>
      <c r="CF296" s="41"/>
      <c r="CG296" s="41"/>
      <c r="CH296" s="41"/>
      <c r="CI296" s="41"/>
      <c r="CJ296" s="41"/>
      <c r="CK296" s="41"/>
      <c r="CL296" s="41"/>
      <c r="CM296" s="41"/>
      <c r="CN296" s="41"/>
      <c r="CO296" s="41"/>
      <c r="CP296" s="41"/>
      <c r="CQ296" s="41"/>
      <c r="CR296" s="41"/>
      <c r="CS296" s="41"/>
    </row>
    <row r="297" hidden="1">
      <c r="A297" s="168" t="s">
        <v>164</v>
      </c>
      <c r="B297" s="168" t="s">
        <v>168</v>
      </c>
      <c r="C297" s="180" t="s">
        <v>1920</v>
      </c>
      <c r="D297" s="46" t="s">
        <v>1921</v>
      </c>
      <c r="E297" s="163"/>
      <c r="F297" s="168"/>
      <c r="G297" s="168"/>
      <c r="H297" s="168" t="s">
        <v>25</v>
      </c>
      <c r="I297" s="168" t="s">
        <v>25</v>
      </c>
      <c r="J297" s="168" t="s">
        <v>25</v>
      </c>
      <c r="K297" s="163" t="str">
        <f>VLOOKUP(C297,'Term Reference Guide'!$C:$C,1,false)</f>
        <v>GENEPIO:0100874</v>
      </c>
      <c r="L297" s="163"/>
      <c r="M297" s="163"/>
      <c r="N297" s="163"/>
      <c r="O297" s="163"/>
      <c r="P297" s="163"/>
      <c r="Q297" s="163"/>
      <c r="R297" s="163"/>
      <c r="S297" s="163"/>
      <c r="T297" s="163"/>
      <c r="U297" s="163"/>
      <c r="V297" s="163"/>
      <c r="W297" s="163"/>
      <c r="X297" s="163"/>
      <c r="Y297" s="163"/>
      <c r="Z297" s="163"/>
      <c r="AA297" s="173"/>
      <c r="AB297" s="173"/>
      <c r="AC297" s="173"/>
      <c r="AD297" s="173"/>
      <c r="AE297" s="173"/>
      <c r="AF297" s="173"/>
      <c r="AG297" s="173"/>
      <c r="AH297" s="173"/>
      <c r="AI297" s="173"/>
      <c r="AJ297" s="173"/>
      <c r="AK297" s="173"/>
      <c r="AL297" s="173"/>
      <c r="AM297" s="173"/>
      <c r="AN297" s="173"/>
      <c r="AO297" s="173"/>
      <c r="AP297" s="173"/>
      <c r="AQ297" s="173"/>
      <c r="AR297" s="173"/>
      <c r="AS297" s="173"/>
      <c r="AT297" s="173"/>
      <c r="AU297" s="173"/>
      <c r="AV297" s="173"/>
      <c r="AW297" s="173"/>
      <c r="AX297" s="173"/>
      <c r="AY297" s="173"/>
      <c r="AZ297" s="173"/>
      <c r="BA297" s="173"/>
      <c r="BB297" s="173"/>
      <c r="BC297" s="173"/>
      <c r="BD297" s="173"/>
      <c r="BE297" s="173"/>
      <c r="BF297" s="173"/>
      <c r="BG297" s="173"/>
      <c r="BH297" s="173"/>
      <c r="BI297" s="173"/>
      <c r="BJ297" s="173"/>
      <c r="BK297" s="173"/>
      <c r="BL297" s="173"/>
      <c r="BM297" s="173"/>
      <c r="BN297" s="173"/>
      <c r="BO297" s="173"/>
      <c r="BP297" s="173"/>
      <c r="BQ297" s="173"/>
      <c r="BR297" s="173"/>
      <c r="BS297" s="173"/>
      <c r="BT297" s="173"/>
      <c r="BU297" s="173"/>
      <c r="BV297" s="173"/>
      <c r="BW297" s="173"/>
      <c r="BX297" s="173"/>
      <c r="BY297" s="173"/>
      <c r="BZ297" s="173"/>
      <c r="CA297" s="173"/>
      <c r="CB297" s="173"/>
      <c r="CC297" s="173"/>
      <c r="CD297" s="173"/>
      <c r="CE297" s="173"/>
      <c r="CF297" s="173"/>
      <c r="CG297" s="173"/>
      <c r="CH297" s="173"/>
      <c r="CI297" s="173"/>
      <c r="CJ297" s="173"/>
      <c r="CK297" s="173"/>
      <c r="CL297" s="173"/>
      <c r="CM297" s="173"/>
      <c r="CN297" s="173"/>
      <c r="CO297" s="173"/>
      <c r="CP297" s="173"/>
      <c r="CQ297" s="173"/>
      <c r="CR297" s="173"/>
      <c r="CS297" s="173"/>
    </row>
    <row r="298" hidden="1">
      <c r="A298" s="168" t="s">
        <v>164</v>
      </c>
      <c r="B298" s="168" t="s">
        <v>1922</v>
      </c>
      <c r="C298" s="180" t="s">
        <v>1923</v>
      </c>
      <c r="D298" s="46" t="s">
        <v>1924</v>
      </c>
      <c r="E298" s="163"/>
      <c r="F298" s="168"/>
      <c r="G298" s="168"/>
      <c r="H298" s="168" t="s">
        <v>25</v>
      </c>
      <c r="I298" s="168" t="s">
        <v>25</v>
      </c>
      <c r="J298" s="168" t="s">
        <v>25</v>
      </c>
      <c r="K298" s="163" t="str">
        <f>VLOOKUP(C298,'Term Reference Guide'!$C:$C,1,false)</f>
        <v>GENEPIO:0100875</v>
      </c>
      <c r="L298" s="163"/>
      <c r="M298" s="163"/>
      <c r="N298" s="163"/>
      <c r="O298" s="163"/>
      <c r="P298" s="163"/>
      <c r="Q298" s="163"/>
      <c r="R298" s="163"/>
      <c r="S298" s="163"/>
      <c r="T298" s="163"/>
      <c r="U298" s="163"/>
      <c r="V298" s="163"/>
      <c r="W298" s="163"/>
      <c r="X298" s="163"/>
      <c r="Y298" s="163"/>
      <c r="Z298" s="163"/>
      <c r="AA298" s="173"/>
      <c r="AB298" s="173"/>
      <c r="AC298" s="173"/>
      <c r="AD298" s="173"/>
      <c r="AE298" s="173"/>
      <c r="AF298" s="173"/>
      <c r="AG298" s="173"/>
      <c r="AH298" s="173"/>
      <c r="AI298" s="173"/>
      <c r="AJ298" s="173"/>
      <c r="AK298" s="173"/>
      <c r="AL298" s="173"/>
      <c r="AM298" s="173"/>
      <c r="AN298" s="173"/>
      <c r="AO298" s="173"/>
      <c r="AP298" s="173"/>
      <c r="AQ298" s="173"/>
      <c r="AR298" s="173"/>
      <c r="AS298" s="173"/>
      <c r="AT298" s="173"/>
      <c r="AU298" s="173"/>
      <c r="AV298" s="173"/>
      <c r="AW298" s="173"/>
      <c r="AX298" s="173"/>
      <c r="AY298" s="173"/>
      <c r="AZ298" s="173"/>
      <c r="BA298" s="173"/>
      <c r="BB298" s="173"/>
      <c r="BC298" s="173"/>
      <c r="BD298" s="173"/>
      <c r="BE298" s="173"/>
      <c r="BF298" s="173"/>
      <c r="BG298" s="173"/>
      <c r="BH298" s="173"/>
      <c r="BI298" s="173"/>
      <c r="BJ298" s="173"/>
      <c r="BK298" s="173"/>
      <c r="BL298" s="173"/>
      <c r="BM298" s="173"/>
      <c r="BN298" s="173"/>
      <c r="BO298" s="173"/>
      <c r="BP298" s="173"/>
      <c r="BQ298" s="173"/>
      <c r="BR298" s="173"/>
      <c r="BS298" s="173"/>
      <c r="BT298" s="173"/>
      <c r="BU298" s="173"/>
      <c r="BV298" s="173"/>
      <c r="BW298" s="173"/>
      <c r="BX298" s="173"/>
      <c r="BY298" s="173"/>
      <c r="BZ298" s="173"/>
      <c r="CA298" s="173"/>
      <c r="CB298" s="173"/>
      <c r="CC298" s="173"/>
      <c r="CD298" s="173"/>
      <c r="CE298" s="173"/>
      <c r="CF298" s="173"/>
      <c r="CG298" s="173"/>
      <c r="CH298" s="173"/>
      <c r="CI298" s="173"/>
      <c r="CJ298" s="173"/>
      <c r="CK298" s="173"/>
      <c r="CL298" s="173"/>
      <c r="CM298" s="173"/>
      <c r="CN298" s="173"/>
      <c r="CO298" s="173"/>
      <c r="CP298" s="173"/>
      <c r="CQ298" s="173"/>
      <c r="CR298" s="173"/>
      <c r="CS298" s="173"/>
    </row>
    <row r="299" hidden="1">
      <c r="A299" s="168" t="s">
        <v>164</v>
      </c>
      <c r="B299" s="168" t="s">
        <v>1925</v>
      </c>
      <c r="C299" s="180" t="s">
        <v>1926</v>
      </c>
      <c r="D299" s="46" t="s">
        <v>1927</v>
      </c>
      <c r="E299" s="163"/>
      <c r="F299" s="168"/>
      <c r="G299" s="168"/>
      <c r="H299" s="168" t="s">
        <v>25</v>
      </c>
      <c r="I299" s="168" t="s">
        <v>25</v>
      </c>
      <c r="J299" s="168" t="s">
        <v>25</v>
      </c>
      <c r="K299" s="163" t="str">
        <f>VLOOKUP(C299,'Term Reference Guide'!$C:$C,1,false)</f>
        <v>GENEPIO:0100876</v>
      </c>
      <c r="L299" s="163"/>
      <c r="M299" s="163"/>
      <c r="N299" s="163"/>
      <c r="O299" s="163"/>
      <c r="P299" s="163"/>
      <c r="Q299" s="163"/>
      <c r="R299" s="163"/>
      <c r="S299" s="163"/>
      <c r="T299" s="163"/>
      <c r="U299" s="163"/>
      <c r="V299" s="163"/>
      <c r="W299" s="163"/>
      <c r="X299" s="163"/>
      <c r="Y299" s="163"/>
      <c r="Z299" s="163"/>
      <c r="AA299" s="173"/>
      <c r="AB299" s="173"/>
      <c r="AC299" s="173"/>
      <c r="AD299" s="173"/>
      <c r="AE299" s="173"/>
      <c r="AF299" s="173"/>
      <c r="AG299" s="173"/>
      <c r="AH299" s="173"/>
      <c r="AI299" s="173"/>
      <c r="AJ299" s="173"/>
      <c r="AK299" s="173"/>
      <c r="AL299" s="173"/>
      <c r="AM299" s="173"/>
      <c r="AN299" s="173"/>
      <c r="AO299" s="173"/>
      <c r="AP299" s="173"/>
      <c r="AQ299" s="173"/>
      <c r="AR299" s="173"/>
      <c r="AS299" s="173"/>
      <c r="AT299" s="173"/>
      <c r="AU299" s="173"/>
      <c r="AV299" s="173"/>
      <c r="AW299" s="173"/>
      <c r="AX299" s="173"/>
      <c r="AY299" s="173"/>
      <c r="AZ299" s="173"/>
      <c r="BA299" s="173"/>
      <c r="BB299" s="173"/>
      <c r="BC299" s="173"/>
      <c r="BD299" s="173"/>
      <c r="BE299" s="173"/>
      <c r="BF299" s="173"/>
      <c r="BG299" s="173"/>
      <c r="BH299" s="173"/>
      <c r="BI299" s="173"/>
      <c r="BJ299" s="173"/>
      <c r="BK299" s="173"/>
      <c r="BL299" s="173"/>
      <c r="BM299" s="173"/>
      <c r="BN299" s="173"/>
      <c r="BO299" s="173"/>
      <c r="BP299" s="173"/>
      <c r="BQ299" s="173"/>
      <c r="BR299" s="173"/>
      <c r="BS299" s="173"/>
      <c r="BT299" s="173"/>
      <c r="BU299" s="173"/>
      <c r="BV299" s="173"/>
      <c r="BW299" s="173"/>
      <c r="BX299" s="173"/>
      <c r="BY299" s="173"/>
      <c r="BZ299" s="173"/>
      <c r="CA299" s="173"/>
      <c r="CB299" s="173"/>
      <c r="CC299" s="173"/>
      <c r="CD299" s="173"/>
      <c r="CE299" s="173"/>
      <c r="CF299" s="173"/>
      <c r="CG299" s="173"/>
      <c r="CH299" s="173"/>
      <c r="CI299" s="173"/>
      <c r="CJ299" s="173"/>
      <c r="CK299" s="173"/>
      <c r="CL299" s="173"/>
      <c r="CM299" s="173"/>
      <c r="CN299" s="173"/>
      <c r="CO299" s="173"/>
      <c r="CP299" s="173"/>
      <c r="CQ299" s="173"/>
      <c r="CR299" s="173"/>
      <c r="CS299" s="173"/>
    </row>
    <row r="300">
      <c r="A300" s="173"/>
      <c r="B300" s="173"/>
      <c r="C300" s="173"/>
      <c r="D300" s="141"/>
      <c r="E300" s="173"/>
      <c r="F300" s="173"/>
      <c r="G300" s="173"/>
      <c r="H300" s="173"/>
      <c r="I300" s="173"/>
      <c r="J300" s="141"/>
      <c r="K300" s="163" t="str">
        <f>VLOOKUP(C300,'Term Reference Guide'!$C:$C,1,false)</f>
        <v>#N/A</v>
      </c>
      <c r="L300" s="173"/>
      <c r="M300" s="173"/>
      <c r="N300" s="173"/>
      <c r="O300" s="173"/>
      <c r="P300" s="173"/>
      <c r="Q300" s="173"/>
      <c r="R300" s="173"/>
      <c r="S300" s="173"/>
      <c r="T300" s="173"/>
      <c r="U300" s="173"/>
      <c r="V300" s="173"/>
      <c r="W300" s="173"/>
      <c r="X300" s="173"/>
      <c r="Y300" s="173"/>
      <c r="Z300" s="173"/>
      <c r="AA300" s="173"/>
      <c r="AB300" s="173"/>
      <c r="AC300" s="173"/>
      <c r="AD300" s="173"/>
      <c r="AE300" s="173"/>
      <c r="AF300" s="173"/>
      <c r="AG300" s="173"/>
      <c r="AH300" s="173"/>
      <c r="AI300" s="173"/>
      <c r="AJ300" s="173"/>
      <c r="AK300" s="173"/>
      <c r="AL300" s="173"/>
      <c r="AM300" s="173"/>
      <c r="AN300" s="173"/>
      <c r="AO300" s="173"/>
      <c r="AP300" s="173"/>
      <c r="AQ300" s="173"/>
      <c r="AR300" s="173"/>
      <c r="AS300" s="173"/>
      <c r="AT300" s="173"/>
      <c r="AU300" s="173"/>
      <c r="AV300" s="173"/>
      <c r="AW300" s="173"/>
      <c r="AX300" s="173"/>
      <c r="AY300" s="173"/>
      <c r="AZ300" s="173"/>
      <c r="BA300" s="173"/>
      <c r="BB300" s="173"/>
      <c r="BC300" s="173"/>
      <c r="BD300" s="173"/>
      <c r="BE300" s="173"/>
      <c r="BF300" s="173"/>
      <c r="BG300" s="173"/>
      <c r="BH300" s="173"/>
      <c r="BI300" s="173"/>
      <c r="BJ300" s="173"/>
      <c r="BK300" s="173"/>
      <c r="BL300" s="173"/>
      <c r="BM300" s="173"/>
      <c r="BN300" s="173"/>
      <c r="BO300" s="173"/>
      <c r="BP300" s="173"/>
      <c r="BQ300" s="173"/>
      <c r="BR300" s="173"/>
      <c r="BS300" s="173"/>
      <c r="BT300" s="173"/>
      <c r="BU300" s="173"/>
      <c r="BV300" s="173"/>
      <c r="BW300" s="173"/>
      <c r="BX300" s="173"/>
      <c r="BY300" s="173"/>
      <c r="BZ300" s="173"/>
      <c r="CA300" s="173"/>
      <c r="CB300" s="173"/>
      <c r="CC300" s="173"/>
      <c r="CD300" s="173"/>
      <c r="CE300" s="173"/>
      <c r="CF300" s="173"/>
      <c r="CG300" s="173"/>
      <c r="CH300" s="173"/>
      <c r="CI300" s="173"/>
      <c r="CJ300" s="173"/>
      <c r="CK300" s="173"/>
      <c r="CL300" s="173"/>
      <c r="CM300" s="173"/>
      <c r="CN300" s="173"/>
      <c r="CO300" s="173"/>
      <c r="CP300" s="173"/>
      <c r="CQ300" s="173"/>
      <c r="CR300" s="173"/>
      <c r="CS300" s="173"/>
    </row>
    <row r="301">
      <c r="A301" s="170" t="s">
        <v>194</v>
      </c>
      <c r="B301" s="156"/>
      <c r="C301" s="156"/>
      <c r="D301" s="139"/>
      <c r="E301" s="156"/>
      <c r="F301" s="156"/>
      <c r="G301" s="156"/>
      <c r="H301" s="164"/>
      <c r="I301" s="164"/>
      <c r="J301" s="171"/>
      <c r="K301" s="163" t="str">
        <f>VLOOKUP(C301,'Term Reference Guide'!$C:$C,1,false)</f>
        <v>#N/A</v>
      </c>
      <c r="L301" s="163"/>
      <c r="M301" s="163"/>
      <c r="N301" s="163"/>
      <c r="O301" s="163"/>
      <c r="P301" s="163"/>
      <c r="Q301" s="163"/>
      <c r="R301" s="163"/>
      <c r="S301" s="163"/>
      <c r="T301" s="163"/>
      <c r="U301" s="163"/>
      <c r="V301" s="163"/>
      <c r="W301" s="163"/>
      <c r="X301" s="163"/>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c r="BP301" s="41"/>
      <c r="BQ301" s="41"/>
      <c r="BR301" s="41"/>
      <c r="BS301" s="41"/>
      <c r="BT301" s="41"/>
      <c r="BU301" s="41"/>
      <c r="BV301" s="41"/>
      <c r="BW301" s="41"/>
      <c r="BX301" s="41"/>
      <c r="BY301" s="41"/>
      <c r="BZ301" s="41"/>
      <c r="CA301" s="41"/>
      <c r="CB301" s="41"/>
      <c r="CC301" s="41"/>
      <c r="CD301" s="41"/>
      <c r="CE301" s="41"/>
      <c r="CF301" s="41"/>
      <c r="CG301" s="41"/>
      <c r="CH301" s="41"/>
      <c r="CI301" s="41"/>
      <c r="CJ301" s="41"/>
      <c r="CK301" s="41"/>
      <c r="CL301" s="41"/>
      <c r="CM301" s="41"/>
      <c r="CN301" s="41"/>
      <c r="CO301" s="41"/>
      <c r="CP301" s="41"/>
      <c r="CQ301" s="41"/>
      <c r="CR301" s="41"/>
      <c r="CS301" s="41"/>
    </row>
    <row r="302" hidden="1">
      <c r="A302" s="179" t="s">
        <v>194</v>
      </c>
      <c r="B302" s="179" t="s">
        <v>198</v>
      </c>
      <c r="C302" s="179" t="s">
        <v>1928</v>
      </c>
      <c r="D302" s="70" t="s">
        <v>1929</v>
      </c>
      <c r="E302" s="173"/>
      <c r="F302" s="168"/>
      <c r="G302" s="168"/>
      <c r="H302" s="168" t="s">
        <v>25</v>
      </c>
      <c r="I302" s="168" t="s">
        <v>25</v>
      </c>
      <c r="J302" s="168" t="s">
        <v>25</v>
      </c>
      <c r="K302" s="163" t="str">
        <f>VLOOKUP(C302,'Term Reference Guide'!$C:$C,1,false)</f>
        <v>NCIT:C64934</v>
      </c>
      <c r="L302" s="173"/>
      <c r="M302" s="173"/>
      <c r="N302" s="173"/>
      <c r="O302" s="173"/>
      <c r="P302" s="173"/>
      <c r="Q302" s="173"/>
      <c r="R302" s="173"/>
      <c r="S302" s="173"/>
      <c r="T302" s="173"/>
      <c r="U302" s="173"/>
      <c r="V302" s="173"/>
      <c r="W302" s="173"/>
      <c r="X302" s="173"/>
      <c r="Y302" s="173"/>
      <c r="Z302" s="173"/>
      <c r="AA302" s="173"/>
      <c r="AB302" s="173"/>
      <c r="AC302" s="173"/>
      <c r="AD302" s="173"/>
      <c r="AE302" s="173"/>
      <c r="AF302" s="173"/>
      <c r="AG302" s="173"/>
      <c r="AH302" s="173"/>
      <c r="AI302" s="173"/>
      <c r="AJ302" s="173"/>
      <c r="AK302" s="173"/>
      <c r="AL302" s="173"/>
      <c r="AM302" s="173"/>
      <c r="AN302" s="173"/>
      <c r="AO302" s="173"/>
      <c r="AP302" s="173"/>
      <c r="AQ302" s="173"/>
      <c r="AR302" s="173"/>
      <c r="AS302" s="173"/>
      <c r="AT302" s="173"/>
      <c r="AU302" s="173"/>
      <c r="AV302" s="173"/>
      <c r="AW302" s="173"/>
      <c r="AX302" s="173"/>
      <c r="AY302" s="173"/>
      <c r="AZ302" s="173"/>
      <c r="BA302" s="173"/>
      <c r="BB302" s="173"/>
      <c r="BC302" s="173"/>
      <c r="BD302" s="173"/>
      <c r="BE302" s="173"/>
      <c r="BF302" s="173"/>
      <c r="BG302" s="173"/>
      <c r="BH302" s="173"/>
      <c r="BI302" s="173"/>
      <c r="BJ302" s="173"/>
      <c r="BK302" s="173"/>
      <c r="BL302" s="173"/>
      <c r="BM302" s="173"/>
      <c r="BN302" s="173"/>
      <c r="BO302" s="173"/>
      <c r="BP302" s="173"/>
      <c r="BQ302" s="173"/>
      <c r="BR302" s="173"/>
      <c r="BS302" s="173"/>
      <c r="BT302" s="173"/>
      <c r="BU302" s="173"/>
      <c r="BV302" s="173"/>
      <c r="BW302" s="173"/>
      <c r="BX302" s="173"/>
      <c r="BY302" s="173"/>
      <c r="BZ302" s="173"/>
      <c r="CA302" s="173"/>
      <c r="CB302" s="173"/>
      <c r="CC302" s="173"/>
      <c r="CD302" s="173"/>
      <c r="CE302" s="173"/>
      <c r="CF302" s="173"/>
      <c r="CG302" s="173"/>
      <c r="CH302" s="173"/>
      <c r="CI302" s="173"/>
      <c r="CJ302" s="173"/>
      <c r="CK302" s="173"/>
      <c r="CL302" s="173"/>
      <c r="CM302" s="173"/>
      <c r="CN302" s="173"/>
      <c r="CO302" s="173"/>
      <c r="CP302" s="173"/>
      <c r="CQ302" s="173"/>
      <c r="CR302" s="173"/>
      <c r="CS302" s="173"/>
    </row>
    <row r="303" hidden="1">
      <c r="A303" s="179" t="s">
        <v>194</v>
      </c>
      <c r="B303" s="179" t="s">
        <v>1930</v>
      </c>
      <c r="C303" s="179" t="s">
        <v>1931</v>
      </c>
      <c r="D303" s="70" t="s">
        <v>1932</v>
      </c>
      <c r="E303" s="173"/>
      <c r="F303" s="168"/>
      <c r="G303" s="168"/>
      <c r="H303" s="168" t="s">
        <v>25</v>
      </c>
      <c r="I303" s="168" t="s">
        <v>25</v>
      </c>
      <c r="J303" s="168" t="s">
        <v>25</v>
      </c>
      <c r="K303" s="163" t="str">
        <f>VLOOKUP(C303,'Term Reference Guide'!$C:$C,1,false)</f>
        <v>NCIT:C64935</v>
      </c>
      <c r="L303" s="173"/>
      <c r="M303" s="173"/>
      <c r="N303" s="173"/>
      <c r="O303" s="173"/>
      <c r="P303" s="173"/>
      <c r="Q303" s="173"/>
      <c r="R303" s="173"/>
      <c r="S303" s="173"/>
      <c r="T303" s="173"/>
      <c r="U303" s="173"/>
      <c r="V303" s="173"/>
      <c r="W303" s="173"/>
      <c r="X303" s="173"/>
      <c r="Y303" s="173"/>
      <c r="Z303" s="173"/>
      <c r="AA303" s="173"/>
      <c r="AB303" s="173"/>
      <c r="AC303" s="173"/>
      <c r="AD303" s="173"/>
      <c r="AE303" s="173"/>
      <c r="AF303" s="173"/>
      <c r="AG303" s="173"/>
      <c r="AH303" s="173"/>
      <c r="AI303" s="173"/>
      <c r="AJ303" s="173"/>
      <c r="AK303" s="173"/>
      <c r="AL303" s="173"/>
      <c r="AM303" s="173"/>
      <c r="AN303" s="173"/>
      <c r="AO303" s="173"/>
      <c r="AP303" s="173"/>
      <c r="AQ303" s="173"/>
      <c r="AR303" s="173"/>
      <c r="AS303" s="173"/>
      <c r="AT303" s="173"/>
      <c r="AU303" s="173"/>
      <c r="AV303" s="173"/>
      <c r="AW303" s="173"/>
      <c r="AX303" s="173"/>
      <c r="AY303" s="173"/>
      <c r="AZ303" s="173"/>
      <c r="BA303" s="173"/>
      <c r="BB303" s="173"/>
      <c r="BC303" s="173"/>
      <c r="BD303" s="173"/>
      <c r="BE303" s="173"/>
      <c r="BF303" s="173"/>
      <c r="BG303" s="173"/>
      <c r="BH303" s="173"/>
      <c r="BI303" s="173"/>
      <c r="BJ303" s="173"/>
      <c r="BK303" s="173"/>
      <c r="BL303" s="173"/>
      <c r="BM303" s="173"/>
      <c r="BN303" s="173"/>
      <c r="BO303" s="173"/>
      <c r="BP303" s="173"/>
      <c r="BQ303" s="173"/>
      <c r="BR303" s="173"/>
      <c r="BS303" s="173"/>
      <c r="BT303" s="173"/>
      <c r="BU303" s="173"/>
      <c r="BV303" s="173"/>
      <c r="BW303" s="173"/>
      <c r="BX303" s="173"/>
      <c r="BY303" s="173"/>
      <c r="BZ303" s="173"/>
      <c r="CA303" s="173"/>
      <c r="CB303" s="173"/>
      <c r="CC303" s="173"/>
      <c r="CD303" s="173"/>
      <c r="CE303" s="173"/>
      <c r="CF303" s="173"/>
      <c r="CG303" s="173"/>
      <c r="CH303" s="173"/>
      <c r="CI303" s="173"/>
      <c r="CJ303" s="173"/>
      <c r="CK303" s="173"/>
      <c r="CL303" s="173"/>
      <c r="CM303" s="173"/>
      <c r="CN303" s="173"/>
      <c r="CO303" s="173"/>
      <c r="CP303" s="173"/>
      <c r="CQ303" s="173"/>
      <c r="CR303" s="173"/>
      <c r="CS303" s="173"/>
    </row>
    <row r="304" hidden="1">
      <c r="A304" s="179" t="s">
        <v>194</v>
      </c>
      <c r="B304" s="179" t="s">
        <v>1933</v>
      </c>
      <c r="C304" s="179" t="s">
        <v>1934</v>
      </c>
      <c r="D304" s="70" t="s">
        <v>1935</v>
      </c>
      <c r="E304" s="173"/>
      <c r="F304" s="168"/>
      <c r="G304" s="168"/>
      <c r="H304" s="168" t="s">
        <v>25</v>
      </c>
      <c r="I304" s="168" t="s">
        <v>25</v>
      </c>
      <c r="J304" s="168" t="s">
        <v>25</v>
      </c>
      <c r="K304" s="163" t="str">
        <f>VLOOKUP(C304,'Term Reference Guide'!$C:$C,1,false)</f>
        <v>NCIT:C64936</v>
      </c>
      <c r="L304" s="173"/>
      <c r="M304" s="173"/>
      <c r="N304" s="173"/>
      <c r="O304" s="173"/>
      <c r="P304" s="173"/>
      <c r="Q304" s="173"/>
      <c r="R304" s="173"/>
      <c r="S304" s="173"/>
      <c r="T304" s="173"/>
      <c r="U304" s="173"/>
      <c r="V304" s="173"/>
      <c r="W304" s="173"/>
      <c r="X304" s="173"/>
      <c r="Y304" s="173"/>
      <c r="Z304" s="173"/>
      <c r="AA304" s="173"/>
      <c r="AB304" s="173"/>
      <c r="AC304" s="173"/>
      <c r="AD304" s="173"/>
      <c r="AE304" s="173"/>
      <c r="AF304" s="173"/>
      <c r="AG304" s="173"/>
      <c r="AH304" s="173"/>
      <c r="AI304" s="173"/>
      <c r="AJ304" s="173"/>
      <c r="AK304" s="173"/>
      <c r="AL304" s="173"/>
      <c r="AM304" s="173"/>
      <c r="AN304" s="173"/>
      <c r="AO304" s="173"/>
      <c r="AP304" s="173"/>
      <c r="AQ304" s="173"/>
      <c r="AR304" s="173"/>
      <c r="AS304" s="173"/>
      <c r="AT304" s="173"/>
      <c r="AU304" s="173"/>
      <c r="AV304" s="173"/>
      <c r="AW304" s="173"/>
      <c r="AX304" s="173"/>
      <c r="AY304" s="173"/>
      <c r="AZ304" s="173"/>
      <c r="BA304" s="173"/>
      <c r="BB304" s="173"/>
      <c r="BC304" s="173"/>
      <c r="BD304" s="173"/>
      <c r="BE304" s="173"/>
      <c r="BF304" s="173"/>
      <c r="BG304" s="173"/>
      <c r="BH304" s="173"/>
      <c r="BI304" s="173"/>
      <c r="BJ304" s="173"/>
      <c r="BK304" s="173"/>
      <c r="BL304" s="173"/>
      <c r="BM304" s="173"/>
      <c r="BN304" s="173"/>
      <c r="BO304" s="173"/>
      <c r="BP304" s="173"/>
      <c r="BQ304" s="173"/>
      <c r="BR304" s="173"/>
      <c r="BS304" s="173"/>
      <c r="BT304" s="173"/>
      <c r="BU304" s="173"/>
      <c r="BV304" s="173"/>
      <c r="BW304" s="173"/>
      <c r="BX304" s="173"/>
      <c r="BY304" s="173"/>
      <c r="BZ304" s="173"/>
      <c r="CA304" s="173"/>
      <c r="CB304" s="173"/>
      <c r="CC304" s="173"/>
      <c r="CD304" s="173"/>
      <c r="CE304" s="173"/>
      <c r="CF304" s="173"/>
      <c r="CG304" s="173"/>
      <c r="CH304" s="173"/>
      <c r="CI304" s="173"/>
      <c r="CJ304" s="173"/>
      <c r="CK304" s="173"/>
      <c r="CL304" s="173"/>
      <c r="CM304" s="173"/>
      <c r="CN304" s="173"/>
      <c r="CO304" s="173"/>
      <c r="CP304" s="173"/>
      <c r="CQ304" s="173"/>
      <c r="CR304" s="173"/>
      <c r="CS304" s="173"/>
    </row>
    <row r="305" hidden="1">
      <c r="A305" s="179" t="s">
        <v>194</v>
      </c>
      <c r="B305" s="179" t="s">
        <v>1936</v>
      </c>
      <c r="C305" s="179" t="s">
        <v>1937</v>
      </c>
      <c r="D305" s="70" t="s">
        <v>1938</v>
      </c>
      <c r="E305" s="173"/>
      <c r="F305" s="168"/>
      <c r="G305" s="168"/>
      <c r="H305" s="168" t="s">
        <v>25</v>
      </c>
      <c r="I305" s="168" t="s">
        <v>25</v>
      </c>
      <c r="J305" s="168" t="s">
        <v>25</v>
      </c>
      <c r="K305" s="163" t="str">
        <f>VLOOKUP(C305,'Term Reference Guide'!$C:$C,1,false)</f>
        <v>NCIT:C65001</v>
      </c>
      <c r="L305" s="173"/>
      <c r="M305" s="173"/>
      <c r="N305" s="173"/>
      <c r="O305" s="173"/>
      <c r="P305" s="173"/>
      <c r="Q305" s="173"/>
      <c r="R305" s="173"/>
      <c r="S305" s="173"/>
      <c r="T305" s="173"/>
      <c r="U305" s="173"/>
      <c r="V305" s="173"/>
      <c r="W305" s="173"/>
      <c r="X305" s="173"/>
      <c r="Y305" s="173"/>
      <c r="Z305" s="173"/>
      <c r="AA305" s="173"/>
      <c r="AB305" s="173"/>
      <c r="AC305" s="173"/>
      <c r="AD305" s="173"/>
      <c r="AE305" s="173"/>
      <c r="AF305" s="173"/>
      <c r="AG305" s="173"/>
      <c r="AH305" s="173"/>
      <c r="AI305" s="173"/>
      <c r="AJ305" s="173"/>
      <c r="AK305" s="173"/>
      <c r="AL305" s="173"/>
      <c r="AM305" s="173"/>
      <c r="AN305" s="173"/>
      <c r="AO305" s="173"/>
      <c r="AP305" s="173"/>
      <c r="AQ305" s="173"/>
      <c r="AR305" s="173"/>
      <c r="AS305" s="173"/>
      <c r="AT305" s="173"/>
      <c r="AU305" s="173"/>
      <c r="AV305" s="173"/>
      <c r="AW305" s="173"/>
      <c r="AX305" s="173"/>
      <c r="AY305" s="173"/>
      <c r="AZ305" s="173"/>
      <c r="BA305" s="173"/>
      <c r="BB305" s="173"/>
      <c r="BC305" s="173"/>
      <c r="BD305" s="173"/>
      <c r="BE305" s="173"/>
      <c r="BF305" s="173"/>
      <c r="BG305" s="173"/>
      <c r="BH305" s="173"/>
      <c r="BI305" s="173"/>
      <c r="BJ305" s="173"/>
      <c r="BK305" s="173"/>
      <c r="BL305" s="173"/>
      <c r="BM305" s="173"/>
      <c r="BN305" s="173"/>
      <c r="BO305" s="173"/>
      <c r="BP305" s="173"/>
      <c r="BQ305" s="173"/>
      <c r="BR305" s="173"/>
      <c r="BS305" s="173"/>
      <c r="BT305" s="173"/>
      <c r="BU305" s="173"/>
      <c r="BV305" s="173"/>
      <c r="BW305" s="173"/>
      <c r="BX305" s="173"/>
      <c r="BY305" s="173"/>
      <c r="BZ305" s="173"/>
      <c r="CA305" s="173"/>
      <c r="CB305" s="173"/>
      <c r="CC305" s="173"/>
      <c r="CD305" s="173"/>
      <c r="CE305" s="173"/>
      <c r="CF305" s="173"/>
      <c r="CG305" s="173"/>
      <c r="CH305" s="173"/>
      <c r="CI305" s="173"/>
      <c r="CJ305" s="173"/>
      <c r="CK305" s="173"/>
      <c r="CL305" s="173"/>
      <c r="CM305" s="173"/>
      <c r="CN305" s="173"/>
      <c r="CO305" s="173"/>
      <c r="CP305" s="173"/>
      <c r="CQ305" s="173"/>
      <c r="CR305" s="173"/>
      <c r="CS305" s="173"/>
    </row>
    <row r="306">
      <c r="A306" s="173"/>
      <c r="B306" s="173"/>
      <c r="C306" s="173"/>
      <c r="D306" s="141"/>
      <c r="E306" s="173"/>
      <c r="F306" s="173"/>
      <c r="G306" s="173"/>
      <c r="H306" s="173"/>
      <c r="I306" s="173"/>
      <c r="J306" s="141"/>
      <c r="K306" s="163" t="str">
        <f>VLOOKUP(C306,'Term Reference Guide'!$C:$C,1,false)</f>
        <v>#N/A</v>
      </c>
      <c r="L306" s="173"/>
      <c r="M306" s="173"/>
      <c r="N306" s="173"/>
      <c r="O306" s="173"/>
      <c r="P306" s="173"/>
      <c r="Q306" s="173"/>
      <c r="R306" s="173"/>
      <c r="S306" s="173"/>
      <c r="T306" s="173"/>
      <c r="U306" s="173"/>
      <c r="V306" s="173"/>
      <c r="W306" s="173"/>
      <c r="X306" s="173"/>
      <c r="Y306" s="173"/>
      <c r="Z306" s="173"/>
      <c r="AA306" s="173"/>
      <c r="AB306" s="173"/>
      <c r="AC306" s="173"/>
      <c r="AD306" s="173"/>
      <c r="AE306" s="173"/>
      <c r="AF306" s="173"/>
      <c r="AG306" s="173"/>
      <c r="AH306" s="173"/>
      <c r="AI306" s="173"/>
      <c r="AJ306" s="173"/>
      <c r="AK306" s="173"/>
      <c r="AL306" s="173"/>
      <c r="AM306" s="173"/>
      <c r="AN306" s="173"/>
      <c r="AO306" s="173"/>
      <c r="AP306" s="173"/>
      <c r="AQ306" s="173"/>
      <c r="AR306" s="173"/>
      <c r="AS306" s="173"/>
      <c r="AT306" s="173"/>
      <c r="AU306" s="173"/>
      <c r="AV306" s="173"/>
      <c r="AW306" s="173"/>
      <c r="AX306" s="173"/>
      <c r="AY306" s="173"/>
      <c r="AZ306" s="173"/>
      <c r="BA306" s="173"/>
      <c r="BB306" s="173"/>
      <c r="BC306" s="173"/>
      <c r="BD306" s="173"/>
      <c r="BE306" s="173"/>
      <c r="BF306" s="173"/>
      <c r="BG306" s="173"/>
      <c r="BH306" s="173"/>
      <c r="BI306" s="173"/>
      <c r="BJ306" s="173"/>
      <c r="BK306" s="173"/>
      <c r="BL306" s="173"/>
      <c r="BM306" s="173"/>
      <c r="BN306" s="173"/>
      <c r="BO306" s="173"/>
      <c r="BP306" s="173"/>
      <c r="BQ306" s="173"/>
      <c r="BR306" s="173"/>
      <c r="BS306" s="173"/>
      <c r="BT306" s="173"/>
      <c r="BU306" s="173"/>
      <c r="BV306" s="173"/>
      <c r="BW306" s="173"/>
      <c r="BX306" s="173"/>
      <c r="BY306" s="173"/>
      <c r="BZ306" s="173"/>
      <c r="CA306" s="173"/>
      <c r="CB306" s="173"/>
      <c r="CC306" s="173"/>
      <c r="CD306" s="173"/>
      <c r="CE306" s="173"/>
      <c r="CF306" s="173"/>
      <c r="CG306" s="173"/>
      <c r="CH306" s="173"/>
      <c r="CI306" s="173"/>
      <c r="CJ306" s="173"/>
      <c r="CK306" s="173"/>
      <c r="CL306" s="173"/>
      <c r="CM306" s="173"/>
      <c r="CN306" s="173"/>
      <c r="CO306" s="173"/>
      <c r="CP306" s="173"/>
      <c r="CQ306" s="173"/>
      <c r="CR306" s="173"/>
      <c r="CS306" s="173"/>
    </row>
    <row r="307">
      <c r="A307" s="170" t="s">
        <v>203</v>
      </c>
      <c r="B307" s="156"/>
      <c r="C307" s="156"/>
      <c r="D307" s="139"/>
      <c r="E307" s="156"/>
      <c r="F307" s="156"/>
      <c r="G307" s="156"/>
      <c r="H307" s="164"/>
      <c r="I307" s="164"/>
      <c r="J307" s="171"/>
      <c r="K307" s="163" t="str">
        <f>VLOOKUP(C307,'Term Reference Guide'!$C:$C,1,false)</f>
        <v>#N/A</v>
      </c>
      <c r="L307" s="163"/>
      <c r="M307" s="163"/>
      <c r="N307" s="163"/>
      <c r="O307" s="163"/>
      <c r="P307" s="163"/>
      <c r="Q307" s="163"/>
      <c r="R307" s="163"/>
      <c r="S307" s="163"/>
      <c r="T307" s="163"/>
      <c r="U307" s="163"/>
      <c r="V307" s="163"/>
      <c r="W307" s="163"/>
      <c r="X307" s="163"/>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c r="BP307" s="41"/>
      <c r="BQ307" s="41"/>
      <c r="BR307" s="41"/>
      <c r="BS307" s="41"/>
      <c r="BT307" s="41"/>
      <c r="BU307" s="41"/>
      <c r="BV307" s="41"/>
      <c r="BW307" s="41"/>
      <c r="BX307" s="41"/>
      <c r="BY307" s="41"/>
      <c r="BZ307" s="41"/>
      <c r="CA307" s="41"/>
      <c r="CB307" s="41"/>
      <c r="CC307" s="41"/>
      <c r="CD307" s="41"/>
      <c r="CE307" s="41"/>
      <c r="CF307" s="41"/>
      <c r="CG307" s="41"/>
      <c r="CH307" s="41"/>
      <c r="CI307" s="41"/>
      <c r="CJ307" s="41"/>
      <c r="CK307" s="41"/>
      <c r="CL307" s="41"/>
      <c r="CM307" s="41"/>
      <c r="CN307" s="41"/>
      <c r="CO307" s="41"/>
      <c r="CP307" s="41"/>
      <c r="CQ307" s="41"/>
      <c r="CR307" s="41"/>
      <c r="CS307" s="41"/>
    </row>
    <row r="308" hidden="1">
      <c r="A308" s="182" t="s">
        <v>1939</v>
      </c>
      <c r="B308" s="179" t="s">
        <v>1940</v>
      </c>
      <c r="C308" s="179" t="s">
        <v>1941</v>
      </c>
      <c r="D308" s="70" t="s">
        <v>1942</v>
      </c>
      <c r="E308" s="173"/>
      <c r="F308" s="168"/>
      <c r="G308" s="168"/>
      <c r="H308" s="168" t="s">
        <v>25</v>
      </c>
      <c r="I308" s="168" t="s">
        <v>25</v>
      </c>
      <c r="J308" s="168" t="s">
        <v>25</v>
      </c>
      <c r="K308" s="163" t="str">
        <f>VLOOKUP(C308,'Term Reference Guide'!$C:$C,1,false)</f>
        <v>UO:0000010</v>
      </c>
      <c r="L308" s="173"/>
      <c r="M308" s="173"/>
      <c r="N308" s="173"/>
      <c r="O308" s="173"/>
      <c r="P308" s="173"/>
      <c r="Q308" s="173"/>
      <c r="R308" s="173"/>
      <c r="S308" s="173"/>
      <c r="T308" s="173"/>
      <c r="U308" s="173"/>
      <c r="V308" s="173"/>
      <c r="W308" s="173"/>
      <c r="X308" s="173"/>
      <c r="Y308" s="173"/>
      <c r="Z308" s="173"/>
      <c r="AA308" s="173"/>
      <c r="AB308" s="173"/>
      <c r="AC308" s="173"/>
      <c r="AD308" s="173"/>
      <c r="AE308" s="173"/>
      <c r="AF308" s="173"/>
      <c r="AG308" s="173"/>
      <c r="AH308" s="173"/>
      <c r="AI308" s="173"/>
      <c r="AJ308" s="173"/>
      <c r="AK308" s="173"/>
      <c r="AL308" s="173"/>
      <c r="AM308" s="173"/>
      <c r="AN308" s="173"/>
      <c r="AO308" s="173"/>
      <c r="AP308" s="173"/>
      <c r="AQ308" s="173"/>
      <c r="AR308" s="173"/>
      <c r="AS308" s="173"/>
      <c r="AT308" s="173"/>
      <c r="AU308" s="173"/>
      <c r="AV308" s="173"/>
      <c r="AW308" s="173"/>
      <c r="AX308" s="173"/>
      <c r="AY308" s="173"/>
      <c r="AZ308" s="173"/>
      <c r="BA308" s="173"/>
      <c r="BB308" s="173"/>
      <c r="BC308" s="173"/>
      <c r="BD308" s="173"/>
      <c r="BE308" s="173"/>
      <c r="BF308" s="173"/>
      <c r="BG308" s="173"/>
      <c r="BH308" s="173"/>
      <c r="BI308" s="173"/>
      <c r="BJ308" s="173"/>
      <c r="BK308" s="173"/>
      <c r="BL308" s="173"/>
      <c r="BM308" s="173"/>
      <c r="BN308" s="173"/>
      <c r="BO308" s="173"/>
      <c r="BP308" s="173"/>
      <c r="BQ308" s="173"/>
      <c r="BR308" s="173"/>
      <c r="BS308" s="173"/>
      <c r="BT308" s="173"/>
      <c r="BU308" s="173"/>
      <c r="BV308" s="173"/>
      <c r="BW308" s="173"/>
      <c r="BX308" s="173"/>
      <c r="BY308" s="173"/>
      <c r="BZ308" s="173"/>
      <c r="CA308" s="173"/>
      <c r="CB308" s="173"/>
      <c r="CC308" s="173"/>
      <c r="CD308" s="173"/>
      <c r="CE308" s="173"/>
      <c r="CF308" s="173"/>
      <c r="CG308" s="173"/>
      <c r="CH308" s="173"/>
      <c r="CI308" s="173"/>
      <c r="CJ308" s="173"/>
      <c r="CK308" s="173"/>
      <c r="CL308" s="173"/>
      <c r="CM308" s="173"/>
      <c r="CN308" s="173"/>
      <c r="CO308" s="173"/>
      <c r="CP308" s="173"/>
      <c r="CQ308" s="173"/>
      <c r="CR308" s="173"/>
      <c r="CS308" s="173"/>
    </row>
    <row r="309" hidden="1">
      <c r="A309" s="182" t="s">
        <v>1939</v>
      </c>
      <c r="B309" s="179" t="s">
        <v>1943</v>
      </c>
      <c r="C309" s="179" t="s">
        <v>1944</v>
      </c>
      <c r="D309" s="70" t="s">
        <v>1945</v>
      </c>
      <c r="E309" s="173"/>
      <c r="F309" s="168"/>
      <c r="G309" s="168"/>
      <c r="H309" s="168" t="s">
        <v>25</v>
      </c>
      <c r="I309" s="168" t="s">
        <v>25</v>
      </c>
      <c r="J309" s="168" t="s">
        <v>25</v>
      </c>
      <c r="K309" s="163" t="str">
        <f>VLOOKUP(C309,'Term Reference Guide'!$C:$C,1,false)</f>
        <v>UO:0000031</v>
      </c>
      <c r="L309" s="173"/>
      <c r="M309" s="173"/>
      <c r="N309" s="173"/>
      <c r="O309" s="173"/>
      <c r="P309" s="173"/>
      <c r="Q309" s="173"/>
      <c r="R309" s="173"/>
      <c r="S309" s="173"/>
      <c r="T309" s="173"/>
      <c r="U309" s="173"/>
      <c r="V309" s="173"/>
      <c r="W309" s="173"/>
      <c r="X309" s="173"/>
      <c r="Y309" s="173"/>
      <c r="Z309" s="173"/>
      <c r="AA309" s="173"/>
      <c r="AB309" s="173"/>
      <c r="AC309" s="173"/>
      <c r="AD309" s="173"/>
      <c r="AE309" s="173"/>
      <c r="AF309" s="173"/>
      <c r="AG309" s="173"/>
      <c r="AH309" s="173"/>
      <c r="AI309" s="173"/>
      <c r="AJ309" s="173"/>
      <c r="AK309" s="173"/>
      <c r="AL309" s="173"/>
      <c r="AM309" s="173"/>
      <c r="AN309" s="173"/>
      <c r="AO309" s="173"/>
      <c r="AP309" s="173"/>
      <c r="AQ309" s="173"/>
      <c r="AR309" s="173"/>
      <c r="AS309" s="173"/>
      <c r="AT309" s="173"/>
      <c r="AU309" s="173"/>
      <c r="AV309" s="173"/>
      <c r="AW309" s="173"/>
      <c r="AX309" s="173"/>
      <c r="AY309" s="173"/>
      <c r="AZ309" s="173"/>
      <c r="BA309" s="173"/>
      <c r="BB309" s="173"/>
      <c r="BC309" s="173"/>
      <c r="BD309" s="173"/>
      <c r="BE309" s="173"/>
      <c r="BF309" s="173"/>
      <c r="BG309" s="173"/>
      <c r="BH309" s="173"/>
      <c r="BI309" s="173"/>
      <c r="BJ309" s="173"/>
      <c r="BK309" s="173"/>
      <c r="BL309" s="173"/>
      <c r="BM309" s="173"/>
      <c r="BN309" s="173"/>
      <c r="BO309" s="173"/>
      <c r="BP309" s="173"/>
      <c r="BQ309" s="173"/>
      <c r="BR309" s="173"/>
      <c r="BS309" s="173"/>
      <c r="BT309" s="173"/>
      <c r="BU309" s="173"/>
      <c r="BV309" s="173"/>
      <c r="BW309" s="173"/>
      <c r="BX309" s="173"/>
      <c r="BY309" s="173"/>
      <c r="BZ309" s="173"/>
      <c r="CA309" s="173"/>
      <c r="CB309" s="173"/>
      <c r="CC309" s="173"/>
      <c r="CD309" s="173"/>
      <c r="CE309" s="173"/>
      <c r="CF309" s="173"/>
      <c r="CG309" s="173"/>
      <c r="CH309" s="173"/>
      <c r="CI309" s="173"/>
      <c r="CJ309" s="173"/>
      <c r="CK309" s="173"/>
      <c r="CL309" s="173"/>
      <c r="CM309" s="173"/>
      <c r="CN309" s="173"/>
      <c r="CO309" s="173"/>
      <c r="CP309" s="173"/>
      <c r="CQ309" s="173"/>
      <c r="CR309" s="173"/>
      <c r="CS309" s="173"/>
    </row>
    <row r="310" hidden="1">
      <c r="A310" s="182" t="s">
        <v>1939</v>
      </c>
      <c r="B310" s="179" t="s">
        <v>207</v>
      </c>
      <c r="C310" s="179" t="s">
        <v>1946</v>
      </c>
      <c r="D310" s="70" t="s">
        <v>1947</v>
      </c>
      <c r="E310" s="173"/>
      <c r="F310" s="168"/>
      <c r="G310" s="168"/>
      <c r="H310" s="168" t="s">
        <v>25</v>
      </c>
      <c r="I310" s="168" t="s">
        <v>25</v>
      </c>
      <c r="J310" s="168" t="s">
        <v>25</v>
      </c>
      <c r="K310" s="163" t="str">
        <f>VLOOKUP(C310,'Term Reference Guide'!$C:$C,1,false)</f>
        <v>UO:0000032</v>
      </c>
      <c r="L310" s="173"/>
      <c r="M310" s="173"/>
      <c r="N310" s="173"/>
      <c r="O310" s="173"/>
      <c r="P310" s="173"/>
      <c r="Q310" s="173"/>
      <c r="R310" s="173"/>
      <c r="S310" s="173"/>
      <c r="T310" s="173"/>
      <c r="U310" s="173"/>
      <c r="V310" s="173"/>
      <c r="W310" s="173"/>
      <c r="X310" s="173"/>
      <c r="Y310" s="173"/>
      <c r="Z310" s="173"/>
      <c r="AA310" s="173"/>
      <c r="AB310" s="173"/>
      <c r="AC310" s="173"/>
      <c r="AD310" s="173"/>
      <c r="AE310" s="173"/>
      <c r="AF310" s="173"/>
      <c r="AG310" s="173"/>
      <c r="AH310" s="173"/>
      <c r="AI310" s="173"/>
      <c r="AJ310" s="173"/>
      <c r="AK310" s="173"/>
      <c r="AL310" s="173"/>
      <c r="AM310" s="173"/>
      <c r="AN310" s="173"/>
      <c r="AO310" s="173"/>
      <c r="AP310" s="173"/>
      <c r="AQ310" s="173"/>
      <c r="AR310" s="173"/>
      <c r="AS310" s="173"/>
      <c r="AT310" s="173"/>
      <c r="AU310" s="173"/>
      <c r="AV310" s="173"/>
      <c r="AW310" s="173"/>
      <c r="AX310" s="173"/>
      <c r="AY310" s="173"/>
      <c r="AZ310" s="173"/>
      <c r="BA310" s="173"/>
      <c r="BB310" s="173"/>
      <c r="BC310" s="173"/>
      <c r="BD310" s="173"/>
      <c r="BE310" s="173"/>
      <c r="BF310" s="173"/>
      <c r="BG310" s="173"/>
      <c r="BH310" s="173"/>
      <c r="BI310" s="173"/>
      <c r="BJ310" s="173"/>
      <c r="BK310" s="173"/>
      <c r="BL310" s="173"/>
      <c r="BM310" s="173"/>
      <c r="BN310" s="173"/>
      <c r="BO310" s="173"/>
      <c r="BP310" s="173"/>
      <c r="BQ310" s="173"/>
      <c r="BR310" s="173"/>
      <c r="BS310" s="173"/>
      <c r="BT310" s="173"/>
      <c r="BU310" s="173"/>
      <c r="BV310" s="173"/>
      <c r="BW310" s="173"/>
      <c r="BX310" s="173"/>
      <c r="BY310" s="173"/>
      <c r="BZ310" s="173"/>
      <c r="CA310" s="173"/>
      <c r="CB310" s="173"/>
      <c r="CC310" s="173"/>
      <c r="CD310" s="173"/>
      <c r="CE310" s="173"/>
      <c r="CF310" s="173"/>
      <c r="CG310" s="173"/>
      <c r="CH310" s="173"/>
      <c r="CI310" s="173"/>
      <c r="CJ310" s="173"/>
      <c r="CK310" s="173"/>
      <c r="CL310" s="173"/>
      <c r="CM310" s="173"/>
      <c r="CN310" s="173"/>
      <c r="CO310" s="173"/>
      <c r="CP310" s="173"/>
      <c r="CQ310" s="173"/>
      <c r="CR310" s="173"/>
      <c r="CS310" s="173"/>
    </row>
    <row r="311" hidden="1">
      <c r="A311" s="182" t="s">
        <v>1939</v>
      </c>
      <c r="B311" s="179" t="s">
        <v>242</v>
      </c>
      <c r="C311" s="179" t="s">
        <v>1948</v>
      </c>
      <c r="D311" s="70" t="s">
        <v>1949</v>
      </c>
      <c r="E311" s="173"/>
      <c r="F311" s="168"/>
      <c r="G311" s="168"/>
      <c r="H311" s="168" t="s">
        <v>25</v>
      </c>
      <c r="I311" s="168" t="s">
        <v>25</v>
      </c>
      <c r="J311" s="168" t="s">
        <v>25</v>
      </c>
      <c r="K311" s="163" t="str">
        <f>VLOOKUP(C311,'Term Reference Guide'!$C:$C,1,false)</f>
        <v>UO:0000033</v>
      </c>
      <c r="L311" s="173"/>
      <c r="M311" s="173"/>
      <c r="N311" s="173"/>
      <c r="O311" s="173"/>
      <c r="P311" s="173"/>
      <c r="Q311" s="173"/>
      <c r="R311" s="173"/>
      <c r="S311" s="173"/>
      <c r="T311" s="173"/>
      <c r="U311" s="173"/>
      <c r="V311" s="173"/>
      <c r="W311" s="173"/>
      <c r="X311" s="173"/>
      <c r="Y311" s="173"/>
      <c r="Z311" s="173"/>
      <c r="AA311" s="173"/>
      <c r="AB311" s="173"/>
      <c r="AC311" s="173"/>
      <c r="AD311" s="173"/>
      <c r="AE311" s="173"/>
      <c r="AF311" s="173"/>
      <c r="AG311" s="173"/>
      <c r="AH311" s="173"/>
      <c r="AI311" s="173"/>
      <c r="AJ311" s="173"/>
      <c r="AK311" s="173"/>
      <c r="AL311" s="173"/>
      <c r="AM311" s="173"/>
      <c r="AN311" s="173"/>
      <c r="AO311" s="173"/>
      <c r="AP311" s="173"/>
      <c r="AQ311" s="173"/>
      <c r="AR311" s="173"/>
      <c r="AS311" s="173"/>
      <c r="AT311" s="173"/>
      <c r="AU311" s="173"/>
      <c r="AV311" s="173"/>
      <c r="AW311" s="173"/>
      <c r="AX311" s="173"/>
      <c r="AY311" s="173"/>
      <c r="AZ311" s="173"/>
      <c r="BA311" s="173"/>
      <c r="BB311" s="173"/>
      <c r="BC311" s="173"/>
      <c r="BD311" s="173"/>
      <c r="BE311" s="173"/>
      <c r="BF311" s="173"/>
      <c r="BG311" s="173"/>
      <c r="BH311" s="173"/>
      <c r="BI311" s="173"/>
      <c r="BJ311" s="173"/>
      <c r="BK311" s="173"/>
      <c r="BL311" s="173"/>
      <c r="BM311" s="173"/>
      <c r="BN311" s="173"/>
      <c r="BO311" s="173"/>
      <c r="BP311" s="173"/>
      <c r="BQ311" s="173"/>
      <c r="BR311" s="173"/>
      <c r="BS311" s="173"/>
      <c r="BT311" s="173"/>
      <c r="BU311" s="173"/>
      <c r="BV311" s="173"/>
      <c r="BW311" s="173"/>
      <c r="BX311" s="173"/>
      <c r="BY311" s="173"/>
      <c r="BZ311" s="173"/>
      <c r="CA311" s="173"/>
      <c r="CB311" s="173"/>
      <c r="CC311" s="173"/>
      <c r="CD311" s="173"/>
      <c r="CE311" s="173"/>
      <c r="CF311" s="173"/>
      <c r="CG311" s="173"/>
      <c r="CH311" s="173"/>
      <c r="CI311" s="173"/>
      <c r="CJ311" s="173"/>
      <c r="CK311" s="173"/>
      <c r="CL311" s="173"/>
      <c r="CM311" s="173"/>
      <c r="CN311" s="173"/>
      <c r="CO311" s="173"/>
      <c r="CP311" s="173"/>
      <c r="CQ311" s="173"/>
      <c r="CR311" s="173"/>
      <c r="CS311" s="173"/>
    </row>
    <row r="312" hidden="1">
      <c r="A312" s="182" t="s">
        <v>1939</v>
      </c>
      <c r="B312" s="179" t="s">
        <v>1950</v>
      </c>
      <c r="C312" s="179" t="s">
        <v>1951</v>
      </c>
      <c r="D312" s="70" t="s">
        <v>1952</v>
      </c>
      <c r="E312" s="173"/>
      <c r="F312" s="168"/>
      <c r="G312" s="168"/>
      <c r="H312" s="168" t="s">
        <v>25</v>
      </c>
      <c r="I312" s="168" t="s">
        <v>25</v>
      </c>
      <c r="J312" s="168" t="s">
        <v>25</v>
      </c>
      <c r="K312" s="163" t="str">
        <f>VLOOKUP(C312,'Term Reference Guide'!$C:$C,1,false)</f>
        <v>UO:0000034</v>
      </c>
      <c r="L312" s="173"/>
      <c r="M312" s="173"/>
      <c r="N312" s="173"/>
      <c r="O312" s="173"/>
      <c r="P312" s="173"/>
      <c r="Q312" s="173"/>
      <c r="R312" s="173"/>
      <c r="S312" s="173"/>
      <c r="T312" s="173"/>
      <c r="U312" s="173"/>
      <c r="V312" s="173"/>
      <c r="W312" s="173"/>
      <c r="X312" s="173"/>
      <c r="Y312" s="173"/>
      <c r="Z312" s="173"/>
      <c r="AA312" s="173"/>
      <c r="AB312" s="173"/>
      <c r="AC312" s="173"/>
      <c r="AD312" s="173"/>
      <c r="AE312" s="173"/>
      <c r="AF312" s="173"/>
      <c r="AG312" s="173"/>
      <c r="AH312" s="173"/>
      <c r="AI312" s="173"/>
      <c r="AJ312" s="173"/>
      <c r="AK312" s="173"/>
      <c r="AL312" s="173"/>
      <c r="AM312" s="173"/>
      <c r="AN312" s="173"/>
      <c r="AO312" s="173"/>
      <c r="AP312" s="173"/>
      <c r="AQ312" s="173"/>
      <c r="AR312" s="173"/>
      <c r="AS312" s="173"/>
      <c r="AT312" s="173"/>
      <c r="AU312" s="173"/>
      <c r="AV312" s="173"/>
      <c r="AW312" s="173"/>
      <c r="AX312" s="173"/>
      <c r="AY312" s="173"/>
      <c r="AZ312" s="173"/>
      <c r="BA312" s="173"/>
      <c r="BB312" s="173"/>
      <c r="BC312" s="173"/>
      <c r="BD312" s="173"/>
      <c r="BE312" s="173"/>
      <c r="BF312" s="173"/>
      <c r="BG312" s="173"/>
      <c r="BH312" s="173"/>
      <c r="BI312" s="173"/>
      <c r="BJ312" s="173"/>
      <c r="BK312" s="173"/>
      <c r="BL312" s="173"/>
      <c r="BM312" s="173"/>
      <c r="BN312" s="173"/>
      <c r="BO312" s="173"/>
      <c r="BP312" s="173"/>
      <c r="BQ312" s="173"/>
      <c r="BR312" s="173"/>
      <c r="BS312" s="173"/>
      <c r="BT312" s="173"/>
      <c r="BU312" s="173"/>
      <c r="BV312" s="173"/>
      <c r="BW312" s="173"/>
      <c r="BX312" s="173"/>
      <c r="BY312" s="173"/>
      <c r="BZ312" s="173"/>
      <c r="CA312" s="173"/>
      <c r="CB312" s="173"/>
      <c r="CC312" s="173"/>
      <c r="CD312" s="173"/>
      <c r="CE312" s="173"/>
      <c r="CF312" s="173"/>
      <c r="CG312" s="173"/>
      <c r="CH312" s="173"/>
      <c r="CI312" s="173"/>
      <c r="CJ312" s="173"/>
      <c r="CK312" s="173"/>
      <c r="CL312" s="173"/>
      <c r="CM312" s="173"/>
      <c r="CN312" s="173"/>
      <c r="CO312" s="173"/>
      <c r="CP312" s="173"/>
      <c r="CQ312" s="173"/>
      <c r="CR312" s="173"/>
      <c r="CS312" s="173"/>
    </row>
    <row r="313" hidden="1">
      <c r="A313" s="182" t="s">
        <v>1939</v>
      </c>
      <c r="B313" s="179" t="s">
        <v>1953</v>
      </c>
      <c r="C313" s="179" t="s">
        <v>1954</v>
      </c>
      <c r="D313" s="70" t="s">
        <v>1955</v>
      </c>
      <c r="E313" s="173"/>
      <c r="F313" s="168"/>
      <c r="G313" s="168"/>
      <c r="H313" s="168" t="s">
        <v>25</v>
      </c>
      <c r="I313" s="168" t="s">
        <v>25</v>
      </c>
      <c r="J313" s="168" t="s">
        <v>25</v>
      </c>
      <c r="K313" s="163" t="str">
        <f>VLOOKUP(C313,'Term Reference Guide'!$C:$C,1,false)</f>
        <v>UO:0000035</v>
      </c>
      <c r="L313" s="173"/>
      <c r="M313" s="173"/>
      <c r="N313" s="173"/>
      <c r="O313" s="173"/>
      <c r="P313" s="173"/>
      <c r="Q313" s="173"/>
      <c r="R313" s="173"/>
      <c r="S313" s="173"/>
      <c r="T313" s="173"/>
      <c r="U313" s="173"/>
      <c r="V313" s="173"/>
      <c r="W313" s="173"/>
      <c r="X313" s="173"/>
      <c r="Y313" s="173"/>
      <c r="Z313" s="173"/>
      <c r="AA313" s="173"/>
      <c r="AB313" s="173"/>
      <c r="AC313" s="173"/>
      <c r="AD313" s="173"/>
      <c r="AE313" s="173"/>
      <c r="AF313" s="173"/>
      <c r="AG313" s="173"/>
      <c r="AH313" s="173"/>
      <c r="AI313" s="173"/>
      <c r="AJ313" s="173"/>
      <c r="AK313" s="173"/>
      <c r="AL313" s="173"/>
      <c r="AM313" s="173"/>
      <c r="AN313" s="173"/>
      <c r="AO313" s="173"/>
      <c r="AP313" s="173"/>
      <c r="AQ313" s="173"/>
      <c r="AR313" s="173"/>
      <c r="AS313" s="173"/>
      <c r="AT313" s="173"/>
      <c r="AU313" s="173"/>
      <c r="AV313" s="173"/>
      <c r="AW313" s="173"/>
      <c r="AX313" s="173"/>
      <c r="AY313" s="173"/>
      <c r="AZ313" s="173"/>
      <c r="BA313" s="173"/>
      <c r="BB313" s="173"/>
      <c r="BC313" s="173"/>
      <c r="BD313" s="173"/>
      <c r="BE313" s="173"/>
      <c r="BF313" s="173"/>
      <c r="BG313" s="173"/>
      <c r="BH313" s="173"/>
      <c r="BI313" s="173"/>
      <c r="BJ313" s="173"/>
      <c r="BK313" s="173"/>
      <c r="BL313" s="173"/>
      <c r="BM313" s="173"/>
      <c r="BN313" s="173"/>
      <c r="BO313" s="173"/>
      <c r="BP313" s="173"/>
      <c r="BQ313" s="173"/>
      <c r="BR313" s="173"/>
      <c r="BS313" s="173"/>
      <c r="BT313" s="173"/>
      <c r="BU313" s="173"/>
      <c r="BV313" s="173"/>
      <c r="BW313" s="173"/>
      <c r="BX313" s="173"/>
      <c r="BY313" s="173"/>
      <c r="BZ313" s="173"/>
      <c r="CA313" s="173"/>
      <c r="CB313" s="173"/>
      <c r="CC313" s="173"/>
      <c r="CD313" s="173"/>
      <c r="CE313" s="173"/>
      <c r="CF313" s="173"/>
      <c r="CG313" s="173"/>
      <c r="CH313" s="173"/>
      <c r="CI313" s="173"/>
      <c r="CJ313" s="173"/>
      <c r="CK313" s="173"/>
      <c r="CL313" s="173"/>
      <c r="CM313" s="173"/>
      <c r="CN313" s="173"/>
      <c r="CO313" s="173"/>
      <c r="CP313" s="173"/>
      <c r="CQ313" s="173"/>
      <c r="CR313" s="173"/>
      <c r="CS313" s="173"/>
    </row>
    <row r="314" hidden="1">
      <c r="A314" s="182" t="s">
        <v>1939</v>
      </c>
      <c r="B314" s="179" t="s">
        <v>1956</v>
      </c>
      <c r="C314" s="179" t="s">
        <v>1957</v>
      </c>
      <c r="D314" s="70" t="s">
        <v>1958</v>
      </c>
      <c r="E314" s="173"/>
      <c r="F314" s="168"/>
      <c r="G314" s="168"/>
      <c r="H314" s="168" t="s">
        <v>25</v>
      </c>
      <c r="I314" s="168" t="s">
        <v>25</v>
      </c>
      <c r="J314" s="168" t="s">
        <v>25</v>
      </c>
      <c r="K314" s="163" t="str">
        <f>VLOOKUP(C314,'Term Reference Guide'!$C:$C,1,false)</f>
        <v>UO:0000036</v>
      </c>
      <c r="L314" s="173"/>
      <c r="M314" s="173"/>
      <c r="N314" s="173"/>
      <c r="O314" s="173"/>
      <c r="P314" s="173"/>
      <c r="Q314" s="173"/>
      <c r="R314" s="173"/>
      <c r="S314" s="173"/>
      <c r="T314" s="173"/>
      <c r="U314" s="173"/>
      <c r="V314" s="173"/>
      <c r="W314" s="173"/>
      <c r="X314" s="173"/>
      <c r="Y314" s="173"/>
      <c r="Z314" s="173"/>
      <c r="AA314" s="173"/>
      <c r="AB314" s="173"/>
      <c r="AC314" s="173"/>
      <c r="AD314" s="173"/>
      <c r="AE314" s="173"/>
      <c r="AF314" s="173"/>
      <c r="AG314" s="173"/>
      <c r="AH314" s="173"/>
      <c r="AI314" s="173"/>
      <c r="AJ314" s="173"/>
      <c r="AK314" s="173"/>
      <c r="AL314" s="173"/>
      <c r="AM314" s="173"/>
      <c r="AN314" s="173"/>
      <c r="AO314" s="173"/>
      <c r="AP314" s="173"/>
      <c r="AQ314" s="173"/>
      <c r="AR314" s="173"/>
      <c r="AS314" s="173"/>
      <c r="AT314" s="173"/>
      <c r="AU314" s="173"/>
      <c r="AV314" s="173"/>
      <c r="AW314" s="173"/>
      <c r="AX314" s="173"/>
      <c r="AY314" s="173"/>
      <c r="AZ314" s="173"/>
      <c r="BA314" s="173"/>
      <c r="BB314" s="173"/>
      <c r="BC314" s="173"/>
      <c r="BD314" s="173"/>
      <c r="BE314" s="173"/>
      <c r="BF314" s="173"/>
      <c r="BG314" s="173"/>
      <c r="BH314" s="173"/>
      <c r="BI314" s="173"/>
      <c r="BJ314" s="173"/>
      <c r="BK314" s="173"/>
      <c r="BL314" s="173"/>
      <c r="BM314" s="173"/>
      <c r="BN314" s="173"/>
      <c r="BO314" s="173"/>
      <c r="BP314" s="173"/>
      <c r="BQ314" s="173"/>
      <c r="BR314" s="173"/>
      <c r="BS314" s="173"/>
      <c r="BT314" s="173"/>
      <c r="BU314" s="173"/>
      <c r="BV314" s="173"/>
      <c r="BW314" s="173"/>
      <c r="BX314" s="173"/>
      <c r="BY314" s="173"/>
      <c r="BZ314" s="173"/>
      <c r="CA314" s="173"/>
      <c r="CB314" s="173"/>
      <c r="CC314" s="173"/>
      <c r="CD314" s="173"/>
      <c r="CE314" s="173"/>
      <c r="CF314" s="173"/>
      <c r="CG314" s="173"/>
      <c r="CH314" s="173"/>
      <c r="CI314" s="173"/>
      <c r="CJ314" s="173"/>
      <c r="CK314" s="173"/>
      <c r="CL314" s="173"/>
      <c r="CM314" s="173"/>
      <c r="CN314" s="173"/>
      <c r="CO314" s="173"/>
      <c r="CP314" s="173"/>
      <c r="CQ314" s="173"/>
      <c r="CR314" s="173"/>
      <c r="CS314" s="173"/>
    </row>
    <row r="315">
      <c r="A315" s="173"/>
      <c r="B315" s="173"/>
      <c r="C315" s="173"/>
      <c r="D315" s="141"/>
      <c r="E315" s="173"/>
      <c r="F315" s="173"/>
      <c r="G315" s="173"/>
      <c r="H315" s="173"/>
      <c r="I315" s="173"/>
      <c r="J315" s="141"/>
      <c r="K315" s="163" t="str">
        <f>VLOOKUP(C315,'Term Reference Guide'!$C:$C,1,false)</f>
        <v>#N/A</v>
      </c>
      <c r="L315" s="173"/>
      <c r="M315" s="173"/>
      <c r="N315" s="173"/>
      <c r="O315" s="173"/>
      <c r="P315" s="173"/>
      <c r="Q315" s="173"/>
      <c r="R315" s="173"/>
      <c r="S315" s="173"/>
      <c r="T315" s="173"/>
      <c r="U315" s="173"/>
      <c r="V315" s="173"/>
      <c r="W315" s="173"/>
      <c r="X315" s="173"/>
      <c r="Y315" s="173"/>
      <c r="Z315" s="173"/>
      <c r="AA315" s="173"/>
      <c r="AB315" s="173"/>
      <c r="AC315" s="173"/>
      <c r="AD315" s="173"/>
      <c r="AE315" s="173"/>
      <c r="AF315" s="173"/>
      <c r="AG315" s="173"/>
      <c r="AH315" s="173"/>
      <c r="AI315" s="173"/>
      <c r="AJ315" s="173"/>
      <c r="AK315" s="173"/>
      <c r="AL315" s="173"/>
      <c r="AM315" s="173"/>
      <c r="AN315" s="173"/>
      <c r="AO315" s="173"/>
      <c r="AP315" s="173"/>
      <c r="AQ315" s="173"/>
      <c r="AR315" s="173"/>
      <c r="AS315" s="173"/>
      <c r="AT315" s="173"/>
      <c r="AU315" s="173"/>
      <c r="AV315" s="173"/>
      <c r="AW315" s="173"/>
      <c r="AX315" s="173"/>
      <c r="AY315" s="173"/>
      <c r="AZ315" s="173"/>
      <c r="BA315" s="173"/>
      <c r="BB315" s="173"/>
      <c r="BC315" s="173"/>
      <c r="BD315" s="173"/>
      <c r="BE315" s="173"/>
      <c r="BF315" s="173"/>
      <c r="BG315" s="173"/>
      <c r="BH315" s="173"/>
      <c r="BI315" s="173"/>
      <c r="BJ315" s="173"/>
      <c r="BK315" s="173"/>
      <c r="BL315" s="173"/>
      <c r="BM315" s="173"/>
      <c r="BN315" s="173"/>
      <c r="BO315" s="173"/>
      <c r="BP315" s="173"/>
      <c r="BQ315" s="173"/>
      <c r="BR315" s="173"/>
      <c r="BS315" s="173"/>
      <c r="BT315" s="173"/>
      <c r="BU315" s="173"/>
      <c r="BV315" s="173"/>
      <c r="BW315" s="173"/>
      <c r="BX315" s="173"/>
      <c r="BY315" s="173"/>
      <c r="BZ315" s="173"/>
      <c r="CA315" s="173"/>
      <c r="CB315" s="173"/>
      <c r="CC315" s="173"/>
      <c r="CD315" s="173"/>
      <c r="CE315" s="173"/>
      <c r="CF315" s="173"/>
      <c r="CG315" s="173"/>
      <c r="CH315" s="173"/>
      <c r="CI315" s="173"/>
      <c r="CJ315" s="173"/>
      <c r="CK315" s="173"/>
      <c r="CL315" s="173"/>
      <c r="CM315" s="173"/>
      <c r="CN315" s="173"/>
      <c r="CO315" s="173"/>
      <c r="CP315" s="173"/>
      <c r="CQ315" s="173"/>
      <c r="CR315" s="173"/>
      <c r="CS315" s="173"/>
    </row>
    <row r="316">
      <c r="A316" s="170" t="s">
        <v>208</v>
      </c>
      <c r="B316" s="156"/>
      <c r="C316" s="156"/>
      <c r="D316" s="139"/>
      <c r="E316" s="156"/>
      <c r="F316" s="156"/>
      <c r="G316" s="156"/>
      <c r="H316" s="164"/>
      <c r="I316" s="164"/>
      <c r="J316" s="171"/>
      <c r="K316" s="163" t="str">
        <f>VLOOKUP(C316,'Term Reference Guide'!$C:$C,1,false)</f>
        <v>#N/A</v>
      </c>
      <c r="L316" s="163"/>
      <c r="M316" s="163"/>
      <c r="N316" s="163"/>
      <c r="O316" s="163"/>
      <c r="P316" s="163"/>
      <c r="Q316" s="163"/>
      <c r="R316" s="163"/>
      <c r="S316" s="163"/>
      <c r="T316" s="163"/>
      <c r="U316" s="163"/>
      <c r="V316" s="163"/>
      <c r="W316" s="163"/>
      <c r="X316" s="163"/>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c r="BP316" s="41"/>
      <c r="BQ316" s="41"/>
      <c r="BR316" s="41"/>
      <c r="BS316" s="41"/>
      <c r="BT316" s="41"/>
      <c r="BU316" s="41"/>
      <c r="BV316" s="41"/>
      <c r="BW316" s="41"/>
      <c r="BX316" s="41"/>
      <c r="BY316" s="41"/>
      <c r="BZ316" s="41"/>
      <c r="CA316" s="41"/>
      <c r="CB316" s="41"/>
      <c r="CC316" s="41"/>
      <c r="CD316" s="41"/>
      <c r="CE316" s="41"/>
      <c r="CF316" s="41"/>
      <c r="CG316" s="41"/>
      <c r="CH316" s="41"/>
      <c r="CI316" s="41"/>
      <c r="CJ316" s="41"/>
      <c r="CK316" s="41"/>
      <c r="CL316" s="41"/>
      <c r="CM316" s="41"/>
      <c r="CN316" s="41"/>
      <c r="CO316" s="41"/>
      <c r="CP316" s="41"/>
      <c r="CQ316" s="41"/>
      <c r="CR316" s="41"/>
      <c r="CS316" s="41"/>
    </row>
    <row r="317" hidden="1">
      <c r="A317" s="59" t="s">
        <v>208</v>
      </c>
      <c r="B317" s="179" t="s">
        <v>212</v>
      </c>
      <c r="C317" s="179" t="s">
        <v>1959</v>
      </c>
      <c r="D317" s="70" t="s">
        <v>1960</v>
      </c>
      <c r="E317" s="173"/>
      <c r="F317" s="168"/>
      <c r="G317" s="168"/>
      <c r="H317" s="168" t="s">
        <v>25</v>
      </c>
      <c r="I317" s="168" t="s">
        <v>25</v>
      </c>
      <c r="J317" s="168" t="s">
        <v>25</v>
      </c>
      <c r="K317" s="163" t="str">
        <f>VLOOKUP(C317,'Term Reference Guide'!$C:$C,1,false)</f>
        <v>ENVO:01001442</v>
      </c>
      <c r="L317" s="173"/>
      <c r="M317" s="173"/>
      <c r="N317" s="173"/>
      <c r="O317" s="173"/>
      <c r="P317" s="173"/>
      <c r="Q317" s="173"/>
      <c r="R317" s="173"/>
      <c r="S317" s="173"/>
      <c r="T317" s="173"/>
      <c r="U317" s="173"/>
      <c r="V317" s="173"/>
      <c r="W317" s="173"/>
      <c r="X317" s="173"/>
      <c r="Y317" s="173"/>
      <c r="Z317" s="173"/>
      <c r="AA317" s="173"/>
      <c r="AB317" s="173"/>
      <c r="AC317" s="173"/>
      <c r="AD317" s="173"/>
      <c r="AE317" s="173"/>
      <c r="AF317" s="173"/>
      <c r="AG317" s="173"/>
      <c r="AH317" s="173"/>
      <c r="AI317" s="173"/>
      <c r="AJ317" s="173"/>
      <c r="AK317" s="173"/>
      <c r="AL317" s="173"/>
      <c r="AM317" s="173"/>
      <c r="AN317" s="173"/>
      <c r="AO317" s="173"/>
      <c r="AP317" s="173"/>
      <c r="AQ317" s="173"/>
      <c r="AR317" s="173"/>
      <c r="AS317" s="173"/>
      <c r="AT317" s="173"/>
      <c r="AU317" s="173"/>
      <c r="AV317" s="173"/>
      <c r="AW317" s="173"/>
      <c r="AX317" s="173"/>
      <c r="AY317" s="173"/>
      <c r="AZ317" s="173"/>
      <c r="BA317" s="173"/>
      <c r="BB317" s="173"/>
      <c r="BC317" s="173"/>
      <c r="BD317" s="173"/>
      <c r="BE317" s="173"/>
      <c r="BF317" s="173"/>
      <c r="BG317" s="173"/>
      <c r="BH317" s="173"/>
      <c r="BI317" s="173"/>
      <c r="BJ317" s="173"/>
      <c r="BK317" s="173"/>
      <c r="BL317" s="173"/>
      <c r="BM317" s="173"/>
      <c r="BN317" s="173"/>
      <c r="BO317" s="173"/>
      <c r="BP317" s="173"/>
      <c r="BQ317" s="173"/>
      <c r="BR317" s="173"/>
      <c r="BS317" s="173"/>
      <c r="BT317" s="173"/>
      <c r="BU317" s="173"/>
      <c r="BV317" s="173"/>
      <c r="BW317" s="173"/>
      <c r="BX317" s="173"/>
      <c r="BY317" s="173"/>
      <c r="BZ317" s="173"/>
      <c r="CA317" s="173"/>
      <c r="CB317" s="173"/>
      <c r="CC317" s="173"/>
      <c r="CD317" s="173"/>
      <c r="CE317" s="173"/>
      <c r="CF317" s="173"/>
      <c r="CG317" s="173"/>
      <c r="CH317" s="173"/>
      <c r="CI317" s="173"/>
      <c r="CJ317" s="173"/>
      <c r="CK317" s="173"/>
      <c r="CL317" s="173"/>
      <c r="CM317" s="173"/>
      <c r="CN317" s="173"/>
      <c r="CO317" s="173"/>
      <c r="CP317" s="173"/>
      <c r="CQ317" s="173"/>
      <c r="CR317" s="173"/>
      <c r="CS317" s="173"/>
    </row>
    <row r="318" hidden="1">
      <c r="A318" s="59" t="s">
        <v>208</v>
      </c>
      <c r="B318" s="179" t="s">
        <v>1961</v>
      </c>
      <c r="C318" s="179" t="s">
        <v>1962</v>
      </c>
      <c r="D318" s="70" t="s">
        <v>1963</v>
      </c>
      <c r="E318" s="173"/>
      <c r="F318" s="168"/>
      <c r="G318" s="168"/>
      <c r="H318" s="168" t="s">
        <v>25</v>
      </c>
      <c r="I318" s="168" t="s">
        <v>25</v>
      </c>
      <c r="J318" s="168" t="s">
        <v>25</v>
      </c>
      <c r="K318" s="163" t="str">
        <f>VLOOKUP(C318,'Term Reference Guide'!$C:$C,1,false)</f>
        <v>ENVO:01001248</v>
      </c>
      <c r="L318" s="173"/>
      <c r="M318" s="173"/>
      <c r="N318" s="173"/>
      <c r="O318" s="173"/>
      <c r="P318" s="173"/>
      <c r="Q318" s="173"/>
      <c r="R318" s="173"/>
      <c r="S318" s="173"/>
      <c r="T318" s="173"/>
      <c r="U318" s="173"/>
      <c r="V318" s="173"/>
      <c r="W318" s="173"/>
      <c r="X318" s="173"/>
      <c r="Y318" s="173"/>
      <c r="Z318" s="173"/>
      <c r="AA318" s="173"/>
      <c r="AB318" s="173"/>
      <c r="AC318" s="173"/>
      <c r="AD318" s="173"/>
      <c r="AE318" s="173"/>
      <c r="AF318" s="173"/>
      <c r="AG318" s="173"/>
      <c r="AH318" s="173"/>
      <c r="AI318" s="173"/>
      <c r="AJ318" s="173"/>
      <c r="AK318" s="173"/>
      <c r="AL318" s="173"/>
      <c r="AM318" s="173"/>
      <c r="AN318" s="173"/>
      <c r="AO318" s="173"/>
      <c r="AP318" s="173"/>
      <c r="AQ318" s="173"/>
      <c r="AR318" s="173"/>
      <c r="AS318" s="173"/>
      <c r="AT318" s="173"/>
      <c r="AU318" s="173"/>
      <c r="AV318" s="173"/>
      <c r="AW318" s="173"/>
      <c r="AX318" s="173"/>
      <c r="AY318" s="173"/>
      <c r="AZ318" s="173"/>
      <c r="BA318" s="173"/>
      <c r="BB318" s="173"/>
      <c r="BC318" s="173"/>
      <c r="BD318" s="173"/>
      <c r="BE318" s="173"/>
      <c r="BF318" s="173"/>
      <c r="BG318" s="173"/>
      <c r="BH318" s="173"/>
      <c r="BI318" s="173"/>
      <c r="BJ318" s="173"/>
      <c r="BK318" s="173"/>
      <c r="BL318" s="173"/>
      <c r="BM318" s="173"/>
      <c r="BN318" s="173"/>
      <c r="BO318" s="173"/>
      <c r="BP318" s="173"/>
      <c r="BQ318" s="173"/>
      <c r="BR318" s="173"/>
      <c r="BS318" s="173"/>
      <c r="BT318" s="173"/>
      <c r="BU318" s="173"/>
      <c r="BV318" s="173"/>
      <c r="BW318" s="173"/>
      <c r="BX318" s="173"/>
      <c r="BY318" s="173"/>
      <c r="BZ318" s="173"/>
      <c r="CA318" s="173"/>
      <c r="CB318" s="173"/>
      <c r="CC318" s="173"/>
      <c r="CD318" s="173"/>
      <c r="CE318" s="173"/>
      <c r="CF318" s="173"/>
      <c r="CG318" s="173"/>
      <c r="CH318" s="173"/>
      <c r="CI318" s="173"/>
      <c r="CJ318" s="173"/>
      <c r="CK318" s="173"/>
      <c r="CL318" s="173"/>
      <c r="CM318" s="173"/>
      <c r="CN318" s="173"/>
      <c r="CO318" s="173"/>
      <c r="CP318" s="173"/>
      <c r="CQ318" s="173"/>
      <c r="CR318" s="173"/>
      <c r="CS318" s="173"/>
    </row>
    <row r="319" hidden="1">
      <c r="A319" s="59" t="s">
        <v>208</v>
      </c>
      <c r="B319" s="179" t="s">
        <v>1964</v>
      </c>
      <c r="C319" s="179" t="s">
        <v>1965</v>
      </c>
      <c r="D319" s="70" t="s">
        <v>1966</v>
      </c>
      <c r="E319" s="173"/>
      <c r="F319" s="168"/>
      <c r="G319" s="168"/>
      <c r="H319" s="168" t="s">
        <v>25</v>
      </c>
      <c r="I319" s="168" t="s">
        <v>25</v>
      </c>
      <c r="J319" s="168" t="s">
        <v>25</v>
      </c>
      <c r="K319" s="163" t="str">
        <f>VLOOKUP(C319,'Term Reference Guide'!$C:$C,1,false)</f>
        <v>ENVO:01001450</v>
      </c>
      <c r="L319" s="173"/>
      <c r="M319" s="173"/>
      <c r="N319" s="173"/>
      <c r="O319" s="173"/>
      <c r="P319" s="173"/>
      <c r="Q319" s="173"/>
      <c r="R319" s="173"/>
      <c r="S319" s="173"/>
      <c r="T319" s="173"/>
      <c r="U319" s="173"/>
      <c r="V319" s="173"/>
      <c r="W319" s="173"/>
      <c r="X319" s="173"/>
      <c r="Y319" s="173"/>
      <c r="Z319" s="173"/>
      <c r="AA319" s="173"/>
      <c r="AB319" s="173"/>
      <c r="AC319" s="173"/>
      <c r="AD319" s="173"/>
      <c r="AE319" s="173"/>
      <c r="AF319" s="173"/>
      <c r="AG319" s="173"/>
      <c r="AH319" s="173"/>
      <c r="AI319" s="173"/>
      <c r="AJ319" s="173"/>
      <c r="AK319" s="173"/>
      <c r="AL319" s="173"/>
      <c r="AM319" s="173"/>
      <c r="AN319" s="173"/>
      <c r="AO319" s="173"/>
      <c r="AP319" s="173"/>
      <c r="AQ319" s="173"/>
      <c r="AR319" s="173"/>
      <c r="AS319" s="173"/>
      <c r="AT319" s="173"/>
      <c r="AU319" s="173"/>
      <c r="AV319" s="173"/>
      <c r="AW319" s="173"/>
      <c r="AX319" s="173"/>
      <c r="AY319" s="173"/>
      <c r="AZ319" s="173"/>
      <c r="BA319" s="173"/>
      <c r="BB319" s="173"/>
      <c r="BC319" s="173"/>
      <c r="BD319" s="173"/>
      <c r="BE319" s="173"/>
      <c r="BF319" s="173"/>
      <c r="BG319" s="173"/>
      <c r="BH319" s="173"/>
      <c r="BI319" s="173"/>
      <c r="BJ319" s="173"/>
      <c r="BK319" s="173"/>
      <c r="BL319" s="173"/>
      <c r="BM319" s="173"/>
      <c r="BN319" s="173"/>
      <c r="BO319" s="173"/>
      <c r="BP319" s="173"/>
      <c r="BQ319" s="173"/>
      <c r="BR319" s="173"/>
      <c r="BS319" s="173"/>
      <c r="BT319" s="173"/>
      <c r="BU319" s="173"/>
      <c r="BV319" s="173"/>
      <c r="BW319" s="173"/>
      <c r="BX319" s="173"/>
      <c r="BY319" s="173"/>
      <c r="BZ319" s="173"/>
      <c r="CA319" s="173"/>
      <c r="CB319" s="173"/>
      <c r="CC319" s="173"/>
      <c r="CD319" s="173"/>
      <c r="CE319" s="173"/>
      <c r="CF319" s="173"/>
      <c r="CG319" s="173"/>
      <c r="CH319" s="173"/>
      <c r="CI319" s="173"/>
      <c r="CJ319" s="173"/>
      <c r="CK319" s="173"/>
      <c r="CL319" s="173"/>
      <c r="CM319" s="173"/>
      <c r="CN319" s="173"/>
      <c r="CO319" s="173"/>
      <c r="CP319" s="173"/>
      <c r="CQ319" s="173"/>
      <c r="CR319" s="173"/>
      <c r="CS319" s="173"/>
    </row>
    <row r="320" hidden="1">
      <c r="A320" s="59" t="s">
        <v>208</v>
      </c>
      <c r="B320" s="179" t="s">
        <v>1967</v>
      </c>
      <c r="C320" s="179" t="s">
        <v>1968</v>
      </c>
      <c r="D320" s="70" t="s">
        <v>1969</v>
      </c>
      <c r="E320" s="173"/>
      <c r="F320" s="168"/>
      <c r="G320" s="168"/>
      <c r="H320" s="168" t="s">
        <v>25</v>
      </c>
      <c r="I320" s="168" t="s">
        <v>25</v>
      </c>
      <c r="J320" s="168" t="s">
        <v>25</v>
      </c>
      <c r="K320" s="163" t="str">
        <f>VLOOKUP(C320,'Term Reference Guide'!$C:$C,1,false)</f>
        <v>NCIT:C16205</v>
      </c>
      <c r="L320" s="173"/>
      <c r="M320" s="173"/>
      <c r="N320" s="173"/>
      <c r="O320" s="173"/>
      <c r="P320" s="173"/>
      <c r="Q320" s="173"/>
      <c r="R320" s="173"/>
      <c r="S320" s="173"/>
      <c r="T320" s="173"/>
      <c r="U320" s="173"/>
      <c r="V320" s="173"/>
      <c r="W320" s="173"/>
      <c r="X320" s="173"/>
      <c r="Y320" s="173"/>
      <c r="Z320" s="173"/>
      <c r="AA320" s="173"/>
      <c r="AB320" s="173"/>
      <c r="AC320" s="173"/>
      <c r="AD320" s="173"/>
      <c r="AE320" s="173"/>
      <c r="AF320" s="173"/>
      <c r="AG320" s="173"/>
      <c r="AH320" s="173"/>
      <c r="AI320" s="173"/>
      <c r="AJ320" s="173"/>
      <c r="AK320" s="173"/>
      <c r="AL320" s="173"/>
      <c r="AM320" s="173"/>
      <c r="AN320" s="173"/>
      <c r="AO320" s="173"/>
      <c r="AP320" s="173"/>
      <c r="AQ320" s="173"/>
      <c r="AR320" s="173"/>
      <c r="AS320" s="173"/>
      <c r="AT320" s="173"/>
      <c r="AU320" s="173"/>
      <c r="AV320" s="173"/>
      <c r="AW320" s="173"/>
      <c r="AX320" s="173"/>
      <c r="AY320" s="173"/>
      <c r="AZ320" s="173"/>
      <c r="BA320" s="173"/>
      <c r="BB320" s="173"/>
      <c r="BC320" s="173"/>
      <c r="BD320" s="173"/>
      <c r="BE320" s="173"/>
      <c r="BF320" s="173"/>
      <c r="BG320" s="173"/>
      <c r="BH320" s="173"/>
      <c r="BI320" s="173"/>
      <c r="BJ320" s="173"/>
      <c r="BK320" s="173"/>
      <c r="BL320" s="173"/>
      <c r="BM320" s="173"/>
      <c r="BN320" s="173"/>
      <c r="BO320" s="173"/>
      <c r="BP320" s="173"/>
      <c r="BQ320" s="173"/>
      <c r="BR320" s="173"/>
      <c r="BS320" s="173"/>
      <c r="BT320" s="173"/>
      <c r="BU320" s="173"/>
      <c r="BV320" s="173"/>
      <c r="BW320" s="173"/>
      <c r="BX320" s="173"/>
      <c r="BY320" s="173"/>
      <c r="BZ320" s="173"/>
      <c r="CA320" s="173"/>
      <c r="CB320" s="173"/>
      <c r="CC320" s="173"/>
      <c r="CD320" s="173"/>
      <c r="CE320" s="173"/>
      <c r="CF320" s="173"/>
      <c r="CG320" s="173"/>
      <c r="CH320" s="173"/>
      <c r="CI320" s="173"/>
      <c r="CJ320" s="173"/>
      <c r="CK320" s="173"/>
      <c r="CL320" s="173"/>
      <c r="CM320" s="173"/>
      <c r="CN320" s="173"/>
      <c r="CO320" s="173"/>
      <c r="CP320" s="173"/>
      <c r="CQ320" s="173"/>
      <c r="CR320" s="173"/>
      <c r="CS320" s="173"/>
    </row>
    <row r="321" hidden="1">
      <c r="A321" s="59" t="s">
        <v>208</v>
      </c>
      <c r="B321" s="179" t="s">
        <v>1970</v>
      </c>
      <c r="C321" s="179" t="s">
        <v>1971</v>
      </c>
      <c r="D321" s="70" t="s">
        <v>1972</v>
      </c>
      <c r="E321" s="173"/>
      <c r="F321" s="168"/>
      <c r="G321" s="168"/>
      <c r="H321" s="168" t="s">
        <v>25</v>
      </c>
      <c r="I321" s="168" t="s">
        <v>25</v>
      </c>
      <c r="J321" s="168" t="s">
        <v>25</v>
      </c>
      <c r="K321" s="163" t="str">
        <f>VLOOKUP(C321,'Term Reference Guide'!$C:$C,1,false)</f>
        <v>ENVO:06105300</v>
      </c>
      <c r="L321" s="173"/>
      <c r="M321" s="173"/>
      <c r="N321" s="173"/>
      <c r="O321" s="173"/>
      <c r="P321" s="173"/>
      <c r="Q321" s="173"/>
      <c r="R321" s="173"/>
      <c r="S321" s="173"/>
      <c r="T321" s="173"/>
      <c r="U321" s="173"/>
      <c r="V321" s="173"/>
      <c r="W321" s="173"/>
      <c r="X321" s="173"/>
      <c r="Y321" s="173"/>
      <c r="Z321" s="173"/>
      <c r="AA321" s="173"/>
      <c r="AB321" s="173"/>
      <c r="AC321" s="173"/>
      <c r="AD321" s="173"/>
      <c r="AE321" s="173"/>
      <c r="AF321" s="173"/>
      <c r="AG321" s="173"/>
      <c r="AH321" s="173"/>
      <c r="AI321" s="173"/>
      <c r="AJ321" s="173"/>
      <c r="AK321" s="173"/>
      <c r="AL321" s="173"/>
      <c r="AM321" s="173"/>
      <c r="AN321" s="173"/>
      <c r="AO321" s="173"/>
      <c r="AP321" s="173"/>
      <c r="AQ321" s="173"/>
      <c r="AR321" s="173"/>
      <c r="AS321" s="173"/>
      <c r="AT321" s="173"/>
      <c r="AU321" s="173"/>
      <c r="AV321" s="173"/>
      <c r="AW321" s="173"/>
      <c r="AX321" s="173"/>
      <c r="AY321" s="173"/>
      <c r="AZ321" s="173"/>
      <c r="BA321" s="173"/>
      <c r="BB321" s="173"/>
      <c r="BC321" s="173"/>
      <c r="BD321" s="173"/>
      <c r="BE321" s="173"/>
      <c r="BF321" s="173"/>
      <c r="BG321" s="173"/>
      <c r="BH321" s="173"/>
      <c r="BI321" s="173"/>
      <c r="BJ321" s="173"/>
      <c r="BK321" s="173"/>
      <c r="BL321" s="173"/>
      <c r="BM321" s="173"/>
      <c r="BN321" s="173"/>
      <c r="BO321" s="173"/>
      <c r="BP321" s="173"/>
      <c r="BQ321" s="173"/>
      <c r="BR321" s="173"/>
      <c r="BS321" s="173"/>
      <c r="BT321" s="173"/>
      <c r="BU321" s="173"/>
      <c r="BV321" s="173"/>
      <c r="BW321" s="173"/>
      <c r="BX321" s="173"/>
      <c r="BY321" s="173"/>
      <c r="BZ321" s="173"/>
      <c r="CA321" s="173"/>
      <c r="CB321" s="173"/>
      <c r="CC321" s="173"/>
      <c r="CD321" s="173"/>
      <c r="CE321" s="173"/>
      <c r="CF321" s="173"/>
      <c r="CG321" s="173"/>
      <c r="CH321" s="173"/>
      <c r="CI321" s="173"/>
      <c r="CJ321" s="173"/>
      <c r="CK321" s="173"/>
      <c r="CL321" s="173"/>
      <c r="CM321" s="173"/>
      <c r="CN321" s="173"/>
      <c r="CO321" s="173"/>
      <c r="CP321" s="173"/>
      <c r="CQ321" s="173"/>
      <c r="CR321" s="173"/>
      <c r="CS321" s="173"/>
    </row>
    <row r="322" hidden="1">
      <c r="A322" s="59" t="s">
        <v>208</v>
      </c>
      <c r="B322" s="144" t="s">
        <v>1973</v>
      </c>
      <c r="C322" s="38" t="s">
        <v>1974</v>
      </c>
      <c r="K322" s="163" t="str">
        <f>VLOOKUP(C322,'Term Reference Guide'!$C:$C,1,false)</f>
        <v>GENEPIO:0101198</v>
      </c>
    </row>
    <row r="323">
      <c r="A323" s="59" t="s">
        <v>208</v>
      </c>
      <c r="B323" s="59" t="s">
        <v>1975</v>
      </c>
      <c r="C323" s="180" t="s">
        <v>1062</v>
      </c>
      <c r="D323" s="33" t="s">
        <v>1976</v>
      </c>
      <c r="E323" s="41"/>
      <c r="F323" s="168"/>
      <c r="G323" s="168"/>
      <c r="H323" s="168" t="s">
        <v>25</v>
      </c>
      <c r="I323" s="168" t="s">
        <v>25</v>
      </c>
      <c r="J323" s="168" t="s">
        <v>25</v>
      </c>
      <c r="K323" s="163" t="str">
        <f>VLOOKUP(C323,'Term Reference Guide'!$C:$C,1,false)</f>
        <v>#N/A</v>
      </c>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c r="BP323" s="41"/>
      <c r="BQ323" s="41"/>
      <c r="BR323" s="41"/>
      <c r="BS323" s="41"/>
      <c r="BT323" s="41"/>
      <c r="BU323" s="41"/>
      <c r="BV323" s="41"/>
      <c r="BW323" s="41"/>
      <c r="BX323" s="41"/>
      <c r="BY323" s="41"/>
      <c r="BZ323" s="41"/>
      <c r="CA323" s="41"/>
      <c r="CB323" s="41"/>
      <c r="CC323" s="41"/>
      <c r="CD323" s="41"/>
      <c r="CE323" s="41"/>
      <c r="CF323" s="41"/>
      <c r="CG323" s="41"/>
      <c r="CH323" s="41"/>
      <c r="CI323" s="41"/>
      <c r="CJ323" s="41"/>
      <c r="CK323" s="41"/>
      <c r="CL323" s="41"/>
      <c r="CM323" s="41"/>
      <c r="CN323" s="41"/>
      <c r="CO323" s="41"/>
      <c r="CP323" s="41"/>
      <c r="CQ323" s="41"/>
      <c r="CR323" s="41"/>
      <c r="CS323" s="41"/>
    </row>
    <row r="324">
      <c r="A324" s="59" t="s">
        <v>208</v>
      </c>
      <c r="B324" s="59" t="s">
        <v>1977</v>
      </c>
      <c r="C324" s="180" t="s">
        <v>1065</v>
      </c>
      <c r="D324" s="33" t="s">
        <v>1978</v>
      </c>
      <c r="E324" s="41"/>
      <c r="F324" s="168"/>
      <c r="G324" s="168"/>
      <c r="H324" s="168" t="s">
        <v>25</v>
      </c>
      <c r="I324" s="168" t="s">
        <v>25</v>
      </c>
      <c r="J324" s="168" t="s">
        <v>25</v>
      </c>
      <c r="K324" s="163" t="str">
        <f>VLOOKUP(C324,'Term Reference Guide'!$C:$C,1,false)</f>
        <v>#N/A</v>
      </c>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c r="BP324" s="41"/>
      <c r="BQ324" s="41"/>
      <c r="BR324" s="41"/>
      <c r="BS324" s="41"/>
      <c r="BT324" s="41"/>
      <c r="BU324" s="41"/>
      <c r="BV324" s="41"/>
      <c r="BW324" s="41"/>
      <c r="BX324" s="41"/>
      <c r="BY324" s="41"/>
      <c r="BZ324" s="41"/>
      <c r="CA324" s="41"/>
      <c r="CB324" s="41"/>
      <c r="CC324" s="41"/>
      <c r="CD324" s="41"/>
      <c r="CE324" s="41"/>
      <c r="CF324" s="41"/>
      <c r="CG324" s="41"/>
      <c r="CH324" s="41"/>
      <c r="CI324" s="41"/>
      <c r="CJ324" s="41"/>
      <c r="CK324" s="41"/>
      <c r="CL324" s="41"/>
      <c r="CM324" s="41"/>
      <c r="CN324" s="41"/>
      <c r="CO324" s="41"/>
      <c r="CP324" s="41"/>
      <c r="CQ324" s="41"/>
      <c r="CR324" s="41"/>
      <c r="CS324" s="41"/>
    </row>
    <row r="325" hidden="1">
      <c r="A325" s="59" t="s">
        <v>208</v>
      </c>
      <c r="B325" s="179" t="s">
        <v>1979</v>
      </c>
      <c r="C325" s="179" t="s">
        <v>1980</v>
      </c>
      <c r="D325" s="141"/>
      <c r="E325" s="173"/>
      <c r="F325" s="173"/>
      <c r="G325" s="173"/>
      <c r="H325" s="173"/>
      <c r="I325" s="173"/>
      <c r="J325" s="141"/>
      <c r="K325" s="163" t="str">
        <f>VLOOKUP(C325,'Term Reference Guide'!$C:$C,1,false)</f>
        <v>GENEPIO:0101199</v>
      </c>
      <c r="L325" s="173"/>
      <c r="M325" s="173"/>
      <c r="N325" s="173"/>
      <c r="O325" s="173"/>
      <c r="P325" s="173"/>
      <c r="Q325" s="173"/>
      <c r="R325" s="173"/>
      <c r="S325" s="173"/>
      <c r="T325" s="173"/>
      <c r="U325" s="173"/>
      <c r="V325" s="173"/>
      <c r="W325" s="173"/>
      <c r="X325" s="173"/>
      <c r="Y325" s="173"/>
      <c r="Z325" s="173"/>
      <c r="AA325" s="173"/>
      <c r="AB325" s="173"/>
      <c r="AC325" s="173"/>
      <c r="AD325" s="173"/>
      <c r="AE325" s="173"/>
      <c r="AF325" s="173"/>
      <c r="AG325" s="173"/>
      <c r="AH325" s="173"/>
      <c r="AI325" s="173"/>
      <c r="AJ325" s="173"/>
      <c r="AK325" s="173"/>
      <c r="AL325" s="173"/>
      <c r="AM325" s="173"/>
      <c r="AN325" s="173"/>
      <c r="AO325" s="173"/>
      <c r="AP325" s="173"/>
      <c r="AQ325" s="173"/>
      <c r="AR325" s="173"/>
      <c r="AS325" s="173"/>
      <c r="AT325" s="173"/>
      <c r="AU325" s="173"/>
      <c r="AV325" s="173"/>
      <c r="AW325" s="173"/>
      <c r="AX325" s="173"/>
      <c r="AY325" s="173"/>
      <c r="AZ325" s="173"/>
      <c r="BA325" s="173"/>
      <c r="BB325" s="173"/>
      <c r="BC325" s="173"/>
      <c r="BD325" s="173"/>
      <c r="BE325" s="173"/>
      <c r="BF325" s="173"/>
      <c r="BG325" s="173"/>
      <c r="BH325" s="173"/>
      <c r="BI325" s="173"/>
      <c r="BJ325" s="173"/>
      <c r="BK325" s="173"/>
      <c r="BL325" s="173"/>
      <c r="BM325" s="173"/>
      <c r="BN325" s="173"/>
      <c r="BO325" s="173"/>
      <c r="BP325" s="173"/>
      <c r="BQ325" s="173"/>
      <c r="BR325" s="173"/>
      <c r="BS325" s="173"/>
      <c r="BT325" s="173"/>
      <c r="BU325" s="173"/>
      <c r="BV325" s="173"/>
      <c r="BW325" s="173"/>
      <c r="BX325" s="173"/>
      <c r="BY325" s="173"/>
      <c r="BZ325" s="173"/>
      <c r="CA325" s="173"/>
      <c r="CB325" s="173"/>
      <c r="CC325" s="173"/>
      <c r="CD325" s="173"/>
      <c r="CE325" s="173"/>
      <c r="CF325" s="173"/>
      <c r="CG325" s="173"/>
      <c r="CH325" s="173"/>
      <c r="CI325" s="173"/>
      <c r="CJ325" s="173"/>
      <c r="CK325" s="173"/>
      <c r="CL325" s="173"/>
      <c r="CM325" s="173"/>
      <c r="CN325" s="173"/>
      <c r="CO325" s="173"/>
      <c r="CP325" s="173"/>
      <c r="CQ325" s="173"/>
      <c r="CR325" s="173"/>
      <c r="CS325" s="173"/>
    </row>
    <row r="326" hidden="1">
      <c r="A326" s="59" t="s">
        <v>208</v>
      </c>
      <c r="B326" s="179" t="s">
        <v>1981</v>
      </c>
      <c r="C326" s="179" t="s">
        <v>1982</v>
      </c>
      <c r="D326" s="141"/>
      <c r="E326" s="173"/>
      <c r="F326" s="173"/>
      <c r="G326" s="173"/>
      <c r="H326" s="173"/>
      <c r="I326" s="173"/>
      <c r="J326" s="141"/>
      <c r="K326" s="163" t="str">
        <f>VLOOKUP(C326,'Term Reference Guide'!$C:$C,1,false)</f>
        <v>GENEPIO:0101200</v>
      </c>
      <c r="L326" s="173"/>
      <c r="M326" s="173"/>
      <c r="N326" s="173"/>
      <c r="O326" s="173"/>
      <c r="P326" s="173"/>
      <c r="Q326" s="173"/>
      <c r="R326" s="173"/>
      <c r="S326" s="173"/>
      <c r="T326" s="173"/>
      <c r="U326" s="173"/>
      <c r="V326" s="173"/>
      <c r="W326" s="173"/>
      <c r="X326" s="173"/>
      <c r="Y326" s="173"/>
      <c r="Z326" s="173"/>
      <c r="AA326" s="173"/>
      <c r="AB326" s="173"/>
      <c r="AC326" s="173"/>
      <c r="AD326" s="173"/>
      <c r="AE326" s="173"/>
      <c r="AF326" s="173"/>
      <c r="AG326" s="173"/>
      <c r="AH326" s="173"/>
      <c r="AI326" s="173"/>
      <c r="AJ326" s="173"/>
      <c r="AK326" s="173"/>
      <c r="AL326" s="173"/>
      <c r="AM326" s="173"/>
      <c r="AN326" s="173"/>
      <c r="AO326" s="173"/>
      <c r="AP326" s="173"/>
      <c r="AQ326" s="173"/>
      <c r="AR326" s="173"/>
      <c r="AS326" s="173"/>
      <c r="AT326" s="173"/>
      <c r="AU326" s="173"/>
      <c r="AV326" s="173"/>
      <c r="AW326" s="173"/>
      <c r="AX326" s="173"/>
      <c r="AY326" s="173"/>
      <c r="AZ326" s="173"/>
      <c r="BA326" s="173"/>
      <c r="BB326" s="173"/>
      <c r="BC326" s="173"/>
      <c r="BD326" s="173"/>
      <c r="BE326" s="173"/>
      <c r="BF326" s="173"/>
      <c r="BG326" s="173"/>
      <c r="BH326" s="173"/>
      <c r="BI326" s="173"/>
      <c r="BJ326" s="173"/>
      <c r="BK326" s="173"/>
      <c r="BL326" s="173"/>
      <c r="BM326" s="173"/>
      <c r="BN326" s="173"/>
      <c r="BO326" s="173"/>
      <c r="BP326" s="173"/>
      <c r="BQ326" s="173"/>
      <c r="BR326" s="173"/>
      <c r="BS326" s="173"/>
      <c r="BT326" s="173"/>
      <c r="BU326" s="173"/>
      <c r="BV326" s="173"/>
      <c r="BW326" s="173"/>
      <c r="BX326" s="173"/>
      <c r="BY326" s="173"/>
      <c r="BZ326" s="173"/>
      <c r="CA326" s="173"/>
      <c r="CB326" s="173"/>
      <c r="CC326" s="173"/>
      <c r="CD326" s="173"/>
      <c r="CE326" s="173"/>
      <c r="CF326" s="173"/>
      <c r="CG326" s="173"/>
      <c r="CH326" s="173"/>
      <c r="CI326" s="173"/>
      <c r="CJ326" s="173"/>
      <c r="CK326" s="173"/>
      <c r="CL326" s="173"/>
      <c r="CM326" s="173"/>
      <c r="CN326" s="173"/>
      <c r="CO326" s="173"/>
      <c r="CP326" s="173"/>
      <c r="CQ326" s="173"/>
      <c r="CR326" s="173"/>
      <c r="CS326" s="173"/>
    </row>
    <row r="327">
      <c r="A327" s="59" t="s">
        <v>208</v>
      </c>
      <c r="B327" s="179" t="s">
        <v>1983</v>
      </c>
      <c r="C327" s="180" t="s">
        <v>1063</v>
      </c>
      <c r="D327" s="33" t="s">
        <v>1984</v>
      </c>
      <c r="E327" s="173"/>
      <c r="F327" s="168"/>
      <c r="G327" s="168"/>
      <c r="H327" s="168" t="s">
        <v>25</v>
      </c>
      <c r="I327" s="168" t="s">
        <v>25</v>
      </c>
      <c r="J327" s="168" t="s">
        <v>25</v>
      </c>
      <c r="K327" s="163" t="str">
        <f>VLOOKUP(C327,'Term Reference Guide'!$C:$C,1,false)</f>
        <v>#N/A</v>
      </c>
      <c r="L327" s="173"/>
      <c r="M327" s="173"/>
      <c r="N327" s="173"/>
      <c r="O327" s="173"/>
      <c r="P327" s="173"/>
      <c r="Q327" s="173"/>
      <c r="R327" s="173"/>
      <c r="S327" s="173"/>
      <c r="T327" s="173"/>
      <c r="U327" s="173"/>
      <c r="V327" s="173"/>
      <c r="W327" s="173"/>
      <c r="X327" s="173"/>
      <c r="Y327" s="173"/>
      <c r="Z327" s="173"/>
      <c r="AA327" s="173"/>
      <c r="AB327" s="173"/>
      <c r="AC327" s="173"/>
      <c r="AD327" s="173"/>
      <c r="AE327" s="173"/>
      <c r="AF327" s="173"/>
      <c r="AG327" s="173"/>
      <c r="AH327" s="173"/>
      <c r="AI327" s="173"/>
      <c r="AJ327" s="173"/>
      <c r="AK327" s="173"/>
      <c r="AL327" s="173"/>
      <c r="AM327" s="173"/>
      <c r="AN327" s="173"/>
      <c r="AO327" s="173"/>
      <c r="AP327" s="173"/>
      <c r="AQ327" s="173"/>
      <c r="AR327" s="173"/>
      <c r="AS327" s="173"/>
      <c r="AT327" s="173"/>
      <c r="AU327" s="173"/>
      <c r="AV327" s="173"/>
      <c r="AW327" s="173"/>
      <c r="AX327" s="173"/>
      <c r="AY327" s="173"/>
      <c r="AZ327" s="173"/>
      <c r="BA327" s="173"/>
      <c r="BB327" s="173"/>
      <c r="BC327" s="173"/>
      <c r="BD327" s="173"/>
      <c r="BE327" s="173"/>
      <c r="BF327" s="173"/>
      <c r="BG327" s="173"/>
      <c r="BH327" s="173"/>
      <c r="BI327" s="173"/>
      <c r="BJ327" s="173"/>
      <c r="BK327" s="173"/>
      <c r="BL327" s="173"/>
      <c r="BM327" s="173"/>
      <c r="BN327" s="173"/>
      <c r="BO327" s="173"/>
      <c r="BP327" s="173"/>
      <c r="BQ327" s="173"/>
      <c r="BR327" s="173"/>
      <c r="BS327" s="173"/>
      <c r="BT327" s="173"/>
      <c r="BU327" s="173"/>
      <c r="BV327" s="173"/>
      <c r="BW327" s="173"/>
      <c r="BX327" s="173"/>
      <c r="BY327" s="173"/>
      <c r="BZ327" s="173"/>
      <c r="CA327" s="173"/>
      <c r="CB327" s="173"/>
      <c r="CC327" s="173"/>
      <c r="CD327" s="173"/>
      <c r="CE327" s="173"/>
      <c r="CF327" s="173"/>
      <c r="CG327" s="173"/>
      <c r="CH327" s="173"/>
      <c r="CI327" s="173"/>
      <c r="CJ327" s="173"/>
      <c r="CK327" s="173"/>
      <c r="CL327" s="173"/>
      <c r="CM327" s="173"/>
      <c r="CN327" s="173"/>
      <c r="CO327" s="173"/>
      <c r="CP327" s="173"/>
      <c r="CQ327" s="173"/>
      <c r="CR327" s="173"/>
      <c r="CS327" s="173"/>
    </row>
    <row r="328">
      <c r="A328" s="59" t="s">
        <v>208</v>
      </c>
      <c r="B328" s="179" t="s">
        <v>1985</v>
      </c>
      <c r="C328" s="180" t="s">
        <v>1064</v>
      </c>
      <c r="D328" s="33" t="s">
        <v>1986</v>
      </c>
      <c r="E328" s="173"/>
      <c r="F328" s="168"/>
      <c r="G328" s="168"/>
      <c r="H328" s="168" t="s">
        <v>25</v>
      </c>
      <c r="I328" s="168" t="s">
        <v>25</v>
      </c>
      <c r="J328" s="168" t="s">
        <v>25</v>
      </c>
      <c r="K328" s="163" t="str">
        <f>VLOOKUP(C328,'Term Reference Guide'!$C:$C,1,false)</f>
        <v>#N/A</v>
      </c>
      <c r="L328" s="173"/>
      <c r="M328" s="173"/>
      <c r="N328" s="173"/>
      <c r="O328" s="173"/>
      <c r="P328" s="173"/>
      <c r="Q328" s="173"/>
      <c r="R328" s="173"/>
      <c r="S328" s="173"/>
      <c r="T328" s="173"/>
      <c r="U328" s="173"/>
      <c r="V328" s="173"/>
      <c r="W328" s="173"/>
      <c r="X328" s="173"/>
      <c r="Y328" s="173"/>
      <c r="Z328" s="173"/>
      <c r="AA328" s="173"/>
      <c r="AB328" s="173"/>
      <c r="AC328" s="173"/>
      <c r="AD328" s="173"/>
      <c r="AE328" s="173"/>
      <c r="AF328" s="173"/>
      <c r="AG328" s="173"/>
      <c r="AH328" s="173"/>
      <c r="AI328" s="173"/>
      <c r="AJ328" s="173"/>
      <c r="AK328" s="173"/>
      <c r="AL328" s="173"/>
      <c r="AM328" s="173"/>
      <c r="AN328" s="173"/>
      <c r="AO328" s="173"/>
      <c r="AP328" s="173"/>
      <c r="AQ328" s="173"/>
      <c r="AR328" s="173"/>
      <c r="AS328" s="173"/>
      <c r="AT328" s="173"/>
      <c r="AU328" s="173"/>
      <c r="AV328" s="173"/>
      <c r="AW328" s="173"/>
      <c r="AX328" s="173"/>
      <c r="AY328" s="173"/>
      <c r="AZ328" s="173"/>
      <c r="BA328" s="173"/>
      <c r="BB328" s="173"/>
      <c r="BC328" s="173"/>
      <c r="BD328" s="173"/>
      <c r="BE328" s="173"/>
      <c r="BF328" s="173"/>
      <c r="BG328" s="173"/>
      <c r="BH328" s="173"/>
      <c r="BI328" s="173"/>
      <c r="BJ328" s="173"/>
      <c r="BK328" s="173"/>
      <c r="BL328" s="173"/>
      <c r="BM328" s="173"/>
      <c r="BN328" s="173"/>
      <c r="BO328" s="173"/>
      <c r="BP328" s="173"/>
      <c r="BQ328" s="173"/>
      <c r="BR328" s="173"/>
      <c r="BS328" s="173"/>
      <c r="BT328" s="173"/>
      <c r="BU328" s="173"/>
      <c r="BV328" s="173"/>
      <c r="BW328" s="173"/>
      <c r="BX328" s="173"/>
      <c r="BY328" s="173"/>
      <c r="BZ328" s="173"/>
      <c r="CA328" s="173"/>
      <c r="CB328" s="173"/>
      <c r="CC328" s="173"/>
      <c r="CD328" s="173"/>
      <c r="CE328" s="173"/>
      <c r="CF328" s="173"/>
      <c r="CG328" s="173"/>
      <c r="CH328" s="173"/>
      <c r="CI328" s="173"/>
      <c r="CJ328" s="173"/>
      <c r="CK328" s="173"/>
      <c r="CL328" s="173"/>
      <c r="CM328" s="173"/>
      <c r="CN328" s="173"/>
      <c r="CO328" s="173"/>
      <c r="CP328" s="173"/>
      <c r="CQ328" s="173"/>
      <c r="CR328" s="173"/>
      <c r="CS328" s="173"/>
    </row>
    <row r="329">
      <c r="A329" s="59" t="s">
        <v>208</v>
      </c>
      <c r="B329" s="179" t="s">
        <v>1987</v>
      </c>
      <c r="C329" s="180" t="s">
        <v>1066</v>
      </c>
      <c r="D329" s="33" t="s">
        <v>1988</v>
      </c>
      <c r="E329" s="173"/>
      <c r="F329" s="168"/>
      <c r="G329" s="168"/>
      <c r="H329" s="168" t="s">
        <v>25</v>
      </c>
      <c r="I329" s="168" t="s">
        <v>25</v>
      </c>
      <c r="J329" s="168" t="s">
        <v>25</v>
      </c>
      <c r="K329" s="163" t="str">
        <f>VLOOKUP(C329,'Term Reference Guide'!$C:$C,1,false)</f>
        <v>#N/A</v>
      </c>
      <c r="L329" s="173"/>
      <c r="M329" s="173"/>
      <c r="N329" s="173"/>
      <c r="O329" s="173"/>
      <c r="P329" s="173"/>
      <c r="Q329" s="173"/>
      <c r="R329" s="173"/>
      <c r="S329" s="173"/>
      <c r="T329" s="173"/>
      <c r="U329" s="173"/>
      <c r="V329" s="173"/>
      <c r="W329" s="173"/>
      <c r="X329" s="173"/>
      <c r="Y329" s="173"/>
      <c r="Z329" s="173"/>
      <c r="AA329" s="173"/>
      <c r="AB329" s="173"/>
      <c r="AC329" s="173"/>
      <c r="AD329" s="173"/>
      <c r="AE329" s="173"/>
      <c r="AF329" s="173"/>
      <c r="AG329" s="173"/>
      <c r="AH329" s="173"/>
      <c r="AI329" s="173"/>
      <c r="AJ329" s="173"/>
      <c r="AK329" s="173"/>
      <c r="AL329" s="173"/>
      <c r="AM329" s="173"/>
      <c r="AN329" s="173"/>
      <c r="AO329" s="173"/>
      <c r="AP329" s="173"/>
      <c r="AQ329" s="173"/>
      <c r="AR329" s="173"/>
      <c r="AS329" s="173"/>
      <c r="AT329" s="173"/>
      <c r="AU329" s="173"/>
      <c r="AV329" s="173"/>
      <c r="AW329" s="173"/>
      <c r="AX329" s="173"/>
      <c r="AY329" s="173"/>
      <c r="AZ329" s="173"/>
      <c r="BA329" s="173"/>
      <c r="BB329" s="173"/>
      <c r="BC329" s="173"/>
      <c r="BD329" s="173"/>
      <c r="BE329" s="173"/>
      <c r="BF329" s="173"/>
      <c r="BG329" s="173"/>
      <c r="BH329" s="173"/>
      <c r="BI329" s="173"/>
      <c r="BJ329" s="173"/>
      <c r="BK329" s="173"/>
      <c r="BL329" s="173"/>
      <c r="BM329" s="173"/>
      <c r="BN329" s="173"/>
      <c r="BO329" s="173"/>
      <c r="BP329" s="173"/>
      <c r="BQ329" s="173"/>
      <c r="BR329" s="173"/>
      <c r="BS329" s="173"/>
      <c r="BT329" s="173"/>
      <c r="BU329" s="173"/>
      <c r="BV329" s="173"/>
      <c r="BW329" s="173"/>
      <c r="BX329" s="173"/>
      <c r="BY329" s="173"/>
      <c r="BZ329" s="173"/>
      <c r="CA329" s="173"/>
      <c r="CB329" s="173"/>
      <c r="CC329" s="173"/>
      <c r="CD329" s="173"/>
      <c r="CE329" s="173"/>
      <c r="CF329" s="173"/>
      <c r="CG329" s="173"/>
      <c r="CH329" s="173"/>
      <c r="CI329" s="173"/>
      <c r="CJ329" s="173"/>
      <c r="CK329" s="173"/>
      <c r="CL329" s="173"/>
      <c r="CM329" s="173"/>
      <c r="CN329" s="173"/>
      <c r="CO329" s="173"/>
      <c r="CP329" s="173"/>
      <c r="CQ329" s="173"/>
      <c r="CR329" s="173"/>
      <c r="CS329" s="173"/>
    </row>
    <row r="330">
      <c r="K330" s="163" t="str">
        <f>VLOOKUP(C330,'Term Reference Guide'!$C:$C,1,false)</f>
        <v>#N/A</v>
      </c>
      <c r="L330" s="173"/>
      <c r="M330" s="173"/>
      <c r="N330" s="173"/>
      <c r="O330" s="173"/>
      <c r="P330" s="173"/>
      <c r="Q330" s="173"/>
      <c r="R330" s="173"/>
      <c r="S330" s="173"/>
      <c r="T330" s="173"/>
      <c r="U330" s="173"/>
      <c r="V330" s="173"/>
      <c r="W330" s="173"/>
      <c r="X330" s="173"/>
      <c r="Y330" s="173"/>
      <c r="Z330" s="173"/>
      <c r="AA330" s="173"/>
      <c r="AB330" s="173"/>
      <c r="AC330" s="173"/>
      <c r="AD330" s="173"/>
      <c r="AE330" s="173"/>
      <c r="AF330" s="173"/>
      <c r="AG330" s="173"/>
      <c r="AH330" s="173"/>
      <c r="AI330" s="173"/>
      <c r="AJ330" s="173"/>
      <c r="AK330" s="173"/>
      <c r="AL330" s="173"/>
      <c r="AM330" s="173"/>
      <c r="AN330" s="173"/>
      <c r="AO330" s="173"/>
      <c r="AP330" s="173"/>
      <c r="AQ330" s="173"/>
      <c r="AR330" s="173"/>
      <c r="AS330" s="173"/>
      <c r="AT330" s="173"/>
      <c r="AU330" s="173"/>
      <c r="AV330" s="173"/>
      <c r="AW330" s="173"/>
      <c r="AX330" s="173"/>
      <c r="AY330" s="173"/>
      <c r="AZ330" s="173"/>
      <c r="BA330" s="173"/>
      <c r="BB330" s="173"/>
      <c r="BC330" s="173"/>
      <c r="BD330" s="173"/>
      <c r="BE330" s="173"/>
      <c r="BF330" s="173"/>
      <c r="BG330" s="173"/>
      <c r="BH330" s="173"/>
      <c r="BI330" s="173"/>
      <c r="BJ330" s="173"/>
      <c r="BK330" s="173"/>
      <c r="BL330" s="173"/>
      <c r="BM330" s="173"/>
      <c r="BN330" s="173"/>
      <c r="BO330" s="173"/>
      <c r="BP330" s="173"/>
      <c r="BQ330" s="173"/>
      <c r="BR330" s="173"/>
      <c r="BS330" s="173"/>
      <c r="BT330" s="173"/>
      <c r="BU330" s="173"/>
      <c r="BV330" s="173"/>
      <c r="BW330" s="173"/>
      <c r="BX330" s="173"/>
      <c r="BY330" s="173"/>
      <c r="BZ330" s="173"/>
      <c r="CA330" s="173"/>
      <c r="CB330" s="173"/>
      <c r="CC330" s="173"/>
      <c r="CD330" s="173"/>
      <c r="CE330" s="173"/>
      <c r="CF330" s="173"/>
      <c r="CG330" s="173"/>
      <c r="CH330" s="173"/>
      <c r="CI330" s="173"/>
      <c r="CJ330" s="173"/>
      <c r="CK330" s="173"/>
      <c r="CL330" s="173"/>
      <c r="CM330" s="173"/>
      <c r="CN330" s="173"/>
      <c r="CO330" s="173"/>
      <c r="CP330" s="173"/>
      <c r="CQ330" s="173"/>
      <c r="CR330" s="173"/>
      <c r="CS330" s="173"/>
    </row>
    <row r="331">
      <c r="K331" s="163" t="str">
        <f>VLOOKUP(C331,'Term Reference Guide'!$C:$C,1,false)</f>
        <v>#N/A</v>
      </c>
      <c r="L331" s="173"/>
      <c r="M331" s="173"/>
      <c r="N331" s="173"/>
      <c r="O331" s="173"/>
      <c r="P331" s="173"/>
      <c r="Q331" s="173"/>
      <c r="R331" s="173"/>
      <c r="S331" s="173"/>
      <c r="T331" s="173"/>
      <c r="U331" s="173"/>
      <c r="V331" s="173"/>
      <c r="W331" s="173"/>
      <c r="X331" s="173"/>
      <c r="Y331" s="173"/>
      <c r="Z331" s="173"/>
      <c r="AA331" s="173"/>
      <c r="AB331" s="173"/>
      <c r="AC331" s="173"/>
      <c r="AD331" s="173"/>
      <c r="AE331" s="173"/>
      <c r="AF331" s="173"/>
      <c r="AG331" s="173"/>
      <c r="AH331" s="173"/>
      <c r="AI331" s="173"/>
      <c r="AJ331" s="173"/>
      <c r="AK331" s="173"/>
      <c r="AL331" s="173"/>
      <c r="AM331" s="173"/>
      <c r="AN331" s="173"/>
      <c r="AO331" s="173"/>
      <c r="AP331" s="173"/>
      <c r="AQ331" s="173"/>
      <c r="AR331" s="173"/>
      <c r="AS331" s="173"/>
      <c r="AT331" s="173"/>
      <c r="AU331" s="173"/>
      <c r="AV331" s="173"/>
      <c r="AW331" s="173"/>
      <c r="AX331" s="173"/>
      <c r="AY331" s="173"/>
      <c r="AZ331" s="173"/>
      <c r="BA331" s="173"/>
      <c r="BB331" s="173"/>
      <c r="BC331" s="173"/>
      <c r="BD331" s="173"/>
      <c r="BE331" s="173"/>
      <c r="BF331" s="173"/>
      <c r="BG331" s="173"/>
      <c r="BH331" s="173"/>
      <c r="BI331" s="173"/>
      <c r="BJ331" s="173"/>
      <c r="BK331" s="173"/>
      <c r="BL331" s="173"/>
      <c r="BM331" s="173"/>
      <c r="BN331" s="173"/>
      <c r="BO331" s="173"/>
      <c r="BP331" s="173"/>
      <c r="BQ331" s="173"/>
      <c r="BR331" s="173"/>
      <c r="BS331" s="173"/>
      <c r="BT331" s="173"/>
      <c r="BU331" s="173"/>
      <c r="BV331" s="173"/>
      <c r="BW331" s="173"/>
      <c r="BX331" s="173"/>
      <c r="BY331" s="173"/>
      <c r="BZ331" s="173"/>
      <c r="CA331" s="173"/>
      <c r="CB331" s="173"/>
      <c r="CC331" s="173"/>
      <c r="CD331" s="173"/>
      <c r="CE331" s="173"/>
      <c r="CF331" s="173"/>
      <c r="CG331" s="173"/>
      <c r="CH331" s="173"/>
      <c r="CI331" s="173"/>
      <c r="CJ331" s="173"/>
      <c r="CK331" s="173"/>
      <c r="CL331" s="173"/>
      <c r="CM331" s="173"/>
      <c r="CN331" s="173"/>
      <c r="CO331" s="173"/>
      <c r="CP331" s="173"/>
      <c r="CQ331" s="173"/>
      <c r="CR331" s="173"/>
      <c r="CS331" s="173"/>
    </row>
    <row r="332">
      <c r="K332" s="163" t="str">
        <f>VLOOKUP(C332,'Term Reference Guide'!$C:$C,1,false)</f>
        <v>#N/A</v>
      </c>
      <c r="L332" s="173"/>
      <c r="M332" s="173"/>
      <c r="N332" s="173"/>
      <c r="O332" s="173"/>
      <c r="P332" s="173"/>
      <c r="Q332" s="173"/>
      <c r="R332" s="173"/>
      <c r="S332" s="173"/>
      <c r="T332" s="173"/>
      <c r="U332" s="173"/>
      <c r="V332" s="173"/>
      <c r="W332" s="173"/>
      <c r="X332" s="173"/>
      <c r="Y332" s="173"/>
      <c r="Z332" s="173"/>
      <c r="AA332" s="173"/>
      <c r="AB332" s="173"/>
      <c r="AC332" s="173"/>
      <c r="AD332" s="173"/>
      <c r="AE332" s="173"/>
      <c r="AF332" s="173"/>
      <c r="AG332" s="173"/>
      <c r="AH332" s="173"/>
      <c r="AI332" s="173"/>
      <c r="AJ332" s="173"/>
      <c r="AK332" s="173"/>
      <c r="AL332" s="173"/>
      <c r="AM332" s="173"/>
      <c r="AN332" s="173"/>
      <c r="AO332" s="173"/>
      <c r="AP332" s="173"/>
      <c r="AQ332" s="173"/>
      <c r="AR332" s="173"/>
      <c r="AS332" s="173"/>
      <c r="AT332" s="173"/>
      <c r="AU332" s="173"/>
      <c r="AV332" s="173"/>
      <c r="AW332" s="173"/>
      <c r="AX332" s="173"/>
      <c r="AY332" s="173"/>
      <c r="AZ332" s="173"/>
      <c r="BA332" s="173"/>
      <c r="BB332" s="173"/>
      <c r="BC332" s="173"/>
      <c r="BD332" s="173"/>
      <c r="BE332" s="173"/>
      <c r="BF332" s="173"/>
      <c r="BG332" s="173"/>
      <c r="BH332" s="173"/>
      <c r="BI332" s="173"/>
      <c r="BJ332" s="173"/>
      <c r="BK332" s="173"/>
      <c r="BL332" s="173"/>
      <c r="BM332" s="173"/>
      <c r="BN332" s="173"/>
      <c r="BO332" s="173"/>
      <c r="BP332" s="173"/>
      <c r="BQ332" s="173"/>
      <c r="BR332" s="173"/>
      <c r="BS332" s="173"/>
      <c r="BT332" s="173"/>
      <c r="BU332" s="173"/>
      <c r="BV332" s="173"/>
      <c r="BW332" s="173"/>
      <c r="BX332" s="173"/>
      <c r="BY332" s="173"/>
      <c r="BZ332" s="173"/>
      <c r="CA332" s="173"/>
      <c r="CB332" s="173"/>
      <c r="CC332" s="173"/>
      <c r="CD332" s="173"/>
      <c r="CE332" s="173"/>
      <c r="CF332" s="173"/>
      <c r="CG332" s="173"/>
      <c r="CH332" s="173"/>
      <c r="CI332" s="173"/>
      <c r="CJ332" s="173"/>
      <c r="CK332" s="173"/>
      <c r="CL332" s="173"/>
      <c r="CM332" s="173"/>
      <c r="CN332" s="173"/>
      <c r="CO332" s="173"/>
      <c r="CP332" s="173"/>
      <c r="CQ332" s="173"/>
      <c r="CR332" s="173"/>
      <c r="CS332" s="173"/>
    </row>
    <row r="333">
      <c r="A333" s="170" t="s">
        <v>222</v>
      </c>
      <c r="B333" s="156"/>
      <c r="C333" s="156"/>
      <c r="D333" s="139"/>
      <c r="E333" s="156"/>
      <c r="F333" s="156"/>
      <c r="G333" s="156"/>
      <c r="H333" s="164"/>
      <c r="I333" s="164"/>
      <c r="J333" s="171"/>
      <c r="K333" s="163" t="str">
        <f>VLOOKUP(C333,'Term Reference Guide'!$C:$C,1,false)</f>
        <v>#N/A</v>
      </c>
      <c r="L333" s="163"/>
      <c r="M333" s="163"/>
      <c r="N333" s="163"/>
      <c r="O333" s="163"/>
      <c r="P333" s="163"/>
      <c r="Q333" s="163"/>
      <c r="R333" s="163"/>
      <c r="S333" s="163"/>
      <c r="T333" s="163"/>
      <c r="U333" s="163"/>
      <c r="V333" s="163"/>
      <c r="W333" s="163"/>
      <c r="X333" s="163"/>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c r="BP333" s="41"/>
      <c r="BQ333" s="41"/>
      <c r="BR333" s="41"/>
      <c r="BS333" s="41"/>
      <c r="BT333" s="41"/>
      <c r="BU333" s="41"/>
      <c r="BV333" s="41"/>
      <c r="BW333" s="41"/>
      <c r="BX333" s="41"/>
      <c r="BY333" s="41"/>
      <c r="BZ333" s="41"/>
      <c r="CA333" s="41"/>
      <c r="CB333" s="41"/>
      <c r="CC333" s="41"/>
      <c r="CD333" s="41"/>
      <c r="CE333" s="41"/>
      <c r="CF333" s="41"/>
      <c r="CG333" s="41"/>
      <c r="CH333" s="41"/>
      <c r="CI333" s="41"/>
      <c r="CJ333" s="41"/>
      <c r="CK333" s="41"/>
      <c r="CL333" s="41"/>
      <c r="CM333" s="41"/>
      <c r="CN333" s="41"/>
      <c r="CO333" s="41"/>
      <c r="CP333" s="41"/>
      <c r="CQ333" s="41"/>
      <c r="CR333" s="41"/>
      <c r="CS333" s="41"/>
    </row>
    <row r="334" hidden="1">
      <c r="A334" s="179" t="s">
        <v>222</v>
      </c>
      <c r="B334" s="179" t="s">
        <v>1989</v>
      </c>
      <c r="C334" s="179" t="s">
        <v>1990</v>
      </c>
      <c r="D334" s="70" t="s">
        <v>1991</v>
      </c>
      <c r="E334" s="173"/>
      <c r="F334" s="168"/>
      <c r="G334" s="168"/>
      <c r="H334" s="168" t="s">
        <v>25</v>
      </c>
      <c r="I334" s="168" t="s">
        <v>25</v>
      </c>
      <c r="J334" s="168" t="s">
        <v>25</v>
      </c>
      <c r="K334" s="163" t="str">
        <f>VLOOKUP(C334,'Term Reference Guide'!$C:$C,1,false)</f>
        <v>UO:0000101</v>
      </c>
      <c r="L334" s="173"/>
      <c r="M334" s="173"/>
      <c r="N334" s="173"/>
      <c r="O334" s="173"/>
      <c r="P334" s="173"/>
      <c r="Q334" s="173"/>
      <c r="R334" s="173"/>
      <c r="S334" s="173"/>
      <c r="T334" s="173"/>
      <c r="U334" s="173"/>
      <c r="V334" s="173"/>
      <c r="W334" s="173"/>
      <c r="X334" s="173"/>
      <c r="Y334" s="173"/>
      <c r="Z334" s="173"/>
      <c r="AA334" s="173"/>
      <c r="AB334" s="173"/>
      <c r="AC334" s="173"/>
      <c r="AD334" s="173"/>
      <c r="AE334" s="173"/>
      <c r="AF334" s="173"/>
      <c r="AG334" s="173"/>
      <c r="AH334" s="173"/>
      <c r="AI334" s="173"/>
      <c r="AJ334" s="173"/>
      <c r="AK334" s="173"/>
      <c r="AL334" s="173"/>
      <c r="AM334" s="173"/>
      <c r="AN334" s="173"/>
      <c r="AO334" s="173"/>
      <c r="AP334" s="173"/>
      <c r="AQ334" s="173"/>
      <c r="AR334" s="173"/>
      <c r="AS334" s="173"/>
      <c r="AT334" s="173"/>
      <c r="AU334" s="173"/>
      <c r="AV334" s="173"/>
      <c r="AW334" s="173"/>
      <c r="AX334" s="173"/>
      <c r="AY334" s="173"/>
      <c r="AZ334" s="173"/>
      <c r="BA334" s="173"/>
      <c r="BB334" s="173"/>
      <c r="BC334" s="173"/>
      <c r="BD334" s="173"/>
      <c r="BE334" s="173"/>
      <c r="BF334" s="173"/>
      <c r="BG334" s="173"/>
      <c r="BH334" s="173"/>
      <c r="BI334" s="173"/>
      <c r="BJ334" s="173"/>
      <c r="BK334" s="173"/>
      <c r="BL334" s="173"/>
      <c r="BM334" s="173"/>
      <c r="BN334" s="173"/>
      <c r="BO334" s="173"/>
      <c r="BP334" s="173"/>
      <c r="BQ334" s="173"/>
      <c r="BR334" s="173"/>
      <c r="BS334" s="173"/>
      <c r="BT334" s="173"/>
      <c r="BU334" s="173"/>
      <c r="BV334" s="173"/>
      <c r="BW334" s="173"/>
      <c r="BX334" s="173"/>
      <c r="BY334" s="173"/>
      <c r="BZ334" s="173"/>
      <c r="CA334" s="173"/>
      <c r="CB334" s="173"/>
      <c r="CC334" s="173"/>
      <c r="CD334" s="173"/>
      <c r="CE334" s="173"/>
      <c r="CF334" s="173"/>
      <c r="CG334" s="173"/>
      <c r="CH334" s="173"/>
      <c r="CI334" s="173"/>
      <c r="CJ334" s="173"/>
      <c r="CK334" s="173"/>
      <c r="CL334" s="173"/>
      <c r="CM334" s="173"/>
      <c r="CN334" s="173"/>
      <c r="CO334" s="173"/>
      <c r="CP334" s="173"/>
      <c r="CQ334" s="173"/>
      <c r="CR334" s="173"/>
      <c r="CS334" s="173"/>
    </row>
    <row r="335" hidden="1">
      <c r="A335" s="179" t="s">
        <v>222</v>
      </c>
      <c r="B335" s="179" t="s">
        <v>1992</v>
      </c>
      <c r="C335" s="179" t="s">
        <v>1993</v>
      </c>
      <c r="D335" s="70" t="s">
        <v>1994</v>
      </c>
      <c r="E335" s="173"/>
      <c r="F335" s="168"/>
      <c r="G335" s="168"/>
      <c r="H335" s="168" t="s">
        <v>25</v>
      </c>
      <c r="I335" s="168" t="s">
        <v>25</v>
      </c>
      <c r="J335" s="168" t="s">
        <v>25</v>
      </c>
      <c r="K335" s="163" t="str">
        <f>VLOOKUP(C335,'Term Reference Guide'!$C:$C,1,false)</f>
        <v>UO:0000098</v>
      </c>
      <c r="L335" s="173"/>
      <c r="M335" s="173"/>
      <c r="N335" s="173"/>
      <c r="O335" s="173"/>
      <c r="P335" s="173"/>
      <c r="Q335" s="173"/>
      <c r="R335" s="173"/>
      <c r="S335" s="173"/>
      <c r="T335" s="173"/>
      <c r="U335" s="173"/>
      <c r="V335" s="173"/>
      <c r="W335" s="173"/>
      <c r="X335" s="173"/>
      <c r="Y335" s="173"/>
      <c r="Z335" s="173"/>
      <c r="AA335" s="173"/>
      <c r="AB335" s="173"/>
      <c r="AC335" s="173"/>
      <c r="AD335" s="173"/>
      <c r="AE335" s="173"/>
      <c r="AF335" s="173"/>
      <c r="AG335" s="173"/>
      <c r="AH335" s="173"/>
      <c r="AI335" s="173"/>
      <c r="AJ335" s="173"/>
      <c r="AK335" s="173"/>
      <c r="AL335" s="173"/>
      <c r="AM335" s="173"/>
      <c r="AN335" s="173"/>
      <c r="AO335" s="173"/>
      <c r="AP335" s="173"/>
      <c r="AQ335" s="173"/>
      <c r="AR335" s="173"/>
      <c r="AS335" s="173"/>
      <c r="AT335" s="173"/>
      <c r="AU335" s="173"/>
      <c r="AV335" s="173"/>
      <c r="AW335" s="173"/>
      <c r="AX335" s="173"/>
      <c r="AY335" s="173"/>
      <c r="AZ335" s="173"/>
      <c r="BA335" s="173"/>
      <c r="BB335" s="173"/>
      <c r="BC335" s="173"/>
      <c r="BD335" s="173"/>
      <c r="BE335" s="173"/>
      <c r="BF335" s="173"/>
      <c r="BG335" s="173"/>
      <c r="BH335" s="173"/>
      <c r="BI335" s="173"/>
      <c r="BJ335" s="173"/>
      <c r="BK335" s="173"/>
      <c r="BL335" s="173"/>
      <c r="BM335" s="173"/>
      <c r="BN335" s="173"/>
      <c r="BO335" s="173"/>
      <c r="BP335" s="173"/>
      <c r="BQ335" s="173"/>
      <c r="BR335" s="173"/>
      <c r="BS335" s="173"/>
      <c r="BT335" s="173"/>
      <c r="BU335" s="173"/>
      <c r="BV335" s="173"/>
      <c r="BW335" s="173"/>
      <c r="BX335" s="173"/>
      <c r="BY335" s="173"/>
      <c r="BZ335" s="173"/>
      <c r="CA335" s="173"/>
      <c r="CB335" s="173"/>
      <c r="CC335" s="173"/>
      <c r="CD335" s="173"/>
      <c r="CE335" s="173"/>
      <c r="CF335" s="173"/>
      <c r="CG335" s="173"/>
      <c r="CH335" s="173"/>
      <c r="CI335" s="173"/>
      <c r="CJ335" s="173"/>
      <c r="CK335" s="173"/>
      <c r="CL335" s="173"/>
      <c r="CM335" s="173"/>
      <c r="CN335" s="173"/>
      <c r="CO335" s="173"/>
      <c r="CP335" s="173"/>
      <c r="CQ335" s="173"/>
      <c r="CR335" s="173"/>
      <c r="CS335" s="173"/>
    </row>
    <row r="336" hidden="1">
      <c r="A336" s="179" t="s">
        <v>222</v>
      </c>
      <c r="B336" s="179" t="s">
        <v>1995</v>
      </c>
      <c r="C336" s="179" t="s">
        <v>1996</v>
      </c>
      <c r="D336" s="70" t="s">
        <v>1997</v>
      </c>
      <c r="E336" s="173"/>
      <c r="F336" s="168"/>
      <c r="G336" s="168"/>
      <c r="H336" s="168" t="s">
        <v>25</v>
      </c>
      <c r="I336" s="168" t="s">
        <v>25</v>
      </c>
      <c r="J336" s="168" t="s">
        <v>25</v>
      </c>
      <c r="K336" s="163" t="str">
        <f>VLOOKUP(C336,'Term Reference Guide'!$C:$C,1,false)</f>
        <v>UO:0000099</v>
      </c>
      <c r="L336" s="173"/>
      <c r="M336" s="173"/>
      <c r="N336" s="173"/>
      <c r="O336" s="173"/>
      <c r="P336" s="173"/>
      <c r="Q336" s="173"/>
      <c r="R336" s="173"/>
      <c r="S336" s="173"/>
      <c r="T336" s="173"/>
      <c r="U336" s="173"/>
      <c r="V336" s="173"/>
      <c r="W336" s="173"/>
      <c r="X336" s="173"/>
      <c r="Y336" s="173"/>
      <c r="Z336" s="173"/>
      <c r="AA336" s="173"/>
      <c r="AB336" s="173"/>
      <c r="AC336" s="173"/>
      <c r="AD336" s="173"/>
      <c r="AE336" s="173"/>
      <c r="AF336" s="173"/>
      <c r="AG336" s="173"/>
      <c r="AH336" s="173"/>
      <c r="AI336" s="173"/>
      <c r="AJ336" s="173"/>
      <c r="AK336" s="173"/>
      <c r="AL336" s="173"/>
      <c r="AM336" s="173"/>
      <c r="AN336" s="173"/>
      <c r="AO336" s="173"/>
      <c r="AP336" s="173"/>
      <c r="AQ336" s="173"/>
      <c r="AR336" s="173"/>
      <c r="AS336" s="173"/>
      <c r="AT336" s="173"/>
      <c r="AU336" s="173"/>
      <c r="AV336" s="173"/>
      <c r="AW336" s="173"/>
      <c r="AX336" s="173"/>
      <c r="AY336" s="173"/>
      <c r="AZ336" s="173"/>
      <c r="BA336" s="173"/>
      <c r="BB336" s="173"/>
      <c r="BC336" s="173"/>
      <c r="BD336" s="173"/>
      <c r="BE336" s="173"/>
      <c r="BF336" s="173"/>
      <c r="BG336" s="173"/>
      <c r="BH336" s="173"/>
      <c r="BI336" s="173"/>
      <c r="BJ336" s="173"/>
      <c r="BK336" s="173"/>
      <c r="BL336" s="173"/>
      <c r="BM336" s="173"/>
      <c r="BN336" s="173"/>
      <c r="BO336" s="173"/>
      <c r="BP336" s="173"/>
      <c r="BQ336" s="173"/>
      <c r="BR336" s="173"/>
      <c r="BS336" s="173"/>
      <c r="BT336" s="173"/>
      <c r="BU336" s="173"/>
      <c r="BV336" s="173"/>
      <c r="BW336" s="173"/>
      <c r="BX336" s="173"/>
      <c r="BY336" s="173"/>
      <c r="BZ336" s="173"/>
      <c r="CA336" s="173"/>
      <c r="CB336" s="173"/>
      <c r="CC336" s="173"/>
      <c r="CD336" s="173"/>
      <c r="CE336" s="173"/>
      <c r="CF336" s="173"/>
      <c r="CG336" s="173"/>
      <c r="CH336" s="173"/>
      <c r="CI336" s="173"/>
      <c r="CJ336" s="173"/>
      <c r="CK336" s="173"/>
      <c r="CL336" s="173"/>
      <c r="CM336" s="173"/>
      <c r="CN336" s="173"/>
      <c r="CO336" s="173"/>
      <c r="CP336" s="173"/>
      <c r="CQ336" s="173"/>
      <c r="CR336" s="173"/>
      <c r="CS336" s="173"/>
    </row>
    <row r="337">
      <c r="A337" s="173"/>
      <c r="B337" s="173"/>
      <c r="C337" s="173"/>
      <c r="D337" s="141"/>
      <c r="E337" s="173"/>
      <c r="F337" s="173"/>
      <c r="G337" s="173"/>
      <c r="H337" s="173"/>
      <c r="I337" s="173"/>
      <c r="J337" s="141"/>
      <c r="K337" s="163" t="str">
        <f>VLOOKUP(C337,'Term Reference Guide'!$C:$C,1,false)</f>
        <v>#N/A</v>
      </c>
      <c r="L337" s="173"/>
      <c r="M337" s="173"/>
      <c r="N337" s="173"/>
      <c r="O337" s="173"/>
      <c r="P337" s="173"/>
      <c r="Q337" s="173"/>
      <c r="R337" s="173"/>
      <c r="S337" s="173"/>
      <c r="T337" s="173"/>
      <c r="U337" s="173"/>
      <c r="V337" s="173"/>
      <c r="W337" s="173"/>
      <c r="X337" s="173"/>
      <c r="Y337" s="173"/>
      <c r="Z337" s="173"/>
      <c r="AA337" s="173"/>
      <c r="AB337" s="173"/>
      <c r="AC337" s="173"/>
      <c r="AD337" s="173"/>
      <c r="AE337" s="173"/>
      <c r="AF337" s="173"/>
      <c r="AG337" s="173"/>
      <c r="AH337" s="173"/>
      <c r="AI337" s="173"/>
      <c r="AJ337" s="173"/>
      <c r="AK337" s="173"/>
      <c r="AL337" s="173"/>
      <c r="AM337" s="173"/>
      <c r="AN337" s="173"/>
      <c r="AO337" s="173"/>
      <c r="AP337" s="173"/>
      <c r="AQ337" s="173"/>
      <c r="AR337" s="173"/>
      <c r="AS337" s="173"/>
      <c r="AT337" s="173"/>
      <c r="AU337" s="173"/>
      <c r="AV337" s="173"/>
      <c r="AW337" s="173"/>
      <c r="AX337" s="173"/>
      <c r="AY337" s="173"/>
      <c r="AZ337" s="173"/>
      <c r="BA337" s="173"/>
      <c r="BB337" s="173"/>
      <c r="BC337" s="173"/>
      <c r="BD337" s="173"/>
      <c r="BE337" s="173"/>
      <c r="BF337" s="173"/>
      <c r="BG337" s="173"/>
      <c r="BH337" s="173"/>
      <c r="BI337" s="173"/>
      <c r="BJ337" s="173"/>
      <c r="BK337" s="173"/>
      <c r="BL337" s="173"/>
      <c r="BM337" s="173"/>
      <c r="BN337" s="173"/>
      <c r="BO337" s="173"/>
      <c r="BP337" s="173"/>
      <c r="BQ337" s="173"/>
      <c r="BR337" s="173"/>
      <c r="BS337" s="173"/>
      <c r="BT337" s="173"/>
      <c r="BU337" s="173"/>
      <c r="BV337" s="173"/>
      <c r="BW337" s="173"/>
      <c r="BX337" s="173"/>
      <c r="BY337" s="173"/>
      <c r="BZ337" s="173"/>
      <c r="CA337" s="173"/>
      <c r="CB337" s="173"/>
      <c r="CC337" s="173"/>
      <c r="CD337" s="173"/>
      <c r="CE337" s="173"/>
      <c r="CF337" s="173"/>
      <c r="CG337" s="173"/>
      <c r="CH337" s="173"/>
      <c r="CI337" s="173"/>
      <c r="CJ337" s="173"/>
      <c r="CK337" s="173"/>
      <c r="CL337" s="173"/>
      <c r="CM337" s="173"/>
      <c r="CN337" s="173"/>
      <c r="CO337" s="173"/>
      <c r="CP337" s="173"/>
      <c r="CQ337" s="173"/>
      <c r="CR337" s="173"/>
      <c r="CS337" s="173"/>
    </row>
    <row r="338">
      <c r="A338" s="170" t="s">
        <v>239</v>
      </c>
      <c r="B338" s="156"/>
      <c r="C338" s="156"/>
      <c r="D338" s="139"/>
      <c r="E338" s="156"/>
      <c r="F338" s="156"/>
      <c r="G338" s="156"/>
      <c r="H338" s="164"/>
      <c r="I338" s="164"/>
      <c r="J338" s="171"/>
      <c r="K338" s="163" t="str">
        <f>VLOOKUP(C338,'Term Reference Guide'!$C:$C,1,false)</f>
        <v>#N/A</v>
      </c>
      <c r="L338" s="163"/>
      <c r="M338" s="163"/>
      <c r="N338" s="163"/>
      <c r="O338" s="163"/>
      <c r="P338" s="163"/>
      <c r="Q338" s="163"/>
      <c r="R338" s="163"/>
      <c r="S338" s="163"/>
      <c r="T338" s="163"/>
      <c r="U338" s="163"/>
      <c r="V338" s="163"/>
      <c r="W338" s="163"/>
      <c r="X338" s="163"/>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c r="BP338" s="41"/>
      <c r="BQ338" s="41"/>
      <c r="BR338" s="41"/>
      <c r="BS338" s="41"/>
      <c r="BT338" s="41"/>
      <c r="BU338" s="41"/>
      <c r="BV338" s="41"/>
      <c r="BW338" s="41"/>
      <c r="BX338" s="41"/>
      <c r="BY338" s="41"/>
      <c r="BZ338" s="41"/>
      <c r="CA338" s="41"/>
      <c r="CB338" s="41"/>
      <c r="CC338" s="41"/>
      <c r="CD338" s="41"/>
      <c r="CE338" s="41"/>
      <c r="CF338" s="41"/>
      <c r="CG338" s="41"/>
      <c r="CH338" s="41"/>
      <c r="CI338" s="41"/>
      <c r="CJ338" s="41"/>
      <c r="CK338" s="41"/>
      <c r="CL338" s="41"/>
      <c r="CM338" s="41"/>
      <c r="CN338" s="41"/>
      <c r="CO338" s="41"/>
      <c r="CP338" s="41"/>
      <c r="CQ338" s="41"/>
      <c r="CR338" s="41"/>
      <c r="CS338" s="41"/>
    </row>
    <row r="339" hidden="1">
      <c r="A339" s="179" t="s">
        <v>239</v>
      </c>
      <c r="B339" s="179" t="s">
        <v>1940</v>
      </c>
      <c r="C339" s="179" t="s">
        <v>1941</v>
      </c>
      <c r="D339" s="70" t="s">
        <v>1942</v>
      </c>
      <c r="E339" s="173"/>
      <c r="F339" s="168"/>
      <c r="G339" s="168"/>
      <c r="H339" s="168" t="s">
        <v>25</v>
      </c>
      <c r="I339" s="168" t="s">
        <v>25</v>
      </c>
      <c r="J339" s="168" t="s">
        <v>25</v>
      </c>
      <c r="K339" s="163" t="str">
        <f>VLOOKUP(C339,'Term Reference Guide'!$C:$C,1,false)</f>
        <v>UO:0000010</v>
      </c>
      <c r="L339" s="173"/>
      <c r="M339" s="173"/>
      <c r="N339" s="173"/>
      <c r="O339" s="173"/>
      <c r="P339" s="173"/>
      <c r="Q339" s="173"/>
      <c r="R339" s="173"/>
      <c r="S339" s="173"/>
      <c r="T339" s="173"/>
      <c r="U339" s="173"/>
      <c r="V339" s="173"/>
      <c r="W339" s="173"/>
      <c r="X339" s="173"/>
      <c r="Y339" s="173"/>
      <c r="Z339" s="173"/>
      <c r="AA339" s="173"/>
      <c r="AB339" s="173"/>
      <c r="AC339" s="173"/>
      <c r="AD339" s="173"/>
      <c r="AE339" s="173"/>
      <c r="AF339" s="173"/>
      <c r="AG339" s="173"/>
      <c r="AH339" s="173"/>
      <c r="AI339" s="173"/>
      <c r="AJ339" s="173"/>
      <c r="AK339" s="173"/>
      <c r="AL339" s="173"/>
      <c r="AM339" s="173"/>
      <c r="AN339" s="173"/>
      <c r="AO339" s="173"/>
      <c r="AP339" s="173"/>
      <c r="AQ339" s="173"/>
      <c r="AR339" s="173"/>
      <c r="AS339" s="173"/>
      <c r="AT339" s="173"/>
      <c r="AU339" s="173"/>
      <c r="AV339" s="173"/>
      <c r="AW339" s="173"/>
      <c r="AX339" s="173"/>
      <c r="AY339" s="173"/>
      <c r="AZ339" s="173"/>
      <c r="BA339" s="173"/>
      <c r="BB339" s="173"/>
      <c r="BC339" s="173"/>
      <c r="BD339" s="173"/>
      <c r="BE339" s="173"/>
      <c r="BF339" s="173"/>
      <c r="BG339" s="173"/>
      <c r="BH339" s="173"/>
      <c r="BI339" s="173"/>
      <c r="BJ339" s="173"/>
      <c r="BK339" s="173"/>
      <c r="BL339" s="173"/>
      <c r="BM339" s="173"/>
      <c r="BN339" s="173"/>
      <c r="BO339" s="173"/>
      <c r="BP339" s="173"/>
      <c r="BQ339" s="173"/>
      <c r="BR339" s="173"/>
      <c r="BS339" s="173"/>
      <c r="BT339" s="173"/>
      <c r="BU339" s="173"/>
      <c r="BV339" s="173"/>
      <c r="BW339" s="173"/>
      <c r="BX339" s="173"/>
      <c r="BY339" s="173"/>
      <c r="BZ339" s="173"/>
      <c r="CA339" s="173"/>
      <c r="CB339" s="173"/>
      <c r="CC339" s="173"/>
      <c r="CD339" s="173"/>
      <c r="CE339" s="173"/>
      <c r="CF339" s="173"/>
      <c r="CG339" s="173"/>
      <c r="CH339" s="173"/>
      <c r="CI339" s="173"/>
      <c r="CJ339" s="173"/>
      <c r="CK339" s="173"/>
      <c r="CL339" s="173"/>
      <c r="CM339" s="173"/>
      <c r="CN339" s="173"/>
      <c r="CO339" s="173"/>
      <c r="CP339" s="173"/>
      <c r="CQ339" s="173"/>
      <c r="CR339" s="173"/>
      <c r="CS339" s="173"/>
    </row>
    <row r="340" hidden="1">
      <c r="A340" s="179" t="s">
        <v>239</v>
      </c>
      <c r="B340" s="179" t="s">
        <v>1943</v>
      </c>
      <c r="C340" s="179" t="s">
        <v>1944</v>
      </c>
      <c r="D340" s="70" t="s">
        <v>1945</v>
      </c>
      <c r="E340" s="173"/>
      <c r="F340" s="168"/>
      <c r="G340" s="168"/>
      <c r="H340" s="168" t="s">
        <v>25</v>
      </c>
      <c r="I340" s="168" t="s">
        <v>25</v>
      </c>
      <c r="J340" s="168" t="s">
        <v>25</v>
      </c>
      <c r="K340" s="163" t="str">
        <f>VLOOKUP(C340,'Term Reference Guide'!$C:$C,1,false)</f>
        <v>UO:0000031</v>
      </c>
      <c r="L340" s="173"/>
      <c r="M340" s="173"/>
      <c r="N340" s="173"/>
      <c r="O340" s="173"/>
      <c r="P340" s="173"/>
      <c r="Q340" s="173"/>
      <c r="R340" s="173"/>
      <c r="S340" s="173"/>
      <c r="T340" s="173"/>
      <c r="U340" s="173"/>
      <c r="V340" s="173"/>
      <c r="W340" s="173"/>
      <c r="X340" s="173"/>
      <c r="Y340" s="173"/>
      <c r="Z340" s="173"/>
      <c r="AA340" s="173"/>
      <c r="AB340" s="173"/>
      <c r="AC340" s="173"/>
      <c r="AD340" s="173"/>
      <c r="AE340" s="173"/>
      <c r="AF340" s="173"/>
      <c r="AG340" s="173"/>
      <c r="AH340" s="173"/>
      <c r="AI340" s="173"/>
      <c r="AJ340" s="173"/>
      <c r="AK340" s="173"/>
      <c r="AL340" s="173"/>
      <c r="AM340" s="173"/>
      <c r="AN340" s="173"/>
      <c r="AO340" s="173"/>
      <c r="AP340" s="173"/>
      <c r="AQ340" s="173"/>
      <c r="AR340" s="173"/>
      <c r="AS340" s="173"/>
      <c r="AT340" s="173"/>
      <c r="AU340" s="173"/>
      <c r="AV340" s="173"/>
      <c r="AW340" s="173"/>
      <c r="AX340" s="173"/>
      <c r="AY340" s="173"/>
      <c r="AZ340" s="173"/>
      <c r="BA340" s="173"/>
      <c r="BB340" s="173"/>
      <c r="BC340" s="173"/>
      <c r="BD340" s="173"/>
      <c r="BE340" s="173"/>
      <c r="BF340" s="173"/>
      <c r="BG340" s="173"/>
      <c r="BH340" s="173"/>
      <c r="BI340" s="173"/>
      <c r="BJ340" s="173"/>
      <c r="BK340" s="173"/>
      <c r="BL340" s="173"/>
      <c r="BM340" s="173"/>
      <c r="BN340" s="173"/>
      <c r="BO340" s="173"/>
      <c r="BP340" s="173"/>
      <c r="BQ340" s="173"/>
      <c r="BR340" s="173"/>
      <c r="BS340" s="173"/>
      <c r="BT340" s="173"/>
      <c r="BU340" s="173"/>
      <c r="BV340" s="173"/>
      <c r="BW340" s="173"/>
      <c r="BX340" s="173"/>
      <c r="BY340" s="173"/>
      <c r="BZ340" s="173"/>
      <c r="CA340" s="173"/>
      <c r="CB340" s="173"/>
      <c r="CC340" s="173"/>
      <c r="CD340" s="173"/>
      <c r="CE340" s="173"/>
      <c r="CF340" s="173"/>
      <c r="CG340" s="173"/>
      <c r="CH340" s="173"/>
      <c r="CI340" s="173"/>
      <c r="CJ340" s="173"/>
      <c r="CK340" s="173"/>
      <c r="CL340" s="173"/>
      <c r="CM340" s="173"/>
      <c r="CN340" s="173"/>
      <c r="CO340" s="173"/>
      <c r="CP340" s="173"/>
      <c r="CQ340" s="173"/>
      <c r="CR340" s="173"/>
      <c r="CS340" s="173"/>
    </row>
    <row r="341" hidden="1">
      <c r="A341" s="179" t="s">
        <v>239</v>
      </c>
      <c r="B341" s="179" t="s">
        <v>207</v>
      </c>
      <c r="C341" s="179" t="s">
        <v>1946</v>
      </c>
      <c r="D341" s="70" t="s">
        <v>1947</v>
      </c>
      <c r="E341" s="173"/>
      <c r="F341" s="168"/>
      <c r="G341" s="168"/>
      <c r="H341" s="168" t="s">
        <v>25</v>
      </c>
      <c r="I341" s="168" t="s">
        <v>25</v>
      </c>
      <c r="J341" s="168" t="s">
        <v>25</v>
      </c>
      <c r="K341" s="163" t="str">
        <f>VLOOKUP(C341,'Term Reference Guide'!$C:$C,1,false)</f>
        <v>UO:0000032</v>
      </c>
      <c r="L341" s="173"/>
      <c r="M341" s="173"/>
      <c r="N341" s="173"/>
      <c r="O341" s="173"/>
      <c r="P341" s="173"/>
      <c r="Q341" s="173"/>
      <c r="R341" s="173"/>
      <c r="S341" s="173"/>
      <c r="T341" s="173"/>
      <c r="U341" s="173"/>
      <c r="V341" s="173"/>
      <c r="W341" s="173"/>
      <c r="X341" s="173"/>
      <c r="Y341" s="173"/>
      <c r="Z341" s="173"/>
      <c r="AA341" s="173"/>
      <c r="AB341" s="173"/>
      <c r="AC341" s="173"/>
      <c r="AD341" s="173"/>
      <c r="AE341" s="173"/>
      <c r="AF341" s="173"/>
      <c r="AG341" s="173"/>
      <c r="AH341" s="173"/>
      <c r="AI341" s="173"/>
      <c r="AJ341" s="173"/>
      <c r="AK341" s="173"/>
      <c r="AL341" s="173"/>
      <c r="AM341" s="173"/>
      <c r="AN341" s="173"/>
      <c r="AO341" s="173"/>
      <c r="AP341" s="173"/>
      <c r="AQ341" s="173"/>
      <c r="AR341" s="173"/>
      <c r="AS341" s="173"/>
      <c r="AT341" s="173"/>
      <c r="AU341" s="173"/>
      <c r="AV341" s="173"/>
      <c r="AW341" s="173"/>
      <c r="AX341" s="173"/>
      <c r="AY341" s="173"/>
      <c r="AZ341" s="173"/>
      <c r="BA341" s="173"/>
      <c r="BB341" s="173"/>
      <c r="BC341" s="173"/>
      <c r="BD341" s="173"/>
      <c r="BE341" s="173"/>
      <c r="BF341" s="173"/>
      <c r="BG341" s="173"/>
      <c r="BH341" s="173"/>
      <c r="BI341" s="173"/>
      <c r="BJ341" s="173"/>
      <c r="BK341" s="173"/>
      <c r="BL341" s="173"/>
      <c r="BM341" s="173"/>
      <c r="BN341" s="173"/>
      <c r="BO341" s="173"/>
      <c r="BP341" s="173"/>
      <c r="BQ341" s="173"/>
      <c r="BR341" s="173"/>
      <c r="BS341" s="173"/>
      <c r="BT341" s="173"/>
      <c r="BU341" s="173"/>
      <c r="BV341" s="173"/>
      <c r="BW341" s="173"/>
      <c r="BX341" s="173"/>
      <c r="BY341" s="173"/>
      <c r="BZ341" s="173"/>
      <c r="CA341" s="173"/>
      <c r="CB341" s="173"/>
      <c r="CC341" s="173"/>
      <c r="CD341" s="173"/>
      <c r="CE341" s="173"/>
      <c r="CF341" s="173"/>
      <c r="CG341" s="173"/>
      <c r="CH341" s="173"/>
      <c r="CI341" s="173"/>
      <c r="CJ341" s="173"/>
      <c r="CK341" s="173"/>
      <c r="CL341" s="173"/>
      <c r="CM341" s="173"/>
      <c r="CN341" s="173"/>
      <c r="CO341" s="173"/>
      <c r="CP341" s="173"/>
      <c r="CQ341" s="173"/>
      <c r="CR341" s="173"/>
      <c r="CS341" s="173"/>
    </row>
    <row r="342" hidden="1">
      <c r="A342" s="179" t="s">
        <v>239</v>
      </c>
      <c r="B342" s="179" t="s">
        <v>242</v>
      </c>
      <c r="C342" s="179" t="s">
        <v>1948</v>
      </c>
      <c r="D342" s="70" t="s">
        <v>1949</v>
      </c>
      <c r="E342" s="173"/>
      <c r="F342" s="168"/>
      <c r="G342" s="168"/>
      <c r="H342" s="168" t="s">
        <v>25</v>
      </c>
      <c r="I342" s="168" t="s">
        <v>25</v>
      </c>
      <c r="J342" s="168" t="s">
        <v>25</v>
      </c>
      <c r="K342" s="163" t="str">
        <f>VLOOKUP(C342,'Term Reference Guide'!$C:$C,1,false)</f>
        <v>UO:0000033</v>
      </c>
      <c r="L342" s="173"/>
      <c r="M342" s="173"/>
      <c r="N342" s="173"/>
      <c r="O342" s="173"/>
      <c r="P342" s="173"/>
      <c r="Q342" s="173"/>
      <c r="R342" s="173"/>
      <c r="S342" s="173"/>
      <c r="T342" s="173"/>
      <c r="U342" s="173"/>
      <c r="V342" s="173"/>
      <c r="W342" s="173"/>
      <c r="X342" s="173"/>
      <c r="Y342" s="173"/>
      <c r="Z342" s="173"/>
      <c r="AA342" s="173"/>
      <c r="AB342" s="173"/>
      <c r="AC342" s="173"/>
      <c r="AD342" s="173"/>
      <c r="AE342" s="173"/>
      <c r="AF342" s="173"/>
      <c r="AG342" s="173"/>
      <c r="AH342" s="173"/>
      <c r="AI342" s="173"/>
      <c r="AJ342" s="173"/>
      <c r="AK342" s="173"/>
      <c r="AL342" s="173"/>
      <c r="AM342" s="173"/>
      <c r="AN342" s="173"/>
      <c r="AO342" s="173"/>
      <c r="AP342" s="173"/>
      <c r="AQ342" s="173"/>
      <c r="AR342" s="173"/>
      <c r="AS342" s="173"/>
      <c r="AT342" s="173"/>
      <c r="AU342" s="173"/>
      <c r="AV342" s="173"/>
      <c r="AW342" s="173"/>
      <c r="AX342" s="173"/>
      <c r="AY342" s="173"/>
      <c r="AZ342" s="173"/>
      <c r="BA342" s="173"/>
      <c r="BB342" s="173"/>
      <c r="BC342" s="173"/>
      <c r="BD342" s="173"/>
      <c r="BE342" s="173"/>
      <c r="BF342" s="173"/>
      <c r="BG342" s="173"/>
      <c r="BH342" s="173"/>
      <c r="BI342" s="173"/>
      <c r="BJ342" s="173"/>
      <c r="BK342" s="173"/>
      <c r="BL342" s="173"/>
      <c r="BM342" s="173"/>
      <c r="BN342" s="173"/>
      <c r="BO342" s="173"/>
      <c r="BP342" s="173"/>
      <c r="BQ342" s="173"/>
      <c r="BR342" s="173"/>
      <c r="BS342" s="173"/>
      <c r="BT342" s="173"/>
      <c r="BU342" s="173"/>
      <c r="BV342" s="173"/>
      <c r="BW342" s="173"/>
      <c r="BX342" s="173"/>
      <c r="BY342" s="173"/>
      <c r="BZ342" s="173"/>
      <c r="CA342" s="173"/>
      <c r="CB342" s="173"/>
      <c r="CC342" s="173"/>
      <c r="CD342" s="173"/>
      <c r="CE342" s="173"/>
      <c r="CF342" s="173"/>
      <c r="CG342" s="173"/>
      <c r="CH342" s="173"/>
      <c r="CI342" s="173"/>
      <c r="CJ342" s="173"/>
      <c r="CK342" s="173"/>
      <c r="CL342" s="173"/>
      <c r="CM342" s="173"/>
      <c r="CN342" s="173"/>
      <c r="CO342" s="173"/>
      <c r="CP342" s="173"/>
      <c r="CQ342" s="173"/>
      <c r="CR342" s="173"/>
      <c r="CS342" s="173"/>
    </row>
    <row r="343" hidden="1">
      <c r="A343" s="179" t="s">
        <v>239</v>
      </c>
      <c r="B343" s="179" t="s">
        <v>1950</v>
      </c>
      <c r="C343" s="179" t="s">
        <v>1951</v>
      </c>
      <c r="D343" s="70" t="s">
        <v>1952</v>
      </c>
      <c r="E343" s="173"/>
      <c r="F343" s="168"/>
      <c r="G343" s="168"/>
      <c r="H343" s="168" t="s">
        <v>25</v>
      </c>
      <c r="I343" s="168" t="s">
        <v>25</v>
      </c>
      <c r="J343" s="168" t="s">
        <v>25</v>
      </c>
      <c r="K343" s="163" t="str">
        <f>VLOOKUP(C343,'Term Reference Guide'!$C:$C,1,false)</f>
        <v>UO:0000034</v>
      </c>
      <c r="L343" s="173"/>
      <c r="M343" s="173"/>
      <c r="N343" s="173"/>
      <c r="O343" s="173"/>
      <c r="P343" s="173"/>
      <c r="Q343" s="173"/>
      <c r="R343" s="173"/>
      <c r="S343" s="173"/>
      <c r="T343" s="173"/>
      <c r="U343" s="173"/>
      <c r="V343" s="173"/>
      <c r="W343" s="173"/>
      <c r="X343" s="173"/>
      <c r="Y343" s="173"/>
      <c r="Z343" s="173"/>
      <c r="AA343" s="173"/>
      <c r="AB343" s="173"/>
      <c r="AC343" s="173"/>
      <c r="AD343" s="173"/>
      <c r="AE343" s="173"/>
      <c r="AF343" s="173"/>
      <c r="AG343" s="173"/>
      <c r="AH343" s="173"/>
      <c r="AI343" s="173"/>
      <c r="AJ343" s="173"/>
      <c r="AK343" s="173"/>
      <c r="AL343" s="173"/>
      <c r="AM343" s="173"/>
      <c r="AN343" s="173"/>
      <c r="AO343" s="173"/>
      <c r="AP343" s="173"/>
      <c r="AQ343" s="173"/>
      <c r="AR343" s="173"/>
      <c r="AS343" s="173"/>
      <c r="AT343" s="173"/>
      <c r="AU343" s="173"/>
      <c r="AV343" s="173"/>
      <c r="AW343" s="173"/>
      <c r="AX343" s="173"/>
      <c r="AY343" s="173"/>
      <c r="AZ343" s="173"/>
      <c r="BA343" s="173"/>
      <c r="BB343" s="173"/>
      <c r="BC343" s="173"/>
      <c r="BD343" s="173"/>
      <c r="BE343" s="173"/>
      <c r="BF343" s="173"/>
      <c r="BG343" s="173"/>
      <c r="BH343" s="173"/>
      <c r="BI343" s="173"/>
      <c r="BJ343" s="173"/>
      <c r="BK343" s="173"/>
      <c r="BL343" s="173"/>
      <c r="BM343" s="173"/>
      <c r="BN343" s="173"/>
      <c r="BO343" s="173"/>
      <c r="BP343" s="173"/>
      <c r="BQ343" s="173"/>
      <c r="BR343" s="173"/>
      <c r="BS343" s="173"/>
      <c r="BT343" s="173"/>
      <c r="BU343" s="173"/>
      <c r="BV343" s="173"/>
      <c r="BW343" s="173"/>
      <c r="BX343" s="173"/>
      <c r="BY343" s="173"/>
      <c r="BZ343" s="173"/>
      <c r="CA343" s="173"/>
      <c r="CB343" s="173"/>
      <c r="CC343" s="173"/>
      <c r="CD343" s="173"/>
      <c r="CE343" s="173"/>
      <c r="CF343" s="173"/>
      <c r="CG343" s="173"/>
      <c r="CH343" s="173"/>
      <c r="CI343" s="173"/>
      <c r="CJ343" s="173"/>
      <c r="CK343" s="173"/>
      <c r="CL343" s="173"/>
      <c r="CM343" s="173"/>
      <c r="CN343" s="173"/>
      <c r="CO343" s="173"/>
      <c r="CP343" s="173"/>
      <c r="CQ343" s="173"/>
      <c r="CR343" s="173"/>
      <c r="CS343" s="173"/>
    </row>
    <row r="344" hidden="1">
      <c r="A344" s="179" t="s">
        <v>239</v>
      </c>
      <c r="B344" s="179" t="s">
        <v>1953</v>
      </c>
      <c r="C344" s="179" t="s">
        <v>1954</v>
      </c>
      <c r="D344" s="70" t="s">
        <v>1955</v>
      </c>
      <c r="E344" s="173"/>
      <c r="F344" s="168"/>
      <c r="G344" s="168"/>
      <c r="H344" s="168" t="s">
        <v>25</v>
      </c>
      <c r="I344" s="168" t="s">
        <v>25</v>
      </c>
      <c r="J344" s="168" t="s">
        <v>25</v>
      </c>
      <c r="K344" s="163" t="str">
        <f>VLOOKUP(C344,'Term Reference Guide'!$C:$C,1,false)</f>
        <v>UO:0000035</v>
      </c>
      <c r="L344" s="173"/>
      <c r="M344" s="173"/>
      <c r="N344" s="173"/>
      <c r="O344" s="173"/>
      <c r="P344" s="173"/>
      <c r="Q344" s="173"/>
      <c r="R344" s="173"/>
      <c r="S344" s="173"/>
      <c r="T344" s="173"/>
      <c r="U344" s="173"/>
      <c r="V344" s="173"/>
      <c r="W344" s="173"/>
      <c r="X344" s="173"/>
      <c r="Y344" s="173"/>
      <c r="Z344" s="173"/>
      <c r="AA344" s="173"/>
      <c r="AB344" s="173"/>
      <c r="AC344" s="173"/>
      <c r="AD344" s="173"/>
      <c r="AE344" s="173"/>
      <c r="AF344" s="173"/>
      <c r="AG344" s="173"/>
      <c r="AH344" s="173"/>
      <c r="AI344" s="173"/>
      <c r="AJ344" s="173"/>
      <c r="AK344" s="173"/>
      <c r="AL344" s="173"/>
      <c r="AM344" s="173"/>
      <c r="AN344" s="173"/>
      <c r="AO344" s="173"/>
      <c r="AP344" s="173"/>
      <c r="AQ344" s="173"/>
      <c r="AR344" s="173"/>
      <c r="AS344" s="173"/>
      <c r="AT344" s="173"/>
      <c r="AU344" s="173"/>
      <c r="AV344" s="173"/>
      <c r="AW344" s="173"/>
      <c r="AX344" s="173"/>
      <c r="AY344" s="173"/>
      <c r="AZ344" s="173"/>
      <c r="BA344" s="173"/>
      <c r="BB344" s="173"/>
      <c r="BC344" s="173"/>
      <c r="BD344" s="173"/>
      <c r="BE344" s="173"/>
      <c r="BF344" s="173"/>
      <c r="BG344" s="173"/>
      <c r="BH344" s="173"/>
      <c r="BI344" s="173"/>
      <c r="BJ344" s="173"/>
      <c r="BK344" s="173"/>
      <c r="BL344" s="173"/>
      <c r="BM344" s="173"/>
      <c r="BN344" s="173"/>
      <c r="BO344" s="173"/>
      <c r="BP344" s="173"/>
      <c r="BQ344" s="173"/>
      <c r="BR344" s="173"/>
      <c r="BS344" s="173"/>
      <c r="BT344" s="173"/>
      <c r="BU344" s="173"/>
      <c r="BV344" s="173"/>
      <c r="BW344" s="173"/>
      <c r="BX344" s="173"/>
      <c r="BY344" s="173"/>
      <c r="BZ344" s="173"/>
      <c r="CA344" s="173"/>
      <c r="CB344" s="173"/>
      <c r="CC344" s="173"/>
      <c r="CD344" s="173"/>
      <c r="CE344" s="173"/>
      <c r="CF344" s="173"/>
      <c r="CG344" s="173"/>
      <c r="CH344" s="173"/>
      <c r="CI344" s="173"/>
      <c r="CJ344" s="173"/>
      <c r="CK344" s="173"/>
      <c r="CL344" s="173"/>
      <c r="CM344" s="173"/>
      <c r="CN344" s="173"/>
      <c r="CO344" s="173"/>
      <c r="CP344" s="173"/>
      <c r="CQ344" s="173"/>
      <c r="CR344" s="173"/>
      <c r="CS344" s="173"/>
    </row>
    <row r="345" hidden="1">
      <c r="A345" s="179" t="s">
        <v>239</v>
      </c>
      <c r="B345" s="179" t="s">
        <v>1956</v>
      </c>
      <c r="C345" s="179" t="s">
        <v>1957</v>
      </c>
      <c r="D345" s="70" t="s">
        <v>1958</v>
      </c>
      <c r="E345" s="173"/>
      <c r="F345" s="168"/>
      <c r="G345" s="168"/>
      <c r="H345" s="168" t="s">
        <v>25</v>
      </c>
      <c r="I345" s="168" t="s">
        <v>25</v>
      </c>
      <c r="J345" s="168" t="s">
        <v>25</v>
      </c>
      <c r="K345" s="163" t="str">
        <f>VLOOKUP(C345,'Term Reference Guide'!$C:$C,1,false)</f>
        <v>UO:0000036</v>
      </c>
      <c r="L345" s="173"/>
      <c r="M345" s="173"/>
      <c r="N345" s="173"/>
      <c r="O345" s="173"/>
      <c r="P345" s="173"/>
      <c r="Q345" s="173"/>
      <c r="R345" s="173"/>
      <c r="S345" s="173"/>
      <c r="T345" s="173"/>
      <c r="U345" s="173"/>
      <c r="V345" s="173"/>
      <c r="W345" s="173"/>
      <c r="X345" s="173"/>
      <c r="Y345" s="173"/>
      <c r="Z345" s="173"/>
      <c r="AA345" s="173"/>
      <c r="AB345" s="173"/>
      <c r="AC345" s="173"/>
      <c r="AD345" s="173"/>
      <c r="AE345" s="173"/>
      <c r="AF345" s="173"/>
      <c r="AG345" s="173"/>
      <c r="AH345" s="173"/>
      <c r="AI345" s="173"/>
      <c r="AJ345" s="173"/>
      <c r="AK345" s="173"/>
      <c r="AL345" s="173"/>
      <c r="AM345" s="173"/>
      <c r="AN345" s="173"/>
      <c r="AO345" s="173"/>
      <c r="AP345" s="173"/>
      <c r="AQ345" s="173"/>
      <c r="AR345" s="173"/>
      <c r="AS345" s="173"/>
      <c r="AT345" s="173"/>
      <c r="AU345" s="173"/>
      <c r="AV345" s="173"/>
      <c r="AW345" s="173"/>
      <c r="AX345" s="173"/>
      <c r="AY345" s="173"/>
      <c r="AZ345" s="173"/>
      <c r="BA345" s="173"/>
      <c r="BB345" s="173"/>
      <c r="BC345" s="173"/>
      <c r="BD345" s="173"/>
      <c r="BE345" s="173"/>
      <c r="BF345" s="173"/>
      <c r="BG345" s="173"/>
      <c r="BH345" s="173"/>
      <c r="BI345" s="173"/>
      <c r="BJ345" s="173"/>
      <c r="BK345" s="173"/>
      <c r="BL345" s="173"/>
      <c r="BM345" s="173"/>
      <c r="BN345" s="173"/>
      <c r="BO345" s="173"/>
      <c r="BP345" s="173"/>
      <c r="BQ345" s="173"/>
      <c r="BR345" s="173"/>
      <c r="BS345" s="173"/>
      <c r="BT345" s="173"/>
      <c r="BU345" s="173"/>
      <c r="BV345" s="173"/>
      <c r="BW345" s="173"/>
      <c r="BX345" s="173"/>
      <c r="BY345" s="173"/>
      <c r="BZ345" s="173"/>
      <c r="CA345" s="173"/>
      <c r="CB345" s="173"/>
      <c r="CC345" s="173"/>
      <c r="CD345" s="173"/>
      <c r="CE345" s="173"/>
      <c r="CF345" s="173"/>
      <c r="CG345" s="173"/>
      <c r="CH345" s="173"/>
      <c r="CI345" s="173"/>
      <c r="CJ345" s="173"/>
      <c r="CK345" s="173"/>
      <c r="CL345" s="173"/>
      <c r="CM345" s="173"/>
      <c r="CN345" s="173"/>
      <c r="CO345" s="173"/>
      <c r="CP345" s="173"/>
      <c r="CQ345" s="173"/>
      <c r="CR345" s="173"/>
      <c r="CS345" s="173"/>
    </row>
    <row r="346">
      <c r="A346" s="173"/>
      <c r="B346" s="173"/>
      <c r="C346" s="173"/>
      <c r="D346" s="141"/>
      <c r="E346" s="173"/>
      <c r="F346" s="173"/>
      <c r="G346" s="173"/>
      <c r="H346" s="173"/>
      <c r="I346" s="173"/>
      <c r="J346" s="141"/>
      <c r="K346" s="163" t="str">
        <f>VLOOKUP(C346,'Term Reference Guide'!$C:$C,1,false)</f>
        <v>#N/A</v>
      </c>
      <c r="L346" s="173"/>
      <c r="M346" s="173"/>
      <c r="N346" s="173"/>
      <c r="O346" s="173"/>
      <c r="P346" s="173"/>
      <c r="Q346" s="173"/>
      <c r="R346" s="173"/>
      <c r="S346" s="173"/>
      <c r="T346" s="173"/>
      <c r="U346" s="173"/>
      <c r="V346" s="173"/>
      <c r="W346" s="173"/>
      <c r="X346" s="173"/>
      <c r="Y346" s="173"/>
      <c r="Z346" s="173"/>
      <c r="AA346" s="173"/>
      <c r="AB346" s="173"/>
      <c r="AC346" s="173"/>
      <c r="AD346" s="173"/>
      <c r="AE346" s="173"/>
      <c r="AF346" s="173"/>
      <c r="AG346" s="173"/>
      <c r="AH346" s="173"/>
      <c r="AI346" s="173"/>
      <c r="AJ346" s="173"/>
      <c r="AK346" s="173"/>
      <c r="AL346" s="173"/>
      <c r="AM346" s="173"/>
      <c r="AN346" s="173"/>
      <c r="AO346" s="173"/>
      <c r="AP346" s="173"/>
      <c r="AQ346" s="173"/>
      <c r="AR346" s="173"/>
      <c r="AS346" s="173"/>
      <c r="AT346" s="173"/>
      <c r="AU346" s="173"/>
      <c r="AV346" s="173"/>
      <c r="AW346" s="173"/>
      <c r="AX346" s="173"/>
      <c r="AY346" s="173"/>
      <c r="AZ346" s="173"/>
      <c r="BA346" s="173"/>
      <c r="BB346" s="173"/>
      <c r="BC346" s="173"/>
      <c r="BD346" s="173"/>
      <c r="BE346" s="173"/>
      <c r="BF346" s="173"/>
      <c r="BG346" s="173"/>
      <c r="BH346" s="173"/>
      <c r="BI346" s="173"/>
      <c r="BJ346" s="173"/>
      <c r="BK346" s="173"/>
      <c r="BL346" s="173"/>
      <c r="BM346" s="173"/>
      <c r="BN346" s="173"/>
      <c r="BO346" s="173"/>
      <c r="BP346" s="173"/>
      <c r="BQ346" s="173"/>
      <c r="BR346" s="173"/>
      <c r="BS346" s="173"/>
      <c r="BT346" s="173"/>
      <c r="BU346" s="173"/>
      <c r="BV346" s="173"/>
      <c r="BW346" s="173"/>
      <c r="BX346" s="173"/>
      <c r="BY346" s="173"/>
      <c r="BZ346" s="173"/>
      <c r="CA346" s="173"/>
      <c r="CB346" s="173"/>
      <c r="CC346" s="173"/>
      <c r="CD346" s="173"/>
      <c r="CE346" s="173"/>
      <c r="CF346" s="173"/>
      <c r="CG346" s="173"/>
      <c r="CH346" s="173"/>
      <c r="CI346" s="173"/>
      <c r="CJ346" s="173"/>
      <c r="CK346" s="173"/>
      <c r="CL346" s="173"/>
      <c r="CM346" s="173"/>
      <c r="CN346" s="173"/>
      <c r="CO346" s="173"/>
      <c r="CP346" s="173"/>
      <c r="CQ346" s="173"/>
      <c r="CR346" s="173"/>
      <c r="CS346" s="173"/>
    </row>
    <row r="347">
      <c r="A347" s="170" t="s">
        <v>243</v>
      </c>
      <c r="B347" s="156"/>
      <c r="C347" s="156"/>
      <c r="D347" s="139"/>
      <c r="E347" s="156"/>
      <c r="F347" s="156"/>
      <c r="G347" s="156"/>
      <c r="H347" s="164"/>
      <c r="I347" s="164"/>
      <c r="J347" s="171"/>
      <c r="K347" s="163" t="str">
        <f>VLOOKUP(C347,'Term Reference Guide'!$C:$C,1,false)</f>
        <v>#N/A</v>
      </c>
      <c r="L347" s="163"/>
      <c r="M347" s="163"/>
      <c r="N347" s="163"/>
      <c r="O347" s="163"/>
      <c r="P347" s="163"/>
      <c r="Q347" s="163"/>
      <c r="R347" s="163"/>
      <c r="S347" s="163"/>
      <c r="T347" s="163"/>
      <c r="U347" s="163"/>
      <c r="V347" s="163"/>
      <c r="W347" s="163"/>
      <c r="X347" s="163"/>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c r="BP347" s="41"/>
      <c r="BQ347" s="41"/>
      <c r="BR347" s="41"/>
      <c r="BS347" s="41"/>
      <c r="BT347" s="41"/>
      <c r="BU347" s="41"/>
      <c r="BV347" s="41"/>
      <c r="BW347" s="41"/>
      <c r="BX347" s="41"/>
      <c r="BY347" s="41"/>
      <c r="BZ347" s="41"/>
      <c r="CA347" s="41"/>
      <c r="CB347" s="41"/>
      <c r="CC347" s="41"/>
      <c r="CD347" s="41"/>
      <c r="CE347" s="41"/>
      <c r="CF347" s="41"/>
      <c r="CG347" s="41"/>
      <c r="CH347" s="41"/>
      <c r="CI347" s="41"/>
      <c r="CJ347" s="41"/>
      <c r="CK347" s="41"/>
      <c r="CL347" s="41"/>
      <c r="CM347" s="41"/>
      <c r="CN347" s="41"/>
      <c r="CO347" s="41"/>
      <c r="CP347" s="41"/>
      <c r="CQ347" s="41"/>
      <c r="CR347" s="41"/>
      <c r="CS347" s="41"/>
    </row>
    <row r="348" hidden="1">
      <c r="A348" s="168" t="s">
        <v>243</v>
      </c>
      <c r="B348" s="168" t="s">
        <v>1998</v>
      </c>
      <c r="C348" s="168" t="s">
        <v>1999</v>
      </c>
      <c r="D348" s="181" t="s">
        <v>2000</v>
      </c>
      <c r="E348" s="163"/>
      <c r="F348" s="168"/>
      <c r="G348" s="168"/>
      <c r="H348" s="168" t="s">
        <v>25</v>
      </c>
      <c r="I348" s="168" t="s">
        <v>25</v>
      </c>
      <c r="J348" s="168" t="s">
        <v>25</v>
      </c>
      <c r="K348" s="163" t="str">
        <f>VLOOKUP(C348,'Term Reference Guide'!$C:$C,1,false)</f>
        <v>OBI:0600041</v>
      </c>
      <c r="L348" s="163"/>
      <c r="M348" s="163"/>
      <c r="N348" s="163"/>
      <c r="O348" s="163"/>
      <c r="P348" s="163"/>
      <c r="Q348" s="163"/>
      <c r="R348" s="163"/>
      <c r="S348" s="163"/>
      <c r="T348" s="163"/>
      <c r="U348" s="163"/>
      <c r="V348" s="163"/>
      <c r="W348" s="163"/>
      <c r="X348" s="163"/>
      <c r="Y348" s="163"/>
      <c r="Z348" s="163"/>
      <c r="AA348" s="173"/>
      <c r="AB348" s="173"/>
      <c r="AC348" s="173"/>
      <c r="AD348" s="173"/>
      <c r="AE348" s="173"/>
      <c r="AF348" s="173"/>
      <c r="AG348" s="173"/>
      <c r="AH348" s="173"/>
      <c r="AI348" s="173"/>
      <c r="AJ348" s="173"/>
      <c r="AK348" s="173"/>
      <c r="AL348" s="173"/>
      <c r="AM348" s="173"/>
      <c r="AN348" s="173"/>
      <c r="AO348" s="173"/>
      <c r="AP348" s="173"/>
      <c r="AQ348" s="173"/>
      <c r="AR348" s="173"/>
      <c r="AS348" s="173"/>
      <c r="AT348" s="173"/>
      <c r="AU348" s="173"/>
      <c r="AV348" s="173"/>
      <c r="AW348" s="173"/>
      <c r="AX348" s="173"/>
      <c r="AY348" s="173"/>
      <c r="AZ348" s="173"/>
      <c r="BA348" s="173"/>
      <c r="BB348" s="173"/>
      <c r="BC348" s="173"/>
      <c r="BD348" s="173"/>
      <c r="BE348" s="173"/>
      <c r="BF348" s="173"/>
      <c r="BG348" s="173"/>
      <c r="BH348" s="173"/>
      <c r="BI348" s="173"/>
      <c r="BJ348" s="173"/>
      <c r="BK348" s="173"/>
      <c r="BL348" s="173"/>
      <c r="BM348" s="173"/>
      <c r="BN348" s="173"/>
      <c r="BO348" s="173"/>
      <c r="BP348" s="173"/>
      <c r="BQ348" s="173"/>
      <c r="BR348" s="173"/>
      <c r="BS348" s="173"/>
      <c r="BT348" s="173"/>
      <c r="BU348" s="173"/>
      <c r="BV348" s="173"/>
      <c r="BW348" s="173"/>
      <c r="BX348" s="173"/>
      <c r="BY348" s="173"/>
      <c r="BZ348" s="173"/>
      <c r="CA348" s="173"/>
      <c r="CB348" s="173"/>
      <c r="CC348" s="173"/>
      <c r="CD348" s="173"/>
      <c r="CE348" s="173"/>
      <c r="CF348" s="173"/>
      <c r="CG348" s="173"/>
      <c r="CH348" s="173"/>
      <c r="CI348" s="173"/>
      <c r="CJ348" s="173"/>
      <c r="CK348" s="173"/>
      <c r="CL348" s="173"/>
      <c r="CM348" s="173"/>
      <c r="CN348" s="173"/>
      <c r="CO348" s="173"/>
      <c r="CP348" s="173"/>
      <c r="CQ348" s="173"/>
      <c r="CR348" s="173"/>
      <c r="CS348" s="173"/>
    </row>
    <row r="349" hidden="1">
      <c r="A349" s="168" t="s">
        <v>243</v>
      </c>
      <c r="B349" s="168" t="s">
        <v>247</v>
      </c>
      <c r="C349" s="168" t="s">
        <v>2001</v>
      </c>
      <c r="D349" s="181" t="s">
        <v>2002</v>
      </c>
      <c r="E349" s="163"/>
      <c r="F349" s="168"/>
      <c r="G349" s="168"/>
      <c r="H349" s="168" t="s">
        <v>25</v>
      </c>
      <c r="I349" s="168" t="s">
        <v>25</v>
      </c>
      <c r="J349" s="168" t="s">
        <v>25</v>
      </c>
      <c r="K349" s="163" t="str">
        <f>VLOOKUP(C349,'Term Reference Guide'!$C:$C,1,false)</f>
        <v>OBI:0302886</v>
      </c>
      <c r="L349" s="163"/>
      <c r="M349" s="163"/>
      <c r="N349" s="163"/>
      <c r="O349" s="163"/>
      <c r="P349" s="163"/>
      <c r="Q349" s="163"/>
      <c r="R349" s="163"/>
      <c r="S349" s="163"/>
      <c r="T349" s="163"/>
      <c r="U349" s="163"/>
      <c r="V349" s="163"/>
      <c r="W349" s="163"/>
      <c r="X349" s="163"/>
      <c r="Y349" s="163"/>
      <c r="Z349" s="163"/>
      <c r="AA349" s="173"/>
      <c r="AB349" s="173"/>
      <c r="AC349" s="173"/>
      <c r="AD349" s="173"/>
      <c r="AE349" s="173"/>
      <c r="AF349" s="173"/>
      <c r="AG349" s="173"/>
      <c r="AH349" s="173"/>
      <c r="AI349" s="173"/>
      <c r="AJ349" s="173"/>
      <c r="AK349" s="173"/>
      <c r="AL349" s="173"/>
      <c r="AM349" s="173"/>
      <c r="AN349" s="173"/>
      <c r="AO349" s="173"/>
      <c r="AP349" s="173"/>
      <c r="AQ349" s="173"/>
      <c r="AR349" s="173"/>
      <c r="AS349" s="173"/>
      <c r="AT349" s="173"/>
      <c r="AU349" s="173"/>
      <c r="AV349" s="173"/>
      <c r="AW349" s="173"/>
      <c r="AX349" s="173"/>
      <c r="AY349" s="173"/>
      <c r="AZ349" s="173"/>
      <c r="BA349" s="173"/>
      <c r="BB349" s="173"/>
      <c r="BC349" s="173"/>
      <c r="BD349" s="173"/>
      <c r="BE349" s="173"/>
      <c r="BF349" s="173"/>
      <c r="BG349" s="173"/>
      <c r="BH349" s="173"/>
      <c r="BI349" s="173"/>
      <c r="BJ349" s="173"/>
      <c r="BK349" s="173"/>
      <c r="BL349" s="173"/>
      <c r="BM349" s="173"/>
      <c r="BN349" s="173"/>
      <c r="BO349" s="173"/>
      <c r="BP349" s="173"/>
      <c r="BQ349" s="173"/>
      <c r="BR349" s="173"/>
      <c r="BS349" s="173"/>
      <c r="BT349" s="173"/>
      <c r="BU349" s="173"/>
      <c r="BV349" s="173"/>
      <c r="BW349" s="173"/>
      <c r="BX349" s="173"/>
      <c r="BY349" s="173"/>
      <c r="BZ349" s="173"/>
      <c r="CA349" s="173"/>
      <c r="CB349" s="173"/>
      <c r="CC349" s="173"/>
      <c r="CD349" s="173"/>
      <c r="CE349" s="173"/>
      <c r="CF349" s="173"/>
      <c r="CG349" s="173"/>
      <c r="CH349" s="173"/>
      <c r="CI349" s="173"/>
      <c r="CJ349" s="173"/>
      <c r="CK349" s="173"/>
      <c r="CL349" s="173"/>
      <c r="CM349" s="173"/>
      <c r="CN349" s="173"/>
      <c r="CO349" s="173"/>
      <c r="CP349" s="173"/>
      <c r="CQ349" s="173"/>
      <c r="CR349" s="173"/>
      <c r="CS349" s="173"/>
    </row>
    <row r="350" hidden="1">
      <c r="A350" s="168" t="s">
        <v>243</v>
      </c>
      <c r="B350" s="168" t="s">
        <v>2003</v>
      </c>
      <c r="C350" s="168" t="s">
        <v>2004</v>
      </c>
      <c r="D350" s="181" t="s">
        <v>2005</v>
      </c>
      <c r="E350" s="163"/>
      <c r="F350" s="168"/>
      <c r="G350" s="168"/>
      <c r="H350" s="168" t="s">
        <v>25</v>
      </c>
      <c r="I350" s="168" t="s">
        <v>25</v>
      </c>
      <c r="J350" s="168" t="s">
        <v>25</v>
      </c>
      <c r="K350" s="163" t="str">
        <f>VLOOKUP(C350,'Term Reference Guide'!$C:$C,1,false)</f>
        <v>OBI:0302885</v>
      </c>
      <c r="L350" s="163"/>
      <c r="M350" s="163"/>
      <c r="N350" s="163"/>
      <c r="O350" s="163"/>
      <c r="P350" s="163"/>
      <c r="Q350" s="163"/>
      <c r="R350" s="163"/>
      <c r="S350" s="163"/>
      <c r="T350" s="163"/>
      <c r="U350" s="163"/>
      <c r="V350" s="163"/>
      <c r="W350" s="163"/>
      <c r="X350" s="163"/>
      <c r="Y350" s="163"/>
      <c r="Z350" s="163"/>
      <c r="AA350" s="173"/>
      <c r="AB350" s="173"/>
      <c r="AC350" s="173"/>
      <c r="AD350" s="173"/>
      <c r="AE350" s="173"/>
      <c r="AF350" s="173"/>
      <c r="AG350" s="173"/>
      <c r="AH350" s="173"/>
      <c r="AI350" s="173"/>
      <c r="AJ350" s="173"/>
      <c r="AK350" s="173"/>
      <c r="AL350" s="173"/>
      <c r="AM350" s="173"/>
      <c r="AN350" s="173"/>
      <c r="AO350" s="173"/>
      <c r="AP350" s="173"/>
      <c r="AQ350" s="173"/>
      <c r="AR350" s="173"/>
      <c r="AS350" s="173"/>
      <c r="AT350" s="173"/>
      <c r="AU350" s="173"/>
      <c r="AV350" s="173"/>
      <c r="AW350" s="173"/>
      <c r="AX350" s="173"/>
      <c r="AY350" s="173"/>
      <c r="AZ350" s="173"/>
      <c r="BA350" s="173"/>
      <c r="BB350" s="173"/>
      <c r="BC350" s="173"/>
      <c r="BD350" s="173"/>
      <c r="BE350" s="173"/>
      <c r="BF350" s="173"/>
      <c r="BG350" s="173"/>
      <c r="BH350" s="173"/>
      <c r="BI350" s="173"/>
      <c r="BJ350" s="173"/>
      <c r="BK350" s="173"/>
      <c r="BL350" s="173"/>
      <c r="BM350" s="173"/>
      <c r="BN350" s="173"/>
      <c r="BO350" s="173"/>
      <c r="BP350" s="173"/>
      <c r="BQ350" s="173"/>
      <c r="BR350" s="173"/>
      <c r="BS350" s="173"/>
      <c r="BT350" s="173"/>
      <c r="BU350" s="173"/>
      <c r="BV350" s="173"/>
      <c r="BW350" s="173"/>
      <c r="BX350" s="173"/>
      <c r="BY350" s="173"/>
      <c r="BZ350" s="173"/>
      <c r="CA350" s="173"/>
      <c r="CB350" s="173"/>
      <c r="CC350" s="173"/>
      <c r="CD350" s="173"/>
      <c r="CE350" s="173"/>
      <c r="CF350" s="173"/>
      <c r="CG350" s="173"/>
      <c r="CH350" s="173"/>
      <c r="CI350" s="173"/>
      <c r="CJ350" s="173"/>
      <c r="CK350" s="173"/>
      <c r="CL350" s="173"/>
      <c r="CM350" s="173"/>
      <c r="CN350" s="173"/>
      <c r="CO350" s="173"/>
      <c r="CP350" s="173"/>
      <c r="CQ350" s="173"/>
      <c r="CR350" s="173"/>
      <c r="CS350" s="173"/>
    </row>
    <row r="351" hidden="1">
      <c r="A351" s="168" t="s">
        <v>243</v>
      </c>
      <c r="B351" s="168" t="s">
        <v>2006</v>
      </c>
      <c r="C351" s="168" t="s">
        <v>2007</v>
      </c>
      <c r="D351" s="181" t="s">
        <v>2008</v>
      </c>
      <c r="E351" s="163"/>
      <c r="F351" s="168"/>
      <c r="G351" s="168"/>
      <c r="H351" s="168" t="s">
        <v>25</v>
      </c>
      <c r="I351" s="168" t="s">
        <v>25</v>
      </c>
      <c r="J351" s="168" t="s">
        <v>25</v>
      </c>
      <c r="K351" s="163" t="str">
        <f>VLOOKUP(C351,'Term Reference Guide'!$C:$C,1,false)</f>
        <v>NCIT:C154798</v>
      </c>
      <c r="L351" s="163"/>
      <c r="M351" s="163"/>
      <c r="N351" s="163"/>
      <c r="O351" s="163"/>
      <c r="P351" s="163"/>
      <c r="Q351" s="163"/>
      <c r="R351" s="163"/>
      <c r="S351" s="163"/>
      <c r="T351" s="163"/>
      <c r="U351" s="163"/>
      <c r="V351" s="163"/>
      <c r="W351" s="163"/>
      <c r="X351" s="163"/>
      <c r="Y351" s="163"/>
      <c r="Z351" s="163"/>
      <c r="AA351" s="173"/>
      <c r="AB351" s="173"/>
      <c r="AC351" s="173"/>
      <c r="AD351" s="173"/>
      <c r="AE351" s="173"/>
      <c r="AF351" s="173"/>
      <c r="AG351" s="173"/>
      <c r="AH351" s="173"/>
      <c r="AI351" s="173"/>
      <c r="AJ351" s="173"/>
      <c r="AK351" s="173"/>
      <c r="AL351" s="173"/>
      <c r="AM351" s="173"/>
      <c r="AN351" s="173"/>
      <c r="AO351" s="173"/>
      <c r="AP351" s="173"/>
      <c r="AQ351" s="173"/>
      <c r="AR351" s="173"/>
      <c r="AS351" s="173"/>
      <c r="AT351" s="173"/>
      <c r="AU351" s="173"/>
      <c r="AV351" s="173"/>
      <c r="AW351" s="173"/>
      <c r="AX351" s="173"/>
      <c r="AY351" s="173"/>
      <c r="AZ351" s="173"/>
      <c r="BA351" s="173"/>
      <c r="BB351" s="173"/>
      <c r="BC351" s="173"/>
      <c r="BD351" s="173"/>
      <c r="BE351" s="173"/>
      <c r="BF351" s="173"/>
      <c r="BG351" s="173"/>
      <c r="BH351" s="173"/>
      <c r="BI351" s="173"/>
      <c r="BJ351" s="173"/>
      <c r="BK351" s="173"/>
      <c r="BL351" s="173"/>
      <c r="BM351" s="173"/>
      <c r="BN351" s="173"/>
      <c r="BO351" s="173"/>
      <c r="BP351" s="173"/>
      <c r="BQ351" s="173"/>
      <c r="BR351" s="173"/>
      <c r="BS351" s="173"/>
      <c r="BT351" s="173"/>
      <c r="BU351" s="173"/>
      <c r="BV351" s="173"/>
      <c r="BW351" s="173"/>
      <c r="BX351" s="173"/>
      <c r="BY351" s="173"/>
      <c r="BZ351" s="173"/>
      <c r="CA351" s="173"/>
      <c r="CB351" s="173"/>
      <c r="CC351" s="173"/>
      <c r="CD351" s="173"/>
      <c r="CE351" s="173"/>
      <c r="CF351" s="173"/>
      <c r="CG351" s="173"/>
      <c r="CH351" s="173"/>
      <c r="CI351" s="173"/>
      <c r="CJ351" s="173"/>
      <c r="CK351" s="173"/>
      <c r="CL351" s="173"/>
      <c r="CM351" s="173"/>
      <c r="CN351" s="173"/>
      <c r="CO351" s="173"/>
      <c r="CP351" s="173"/>
      <c r="CQ351" s="173"/>
      <c r="CR351" s="173"/>
      <c r="CS351" s="173"/>
    </row>
    <row r="352" hidden="1">
      <c r="A352" s="168" t="s">
        <v>243</v>
      </c>
      <c r="B352" s="168" t="s">
        <v>2009</v>
      </c>
      <c r="C352" s="37" t="s">
        <v>2010</v>
      </c>
      <c r="D352" s="181" t="s">
        <v>2011</v>
      </c>
      <c r="E352" s="163"/>
      <c r="F352" s="168"/>
      <c r="G352" s="168"/>
      <c r="H352" s="168" t="s">
        <v>25</v>
      </c>
      <c r="I352" s="168" t="s">
        <v>25</v>
      </c>
      <c r="J352" s="168" t="s">
        <v>25</v>
      </c>
      <c r="K352" s="163" t="str">
        <f>VLOOKUP(C352,'Term Reference Guide'!$C:$C,1,false)</f>
        <v>GENEPIO:0100886</v>
      </c>
      <c r="L352" s="163"/>
      <c r="M352" s="163"/>
      <c r="N352" s="163"/>
      <c r="O352" s="163"/>
      <c r="P352" s="163"/>
      <c r="Q352" s="163"/>
      <c r="R352" s="163"/>
      <c r="S352" s="163"/>
      <c r="T352" s="163"/>
      <c r="U352" s="163"/>
      <c r="V352" s="163"/>
      <c r="W352" s="163"/>
      <c r="X352" s="163"/>
      <c r="Y352" s="163"/>
      <c r="Z352" s="163"/>
      <c r="AA352" s="173"/>
      <c r="AB352" s="173"/>
      <c r="AC352" s="173"/>
      <c r="AD352" s="173"/>
      <c r="AE352" s="173"/>
      <c r="AF352" s="173"/>
      <c r="AG352" s="173"/>
      <c r="AH352" s="173"/>
      <c r="AI352" s="173"/>
      <c r="AJ352" s="173"/>
      <c r="AK352" s="173"/>
      <c r="AL352" s="173"/>
      <c r="AM352" s="173"/>
      <c r="AN352" s="173"/>
      <c r="AO352" s="173"/>
      <c r="AP352" s="173"/>
      <c r="AQ352" s="173"/>
      <c r="AR352" s="173"/>
      <c r="AS352" s="173"/>
      <c r="AT352" s="173"/>
      <c r="AU352" s="173"/>
      <c r="AV352" s="173"/>
      <c r="AW352" s="173"/>
      <c r="AX352" s="173"/>
      <c r="AY352" s="173"/>
      <c r="AZ352" s="173"/>
      <c r="BA352" s="173"/>
      <c r="BB352" s="173"/>
      <c r="BC352" s="173"/>
      <c r="BD352" s="173"/>
      <c r="BE352" s="173"/>
      <c r="BF352" s="173"/>
      <c r="BG352" s="173"/>
      <c r="BH352" s="173"/>
      <c r="BI352" s="173"/>
      <c r="BJ352" s="173"/>
      <c r="BK352" s="173"/>
      <c r="BL352" s="173"/>
      <c r="BM352" s="173"/>
      <c r="BN352" s="173"/>
      <c r="BO352" s="173"/>
      <c r="BP352" s="173"/>
      <c r="BQ352" s="173"/>
      <c r="BR352" s="173"/>
      <c r="BS352" s="173"/>
      <c r="BT352" s="173"/>
      <c r="BU352" s="173"/>
      <c r="BV352" s="173"/>
      <c r="BW352" s="173"/>
      <c r="BX352" s="173"/>
      <c r="BY352" s="173"/>
      <c r="BZ352" s="173"/>
      <c r="CA352" s="173"/>
      <c r="CB352" s="173"/>
      <c r="CC352" s="173"/>
      <c r="CD352" s="173"/>
      <c r="CE352" s="173"/>
      <c r="CF352" s="173"/>
      <c r="CG352" s="173"/>
      <c r="CH352" s="173"/>
      <c r="CI352" s="173"/>
      <c r="CJ352" s="173"/>
      <c r="CK352" s="173"/>
      <c r="CL352" s="173"/>
      <c r="CM352" s="173"/>
      <c r="CN352" s="173"/>
      <c r="CO352" s="173"/>
      <c r="CP352" s="173"/>
      <c r="CQ352" s="173"/>
      <c r="CR352" s="173"/>
      <c r="CS352" s="173"/>
    </row>
    <row r="353" hidden="1">
      <c r="A353" s="168" t="s">
        <v>243</v>
      </c>
      <c r="B353" s="168" t="s">
        <v>2012</v>
      </c>
      <c r="C353" s="168" t="s">
        <v>2013</v>
      </c>
      <c r="D353" s="181" t="s">
        <v>2014</v>
      </c>
      <c r="E353" s="163"/>
      <c r="F353" s="168"/>
      <c r="G353" s="168"/>
      <c r="H353" s="168" t="s">
        <v>25</v>
      </c>
      <c r="I353" s="168" t="s">
        <v>25</v>
      </c>
      <c r="J353" s="168" t="s">
        <v>25</v>
      </c>
      <c r="K353" s="163" t="str">
        <f>VLOOKUP(C353,'Term Reference Guide'!$C:$C,1,false)</f>
        <v>OBI:0600034</v>
      </c>
      <c r="L353" s="163"/>
      <c r="M353" s="163"/>
      <c r="N353" s="163"/>
      <c r="O353" s="163"/>
      <c r="P353" s="163"/>
      <c r="Q353" s="163"/>
      <c r="R353" s="163"/>
      <c r="S353" s="163"/>
      <c r="T353" s="163"/>
      <c r="U353" s="163"/>
      <c r="V353" s="163"/>
      <c r="W353" s="163"/>
      <c r="X353" s="163"/>
      <c r="Y353" s="163"/>
      <c r="Z353" s="163"/>
      <c r="AA353" s="173"/>
      <c r="AB353" s="173"/>
      <c r="AC353" s="173"/>
      <c r="AD353" s="173"/>
      <c r="AE353" s="173"/>
      <c r="AF353" s="173"/>
      <c r="AG353" s="173"/>
      <c r="AH353" s="173"/>
      <c r="AI353" s="173"/>
      <c r="AJ353" s="173"/>
      <c r="AK353" s="173"/>
      <c r="AL353" s="173"/>
      <c r="AM353" s="173"/>
      <c r="AN353" s="173"/>
      <c r="AO353" s="173"/>
      <c r="AP353" s="173"/>
      <c r="AQ353" s="173"/>
      <c r="AR353" s="173"/>
      <c r="AS353" s="173"/>
      <c r="AT353" s="173"/>
      <c r="AU353" s="173"/>
      <c r="AV353" s="173"/>
      <c r="AW353" s="173"/>
      <c r="AX353" s="173"/>
      <c r="AY353" s="173"/>
      <c r="AZ353" s="173"/>
      <c r="BA353" s="173"/>
      <c r="BB353" s="173"/>
      <c r="BC353" s="173"/>
      <c r="BD353" s="173"/>
      <c r="BE353" s="173"/>
      <c r="BF353" s="173"/>
      <c r="BG353" s="173"/>
      <c r="BH353" s="173"/>
      <c r="BI353" s="173"/>
      <c r="BJ353" s="173"/>
      <c r="BK353" s="173"/>
      <c r="BL353" s="173"/>
      <c r="BM353" s="173"/>
      <c r="BN353" s="173"/>
      <c r="BO353" s="173"/>
      <c r="BP353" s="173"/>
      <c r="BQ353" s="173"/>
      <c r="BR353" s="173"/>
      <c r="BS353" s="173"/>
      <c r="BT353" s="173"/>
      <c r="BU353" s="173"/>
      <c r="BV353" s="173"/>
      <c r="BW353" s="173"/>
      <c r="BX353" s="173"/>
      <c r="BY353" s="173"/>
      <c r="BZ353" s="173"/>
      <c r="CA353" s="173"/>
      <c r="CB353" s="173"/>
      <c r="CC353" s="173"/>
      <c r="CD353" s="173"/>
      <c r="CE353" s="173"/>
      <c r="CF353" s="173"/>
      <c r="CG353" s="173"/>
      <c r="CH353" s="173"/>
      <c r="CI353" s="173"/>
      <c r="CJ353" s="173"/>
      <c r="CK353" s="173"/>
      <c r="CL353" s="173"/>
      <c r="CM353" s="173"/>
      <c r="CN353" s="173"/>
      <c r="CO353" s="173"/>
      <c r="CP353" s="173"/>
      <c r="CQ353" s="173"/>
      <c r="CR353" s="173"/>
      <c r="CS353" s="173"/>
    </row>
    <row r="354" hidden="1">
      <c r="A354" s="168" t="s">
        <v>243</v>
      </c>
      <c r="B354" s="168" t="s">
        <v>2015</v>
      </c>
      <c r="C354" s="38" t="s">
        <v>2016</v>
      </c>
      <c r="D354" s="181" t="s">
        <v>2017</v>
      </c>
      <c r="E354" s="163"/>
      <c r="F354" s="168"/>
      <c r="G354" s="168"/>
      <c r="H354" s="168" t="s">
        <v>25</v>
      </c>
      <c r="I354" s="168" t="s">
        <v>25</v>
      </c>
      <c r="J354" s="168" t="s">
        <v>25</v>
      </c>
      <c r="K354" s="163" t="str">
        <f>VLOOKUP(C354,'Term Reference Guide'!$C:$C,1,false)</f>
        <v>GENEPIO:0101011</v>
      </c>
      <c r="L354" s="163"/>
      <c r="M354" s="163"/>
      <c r="N354" s="163"/>
      <c r="O354" s="163"/>
      <c r="P354" s="163"/>
      <c r="Q354" s="163"/>
      <c r="R354" s="163"/>
      <c r="S354" s="163"/>
      <c r="T354" s="163"/>
      <c r="U354" s="163"/>
      <c r="V354" s="163"/>
      <c r="W354" s="163"/>
      <c r="X354" s="163"/>
      <c r="Y354" s="163"/>
      <c r="Z354" s="163"/>
      <c r="AA354" s="173"/>
      <c r="AB354" s="173"/>
      <c r="AC354" s="173"/>
      <c r="AD354" s="173"/>
      <c r="AE354" s="173"/>
      <c r="AF354" s="173"/>
      <c r="AG354" s="173"/>
      <c r="AH354" s="173"/>
      <c r="AI354" s="173"/>
      <c r="AJ354" s="173"/>
      <c r="AK354" s="173"/>
      <c r="AL354" s="173"/>
      <c r="AM354" s="173"/>
      <c r="AN354" s="173"/>
      <c r="AO354" s="173"/>
      <c r="AP354" s="173"/>
      <c r="AQ354" s="173"/>
      <c r="AR354" s="173"/>
      <c r="AS354" s="173"/>
      <c r="AT354" s="173"/>
      <c r="AU354" s="173"/>
      <c r="AV354" s="173"/>
      <c r="AW354" s="173"/>
      <c r="AX354" s="173"/>
      <c r="AY354" s="173"/>
      <c r="AZ354" s="173"/>
      <c r="BA354" s="173"/>
      <c r="BB354" s="173"/>
      <c r="BC354" s="173"/>
      <c r="BD354" s="173"/>
      <c r="BE354" s="173"/>
      <c r="BF354" s="173"/>
      <c r="BG354" s="173"/>
      <c r="BH354" s="173"/>
      <c r="BI354" s="173"/>
      <c r="BJ354" s="173"/>
      <c r="BK354" s="173"/>
      <c r="BL354" s="173"/>
      <c r="BM354" s="173"/>
      <c r="BN354" s="173"/>
      <c r="BO354" s="173"/>
      <c r="BP354" s="173"/>
      <c r="BQ354" s="173"/>
      <c r="BR354" s="173"/>
      <c r="BS354" s="173"/>
      <c r="BT354" s="173"/>
      <c r="BU354" s="173"/>
      <c r="BV354" s="173"/>
      <c r="BW354" s="173"/>
      <c r="BX354" s="173"/>
      <c r="BY354" s="173"/>
      <c r="BZ354" s="173"/>
      <c r="CA354" s="173"/>
      <c r="CB354" s="173"/>
      <c r="CC354" s="173"/>
      <c r="CD354" s="173"/>
      <c r="CE354" s="173"/>
      <c r="CF354" s="173"/>
      <c r="CG354" s="173"/>
      <c r="CH354" s="173"/>
      <c r="CI354" s="173"/>
      <c r="CJ354" s="173"/>
      <c r="CK354" s="173"/>
      <c r="CL354" s="173"/>
      <c r="CM354" s="173"/>
      <c r="CN354" s="173"/>
      <c r="CO354" s="173"/>
      <c r="CP354" s="173"/>
      <c r="CQ354" s="173"/>
      <c r="CR354" s="173"/>
      <c r="CS354" s="173"/>
    </row>
    <row r="355" hidden="1">
      <c r="A355" s="168" t="s">
        <v>243</v>
      </c>
      <c r="B355" s="168" t="s">
        <v>2018</v>
      </c>
      <c r="C355" s="168" t="s">
        <v>2019</v>
      </c>
      <c r="D355" s="181" t="s">
        <v>2020</v>
      </c>
      <c r="E355" s="163"/>
      <c r="F355" s="168"/>
      <c r="G355" s="168"/>
      <c r="H355" s="168" t="s">
        <v>25</v>
      </c>
      <c r="I355" s="168" t="s">
        <v>25</v>
      </c>
      <c r="J355" s="168" t="s">
        <v>25</v>
      </c>
      <c r="K355" s="163" t="str">
        <f>VLOOKUP(C355,'Term Reference Guide'!$C:$C,1,false)</f>
        <v>IDO:0100170</v>
      </c>
      <c r="L355" s="163"/>
      <c r="M355" s="163"/>
      <c r="N355" s="163"/>
      <c r="O355" s="163"/>
      <c r="P355" s="163"/>
      <c r="Q355" s="163"/>
      <c r="R355" s="163"/>
      <c r="S355" s="163"/>
      <c r="T355" s="163"/>
      <c r="U355" s="163"/>
      <c r="V355" s="163"/>
      <c r="W355" s="163"/>
      <c r="X355" s="163"/>
      <c r="Y355" s="163"/>
      <c r="Z355" s="163"/>
      <c r="AA355" s="173"/>
      <c r="AB355" s="173"/>
      <c r="AC355" s="173"/>
      <c r="AD355" s="173"/>
      <c r="AE355" s="173"/>
      <c r="AF355" s="173"/>
      <c r="AG355" s="173"/>
      <c r="AH355" s="173"/>
      <c r="AI355" s="173"/>
      <c r="AJ355" s="173"/>
      <c r="AK355" s="173"/>
      <c r="AL355" s="173"/>
      <c r="AM355" s="173"/>
      <c r="AN355" s="173"/>
      <c r="AO355" s="173"/>
      <c r="AP355" s="173"/>
      <c r="AQ355" s="173"/>
      <c r="AR355" s="173"/>
      <c r="AS355" s="173"/>
      <c r="AT355" s="173"/>
      <c r="AU355" s="173"/>
      <c r="AV355" s="173"/>
      <c r="AW355" s="173"/>
      <c r="AX355" s="173"/>
      <c r="AY355" s="173"/>
      <c r="AZ355" s="173"/>
      <c r="BA355" s="173"/>
      <c r="BB355" s="173"/>
      <c r="BC355" s="173"/>
      <c r="BD355" s="173"/>
      <c r="BE355" s="173"/>
      <c r="BF355" s="173"/>
      <c r="BG355" s="173"/>
      <c r="BH355" s="173"/>
      <c r="BI355" s="173"/>
      <c r="BJ355" s="173"/>
      <c r="BK355" s="173"/>
      <c r="BL355" s="173"/>
      <c r="BM355" s="173"/>
      <c r="BN355" s="173"/>
      <c r="BO355" s="173"/>
      <c r="BP355" s="173"/>
      <c r="BQ355" s="173"/>
      <c r="BR355" s="173"/>
      <c r="BS355" s="173"/>
      <c r="BT355" s="173"/>
      <c r="BU355" s="173"/>
      <c r="BV355" s="173"/>
      <c r="BW355" s="173"/>
      <c r="BX355" s="173"/>
      <c r="BY355" s="173"/>
      <c r="BZ355" s="173"/>
      <c r="CA355" s="173"/>
      <c r="CB355" s="173"/>
      <c r="CC355" s="173"/>
      <c r="CD355" s="173"/>
      <c r="CE355" s="173"/>
      <c r="CF355" s="173"/>
      <c r="CG355" s="173"/>
      <c r="CH355" s="173"/>
      <c r="CI355" s="173"/>
      <c r="CJ355" s="173"/>
      <c r="CK355" s="173"/>
      <c r="CL355" s="173"/>
      <c r="CM355" s="173"/>
      <c r="CN355" s="173"/>
      <c r="CO355" s="173"/>
      <c r="CP355" s="173"/>
      <c r="CQ355" s="173"/>
      <c r="CR355" s="173"/>
      <c r="CS355" s="173"/>
    </row>
    <row r="356" hidden="1">
      <c r="A356" s="168" t="s">
        <v>243</v>
      </c>
      <c r="B356" s="168" t="s">
        <v>2021</v>
      </c>
      <c r="C356" s="38" t="s">
        <v>2022</v>
      </c>
      <c r="D356" s="181" t="s">
        <v>2023</v>
      </c>
      <c r="E356" s="163"/>
      <c r="F356" s="168"/>
      <c r="G356" s="168"/>
      <c r="H356" s="168" t="s">
        <v>25</v>
      </c>
      <c r="I356" s="168" t="s">
        <v>25</v>
      </c>
      <c r="J356" s="168" t="s">
        <v>25</v>
      </c>
      <c r="K356" s="163" t="str">
        <f>VLOOKUP(C356,'Term Reference Guide'!$C:$C,1,false)</f>
        <v>GENEPIO:0101012</v>
      </c>
      <c r="L356" s="163"/>
      <c r="M356" s="163"/>
      <c r="N356" s="163"/>
      <c r="O356" s="163"/>
      <c r="P356" s="163"/>
      <c r="Q356" s="163"/>
      <c r="R356" s="163"/>
      <c r="S356" s="163"/>
      <c r="T356" s="163"/>
      <c r="U356" s="163"/>
      <c r="V356" s="163"/>
      <c r="W356" s="163"/>
      <c r="X356" s="163"/>
      <c r="Y356" s="163"/>
      <c r="Z356" s="163"/>
      <c r="AA356" s="173"/>
      <c r="AB356" s="173"/>
      <c r="AC356" s="173"/>
      <c r="AD356" s="173"/>
      <c r="AE356" s="173"/>
      <c r="AF356" s="173"/>
      <c r="AG356" s="173"/>
      <c r="AH356" s="173"/>
      <c r="AI356" s="173"/>
      <c r="AJ356" s="173"/>
      <c r="AK356" s="173"/>
      <c r="AL356" s="173"/>
      <c r="AM356" s="173"/>
      <c r="AN356" s="173"/>
      <c r="AO356" s="173"/>
      <c r="AP356" s="173"/>
      <c r="AQ356" s="173"/>
      <c r="AR356" s="173"/>
      <c r="AS356" s="173"/>
      <c r="AT356" s="173"/>
      <c r="AU356" s="173"/>
      <c r="AV356" s="173"/>
      <c r="AW356" s="173"/>
      <c r="AX356" s="173"/>
      <c r="AY356" s="173"/>
      <c r="AZ356" s="173"/>
      <c r="BA356" s="173"/>
      <c r="BB356" s="173"/>
      <c r="BC356" s="173"/>
      <c r="BD356" s="173"/>
      <c r="BE356" s="173"/>
      <c r="BF356" s="173"/>
      <c r="BG356" s="173"/>
      <c r="BH356" s="173"/>
      <c r="BI356" s="173"/>
      <c r="BJ356" s="173"/>
      <c r="BK356" s="173"/>
      <c r="BL356" s="173"/>
      <c r="BM356" s="173"/>
      <c r="BN356" s="173"/>
      <c r="BO356" s="173"/>
      <c r="BP356" s="173"/>
      <c r="BQ356" s="173"/>
      <c r="BR356" s="173"/>
      <c r="BS356" s="173"/>
      <c r="BT356" s="173"/>
      <c r="BU356" s="173"/>
      <c r="BV356" s="173"/>
      <c r="BW356" s="173"/>
      <c r="BX356" s="173"/>
      <c r="BY356" s="173"/>
      <c r="BZ356" s="173"/>
      <c r="CA356" s="173"/>
      <c r="CB356" s="173"/>
      <c r="CC356" s="173"/>
      <c r="CD356" s="173"/>
      <c r="CE356" s="173"/>
      <c r="CF356" s="173"/>
      <c r="CG356" s="173"/>
      <c r="CH356" s="173"/>
      <c r="CI356" s="173"/>
      <c r="CJ356" s="173"/>
      <c r="CK356" s="173"/>
      <c r="CL356" s="173"/>
      <c r="CM356" s="173"/>
      <c r="CN356" s="173"/>
      <c r="CO356" s="173"/>
      <c r="CP356" s="173"/>
      <c r="CQ356" s="173"/>
      <c r="CR356" s="173"/>
      <c r="CS356" s="173"/>
    </row>
    <row r="357" hidden="1">
      <c r="A357" s="163" t="s">
        <v>243</v>
      </c>
      <c r="B357" s="168" t="s">
        <v>2024</v>
      </c>
      <c r="C357" s="163" t="s">
        <v>2025</v>
      </c>
      <c r="D357" s="167" t="s">
        <v>2026</v>
      </c>
      <c r="E357" s="163"/>
      <c r="F357" s="168"/>
      <c r="G357" s="168"/>
      <c r="H357" s="168" t="s">
        <v>25</v>
      </c>
      <c r="I357" s="168" t="s">
        <v>25</v>
      </c>
      <c r="J357" s="168" t="s">
        <v>25</v>
      </c>
      <c r="K357" s="163" t="str">
        <f>VLOOKUP(C357,'Term Reference Guide'!$C:$C,1,false)</f>
        <v>OBI:0600016</v>
      </c>
      <c r="L357" s="163"/>
      <c r="M357" s="163"/>
      <c r="N357" s="163"/>
      <c r="O357" s="163"/>
      <c r="P357" s="163"/>
      <c r="Q357" s="163"/>
      <c r="R357" s="163"/>
      <c r="S357" s="163"/>
      <c r="T357" s="163"/>
      <c r="U357" s="163"/>
      <c r="V357" s="163"/>
      <c r="W357" s="163"/>
      <c r="X357" s="163"/>
      <c r="Y357" s="163"/>
      <c r="Z357" s="163"/>
      <c r="AA357" s="173"/>
      <c r="AB357" s="173"/>
      <c r="AC357" s="173"/>
      <c r="AD357" s="173"/>
      <c r="AE357" s="173"/>
      <c r="AF357" s="173"/>
      <c r="AG357" s="173"/>
      <c r="AH357" s="173"/>
      <c r="AI357" s="173"/>
      <c r="AJ357" s="173"/>
      <c r="AK357" s="173"/>
      <c r="AL357" s="173"/>
      <c r="AM357" s="173"/>
      <c r="AN357" s="173"/>
      <c r="AO357" s="173"/>
      <c r="AP357" s="173"/>
      <c r="AQ357" s="173"/>
      <c r="AR357" s="173"/>
      <c r="AS357" s="173"/>
      <c r="AT357" s="173"/>
      <c r="AU357" s="173"/>
      <c r="AV357" s="173"/>
      <c r="AW357" s="173"/>
      <c r="AX357" s="173"/>
      <c r="AY357" s="173"/>
      <c r="AZ357" s="173"/>
      <c r="BA357" s="173"/>
      <c r="BB357" s="173"/>
      <c r="BC357" s="173"/>
      <c r="BD357" s="173"/>
      <c r="BE357" s="173"/>
      <c r="BF357" s="173"/>
      <c r="BG357" s="173"/>
      <c r="BH357" s="173"/>
      <c r="BI357" s="173"/>
      <c r="BJ357" s="173"/>
      <c r="BK357" s="173"/>
      <c r="BL357" s="173"/>
      <c r="BM357" s="173"/>
      <c r="BN357" s="173"/>
      <c r="BO357" s="173"/>
      <c r="BP357" s="173"/>
      <c r="BQ357" s="173"/>
      <c r="BR357" s="173"/>
      <c r="BS357" s="173"/>
      <c r="BT357" s="173"/>
      <c r="BU357" s="173"/>
      <c r="BV357" s="173"/>
      <c r="BW357" s="173"/>
      <c r="BX357" s="173"/>
      <c r="BY357" s="173"/>
      <c r="BZ357" s="173"/>
      <c r="CA357" s="173"/>
      <c r="CB357" s="173"/>
      <c r="CC357" s="173"/>
      <c r="CD357" s="173"/>
      <c r="CE357" s="173"/>
      <c r="CF357" s="173"/>
      <c r="CG357" s="173"/>
      <c r="CH357" s="173"/>
      <c r="CI357" s="173"/>
      <c r="CJ357" s="173"/>
      <c r="CK357" s="173"/>
      <c r="CL357" s="173"/>
      <c r="CM357" s="173"/>
      <c r="CN357" s="173"/>
      <c r="CO357" s="173"/>
      <c r="CP357" s="173"/>
      <c r="CQ357" s="173"/>
      <c r="CR357" s="173"/>
      <c r="CS357" s="173"/>
    </row>
    <row r="358" hidden="1">
      <c r="A358" s="163" t="s">
        <v>243</v>
      </c>
      <c r="B358" s="168" t="s">
        <v>2027</v>
      </c>
      <c r="C358" s="40" t="s">
        <v>2028</v>
      </c>
      <c r="D358" s="181" t="s">
        <v>2029</v>
      </c>
      <c r="E358" s="163"/>
      <c r="F358" s="168"/>
      <c r="G358" s="168"/>
      <c r="H358" s="168" t="s">
        <v>25</v>
      </c>
      <c r="I358" s="168" t="s">
        <v>25</v>
      </c>
      <c r="J358" s="168" t="s">
        <v>25</v>
      </c>
      <c r="K358" s="163" t="str">
        <f>VLOOKUP(C358,'Term Reference Guide'!$C:$C,1,false)</f>
        <v>GENEPIO:0101021</v>
      </c>
      <c r="L358" s="163"/>
      <c r="M358" s="163"/>
      <c r="N358" s="163"/>
      <c r="O358" s="163"/>
      <c r="P358" s="163"/>
      <c r="Q358" s="163"/>
      <c r="R358" s="163"/>
      <c r="S358" s="163"/>
      <c r="T358" s="163"/>
      <c r="U358" s="163"/>
      <c r="V358" s="163"/>
      <c r="W358" s="163"/>
      <c r="X358" s="163"/>
      <c r="Y358" s="163"/>
      <c r="Z358" s="163"/>
      <c r="AA358" s="173"/>
      <c r="AB358" s="173"/>
      <c r="AC358" s="173"/>
      <c r="AD358" s="173"/>
      <c r="AE358" s="173"/>
      <c r="AF358" s="173"/>
      <c r="AG358" s="173"/>
      <c r="AH358" s="173"/>
      <c r="AI358" s="173"/>
      <c r="AJ358" s="173"/>
      <c r="AK358" s="173"/>
      <c r="AL358" s="173"/>
      <c r="AM358" s="173"/>
      <c r="AN358" s="173"/>
      <c r="AO358" s="173"/>
      <c r="AP358" s="173"/>
      <c r="AQ358" s="173"/>
      <c r="AR358" s="173"/>
      <c r="AS358" s="173"/>
      <c r="AT358" s="173"/>
      <c r="AU358" s="173"/>
      <c r="AV358" s="173"/>
      <c r="AW358" s="173"/>
      <c r="AX358" s="173"/>
      <c r="AY358" s="173"/>
      <c r="AZ358" s="173"/>
      <c r="BA358" s="173"/>
      <c r="BB358" s="173"/>
      <c r="BC358" s="173"/>
      <c r="BD358" s="173"/>
      <c r="BE358" s="173"/>
      <c r="BF358" s="173"/>
      <c r="BG358" s="173"/>
      <c r="BH358" s="173"/>
      <c r="BI358" s="173"/>
      <c r="BJ358" s="173"/>
      <c r="BK358" s="173"/>
      <c r="BL358" s="173"/>
      <c r="BM358" s="173"/>
      <c r="BN358" s="173"/>
      <c r="BO358" s="173"/>
      <c r="BP358" s="173"/>
      <c r="BQ358" s="173"/>
      <c r="BR358" s="173"/>
      <c r="BS358" s="173"/>
      <c r="BT358" s="173"/>
      <c r="BU358" s="173"/>
      <c r="BV358" s="173"/>
      <c r="BW358" s="173"/>
      <c r="BX358" s="173"/>
      <c r="BY358" s="173"/>
      <c r="BZ358" s="173"/>
      <c r="CA358" s="173"/>
      <c r="CB358" s="173"/>
      <c r="CC358" s="173"/>
      <c r="CD358" s="173"/>
      <c r="CE358" s="173"/>
      <c r="CF358" s="173"/>
      <c r="CG358" s="173"/>
      <c r="CH358" s="173"/>
      <c r="CI358" s="173"/>
      <c r="CJ358" s="173"/>
      <c r="CK358" s="173"/>
      <c r="CL358" s="173"/>
      <c r="CM358" s="173"/>
      <c r="CN358" s="173"/>
      <c r="CO358" s="173"/>
      <c r="CP358" s="173"/>
      <c r="CQ358" s="173"/>
      <c r="CR358" s="173"/>
      <c r="CS358" s="173"/>
    </row>
    <row r="359" hidden="1">
      <c r="A359" s="163" t="s">
        <v>243</v>
      </c>
      <c r="B359" s="179" t="s">
        <v>2030</v>
      </c>
      <c r="C359" s="40" t="s">
        <v>2031</v>
      </c>
      <c r="D359" s="70" t="s">
        <v>2032</v>
      </c>
      <c r="E359" s="173"/>
      <c r="F359" s="168"/>
      <c r="G359" s="168"/>
      <c r="H359" s="168" t="s">
        <v>25</v>
      </c>
      <c r="I359" s="168" t="s">
        <v>25</v>
      </c>
      <c r="J359" s="168" t="s">
        <v>25</v>
      </c>
      <c r="K359" s="163" t="str">
        <f>VLOOKUP(C359,'Term Reference Guide'!$C:$C,1,false)</f>
        <v>GENEPIO:0101022</v>
      </c>
      <c r="L359" s="173"/>
      <c r="M359" s="173"/>
      <c r="N359" s="173"/>
      <c r="O359" s="173"/>
      <c r="P359" s="173"/>
      <c r="Q359" s="173"/>
      <c r="R359" s="173"/>
      <c r="S359" s="173"/>
      <c r="T359" s="173"/>
      <c r="U359" s="173"/>
      <c r="V359" s="173"/>
      <c r="W359" s="173"/>
      <c r="X359" s="173"/>
      <c r="Y359" s="173"/>
      <c r="Z359" s="173"/>
      <c r="AA359" s="173"/>
      <c r="AB359" s="173"/>
      <c r="AC359" s="173"/>
      <c r="AD359" s="173"/>
      <c r="AE359" s="173"/>
      <c r="AF359" s="173"/>
      <c r="AG359" s="173"/>
      <c r="AH359" s="173"/>
      <c r="AI359" s="173"/>
      <c r="AJ359" s="173"/>
      <c r="AK359" s="173"/>
      <c r="AL359" s="173"/>
      <c r="AM359" s="173"/>
      <c r="AN359" s="173"/>
      <c r="AO359" s="173"/>
      <c r="AP359" s="173"/>
      <c r="AQ359" s="173"/>
      <c r="AR359" s="173"/>
      <c r="AS359" s="173"/>
      <c r="AT359" s="173"/>
      <c r="AU359" s="173"/>
      <c r="AV359" s="173"/>
      <c r="AW359" s="173"/>
      <c r="AX359" s="173"/>
      <c r="AY359" s="173"/>
      <c r="AZ359" s="173"/>
      <c r="BA359" s="173"/>
      <c r="BB359" s="173"/>
      <c r="BC359" s="173"/>
      <c r="BD359" s="173"/>
      <c r="BE359" s="173"/>
      <c r="BF359" s="173"/>
      <c r="BG359" s="173"/>
      <c r="BH359" s="173"/>
      <c r="BI359" s="173"/>
      <c r="BJ359" s="173"/>
      <c r="BK359" s="173"/>
      <c r="BL359" s="173"/>
      <c r="BM359" s="173"/>
      <c r="BN359" s="173"/>
      <c r="BO359" s="173"/>
      <c r="BP359" s="173"/>
      <c r="BQ359" s="173"/>
      <c r="BR359" s="173"/>
      <c r="BS359" s="173"/>
      <c r="BT359" s="173"/>
      <c r="BU359" s="173"/>
      <c r="BV359" s="173"/>
      <c r="BW359" s="173"/>
      <c r="BX359" s="173"/>
      <c r="BY359" s="173"/>
      <c r="BZ359" s="173"/>
      <c r="CA359" s="173"/>
      <c r="CB359" s="173"/>
      <c r="CC359" s="173"/>
      <c r="CD359" s="173"/>
      <c r="CE359" s="173"/>
      <c r="CF359" s="173"/>
      <c r="CG359" s="173"/>
      <c r="CH359" s="173"/>
      <c r="CI359" s="173"/>
      <c r="CJ359" s="173"/>
      <c r="CK359" s="173"/>
      <c r="CL359" s="173"/>
      <c r="CM359" s="173"/>
      <c r="CN359" s="173"/>
      <c r="CO359" s="173"/>
      <c r="CP359" s="173"/>
      <c r="CQ359" s="173"/>
      <c r="CR359" s="173"/>
      <c r="CS359" s="173"/>
    </row>
    <row r="360">
      <c r="A360" s="173"/>
      <c r="B360" s="173"/>
      <c r="C360" s="173"/>
      <c r="D360" s="141"/>
      <c r="E360" s="173"/>
      <c r="F360" s="173"/>
      <c r="G360" s="173"/>
      <c r="H360" s="173"/>
      <c r="I360" s="173"/>
      <c r="J360" s="141"/>
      <c r="K360" s="163" t="str">
        <f>VLOOKUP(C360,'Term Reference Guide'!$C:$C,1,false)</f>
        <v>#N/A</v>
      </c>
      <c r="L360" s="173"/>
      <c r="M360" s="173"/>
      <c r="N360" s="173"/>
      <c r="O360" s="173"/>
      <c r="P360" s="173"/>
      <c r="Q360" s="173"/>
      <c r="R360" s="173"/>
      <c r="S360" s="173"/>
      <c r="T360" s="173"/>
      <c r="U360" s="173"/>
      <c r="V360" s="173"/>
      <c r="W360" s="173"/>
      <c r="X360" s="173"/>
      <c r="Y360" s="173"/>
      <c r="Z360" s="173"/>
      <c r="AA360" s="173"/>
      <c r="AB360" s="173"/>
      <c r="AC360" s="173"/>
      <c r="AD360" s="173"/>
      <c r="AE360" s="173"/>
      <c r="AF360" s="173"/>
      <c r="AG360" s="173"/>
      <c r="AH360" s="173"/>
      <c r="AI360" s="173"/>
      <c r="AJ360" s="173"/>
      <c r="AK360" s="173"/>
      <c r="AL360" s="173"/>
      <c r="AM360" s="173"/>
      <c r="AN360" s="173"/>
      <c r="AO360" s="173"/>
      <c r="AP360" s="173"/>
      <c r="AQ360" s="173"/>
      <c r="AR360" s="173"/>
      <c r="AS360" s="173"/>
      <c r="AT360" s="173"/>
      <c r="AU360" s="173"/>
      <c r="AV360" s="173"/>
      <c r="AW360" s="173"/>
      <c r="AX360" s="173"/>
      <c r="AY360" s="173"/>
      <c r="AZ360" s="173"/>
      <c r="BA360" s="173"/>
      <c r="BB360" s="173"/>
      <c r="BC360" s="173"/>
      <c r="BD360" s="173"/>
      <c r="BE360" s="173"/>
      <c r="BF360" s="173"/>
      <c r="BG360" s="173"/>
      <c r="BH360" s="173"/>
      <c r="BI360" s="173"/>
      <c r="BJ360" s="173"/>
      <c r="BK360" s="173"/>
      <c r="BL360" s="173"/>
      <c r="BM360" s="173"/>
      <c r="BN360" s="173"/>
      <c r="BO360" s="173"/>
      <c r="BP360" s="173"/>
      <c r="BQ360" s="173"/>
      <c r="BR360" s="173"/>
      <c r="BS360" s="173"/>
      <c r="BT360" s="173"/>
      <c r="BU360" s="173"/>
      <c r="BV360" s="173"/>
      <c r="BW360" s="173"/>
      <c r="BX360" s="173"/>
      <c r="BY360" s="173"/>
      <c r="BZ360" s="173"/>
      <c r="CA360" s="173"/>
      <c r="CB360" s="173"/>
      <c r="CC360" s="173"/>
      <c r="CD360" s="173"/>
      <c r="CE360" s="173"/>
      <c r="CF360" s="173"/>
      <c r="CG360" s="173"/>
      <c r="CH360" s="173"/>
      <c r="CI360" s="173"/>
      <c r="CJ360" s="173"/>
      <c r="CK360" s="173"/>
      <c r="CL360" s="173"/>
      <c r="CM360" s="173"/>
      <c r="CN360" s="173"/>
      <c r="CO360" s="173"/>
      <c r="CP360" s="173"/>
      <c r="CQ360" s="173"/>
      <c r="CR360" s="173"/>
      <c r="CS360" s="173"/>
    </row>
    <row r="361">
      <c r="A361" s="170" t="s">
        <v>257</v>
      </c>
      <c r="B361" s="156"/>
      <c r="C361" s="156"/>
      <c r="D361" s="139"/>
      <c r="E361" s="156"/>
      <c r="F361" s="156"/>
      <c r="G361" s="156"/>
      <c r="H361" s="164"/>
      <c r="I361" s="164"/>
      <c r="J361" s="171"/>
      <c r="K361" s="163" t="str">
        <f>VLOOKUP(C361,'Term Reference Guide'!$C:$C,1,false)</f>
        <v>#N/A</v>
      </c>
      <c r="L361" s="163"/>
      <c r="M361" s="163"/>
      <c r="N361" s="163"/>
      <c r="O361" s="163"/>
      <c r="P361" s="163"/>
      <c r="Q361" s="163"/>
      <c r="R361" s="163"/>
      <c r="S361" s="163"/>
      <c r="T361" s="163"/>
      <c r="U361" s="163"/>
      <c r="V361" s="163"/>
      <c r="W361" s="163"/>
      <c r="X361" s="163"/>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c r="BP361" s="41"/>
      <c r="BQ361" s="41"/>
      <c r="BR361" s="41"/>
      <c r="BS361" s="41"/>
      <c r="BT361" s="41"/>
      <c r="BU361" s="41"/>
      <c r="BV361" s="41"/>
      <c r="BW361" s="41"/>
      <c r="BX361" s="41"/>
      <c r="BY361" s="41"/>
      <c r="BZ361" s="41"/>
      <c r="CA361" s="41"/>
      <c r="CB361" s="41"/>
      <c r="CC361" s="41"/>
      <c r="CD361" s="41"/>
      <c r="CE361" s="41"/>
      <c r="CF361" s="41"/>
      <c r="CG361" s="41"/>
      <c r="CH361" s="41"/>
      <c r="CI361" s="41"/>
      <c r="CJ361" s="41"/>
      <c r="CK361" s="41"/>
      <c r="CL361" s="41"/>
      <c r="CM361" s="41"/>
      <c r="CN361" s="41"/>
      <c r="CO361" s="41"/>
      <c r="CP361" s="41"/>
      <c r="CQ361" s="41"/>
      <c r="CR361" s="41"/>
      <c r="CS361" s="41"/>
    </row>
    <row r="362" hidden="1">
      <c r="A362" s="179" t="s">
        <v>257</v>
      </c>
      <c r="B362" s="179" t="s">
        <v>2033</v>
      </c>
      <c r="C362" s="179" t="s">
        <v>2034</v>
      </c>
      <c r="D362" s="70" t="s">
        <v>2035</v>
      </c>
      <c r="E362" s="173"/>
      <c r="F362" s="168"/>
      <c r="G362" s="168"/>
      <c r="H362" s="168" t="s">
        <v>25</v>
      </c>
      <c r="I362" s="168" t="s">
        <v>25</v>
      </c>
      <c r="J362" s="168" t="s">
        <v>25</v>
      </c>
      <c r="K362" s="163" t="str">
        <f>VLOOKUP(C362,'Term Reference Guide'!$C:$C,1,false)</f>
        <v>ENVO:01001481</v>
      </c>
      <c r="L362" s="173"/>
      <c r="M362" s="173"/>
      <c r="N362" s="173"/>
      <c r="O362" s="173"/>
      <c r="P362" s="173"/>
      <c r="Q362" s="173"/>
      <c r="R362" s="173"/>
      <c r="S362" s="173"/>
      <c r="T362" s="173"/>
      <c r="U362" s="173"/>
      <c r="V362" s="173"/>
      <c r="W362" s="173"/>
      <c r="X362" s="173"/>
      <c r="Y362" s="173"/>
      <c r="Z362" s="173"/>
      <c r="AA362" s="173"/>
      <c r="AB362" s="173"/>
      <c r="AC362" s="173"/>
      <c r="AD362" s="173"/>
      <c r="AE362" s="173"/>
      <c r="AF362" s="173"/>
      <c r="AG362" s="173"/>
      <c r="AH362" s="173"/>
      <c r="AI362" s="173"/>
      <c r="AJ362" s="173"/>
      <c r="AK362" s="173"/>
      <c r="AL362" s="173"/>
      <c r="AM362" s="173"/>
      <c r="AN362" s="173"/>
      <c r="AO362" s="173"/>
      <c r="AP362" s="173"/>
      <c r="AQ362" s="173"/>
      <c r="AR362" s="173"/>
      <c r="AS362" s="173"/>
      <c r="AT362" s="173"/>
      <c r="AU362" s="173"/>
      <c r="AV362" s="173"/>
      <c r="AW362" s="173"/>
      <c r="AX362" s="173"/>
      <c r="AY362" s="173"/>
      <c r="AZ362" s="173"/>
      <c r="BA362" s="173"/>
      <c r="BB362" s="173"/>
      <c r="BC362" s="173"/>
      <c r="BD362" s="173"/>
      <c r="BE362" s="173"/>
      <c r="BF362" s="173"/>
      <c r="BG362" s="173"/>
      <c r="BH362" s="173"/>
      <c r="BI362" s="173"/>
      <c r="BJ362" s="173"/>
      <c r="BK362" s="173"/>
      <c r="BL362" s="173"/>
      <c r="BM362" s="173"/>
      <c r="BN362" s="173"/>
      <c r="BO362" s="173"/>
      <c r="BP362" s="173"/>
      <c r="BQ362" s="173"/>
      <c r="BR362" s="173"/>
      <c r="BS362" s="173"/>
      <c r="BT362" s="173"/>
      <c r="BU362" s="173"/>
      <c r="BV362" s="173"/>
      <c r="BW362" s="173"/>
      <c r="BX362" s="173"/>
      <c r="BY362" s="173"/>
      <c r="BZ362" s="173"/>
      <c r="CA362" s="173"/>
      <c r="CB362" s="173"/>
      <c r="CC362" s="173"/>
      <c r="CD362" s="173"/>
      <c r="CE362" s="173"/>
      <c r="CF362" s="173"/>
      <c r="CG362" s="173"/>
      <c r="CH362" s="173"/>
      <c r="CI362" s="173"/>
      <c r="CJ362" s="173"/>
      <c r="CK362" s="173"/>
      <c r="CL362" s="173"/>
      <c r="CM362" s="173"/>
      <c r="CN362" s="173"/>
      <c r="CO362" s="173"/>
      <c r="CP362" s="173"/>
      <c r="CQ362" s="173"/>
      <c r="CR362" s="173"/>
      <c r="CS362" s="173"/>
    </row>
    <row r="363" hidden="1">
      <c r="A363" s="179" t="s">
        <v>257</v>
      </c>
      <c r="B363" s="179" t="s">
        <v>2036</v>
      </c>
      <c r="C363" s="179" t="s">
        <v>2037</v>
      </c>
      <c r="D363" s="70" t="s">
        <v>2038</v>
      </c>
      <c r="E363" s="173"/>
      <c r="F363" s="168"/>
      <c r="G363" s="168"/>
      <c r="H363" s="168" t="s">
        <v>25</v>
      </c>
      <c r="I363" s="168" t="s">
        <v>25</v>
      </c>
      <c r="J363" s="168" t="s">
        <v>25</v>
      </c>
      <c r="K363" s="163" t="str">
        <f>VLOOKUP(C363,'Term Reference Guide'!$C:$C,1,false)</f>
        <v>ENVO:03501134</v>
      </c>
      <c r="L363" s="173"/>
      <c r="M363" s="173"/>
      <c r="N363" s="173"/>
      <c r="O363" s="173"/>
      <c r="P363" s="173"/>
      <c r="Q363" s="173"/>
      <c r="R363" s="173"/>
      <c r="S363" s="173"/>
      <c r="T363" s="173"/>
      <c r="U363" s="173"/>
      <c r="V363" s="173"/>
      <c r="W363" s="173"/>
      <c r="X363" s="173"/>
      <c r="Y363" s="173"/>
      <c r="Z363" s="173"/>
      <c r="AA363" s="173"/>
      <c r="AB363" s="173"/>
      <c r="AC363" s="173"/>
      <c r="AD363" s="173"/>
      <c r="AE363" s="173"/>
      <c r="AF363" s="173"/>
      <c r="AG363" s="173"/>
      <c r="AH363" s="173"/>
      <c r="AI363" s="173"/>
      <c r="AJ363" s="173"/>
      <c r="AK363" s="173"/>
      <c r="AL363" s="173"/>
      <c r="AM363" s="173"/>
      <c r="AN363" s="173"/>
      <c r="AO363" s="173"/>
      <c r="AP363" s="173"/>
      <c r="AQ363" s="173"/>
      <c r="AR363" s="173"/>
      <c r="AS363" s="173"/>
      <c r="AT363" s="173"/>
      <c r="AU363" s="173"/>
      <c r="AV363" s="173"/>
      <c r="AW363" s="173"/>
      <c r="AX363" s="173"/>
      <c r="AY363" s="173"/>
      <c r="AZ363" s="173"/>
      <c r="BA363" s="173"/>
      <c r="BB363" s="173"/>
      <c r="BC363" s="173"/>
      <c r="BD363" s="173"/>
      <c r="BE363" s="173"/>
      <c r="BF363" s="173"/>
      <c r="BG363" s="173"/>
      <c r="BH363" s="173"/>
      <c r="BI363" s="173"/>
      <c r="BJ363" s="173"/>
      <c r="BK363" s="173"/>
      <c r="BL363" s="173"/>
      <c r="BM363" s="173"/>
      <c r="BN363" s="173"/>
      <c r="BO363" s="173"/>
      <c r="BP363" s="173"/>
      <c r="BQ363" s="173"/>
      <c r="BR363" s="173"/>
      <c r="BS363" s="173"/>
      <c r="BT363" s="173"/>
      <c r="BU363" s="173"/>
      <c r="BV363" s="173"/>
      <c r="BW363" s="173"/>
      <c r="BX363" s="173"/>
      <c r="BY363" s="173"/>
      <c r="BZ363" s="173"/>
      <c r="CA363" s="173"/>
      <c r="CB363" s="173"/>
      <c r="CC363" s="173"/>
      <c r="CD363" s="173"/>
      <c r="CE363" s="173"/>
      <c r="CF363" s="173"/>
      <c r="CG363" s="173"/>
      <c r="CH363" s="173"/>
      <c r="CI363" s="173"/>
      <c r="CJ363" s="173"/>
      <c r="CK363" s="173"/>
      <c r="CL363" s="173"/>
      <c r="CM363" s="173"/>
      <c r="CN363" s="173"/>
      <c r="CO363" s="173"/>
      <c r="CP363" s="173"/>
      <c r="CQ363" s="173"/>
      <c r="CR363" s="173"/>
      <c r="CS363" s="173"/>
    </row>
    <row r="364" hidden="1">
      <c r="A364" s="179" t="s">
        <v>257</v>
      </c>
      <c r="B364" s="179" t="s">
        <v>2039</v>
      </c>
      <c r="C364" s="179" t="s">
        <v>2040</v>
      </c>
      <c r="D364" s="70" t="s">
        <v>2041</v>
      </c>
      <c r="E364" s="173"/>
      <c r="F364" s="168"/>
      <c r="G364" s="168"/>
      <c r="H364" s="168" t="s">
        <v>25</v>
      </c>
      <c r="I364" s="168" t="s">
        <v>25</v>
      </c>
      <c r="J364" s="168" t="s">
        <v>25</v>
      </c>
      <c r="K364" s="163" t="str">
        <f>VLOOKUP(C364,'Term Reference Guide'!$C:$C,1,false)</f>
        <v>ENVO:00002173</v>
      </c>
      <c r="L364" s="173"/>
      <c r="M364" s="173"/>
      <c r="N364" s="173"/>
      <c r="O364" s="173"/>
      <c r="P364" s="173"/>
      <c r="Q364" s="173"/>
      <c r="R364" s="173"/>
      <c r="S364" s="173"/>
      <c r="T364" s="173"/>
      <c r="U364" s="173"/>
      <c r="V364" s="173"/>
      <c r="W364" s="173"/>
      <c r="X364" s="173"/>
      <c r="Y364" s="173"/>
      <c r="Z364" s="173"/>
      <c r="AA364" s="173"/>
      <c r="AB364" s="173"/>
      <c r="AC364" s="173"/>
      <c r="AD364" s="173"/>
      <c r="AE364" s="173"/>
      <c r="AF364" s="173"/>
      <c r="AG364" s="173"/>
      <c r="AH364" s="173"/>
      <c r="AI364" s="173"/>
      <c r="AJ364" s="173"/>
      <c r="AK364" s="173"/>
      <c r="AL364" s="173"/>
      <c r="AM364" s="173"/>
      <c r="AN364" s="173"/>
      <c r="AO364" s="173"/>
      <c r="AP364" s="173"/>
      <c r="AQ364" s="173"/>
      <c r="AR364" s="173"/>
      <c r="AS364" s="173"/>
      <c r="AT364" s="173"/>
      <c r="AU364" s="173"/>
      <c r="AV364" s="173"/>
      <c r="AW364" s="173"/>
      <c r="AX364" s="173"/>
      <c r="AY364" s="173"/>
      <c r="AZ364" s="173"/>
      <c r="BA364" s="173"/>
      <c r="BB364" s="173"/>
      <c r="BC364" s="173"/>
      <c r="BD364" s="173"/>
      <c r="BE364" s="173"/>
      <c r="BF364" s="173"/>
      <c r="BG364" s="173"/>
      <c r="BH364" s="173"/>
      <c r="BI364" s="173"/>
      <c r="BJ364" s="173"/>
      <c r="BK364" s="173"/>
      <c r="BL364" s="173"/>
      <c r="BM364" s="173"/>
      <c r="BN364" s="173"/>
      <c r="BO364" s="173"/>
      <c r="BP364" s="173"/>
      <c r="BQ364" s="173"/>
      <c r="BR364" s="173"/>
      <c r="BS364" s="173"/>
      <c r="BT364" s="173"/>
      <c r="BU364" s="173"/>
      <c r="BV364" s="173"/>
      <c r="BW364" s="173"/>
      <c r="BX364" s="173"/>
      <c r="BY364" s="173"/>
      <c r="BZ364" s="173"/>
      <c r="CA364" s="173"/>
      <c r="CB364" s="173"/>
      <c r="CC364" s="173"/>
      <c r="CD364" s="173"/>
      <c r="CE364" s="173"/>
      <c r="CF364" s="173"/>
      <c r="CG364" s="173"/>
      <c r="CH364" s="173"/>
      <c r="CI364" s="173"/>
      <c r="CJ364" s="173"/>
      <c r="CK364" s="173"/>
      <c r="CL364" s="173"/>
      <c r="CM364" s="173"/>
      <c r="CN364" s="173"/>
      <c r="CO364" s="173"/>
      <c r="CP364" s="173"/>
      <c r="CQ364" s="173"/>
      <c r="CR364" s="173"/>
      <c r="CS364" s="173"/>
    </row>
    <row r="365" hidden="1">
      <c r="A365" s="179" t="s">
        <v>257</v>
      </c>
      <c r="B365" s="179" t="s">
        <v>2042</v>
      </c>
      <c r="C365" s="179" t="s">
        <v>2043</v>
      </c>
      <c r="D365" s="70" t="s">
        <v>2044</v>
      </c>
      <c r="E365" s="173"/>
      <c r="F365" s="168"/>
      <c r="G365" s="168"/>
      <c r="H365" s="168" t="s">
        <v>25</v>
      </c>
      <c r="I365" s="168" t="s">
        <v>25</v>
      </c>
      <c r="J365" s="168" t="s">
        <v>25</v>
      </c>
      <c r="K365" s="163" t="str">
        <f>VLOOKUP(C365,'Term Reference Guide'!$C:$C,1,false)</f>
        <v>ENVO:03501182</v>
      </c>
      <c r="L365" s="173"/>
      <c r="M365" s="173"/>
      <c r="N365" s="173"/>
      <c r="O365" s="173"/>
      <c r="P365" s="173"/>
      <c r="Q365" s="173"/>
      <c r="R365" s="173"/>
      <c r="S365" s="173"/>
      <c r="T365" s="173"/>
      <c r="U365" s="173"/>
      <c r="V365" s="173"/>
      <c r="W365" s="173"/>
      <c r="X365" s="173"/>
      <c r="Y365" s="173"/>
      <c r="Z365" s="173"/>
      <c r="AA365" s="173"/>
      <c r="AB365" s="173"/>
      <c r="AC365" s="173"/>
      <c r="AD365" s="173"/>
      <c r="AE365" s="173"/>
      <c r="AF365" s="173"/>
      <c r="AG365" s="173"/>
      <c r="AH365" s="173"/>
      <c r="AI365" s="173"/>
      <c r="AJ365" s="173"/>
      <c r="AK365" s="173"/>
      <c r="AL365" s="173"/>
      <c r="AM365" s="173"/>
      <c r="AN365" s="173"/>
      <c r="AO365" s="173"/>
      <c r="AP365" s="173"/>
      <c r="AQ365" s="173"/>
      <c r="AR365" s="173"/>
      <c r="AS365" s="173"/>
      <c r="AT365" s="173"/>
      <c r="AU365" s="173"/>
      <c r="AV365" s="173"/>
      <c r="AW365" s="173"/>
      <c r="AX365" s="173"/>
      <c r="AY365" s="173"/>
      <c r="AZ365" s="173"/>
      <c r="BA365" s="173"/>
      <c r="BB365" s="173"/>
      <c r="BC365" s="173"/>
      <c r="BD365" s="173"/>
      <c r="BE365" s="173"/>
      <c r="BF365" s="173"/>
      <c r="BG365" s="173"/>
      <c r="BH365" s="173"/>
      <c r="BI365" s="173"/>
      <c r="BJ365" s="173"/>
      <c r="BK365" s="173"/>
      <c r="BL365" s="173"/>
      <c r="BM365" s="173"/>
      <c r="BN365" s="173"/>
      <c r="BO365" s="173"/>
      <c r="BP365" s="173"/>
      <c r="BQ365" s="173"/>
      <c r="BR365" s="173"/>
      <c r="BS365" s="173"/>
      <c r="BT365" s="173"/>
      <c r="BU365" s="173"/>
      <c r="BV365" s="173"/>
      <c r="BW365" s="173"/>
      <c r="BX365" s="173"/>
      <c r="BY365" s="173"/>
      <c r="BZ365" s="173"/>
      <c r="CA365" s="173"/>
      <c r="CB365" s="173"/>
      <c r="CC365" s="173"/>
      <c r="CD365" s="173"/>
      <c r="CE365" s="173"/>
      <c r="CF365" s="173"/>
      <c r="CG365" s="173"/>
      <c r="CH365" s="173"/>
      <c r="CI365" s="173"/>
      <c r="CJ365" s="173"/>
      <c r="CK365" s="173"/>
      <c r="CL365" s="173"/>
      <c r="CM365" s="173"/>
      <c r="CN365" s="173"/>
      <c r="CO365" s="173"/>
      <c r="CP365" s="173"/>
      <c r="CQ365" s="173"/>
      <c r="CR365" s="173"/>
      <c r="CS365" s="173"/>
    </row>
    <row r="366" hidden="1">
      <c r="A366" s="179" t="s">
        <v>257</v>
      </c>
      <c r="B366" s="179" t="s">
        <v>2045</v>
      </c>
      <c r="C366" s="179" t="s">
        <v>2046</v>
      </c>
      <c r="D366" s="70" t="s">
        <v>2047</v>
      </c>
      <c r="E366" s="173"/>
      <c r="F366" s="168"/>
      <c r="G366" s="168"/>
      <c r="H366" s="168" t="s">
        <v>25</v>
      </c>
      <c r="I366" s="168" t="s">
        <v>25</v>
      </c>
      <c r="J366" s="168" t="s">
        <v>25</v>
      </c>
      <c r="K366" s="163" t="str">
        <f>VLOOKUP(C366,'Term Reference Guide'!$C:$C,1,false)</f>
        <v>ENVO:03501129</v>
      </c>
      <c r="L366" s="173"/>
      <c r="M366" s="173"/>
      <c r="N366" s="173"/>
      <c r="O366" s="173"/>
      <c r="P366" s="173"/>
      <c r="Q366" s="173"/>
      <c r="R366" s="173"/>
      <c r="S366" s="173"/>
      <c r="T366" s="173"/>
      <c r="U366" s="173"/>
      <c r="V366" s="173"/>
      <c r="W366" s="173"/>
      <c r="X366" s="173"/>
      <c r="Y366" s="173"/>
      <c r="Z366" s="173"/>
      <c r="AA366" s="173"/>
      <c r="AB366" s="173"/>
      <c r="AC366" s="173"/>
      <c r="AD366" s="173"/>
      <c r="AE366" s="173"/>
      <c r="AF366" s="173"/>
      <c r="AG366" s="173"/>
      <c r="AH366" s="173"/>
      <c r="AI366" s="173"/>
      <c r="AJ366" s="173"/>
      <c r="AK366" s="173"/>
      <c r="AL366" s="173"/>
      <c r="AM366" s="173"/>
      <c r="AN366" s="173"/>
      <c r="AO366" s="173"/>
      <c r="AP366" s="173"/>
      <c r="AQ366" s="173"/>
      <c r="AR366" s="173"/>
      <c r="AS366" s="173"/>
      <c r="AT366" s="173"/>
      <c r="AU366" s="173"/>
      <c r="AV366" s="173"/>
      <c r="AW366" s="173"/>
      <c r="AX366" s="173"/>
      <c r="AY366" s="173"/>
      <c r="AZ366" s="173"/>
      <c r="BA366" s="173"/>
      <c r="BB366" s="173"/>
      <c r="BC366" s="173"/>
      <c r="BD366" s="173"/>
      <c r="BE366" s="173"/>
      <c r="BF366" s="173"/>
      <c r="BG366" s="173"/>
      <c r="BH366" s="173"/>
      <c r="BI366" s="173"/>
      <c r="BJ366" s="173"/>
      <c r="BK366" s="173"/>
      <c r="BL366" s="173"/>
      <c r="BM366" s="173"/>
      <c r="BN366" s="173"/>
      <c r="BO366" s="173"/>
      <c r="BP366" s="173"/>
      <c r="BQ366" s="173"/>
      <c r="BR366" s="173"/>
      <c r="BS366" s="173"/>
      <c r="BT366" s="173"/>
      <c r="BU366" s="173"/>
      <c r="BV366" s="173"/>
      <c r="BW366" s="173"/>
      <c r="BX366" s="173"/>
      <c r="BY366" s="173"/>
      <c r="BZ366" s="173"/>
      <c r="CA366" s="173"/>
      <c r="CB366" s="173"/>
      <c r="CC366" s="173"/>
      <c r="CD366" s="173"/>
      <c r="CE366" s="173"/>
      <c r="CF366" s="173"/>
      <c r="CG366" s="173"/>
      <c r="CH366" s="173"/>
      <c r="CI366" s="173"/>
      <c r="CJ366" s="173"/>
      <c r="CK366" s="173"/>
      <c r="CL366" s="173"/>
      <c r="CM366" s="173"/>
      <c r="CN366" s="173"/>
      <c r="CO366" s="173"/>
      <c r="CP366" s="173"/>
      <c r="CQ366" s="173"/>
      <c r="CR366" s="173"/>
      <c r="CS366" s="173"/>
    </row>
    <row r="367" hidden="1">
      <c r="A367" s="179" t="s">
        <v>257</v>
      </c>
      <c r="B367" s="179" t="s">
        <v>2048</v>
      </c>
      <c r="C367" s="179" t="s">
        <v>2049</v>
      </c>
      <c r="D367" s="70" t="s">
        <v>2050</v>
      </c>
      <c r="E367" s="173"/>
      <c r="F367" s="168"/>
      <c r="G367" s="168"/>
      <c r="H367" s="168" t="s">
        <v>25</v>
      </c>
      <c r="I367" s="168" t="s">
        <v>25</v>
      </c>
      <c r="J367" s="168" t="s">
        <v>25</v>
      </c>
      <c r="K367" s="163" t="str">
        <f>VLOOKUP(C367,'Term Reference Guide'!$C:$C,1,false)</f>
        <v>ENVO:03501335</v>
      </c>
      <c r="L367" s="173"/>
      <c r="M367" s="173"/>
      <c r="N367" s="173"/>
      <c r="O367" s="173"/>
      <c r="P367" s="173"/>
      <c r="Q367" s="173"/>
      <c r="R367" s="173"/>
      <c r="S367" s="173"/>
      <c r="T367" s="173"/>
      <c r="U367" s="173"/>
      <c r="V367" s="173"/>
      <c r="W367" s="173"/>
      <c r="X367" s="173"/>
      <c r="Y367" s="173"/>
      <c r="Z367" s="173"/>
      <c r="AA367" s="173"/>
      <c r="AB367" s="173"/>
      <c r="AC367" s="173"/>
      <c r="AD367" s="173"/>
      <c r="AE367" s="173"/>
      <c r="AF367" s="173"/>
      <c r="AG367" s="173"/>
      <c r="AH367" s="173"/>
      <c r="AI367" s="173"/>
      <c r="AJ367" s="173"/>
      <c r="AK367" s="173"/>
      <c r="AL367" s="173"/>
      <c r="AM367" s="173"/>
      <c r="AN367" s="173"/>
      <c r="AO367" s="173"/>
      <c r="AP367" s="173"/>
      <c r="AQ367" s="173"/>
      <c r="AR367" s="173"/>
      <c r="AS367" s="173"/>
      <c r="AT367" s="173"/>
      <c r="AU367" s="173"/>
      <c r="AV367" s="173"/>
      <c r="AW367" s="173"/>
      <c r="AX367" s="173"/>
      <c r="AY367" s="173"/>
      <c r="AZ367" s="173"/>
      <c r="BA367" s="173"/>
      <c r="BB367" s="173"/>
      <c r="BC367" s="173"/>
      <c r="BD367" s="173"/>
      <c r="BE367" s="173"/>
      <c r="BF367" s="173"/>
      <c r="BG367" s="173"/>
      <c r="BH367" s="173"/>
      <c r="BI367" s="173"/>
      <c r="BJ367" s="173"/>
      <c r="BK367" s="173"/>
      <c r="BL367" s="173"/>
      <c r="BM367" s="173"/>
      <c r="BN367" s="173"/>
      <c r="BO367" s="173"/>
      <c r="BP367" s="173"/>
      <c r="BQ367" s="173"/>
      <c r="BR367" s="173"/>
      <c r="BS367" s="173"/>
      <c r="BT367" s="173"/>
      <c r="BU367" s="173"/>
      <c r="BV367" s="173"/>
      <c r="BW367" s="173"/>
      <c r="BX367" s="173"/>
      <c r="BY367" s="173"/>
      <c r="BZ367" s="173"/>
      <c r="CA367" s="173"/>
      <c r="CB367" s="173"/>
      <c r="CC367" s="173"/>
      <c r="CD367" s="173"/>
      <c r="CE367" s="173"/>
      <c r="CF367" s="173"/>
      <c r="CG367" s="173"/>
      <c r="CH367" s="173"/>
      <c r="CI367" s="173"/>
      <c r="CJ367" s="173"/>
      <c r="CK367" s="173"/>
      <c r="CL367" s="173"/>
      <c r="CM367" s="173"/>
      <c r="CN367" s="173"/>
      <c r="CO367" s="173"/>
      <c r="CP367" s="173"/>
      <c r="CQ367" s="173"/>
      <c r="CR367" s="173"/>
      <c r="CS367" s="173"/>
    </row>
    <row r="368" hidden="1">
      <c r="A368" s="179" t="s">
        <v>257</v>
      </c>
      <c r="B368" s="179" t="s">
        <v>2051</v>
      </c>
      <c r="C368" s="179" t="s">
        <v>2052</v>
      </c>
      <c r="D368" s="70" t="s">
        <v>2053</v>
      </c>
      <c r="E368" s="173"/>
      <c r="F368" s="168"/>
      <c r="G368" s="168"/>
      <c r="H368" s="168" t="s">
        <v>25</v>
      </c>
      <c r="I368" s="168" t="s">
        <v>25</v>
      </c>
      <c r="J368" s="168" t="s">
        <v>25</v>
      </c>
      <c r="K368" s="163" t="str">
        <f>VLOOKUP(C368,'Term Reference Guide'!$C:$C,1,false)</f>
        <v>ENVO:03501130</v>
      </c>
      <c r="L368" s="173"/>
      <c r="M368" s="173"/>
      <c r="N368" s="173"/>
      <c r="O368" s="173"/>
      <c r="P368" s="173"/>
      <c r="Q368" s="173"/>
      <c r="R368" s="173"/>
      <c r="S368" s="173"/>
      <c r="T368" s="173"/>
      <c r="U368" s="173"/>
      <c r="V368" s="173"/>
      <c r="W368" s="173"/>
      <c r="X368" s="173"/>
      <c r="Y368" s="173"/>
      <c r="Z368" s="173"/>
      <c r="AA368" s="173"/>
      <c r="AB368" s="173"/>
      <c r="AC368" s="173"/>
      <c r="AD368" s="173"/>
      <c r="AE368" s="173"/>
      <c r="AF368" s="173"/>
      <c r="AG368" s="173"/>
      <c r="AH368" s="173"/>
      <c r="AI368" s="173"/>
      <c r="AJ368" s="173"/>
      <c r="AK368" s="173"/>
      <c r="AL368" s="173"/>
      <c r="AM368" s="173"/>
      <c r="AN368" s="173"/>
      <c r="AO368" s="173"/>
      <c r="AP368" s="173"/>
      <c r="AQ368" s="173"/>
      <c r="AR368" s="173"/>
      <c r="AS368" s="173"/>
      <c r="AT368" s="173"/>
      <c r="AU368" s="173"/>
      <c r="AV368" s="173"/>
      <c r="AW368" s="173"/>
      <c r="AX368" s="173"/>
      <c r="AY368" s="173"/>
      <c r="AZ368" s="173"/>
      <c r="BA368" s="173"/>
      <c r="BB368" s="173"/>
      <c r="BC368" s="173"/>
      <c r="BD368" s="173"/>
      <c r="BE368" s="173"/>
      <c r="BF368" s="173"/>
      <c r="BG368" s="173"/>
      <c r="BH368" s="173"/>
      <c r="BI368" s="173"/>
      <c r="BJ368" s="173"/>
      <c r="BK368" s="173"/>
      <c r="BL368" s="173"/>
      <c r="BM368" s="173"/>
      <c r="BN368" s="173"/>
      <c r="BO368" s="173"/>
      <c r="BP368" s="173"/>
      <c r="BQ368" s="173"/>
      <c r="BR368" s="173"/>
      <c r="BS368" s="173"/>
      <c r="BT368" s="173"/>
      <c r="BU368" s="173"/>
      <c r="BV368" s="173"/>
      <c r="BW368" s="173"/>
      <c r="BX368" s="173"/>
      <c r="BY368" s="173"/>
      <c r="BZ368" s="173"/>
      <c r="CA368" s="173"/>
      <c r="CB368" s="173"/>
      <c r="CC368" s="173"/>
      <c r="CD368" s="173"/>
      <c r="CE368" s="173"/>
      <c r="CF368" s="173"/>
      <c r="CG368" s="173"/>
      <c r="CH368" s="173"/>
      <c r="CI368" s="173"/>
      <c r="CJ368" s="173"/>
      <c r="CK368" s="173"/>
      <c r="CL368" s="173"/>
      <c r="CM368" s="173"/>
      <c r="CN368" s="173"/>
      <c r="CO368" s="173"/>
      <c r="CP368" s="173"/>
      <c r="CQ368" s="173"/>
      <c r="CR368" s="173"/>
      <c r="CS368" s="173"/>
    </row>
    <row r="369" hidden="1">
      <c r="A369" s="179" t="s">
        <v>257</v>
      </c>
      <c r="B369" s="179" t="s">
        <v>2054</v>
      </c>
      <c r="C369" s="179" t="s">
        <v>2055</v>
      </c>
      <c r="D369" s="70" t="s">
        <v>2056</v>
      </c>
      <c r="E369" s="173"/>
      <c r="F369" s="168"/>
      <c r="G369" s="168"/>
      <c r="H369" s="168" t="s">
        <v>25</v>
      </c>
      <c r="I369" s="168" t="s">
        <v>25</v>
      </c>
      <c r="J369" s="168" t="s">
        <v>25</v>
      </c>
      <c r="K369" s="163" t="str">
        <f>VLOOKUP(C369,'Term Reference Guide'!$C:$C,1,false)</f>
        <v>ENVO:03501131</v>
      </c>
      <c r="L369" s="173"/>
      <c r="M369" s="173"/>
      <c r="N369" s="173"/>
      <c r="O369" s="173"/>
      <c r="P369" s="173"/>
      <c r="Q369" s="173"/>
      <c r="R369" s="173"/>
      <c r="S369" s="173"/>
      <c r="T369" s="173"/>
      <c r="U369" s="173"/>
      <c r="V369" s="173"/>
      <c r="W369" s="173"/>
      <c r="X369" s="173"/>
      <c r="Y369" s="173"/>
      <c r="Z369" s="173"/>
      <c r="AA369" s="173"/>
      <c r="AB369" s="173"/>
      <c r="AC369" s="173"/>
      <c r="AD369" s="173"/>
      <c r="AE369" s="173"/>
      <c r="AF369" s="173"/>
      <c r="AG369" s="173"/>
      <c r="AH369" s="173"/>
      <c r="AI369" s="173"/>
      <c r="AJ369" s="173"/>
      <c r="AK369" s="173"/>
      <c r="AL369" s="173"/>
      <c r="AM369" s="173"/>
      <c r="AN369" s="173"/>
      <c r="AO369" s="173"/>
      <c r="AP369" s="173"/>
      <c r="AQ369" s="173"/>
      <c r="AR369" s="173"/>
      <c r="AS369" s="173"/>
      <c r="AT369" s="173"/>
      <c r="AU369" s="173"/>
      <c r="AV369" s="173"/>
      <c r="AW369" s="173"/>
      <c r="AX369" s="173"/>
      <c r="AY369" s="173"/>
      <c r="AZ369" s="173"/>
      <c r="BA369" s="173"/>
      <c r="BB369" s="173"/>
      <c r="BC369" s="173"/>
      <c r="BD369" s="173"/>
      <c r="BE369" s="173"/>
      <c r="BF369" s="173"/>
      <c r="BG369" s="173"/>
      <c r="BH369" s="173"/>
      <c r="BI369" s="173"/>
      <c r="BJ369" s="173"/>
      <c r="BK369" s="173"/>
      <c r="BL369" s="173"/>
      <c r="BM369" s="173"/>
      <c r="BN369" s="173"/>
      <c r="BO369" s="173"/>
      <c r="BP369" s="173"/>
      <c r="BQ369" s="173"/>
      <c r="BR369" s="173"/>
      <c r="BS369" s="173"/>
      <c r="BT369" s="173"/>
      <c r="BU369" s="173"/>
      <c r="BV369" s="173"/>
      <c r="BW369" s="173"/>
      <c r="BX369" s="173"/>
      <c r="BY369" s="173"/>
      <c r="BZ369" s="173"/>
      <c r="CA369" s="173"/>
      <c r="CB369" s="173"/>
      <c r="CC369" s="173"/>
      <c r="CD369" s="173"/>
      <c r="CE369" s="173"/>
      <c r="CF369" s="173"/>
      <c r="CG369" s="173"/>
      <c r="CH369" s="173"/>
      <c r="CI369" s="173"/>
      <c r="CJ369" s="173"/>
      <c r="CK369" s="173"/>
      <c r="CL369" s="173"/>
      <c r="CM369" s="173"/>
      <c r="CN369" s="173"/>
      <c r="CO369" s="173"/>
      <c r="CP369" s="173"/>
      <c r="CQ369" s="173"/>
      <c r="CR369" s="173"/>
      <c r="CS369" s="173"/>
    </row>
    <row r="370" hidden="1">
      <c r="A370" s="179" t="s">
        <v>257</v>
      </c>
      <c r="B370" s="179" t="s">
        <v>2057</v>
      </c>
      <c r="C370" s="179" t="s">
        <v>2058</v>
      </c>
      <c r="D370" s="70" t="s">
        <v>2059</v>
      </c>
      <c r="E370" s="173"/>
      <c r="F370" s="168"/>
      <c r="G370" s="168"/>
      <c r="H370" s="168" t="s">
        <v>25</v>
      </c>
      <c r="I370" s="168" t="s">
        <v>25</v>
      </c>
      <c r="J370" s="168" t="s">
        <v>25</v>
      </c>
      <c r="K370" s="163" t="str">
        <f>VLOOKUP(C370,'Term Reference Guide'!$C:$C,1,false)</f>
        <v>ENVO:01000933</v>
      </c>
      <c r="L370" s="173"/>
      <c r="M370" s="173"/>
      <c r="N370" s="173"/>
      <c r="O370" s="173"/>
      <c r="P370" s="173"/>
      <c r="Q370" s="173"/>
      <c r="R370" s="173"/>
      <c r="S370" s="173"/>
      <c r="T370" s="173"/>
      <c r="U370" s="173"/>
      <c r="V370" s="173"/>
      <c r="W370" s="173"/>
      <c r="X370" s="173"/>
      <c r="Y370" s="173"/>
      <c r="Z370" s="173"/>
      <c r="AA370" s="173"/>
      <c r="AB370" s="173"/>
      <c r="AC370" s="173"/>
      <c r="AD370" s="173"/>
      <c r="AE370" s="173"/>
      <c r="AF370" s="173"/>
      <c r="AG370" s="173"/>
      <c r="AH370" s="173"/>
      <c r="AI370" s="173"/>
      <c r="AJ370" s="173"/>
      <c r="AK370" s="173"/>
      <c r="AL370" s="173"/>
      <c r="AM370" s="173"/>
      <c r="AN370" s="173"/>
      <c r="AO370" s="173"/>
      <c r="AP370" s="173"/>
      <c r="AQ370" s="173"/>
      <c r="AR370" s="173"/>
      <c r="AS370" s="173"/>
      <c r="AT370" s="173"/>
      <c r="AU370" s="173"/>
      <c r="AV370" s="173"/>
      <c r="AW370" s="173"/>
      <c r="AX370" s="173"/>
      <c r="AY370" s="173"/>
      <c r="AZ370" s="173"/>
      <c r="BA370" s="173"/>
      <c r="BB370" s="173"/>
      <c r="BC370" s="173"/>
      <c r="BD370" s="173"/>
      <c r="BE370" s="173"/>
      <c r="BF370" s="173"/>
      <c r="BG370" s="173"/>
      <c r="BH370" s="173"/>
      <c r="BI370" s="173"/>
      <c r="BJ370" s="173"/>
      <c r="BK370" s="173"/>
      <c r="BL370" s="173"/>
      <c r="BM370" s="173"/>
      <c r="BN370" s="173"/>
      <c r="BO370" s="173"/>
      <c r="BP370" s="173"/>
      <c r="BQ370" s="173"/>
      <c r="BR370" s="173"/>
      <c r="BS370" s="173"/>
      <c r="BT370" s="173"/>
      <c r="BU370" s="173"/>
      <c r="BV370" s="173"/>
      <c r="BW370" s="173"/>
      <c r="BX370" s="173"/>
      <c r="BY370" s="173"/>
      <c r="BZ370" s="173"/>
      <c r="CA370" s="173"/>
      <c r="CB370" s="173"/>
      <c r="CC370" s="173"/>
      <c r="CD370" s="173"/>
      <c r="CE370" s="173"/>
      <c r="CF370" s="173"/>
      <c r="CG370" s="173"/>
      <c r="CH370" s="173"/>
      <c r="CI370" s="173"/>
      <c r="CJ370" s="173"/>
      <c r="CK370" s="173"/>
      <c r="CL370" s="173"/>
      <c r="CM370" s="173"/>
      <c r="CN370" s="173"/>
      <c r="CO370" s="173"/>
      <c r="CP370" s="173"/>
      <c r="CQ370" s="173"/>
      <c r="CR370" s="173"/>
      <c r="CS370" s="173"/>
    </row>
    <row r="371" hidden="1">
      <c r="A371" s="179" t="s">
        <v>257</v>
      </c>
      <c r="B371" s="179" t="s">
        <v>2060</v>
      </c>
      <c r="C371" s="179" t="s">
        <v>2061</v>
      </c>
      <c r="D371" s="70" t="s">
        <v>2062</v>
      </c>
      <c r="E371" s="173"/>
      <c r="F371" s="168"/>
      <c r="G371" s="168"/>
      <c r="H371" s="168" t="s">
        <v>25</v>
      </c>
      <c r="I371" s="168" t="s">
        <v>25</v>
      </c>
      <c r="J371" s="168" t="s">
        <v>25</v>
      </c>
      <c r="K371" s="163" t="str">
        <f>VLOOKUP(C371,'Term Reference Guide'!$C:$C,1,false)</f>
        <v>ENVO:03501133</v>
      </c>
      <c r="L371" s="173"/>
      <c r="M371" s="173"/>
      <c r="N371" s="173"/>
      <c r="O371" s="173"/>
      <c r="P371" s="173"/>
      <c r="Q371" s="173"/>
      <c r="R371" s="173"/>
      <c r="S371" s="173"/>
      <c r="T371" s="173"/>
      <c r="U371" s="173"/>
      <c r="V371" s="173"/>
      <c r="W371" s="173"/>
      <c r="X371" s="173"/>
      <c r="Y371" s="173"/>
      <c r="Z371" s="173"/>
      <c r="AA371" s="173"/>
      <c r="AB371" s="173"/>
      <c r="AC371" s="173"/>
      <c r="AD371" s="173"/>
      <c r="AE371" s="173"/>
      <c r="AF371" s="173"/>
      <c r="AG371" s="173"/>
      <c r="AH371" s="173"/>
      <c r="AI371" s="173"/>
      <c r="AJ371" s="173"/>
      <c r="AK371" s="173"/>
      <c r="AL371" s="173"/>
      <c r="AM371" s="173"/>
      <c r="AN371" s="173"/>
      <c r="AO371" s="173"/>
      <c r="AP371" s="173"/>
      <c r="AQ371" s="173"/>
      <c r="AR371" s="173"/>
      <c r="AS371" s="173"/>
      <c r="AT371" s="173"/>
      <c r="AU371" s="173"/>
      <c r="AV371" s="173"/>
      <c r="AW371" s="173"/>
      <c r="AX371" s="173"/>
      <c r="AY371" s="173"/>
      <c r="AZ371" s="173"/>
      <c r="BA371" s="173"/>
      <c r="BB371" s="173"/>
      <c r="BC371" s="173"/>
      <c r="BD371" s="173"/>
      <c r="BE371" s="173"/>
      <c r="BF371" s="173"/>
      <c r="BG371" s="173"/>
      <c r="BH371" s="173"/>
      <c r="BI371" s="173"/>
      <c r="BJ371" s="173"/>
      <c r="BK371" s="173"/>
      <c r="BL371" s="173"/>
      <c r="BM371" s="173"/>
      <c r="BN371" s="173"/>
      <c r="BO371" s="173"/>
      <c r="BP371" s="173"/>
      <c r="BQ371" s="173"/>
      <c r="BR371" s="173"/>
      <c r="BS371" s="173"/>
      <c r="BT371" s="173"/>
      <c r="BU371" s="173"/>
      <c r="BV371" s="173"/>
      <c r="BW371" s="173"/>
      <c r="BX371" s="173"/>
      <c r="BY371" s="173"/>
      <c r="BZ371" s="173"/>
      <c r="CA371" s="173"/>
      <c r="CB371" s="173"/>
      <c r="CC371" s="173"/>
      <c r="CD371" s="173"/>
      <c r="CE371" s="173"/>
      <c r="CF371" s="173"/>
      <c r="CG371" s="173"/>
      <c r="CH371" s="173"/>
      <c r="CI371" s="173"/>
      <c r="CJ371" s="173"/>
      <c r="CK371" s="173"/>
      <c r="CL371" s="173"/>
      <c r="CM371" s="173"/>
      <c r="CN371" s="173"/>
      <c r="CO371" s="173"/>
      <c r="CP371" s="173"/>
      <c r="CQ371" s="173"/>
      <c r="CR371" s="173"/>
      <c r="CS371" s="173"/>
    </row>
    <row r="372" hidden="1">
      <c r="A372" s="179" t="s">
        <v>257</v>
      </c>
      <c r="B372" s="179" t="s">
        <v>2063</v>
      </c>
      <c r="C372" s="179" t="s">
        <v>2064</v>
      </c>
      <c r="D372" s="70" t="s">
        <v>2065</v>
      </c>
      <c r="E372" s="173"/>
      <c r="F372" s="168"/>
      <c r="G372" s="168"/>
      <c r="H372" s="168" t="s">
        <v>25</v>
      </c>
      <c r="I372" s="168" t="s">
        <v>25</v>
      </c>
      <c r="J372" s="168" t="s">
        <v>25</v>
      </c>
      <c r="K372" s="163" t="str">
        <f>VLOOKUP(C372,'Term Reference Guide'!$C:$C,1,false)</f>
        <v>ENVO:01000932</v>
      </c>
      <c r="L372" s="173"/>
      <c r="M372" s="173"/>
      <c r="N372" s="173"/>
      <c r="O372" s="173"/>
      <c r="P372" s="173"/>
      <c r="Q372" s="173"/>
      <c r="R372" s="173"/>
      <c r="S372" s="173"/>
      <c r="T372" s="173"/>
      <c r="U372" s="173"/>
      <c r="V372" s="173"/>
      <c r="W372" s="173"/>
      <c r="X372" s="173"/>
      <c r="Y372" s="173"/>
      <c r="Z372" s="173"/>
      <c r="AA372" s="173"/>
      <c r="AB372" s="173"/>
      <c r="AC372" s="173"/>
      <c r="AD372" s="173"/>
      <c r="AE372" s="173"/>
      <c r="AF372" s="173"/>
      <c r="AG372" s="173"/>
      <c r="AH372" s="173"/>
      <c r="AI372" s="173"/>
      <c r="AJ372" s="173"/>
      <c r="AK372" s="173"/>
      <c r="AL372" s="173"/>
      <c r="AM372" s="173"/>
      <c r="AN372" s="173"/>
      <c r="AO372" s="173"/>
      <c r="AP372" s="173"/>
      <c r="AQ372" s="173"/>
      <c r="AR372" s="173"/>
      <c r="AS372" s="173"/>
      <c r="AT372" s="173"/>
      <c r="AU372" s="173"/>
      <c r="AV372" s="173"/>
      <c r="AW372" s="173"/>
      <c r="AX372" s="173"/>
      <c r="AY372" s="173"/>
      <c r="AZ372" s="173"/>
      <c r="BA372" s="173"/>
      <c r="BB372" s="173"/>
      <c r="BC372" s="173"/>
      <c r="BD372" s="173"/>
      <c r="BE372" s="173"/>
      <c r="BF372" s="173"/>
      <c r="BG372" s="173"/>
      <c r="BH372" s="173"/>
      <c r="BI372" s="173"/>
      <c r="BJ372" s="173"/>
      <c r="BK372" s="173"/>
      <c r="BL372" s="173"/>
      <c r="BM372" s="173"/>
      <c r="BN372" s="173"/>
      <c r="BO372" s="173"/>
      <c r="BP372" s="173"/>
      <c r="BQ372" s="173"/>
      <c r="BR372" s="173"/>
      <c r="BS372" s="173"/>
      <c r="BT372" s="173"/>
      <c r="BU372" s="173"/>
      <c r="BV372" s="173"/>
      <c r="BW372" s="173"/>
      <c r="BX372" s="173"/>
      <c r="BY372" s="173"/>
      <c r="BZ372" s="173"/>
      <c r="CA372" s="173"/>
      <c r="CB372" s="173"/>
      <c r="CC372" s="173"/>
      <c r="CD372" s="173"/>
      <c r="CE372" s="173"/>
      <c r="CF372" s="173"/>
      <c r="CG372" s="173"/>
      <c r="CH372" s="173"/>
      <c r="CI372" s="173"/>
      <c r="CJ372" s="173"/>
      <c r="CK372" s="173"/>
      <c r="CL372" s="173"/>
      <c r="CM372" s="173"/>
      <c r="CN372" s="173"/>
      <c r="CO372" s="173"/>
      <c r="CP372" s="173"/>
      <c r="CQ372" s="173"/>
      <c r="CR372" s="173"/>
      <c r="CS372" s="173"/>
    </row>
    <row r="373" hidden="1">
      <c r="A373" s="179" t="s">
        <v>257</v>
      </c>
      <c r="B373" s="179" t="s">
        <v>2066</v>
      </c>
      <c r="C373" s="179" t="s">
        <v>2067</v>
      </c>
      <c r="D373" s="70" t="s">
        <v>2068</v>
      </c>
      <c r="E373" s="173"/>
      <c r="F373" s="168"/>
      <c r="G373" s="168"/>
      <c r="H373" s="168" t="s">
        <v>25</v>
      </c>
      <c r="I373" s="168" t="s">
        <v>25</v>
      </c>
      <c r="J373" s="168" t="s">
        <v>25</v>
      </c>
      <c r="K373" s="163" t="str">
        <f>VLOOKUP(C373,'Term Reference Guide'!$C:$C,1,false)</f>
        <v>ENVO:03501117</v>
      </c>
      <c r="L373" s="173"/>
      <c r="M373" s="173"/>
      <c r="N373" s="173"/>
      <c r="O373" s="173"/>
      <c r="P373" s="173"/>
      <c r="Q373" s="173"/>
      <c r="R373" s="173"/>
      <c r="S373" s="173"/>
      <c r="T373" s="173"/>
      <c r="U373" s="173"/>
      <c r="V373" s="173"/>
      <c r="W373" s="173"/>
      <c r="X373" s="173"/>
      <c r="Y373" s="173"/>
      <c r="Z373" s="173"/>
      <c r="AA373" s="173"/>
      <c r="AB373" s="173"/>
      <c r="AC373" s="173"/>
      <c r="AD373" s="173"/>
      <c r="AE373" s="173"/>
      <c r="AF373" s="173"/>
      <c r="AG373" s="173"/>
      <c r="AH373" s="173"/>
      <c r="AI373" s="173"/>
      <c r="AJ373" s="173"/>
      <c r="AK373" s="173"/>
      <c r="AL373" s="173"/>
      <c r="AM373" s="173"/>
      <c r="AN373" s="173"/>
      <c r="AO373" s="173"/>
      <c r="AP373" s="173"/>
      <c r="AQ373" s="173"/>
      <c r="AR373" s="173"/>
      <c r="AS373" s="173"/>
      <c r="AT373" s="173"/>
      <c r="AU373" s="173"/>
      <c r="AV373" s="173"/>
      <c r="AW373" s="173"/>
      <c r="AX373" s="173"/>
      <c r="AY373" s="173"/>
      <c r="AZ373" s="173"/>
      <c r="BA373" s="173"/>
      <c r="BB373" s="173"/>
      <c r="BC373" s="173"/>
      <c r="BD373" s="173"/>
      <c r="BE373" s="173"/>
      <c r="BF373" s="173"/>
      <c r="BG373" s="173"/>
      <c r="BH373" s="173"/>
      <c r="BI373" s="173"/>
      <c r="BJ373" s="173"/>
      <c r="BK373" s="173"/>
      <c r="BL373" s="173"/>
      <c r="BM373" s="173"/>
      <c r="BN373" s="173"/>
      <c r="BO373" s="173"/>
      <c r="BP373" s="173"/>
      <c r="BQ373" s="173"/>
      <c r="BR373" s="173"/>
      <c r="BS373" s="173"/>
      <c r="BT373" s="173"/>
      <c r="BU373" s="173"/>
      <c r="BV373" s="173"/>
      <c r="BW373" s="173"/>
      <c r="BX373" s="173"/>
      <c r="BY373" s="173"/>
      <c r="BZ373" s="173"/>
      <c r="CA373" s="173"/>
      <c r="CB373" s="173"/>
      <c r="CC373" s="173"/>
      <c r="CD373" s="173"/>
      <c r="CE373" s="173"/>
      <c r="CF373" s="173"/>
      <c r="CG373" s="173"/>
      <c r="CH373" s="173"/>
      <c r="CI373" s="173"/>
      <c r="CJ373" s="173"/>
      <c r="CK373" s="173"/>
      <c r="CL373" s="173"/>
      <c r="CM373" s="173"/>
      <c r="CN373" s="173"/>
      <c r="CO373" s="173"/>
      <c r="CP373" s="173"/>
      <c r="CQ373" s="173"/>
      <c r="CR373" s="173"/>
      <c r="CS373" s="173"/>
    </row>
    <row r="374" hidden="1">
      <c r="A374" s="179" t="s">
        <v>257</v>
      </c>
      <c r="B374" s="179" t="s">
        <v>2069</v>
      </c>
      <c r="C374" s="179" t="s">
        <v>2070</v>
      </c>
      <c r="D374" s="70" t="s">
        <v>2071</v>
      </c>
      <c r="E374" s="173"/>
      <c r="F374" s="168"/>
      <c r="G374" s="168"/>
      <c r="H374" s="168" t="s">
        <v>25</v>
      </c>
      <c r="I374" s="168" t="s">
        <v>25</v>
      </c>
      <c r="J374" s="168" t="s">
        <v>25</v>
      </c>
      <c r="K374" s="163" t="str">
        <f>VLOOKUP(C374,'Term Reference Guide'!$C:$C,1,false)</f>
        <v>ENVO:03501122</v>
      </c>
      <c r="L374" s="173"/>
      <c r="M374" s="173"/>
      <c r="N374" s="173"/>
      <c r="O374" s="173"/>
      <c r="P374" s="173"/>
      <c r="Q374" s="173"/>
      <c r="R374" s="173"/>
      <c r="S374" s="173"/>
      <c r="T374" s="173"/>
      <c r="U374" s="173"/>
      <c r="V374" s="173"/>
      <c r="W374" s="173"/>
      <c r="X374" s="173"/>
      <c r="Y374" s="173"/>
      <c r="Z374" s="173"/>
      <c r="AA374" s="173"/>
      <c r="AB374" s="173"/>
      <c r="AC374" s="173"/>
      <c r="AD374" s="173"/>
      <c r="AE374" s="173"/>
      <c r="AF374" s="173"/>
      <c r="AG374" s="173"/>
      <c r="AH374" s="173"/>
      <c r="AI374" s="173"/>
      <c r="AJ374" s="173"/>
      <c r="AK374" s="173"/>
      <c r="AL374" s="173"/>
      <c r="AM374" s="173"/>
      <c r="AN374" s="173"/>
      <c r="AO374" s="173"/>
      <c r="AP374" s="173"/>
      <c r="AQ374" s="173"/>
      <c r="AR374" s="173"/>
      <c r="AS374" s="173"/>
      <c r="AT374" s="173"/>
      <c r="AU374" s="173"/>
      <c r="AV374" s="173"/>
      <c r="AW374" s="173"/>
      <c r="AX374" s="173"/>
      <c r="AY374" s="173"/>
      <c r="AZ374" s="173"/>
      <c r="BA374" s="173"/>
      <c r="BB374" s="173"/>
      <c r="BC374" s="173"/>
      <c r="BD374" s="173"/>
      <c r="BE374" s="173"/>
      <c r="BF374" s="173"/>
      <c r="BG374" s="173"/>
      <c r="BH374" s="173"/>
      <c r="BI374" s="173"/>
      <c r="BJ374" s="173"/>
      <c r="BK374" s="173"/>
      <c r="BL374" s="173"/>
      <c r="BM374" s="173"/>
      <c r="BN374" s="173"/>
      <c r="BO374" s="173"/>
      <c r="BP374" s="173"/>
      <c r="BQ374" s="173"/>
      <c r="BR374" s="173"/>
      <c r="BS374" s="173"/>
      <c r="BT374" s="173"/>
      <c r="BU374" s="173"/>
      <c r="BV374" s="173"/>
      <c r="BW374" s="173"/>
      <c r="BX374" s="173"/>
      <c r="BY374" s="173"/>
      <c r="BZ374" s="173"/>
      <c r="CA374" s="173"/>
      <c r="CB374" s="173"/>
      <c r="CC374" s="173"/>
      <c r="CD374" s="173"/>
      <c r="CE374" s="173"/>
      <c r="CF374" s="173"/>
      <c r="CG374" s="173"/>
      <c r="CH374" s="173"/>
      <c r="CI374" s="173"/>
      <c r="CJ374" s="173"/>
      <c r="CK374" s="173"/>
      <c r="CL374" s="173"/>
      <c r="CM374" s="173"/>
      <c r="CN374" s="173"/>
      <c r="CO374" s="173"/>
      <c r="CP374" s="173"/>
      <c r="CQ374" s="173"/>
      <c r="CR374" s="173"/>
      <c r="CS374" s="173"/>
    </row>
    <row r="375" hidden="1">
      <c r="A375" s="179" t="s">
        <v>257</v>
      </c>
      <c r="B375" s="179" t="s">
        <v>2072</v>
      </c>
      <c r="C375" s="179" t="s">
        <v>2073</v>
      </c>
      <c r="D375" s="70" t="s">
        <v>2074</v>
      </c>
      <c r="E375" s="173"/>
      <c r="F375" s="168"/>
      <c r="G375" s="168"/>
      <c r="H375" s="168" t="s">
        <v>25</v>
      </c>
      <c r="I375" s="168" t="s">
        <v>25</v>
      </c>
      <c r="J375" s="168" t="s">
        <v>25</v>
      </c>
      <c r="K375" s="163" t="str">
        <f>VLOOKUP(C375,'Term Reference Guide'!$C:$C,1,false)</f>
        <v>ENVO:00000078</v>
      </c>
      <c r="L375" s="173"/>
      <c r="M375" s="173"/>
      <c r="N375" s="173"/>
      <c r="O375" s="173"/>
      <c r="P375" s="173"/>
      <c r="Q375" s="173"/>
      <c r="R375" s="173"/>
      <c r="S375" s="173"/>
      <c r="T375" s="173"/>
      <c r="U375" s="173"/>
      <c r="V375" s="173"/>
      <c r="W375" s="173"/>
      <c r="X375" s="173"/>
      <c r="Y375" s="173"/>
      <c r="Z375" s="173"/>
      <c r="AA375" s="173"/>
      <c r="AB375" s="173"/>
      <c r="AC375" s="173"/>
      <c r="AD375" s="173"/>
      <c r="AE375" s="173"/>
      <c r="AF375" s="173"/>
      <c r="AG375" s="173"/>
      <c r="AH375" s="173"/>
      <c r="AI375" s="173"/>
      <c r="AJ375" s="173"/>
      <c r="AK375" s="173"/>
      <c r="AL375" s="173"/>
      <c r="AM375" s="173"/>
      <c r="AN375" s="173"/>
      <c r="AO375" s="173"/>
      <c r="AP375" s="173"/>
      <c r="AQ375" s="173"/>
      <c r="AR375" s="173"/>
      <c r="AS375" s="173"/>
      <c r="AT375" s="173"/>
      <c r="AU375" s="173"/>
      <c r="AV375" s="173"/>
      <c r="AW375" s="173"/>
      <c r="AX375" s="173"/>
      <c r="AY375" s="173"/>
      <c r="AZ375" s="173"/>
      <c r="BA375" s="173"/>
      <c r="BB375" s="173"/>
      <c r="BC375" s="173"/>
      <c r="BD375" s="173"/>
      <c r="BE375" s="173"/>
      <c r="BF375" s="173"/>
      <c r="BG375" s="173"/>
      <c r="BH375" s="173"/>
      <c r="BI375" s="173"/>
      <c r="BJ375" s="173"/>
      <c r="BK375" s="173"/>
      <c r="BL375" s="173"/>
      <c r="BM375" s="173"/>
      <c r="BN375" s="173"/>
      <c r="BO375" s="173"/>
      <c r="BP375" s="173"/>
      <c r="BQ375" s="173"/>
      <c r="BR375" s="173"/>
      <c r="BS375" s="173"/>
      <c r="BT375" s="173"/>
      <c r="BU375" s="173"/>
      <c r="BV375" s="173"/>
      <c r="BW375" s="173"/>
      <c r="BX375" s="173"/>
      <c r="BY375" s="173"/>
      <c r="BZ375" s="173"/>
      <c r="CA375" s="173"/>
      <c r="CB375" s="173"/>
      <c r="CC375" s="173"/>
      <c r="CD375" s="173"/>
      <c r="CE375" s="173"/>
      <c r="CF375" s="173"/>
      <c r="CG375" s="173"/>
      <c r="CH375" s="173"/>
      <c r="CI375" s="173"/>
      <c r="CJ375" s="173"/>
      <c r="CK375" s="173"/>
      <c r="CL375" s="173"/>
      <c r="CM375" s="173"/>
      <c r="CN375" s="173"/>
      <c r="CO375" s="173"/>
      <c r="CP375" s="173"/>
      <c r="CQ375" s="173"/>
      <c r="CR375" s="173"/>
      <c r="CS375" s="173"/>
    </row>
    <row r="376">
      <c r="A376" s="179" t="s">
        <v>257</v>
      </c>
      <c r="B376" s="179" t="s">
        <v>2075</v>
      </c>
      <c r="C376" s="183" t="s">
        <v>2076</v>
      </c>
      <c r="D376" s="70" t="s">
        <v>2077</v>
      </c>
      <c r="E376" s="173"/>
      <c r="F376" s="168"/>
      <c r="G376" s="168"/>
      <c r="H376" s="168" t="s">
        <v>25</v>
      </c>
      <c r="I376" s="168" t="s">
        <v>25</v>
      </c>
      <c r="J376" s="168" t="s">
        <v>25</v>
      </c>
      <c r="K376" s="163" t="str">
        <f>VLOOKUP(C376,'Term Reference Guide'!$C:$C,1,false)</f>
        <v>#N/A</v>
      </c>
      <c r="L376" s="173"/>
      <c r="M376" s="173"/>
      <c r="N376" s="173"/>
      <c r="O376" s="173"/>
      <c r="P376" s="173"/>
      <c r="Q376" s="173"/>
      <c r="R376" s="173"/>
      <c r="S376" s="173"/>
      <c r="T376" s="173"/>
      <c r="U376" s="173"/>
      <c r="V376" s="173"/>
      <c r="W376" s="173"/>
      <c r="X376" s="173"/>
      <c r="Y376" s="173"/>
      <c r="Z376" s="173"/>
      <c r="AA376" s="173"/>
      <c r="AB376" s="173"/>
      <c r="AC376" s="173"/>
      <c r="AD376" s="173"/>
      <c r="AE376" s="173"/>
      <c r="AF376" s="173"/>
      <c r="AG376" s="173"/>
      <c r="AH376" s="173"/>
      <c r="AI376" s="173"/>
      <c r="AJ376" s="173"/>
      <c r="AK376" s="173"/>
      <c r="AL376" s="173"/>
      <c r="AM376" s="173"/>
      <c r="AN376" s="173"/>
      <c r="AO376" s="173"/>
      <c r="AP376" s="173"/>
      <c r="AQ376" s="173"/>
      <c r="AR376" s="173"/>
      <c r="AS376" s="173"/>
      <c r="AT376" s="173"/>
      <c r="AU376" s="173"/>
      <c r="AV376" s="173"/>
      <c r="AW376" s="173"/>
      <c r="AX376" s="173"/>
      <c r="AY376" s="173"/>
      <c r="AZ376" s="173"/>
      <c r="BA376" s="173"/>
      <c r="BB376" s="173"/>
      <c r="BC376" s="173"/>
      <c r="BD376" s="173"/>
      <c r="BE376" s="173"/>
      <c r="BF376" s="173"/>
      <c r="BG376" s="173"/>
      <c r="BH376" s="173"/>
      <c r="BI376" s="173"/>
      <c r="BJ376" s="173"/>
      <c r="BK376" s="173"/>
      <c r="BL376" s="173"/>
      <c r="BM376" s="173"/>
      <c r="BN376" s="173"/>
      <c r="BO376" s="173"/>
      <c r="BP376" s="173"/>
      <c r="BQ376" s="173"/>
      <c r="BR376" s="173"/>
      <c r="BS376" s="173"/>
      <c r="BT376" s="173"/>
      <c r="BU376" s="173"/>
      <c r="BV376" s="173"/>
      <c r="BW376" s="173"/>
      <c r="BX376" s="173"/>
      <c r="BY376" s="173"/>
      <c r="BZ376" s="173"/>
      <c r="CA376" s="173"/>
      <c r="CB376" s="173"/>
      <c r="CC376" s="173"/>
      <c r="CD376" s="173"/>
      <c r="CE376" s="173"/>
      <c r="CF376" s="173"/>
      <c r="CG376" s="173"/>
      <c r="CH376" s="173"/>
      <c r="CI376" s="173"/>
      <c r="CJ376" s="173"/>
      <c r="CK376" s="173"/>
      <c r="CL376" s="173"/>
      <c r="CM376" s="173"/>
      <c r="CN376" s="173"/>
      <c r="CO376" s="173"/>
      <c r="CP376" s="173"/>
      <c r="CQ376" s="173"/>
      <c r="CR376" s="173"/>
      <c r="CS376" s="173"/>
    </row>
    <row r="377" hidden="1">
      <c r="A377" s="179" t="s">
        <v>257</v>
      </c>
      <c r="B377" s="179" t="s">
        <v>2078</v>
      </c>
      <c r="C377" s="179" t="s">
        <v>2079</v>
      </c>
      <c r="D377" s="70" t="s">
        <v>2080</v>
      </c>
      <c r="E377" s="173"/>
      <c r="F377" s="168"/>
      <c r="G377" s="168"/>
      <c r="H377" s="168" t="s">
        <v>25</v>
      </c>
      <c r="I377" s="168" t="s">
        <v>25</v>
      </c>
      <c r="J377" s="168" t="s">
        <v>25</v>
      </c>
      <c r="K377" s="163" t="str">
        <f>VLOOKUP(C377,'Term Reference Guide'!$C:$C,1,false)</f>
        <v>ENVO:00003861</v>
      </c>
      <c r="L377" s="173"/>
      <c r="M377" s="173"/>
      <c r="N377" s="173"/>
      <c r="O377" s="173"/>
      <c r="P377" s="173"/>
      <c r="Q377" s="173"/>
      <c r="R377" s="173"/>
      <c r="S377" s="173"/>
      <c r="T377" s="173"/>
      <c r="U377" s="173"/>
      <c r="V377" s="173"/>
      <c r="W377" s="173"/>
      <c r="X377" s="173"/>
      <c r="Y377" s="173"/>
      <c r="Z377" s="173"/>
      <c r="AA377" s="173"/>
      <c r="AB377" s="173"/>
      <c r="AC377" s="173"/>
      <c r="AD377" s="173"/>
      <c r="AE377" s="173"/>
      <c r="AF377" s="173"/>
      <c r="AG377" s="173"/>
      <c r="AH377" s="173"/>
      <c r="AI377" s="173"/>
      <c r="AJ377" s="173"/>
      <c r="AK377" s="173"/>
      <c r="AL377" s="173"/>
      <c r="AM377" s="173"/>
      <c r="AN377" s="173"/>
      <c r="AO377" s="173"/>
      <c r="AP377" s="173"/>
      <c r="AQ377" s="173"/>
      <c r="AR377" s="173"/>
      <c r="AS377" s="173"/>
      <c r="AT377" s="173"/>
      <c r="AU377" s="173"/>
      <c r="AV377" s="173"/>
      <c r="AW377" s="173"/>
      <c r="AX377" s="173"/>
      <c r="AY377" s="173"/>
      <c r="AZ377" s="173"/>
      <c r="BA377" s="173"/>
      <c r="BB377" s="173"/>
      <c r="BC377" s="173"/>
      <c r="BD377" s="173"/>
      <c r="BE377" s="173"/>
      <c r="BF377" s="173"/>
      <c r="BG377" s="173"/>
      <c r="BH377" s="173"/>
      <c r="BI377" s="173"/>
      <c r="BJ377" s="173"/>
      <c r="BK377" s="173"/>
      <c r="BL377" s="173"/>
      <c r="BM377" s="173"/>
      <c r="BN377" s="173"/>
      <c r="BO377" s="173"/>
      <c r="BP377" s="173"/>
      <c r="BQ377" s="173"/>
      <c r="BR377" s="173"/>
      <c r="BS377" s="173"/>
      <c r="BT377" s="173"/>
      <c r="BU377" s="173"/>
      <c r="BV377" s="173"/>
      <c r="BW377" s="173"/>
      <c r="BX377" s="173"/>
      <c r="BY377" s="173"/>
      <c r="BZ377" s="173"/>
      <c r="CA377" s="173"/>
      <c r="CB377" s="173"/>
      <c r="CC377" s="173"/>
      <c r="CD377" s="173"/>
      <c r="CE377" s="173"/>
      <c r="CF377" s="173"/>
      <c r="CG377" s="173"/>
      <c r="CH377" s="173"/>
      <c r="CI377" s="173"/>
      <c r="CJ377" s="173"/>
      <c r="CK377" s="173"/>
      <c r="CL377" s="173"/>
      <c r="CM377" s="173"/>
      <c r="CN377" s="173"/>
      <c r="CO377" s="173"/>
      <c r="CP377" s="173"/>
      <c r="CQ377" s="173"/>
      <c r="CR377" s="173"/>
      <c r="CS377" s="173"/>
    </row>
    <row r="378" hidden="1">
      <c r="A378" s="179" t="s">
        <v>257</v>
      </c>
      <c r="B378" s="179" t="s">
        <v>2081</v>
      </c>
      <c r="C378" s="179" t="s">
        <v>2082</v>
      </c>
      <c r="D378" s="70" t="s">
        <v>2083</v>
      </c>
      <c r="E378" s="173"/>
      <c r="F378" s="168"/>
      <c r="G378" s="168"/>
      <c r="H378" s="168" t="s">
        <v>25</v>
      </c>
      <c r="I378" s="168" t="s">
        <v>25</v>
      </c>
      <c r="J378" s="168" t="s">
        <v>25</v>
      </c>
      <c r="K378" s="163" t="str">
        <f>VLOOKUP(C378,'Term Reference Guide'!$C:$C,1,false)</f>
        <v>ENVO:03501297</v>
      </c>
      <c r="L378" s="173"/>
      <c r="M378" s="173"/>
      <c r="N378" s="173"/>
      <c r="O378" s="173"/>
      <c r="P378" s="173"/>
      <c r="Q378" s="173"/>
      <c r="R378" s="173"/>
      <c r="S378" s="173"/>
      <c r="T378" s="173"/>
      <c r="U378" s="173"/>
      <c r="V378" s="173"/>
      <c r="W378" s="173"/>
      <c r="X378" s="173"/>
      <c r="Y378" s="173"/>
      <c r="Z378" s="173"/>
      <c r="AA378" s="173"/>
      <c r="AB378" s="173"/>
      <c r="AC378" s="173"/>
      <c r="AD378" s="173"/>
      <c r="AE378" s="173"/>
      <c r="AF378" s="173"/>
      <c r="AG378" s="173"/>
      <c r="AH378" s="173"/>
      <c r="AI378" s="173"/>
      <c r="AJ378" s="173"/>
      <c r="AK378" s="173"/>
      <c r="AL378" s="173"/>
      <c r="AM378" s="173"/>
      <c r="AN378" s="173"/>
      <c r="AO378" s="173"/>
      <c r="AP378" s="173"/>
      <c r="AQ378" s="173"/>
      <c r="AR378" s="173"/>
      <c r="AS378" s="173"/>
      <c r="AT378" s="173"/>
      <c r="AU378" s="173"/>
      <c r="AV378" s="173"/>
      <c r="AW378" s="173"/>
      <c r="AX378" s="173"/>
      <c r="AY378" s="173"/>
      <c r="AZ378" s="173"/>
      <c r="BA378" s="173"/>
      <c r="BB378" s="173"/>
      <c r="BC378" s="173"/>
      <c r="BD378" s="173"/>
      <c r="BE378" s="173"/>
      <c r="BF378" s="173"/>
      <c r="BG378" s="173"/>
      <c r="BH378" s="173"/>
      <c r="BI378" s="173"/>
      <c r="BJ378" s="173"/>
      <c r="BK378" s="173"/>
      <c r="BL378" s="173"/>
      <c r="BM378" s="173"/>
      <c r="BN378" s="173"/>
      <c r="BO378" s="173"/>
      <c r="BP378" s="173"/>
      <c r="BQ378" s="173"/>
      <c r="BR378" s="173"/>
      <c r="BS378" s="173"/>
      <c r="BT378" s="173"/>
      <c r="BU378" s="173"/>
      <c r="BV378" s="173"/>
      <c r="BW378" s="173"/>
      <c r="BX378" s="173"/>
      <c r="BY378" s="173"/>
      <c r="BZ378" s="173"/>
      <c r="CA378" s="173"/>
      <c r="CB378" s="173"/>
      <c r="CC378" s="173"/>
      <c r="CD378" s="173"/>
      <c r="CE378" s="173"/>
      <c r="CF378" s="173"/>
      <c r="CG378" s="173"/>
      <c r="CH378" s="173"/>
      <c r="CI378" s="173"/>
      <c r="CJ378" s="173"/>
      <c r="CK378" s="173"/>
      <c r="CL378" s="173"/>
      <c r="CM378" s="173"/>
      <c r="CN378" s="173"/>
      <c r="CO378" s="173"/>
      <c r="CP378" s="173"/>
      <c r="CQ378" s="173"/>
      <c r="CR378" s="173"/>
      <c r="CS378" s="173"/>
    </row>
    <row r="379" hidden="1">
      <c r="A379" s="179" t="s">
        <v>257</v>
      </c>
      <c r="B379" s="179" t="s">
        <v>2084</v>
      </c>
      <c r="C379" s="183" t="s">
        <v>2085</v>
      </c>
      <c r="D379" s="33" t="s">
        <v>2086</v>
      </c>
      <c r="E379" s="173"/>
      <c r="F379" s="168"/>
      <c r="G379" s="168"/>
      <c r="H379" s="168" t="s">
        <v>25</v>
      </c>
      <c r="I379" s="168" t="s">
        <v>25</v>
      </c>
      <c r="J379" s="168" t="s">
        <v>25</v>
      </c>
      <c r="K379" s="163" t="str">
        <f>VLOOKUP(C379,'Term Reference Guide'!$C:$C,1,false)</f>
        <v>ENVO:03501450</v>
      </c>
      <c r="L379" s="173"/>
      <c r="M379" s="173"/>
      <c r="N379" s="173"/>
      <c r="O379" s="173"/>
      <c r="P379" s="173"/>
      <c r="Q379" s="173"/>
      <c r="R379" s="173"/>
      <c r="S379" s="173"/>
      <c r="T379" s="173"/>
      <c r="U379" s="173"/>
      <c r="V379" s="173"/>
      <c r="W379" s="173"/>
      <c r="X379" s="173"/>
      <c r="Y379" s="173"/>
      <c r="Z379" s="173"/>
      <c r="AA379" s="173"/>
      <c r="AB379" s="173"/>
      <c r="AC379" s="173"/>
      <c r="AD379" s="173"/>
      <c r="AE379" s="173"/>
      <c r="AF379" s="173"/>
      <c r="AG379" s="173"/>
      <c r="AH379" s="173"/>
      <c r="AI379" s="173"/>
      <c r="AJ379" s="173"/>
      <c r="AK379" s="173"/>
      <c r="AL379" s="173"/>
      <c r="AM379" s="173"/>
      <c r="AN379" s="173"/>
      <c r="AO379" s="173"/>
      <c r="AP379" s="173"/>
      <c r="AQ379" s="173"/>
      <c r="AR379" s="173"/>
      <c r="AS379" s="173"/>
      <c r="AT379" s="173"/>
      <c r="AU379" s="173"/>
      <c r="AV379" s="173"/>
      <c r="AW379" s="173"/>
      <c r="AX379" s="173"/>
      <c r="AY379" s="173"/>
      <c r="AZ379" s="173"/>
      <c r="BA379" s="173"/>
      <c r="BB379" s="173"/>
      <c r="BC379" s="173"/>
      <c r="BD379" s="173"/>
      <c r="BE379" s="173"/>
      <c r="BF379" s="173"/>
      <c r="BG379" s="173"/>
      <c r="BH379" s="173"/>
      <c r="BI379" s="173"/>
      <c r="BJ379" s="173"/>
      <c r="BK379" s="173"/>
      <c r="BL379" s="173"/>
      <c r="BM379" s="173"/>
      <c r="BN379" s="173"/>
      <c r="BO379" s="173"/>
      <c r="BP379" s="173"/>
      <c r="BQ379" s="173"/>
      <c r="BR379" s="173"/>
      <c r="BS379" s="173"/>
      <c r="BT379" s="173"/>
      <c r="BU379" s="173"/>
      <c r="BV379" s="173"/>
      <c r="BW379" s="173"/>
      <c r="BX379" s="173"/>
      <c r="BY379" s="173"/>
      <c r="BZ379" s="173"/>
      <c r="CA379" s="173"/>
      <c r="CB379" s="173"/>
      <c r="CC379" s="173"/>
      <c r="CD379" s="173"/>
      <c r="CE379" s="173"/>
      <c r="CF379" s="173"/>
      <c r="CG379" s="173"/>
      <c r="CH379" s="173"/>
      <c r="CI379" s="173"/>
      <c r="CJ379" s="173"/>
      <c r="CK379" s="173"/>
      <c r="CL379" s="173"/>
      <c r="CM379" s="173"/>
      <c r="CN379" s="173"/>
      <c r="CO379" s="173"/>
      <c r="CP379" s="173"/>
      <c r="CQ379" s="173"/>
      <c r="CR379" s="173"/>
      <c r="CS379" s="173"/>
    </row>
    <row r="380" hidden="1">
      <c r="A380" s="179" t="s">
        <v>257</v>
      </c>
      <c r="B380" s="179" t="s">
        <v>2087</v>
      </c>
      <c r="C380" s="179" t="s">
        <v>2088</v>
      </c>
      <c r="D380" s="70" t="s">
        <v>2089</v>
      </c>
      <c r="E380" s="173"/>
      <c r="F380" s="168"/>
      <c r="G380" s="168"/>
      <c r="H380" s="168" t="s">
        <v>25</v>
      </c>
      <c r="I380" s="168" t="s">
        <v>25</v>
      </c>
      <c r="J380" s="168" t="s">
        <v>25</v>
      </c>
      <c r="K380" s="163" t="str">
        <f>VLOOKUP(C380,'Term Reference Guide'!$C:$C,1,false)</f>
        <v>ENVO:00000063</v>
      </c>
      <c r="L380" s="173"/>
      <c r="M380" s="173"/>
      <c r="N380" s="173"/>
      <c r="O380" s="173"/>
      <c r="P380" s="173"/>
      <c r="Q380" s="173"/>
      <c r="R380" s="173"/>
      <c r="S380" s="173"/>
      <c r="T380" s="173"/>
      <c r="U380" s="173"/>
      <c r="V380" s="173"/>
      <c r="W380" s="173"/>
      <c r="X380" s="173"/>
      <c r="Y380" s="173"/>
      <c r="Z380" s="173"/>
      <c r="AA380" s="173"/>
      <c r="AB380" s="173"/>
      <c r="AC380" s="173"/>
      <c r="AD380" s="173"/>
      <c r="AE380" s="173"/>
      <c r="AF380" s="173"/>
      <c r="AG380" s="173"/>
      <c r="AH380" s="173"/>
      <c r="AI380" s="173"/>
      <c r="AJ380" s="173"/>
      <c r="AK380" s="173"/>
      <c r="AL380" s="173"/>
      <c r="AM380" s="173"/>
      <c r="AN380" s="173"/>
      <c r="AO380" s="173"/>
      <c r="AP380" s="173"/>
      <c r="AQ380" s="173"/>
      <c r="AR380" s="173"/>
      <c r="AS380" s="173"/>
      <c r="AT380" s="173"/>
      <c r="AU380" s="173"/>
      <c r="AV380" s="173"/>
      <c r="AW380" s="173"/>
      <c r="AX380" s="173"/>
      <c r="AY380" s="173"/>
      <c r="AZ380" s="173"/>
      <c r="BA380" s="173"/>
      <c r="BB380" s="173"/>
      <c r="BC380" s="173"/>
      <c r="BD380" s="173"/>
      <c r="BE380" s="173"/>
      <c r="BF380" s="173"/>
      <c r="BG380" s="173"/>
      <c r="BH380" s="173"/>
      <c r="BI380" s="173"/>
      <c r="BJ380" s="173"/>
      <c r="BK380" s="173"/>
      <c r="BL380" s="173"/>
      <c r="BM380" s="173"/>
      <c r="BN380" s="173"/>
      <c r="BO380" s="173"/>
      <c r="BP380" s="173"/>
      <c r="BQ380" s="173"/>
      <c r="BR380" s="173"/>
      <c r="BS380" s="173"/>
      <c r="BT380" s="173"/>
      <c r="BU380" s="173"/>
      <c r="BV380" s="173"/>
      <c r="BW380" s="173"/>
      <c r="BX380" s="173"/>
      <c r="BY380" s="173"/>
      <c r="BZ380" s="173"/>
      <c r="CA380" s="173"/>
      <c r="CB380" s="173"/>
      <c r="CC380" s="173"/>
      <c r="CD380" s="173"/>
      <c r="CE380" s="173"/>
      <c r="CF380" s="173"/>
      <c r="CG380" s="173"/>
      <c r="CH380" s="173"/>
      <c r="CI380" s="173"/>
      <c r="CJ380" s="173"/>
      <c r="CK380" s="173"/>
      <c r="CL380" s="173"/>
      <c r="CM380" s="173"/>
      <c r="CN380" s="173"/>
      <c r="CO380" s="173"/>
      <c r="CP380" s="173"/>
      <c r="CQ380" s="173"/>
      <c r="CR380" s="173"/>
      <c r="CS380" s="173"/>
    </row>
    <row r="381" hidden="1">
      <c r="A381" s="179" t="s">
        <v>257</v>
      </c>
      <c r="B381" s="179" t="s">
        <v>2090</v>
      </c>
      <c r="C381" s="179" t="s">
        <v>2091</v>
      </c>
      <c r="D381" s="70" t="s">
        <v>2092</v>
      </c>
      <c r="E381" s="173"/>
      <c r="F381" s="168"/>
      <c r="G381" s="168"/>
      <c r="H381" s="168" t="s">
        <v>25</v>
      </c>
      <c r="I381" s="168" t="s">
        <v>25</v>
      </c>
      <c r="J381" s="168" t="s">
        <v>25</v>
      </c>
      <c r="K381" s="163" t="str">
        <f>VLOOKUP(C381,'Term Reference Guide'!$C:$C,1,false)</f>
        <v>ENVO:00002042</v>
      </c>
      <c r="L381" s="173"/>
      <c r="M381" s="173"/>
      <c r="N381" s="173"/>
      <c r="O381" s="173"/>
      <c r="P381" s="173"/>
      <c r="Q381" s="173"/>
      <c r="R381" s="173"/>
      <c r="S381" s="173"/>
      <c r="T381" s="173"/>
      <c r="U381" s="173"/>
      <c r="V381" s="173"/>
      <c r="W381" s="173"/>
      <c r="X381" s="173"/>
      <c r="Y381" s="173"/>
      <c r="Z381" s="173"/>
      <c r="AA381" s="173"/>
      <c r="AB381" s="173"/>
      <c r="AC381" s="173"/>
      <c r="AD381" s="173"/>
      <c r="AE381" s="173"/>
      <c r="AF381" s="173"/>
      <c r="AG381" s="173"/>
      <c r="AH381" s="173"/>
      <c r="AI381" s="173"/>
      <c r="AJ381" s="173"/>
      <c r="AK381" s="173"/>
      <c r="AL381" s="173"/>
      <c r="AM381" s="173"/>
      <c r="AN381" s="173"/>
      <c r="AO381" s="173"/>
      <c r="AP381" s="173"/>
      <c r="AQ381" s="173"/>
      <c r="AR381" s="173"/>
      <c r="AS381" s="173"/>
      <c r="AT381" s="173"/>
      <c r="AU381" s="173"/>
      <c r="AV381" s="173"/>
      <c r="AW381" s="173"/>
      <c r="AX381" s="173"/>
      <c r="AY381" s="173"/>
      <c r="AZ381" s="173"/>
      <c r="BA381" s="173"/>
      <c r="BB381" s="173"/>
      <c r="BC381" s="173"/>
      <c r="BD381" s="173"/>
      <c r="BE381" s="173"/>
      <c r="BF381" s="173"/>
      <c r="BG381" s="173"/>
      <c r="BH381" s="173"/>
      <c r="BI381" s="173"/>
      <c r="BJ381" s="173"/>
      <c r="BK381" s="173"/>
      <c r="BL381" s="173"/>
      <c r="BM381" s="173"/>
      <c r="BN381" s="173"/>
      <c r="BO381" s="173"/>
      <c r="BP381" s="173"/>
      <c r="BQ381" s="173"/>
      <c r="BR381" s="173"/>
      <c r="BS381" s="173"/>
      <c r="BT381" s="173"/>
      <c r="BU381" s="173"/>
      <c r="BV381" s="173"/>
      <c r="BW381" s="173"/>
      <c r="BX381" s="173"/>
      <c r="BY381" s="173"/>
      <c r="BZ381" s="173"/>
      <c r="CA381" s="173"/>
      <c r="CB381" s="173"/>
      <c r="CC381" s="173"/>
      <c r="CD381" s="173"/>
      <c r="CE381" s="173"/>
      <c r="CF381" s="173"/>
      <c r="CG381" s="173"/>
      <c r="CH381" s="173"/>
      <c r="CI381" s="173"/>
      <c r="CJ381" s="173"/>
      <c r="CK381" s="173"/>
      <c r="CL381" s="173"/>
      <c r="CM381" s="173"/>
      <c r="CN381" s="173"/>
      <c r="CO381" s="173"/>
      <c r="CP381" s="173"/>
      <c r="CQ381" s="173"/>
      <c r="CR381" s="173"/>
      <c r="CS381" s="173"/>
    </row>
    <row r="382" hidden="1">
      <c r="A382" s="179" t="s">
        <v>257</v>
      </c>
      <c r="B382" s="179" t="s">
        <v>2093</v>
      </c>
      <c r="C382" s="179" t="s">
        <v>2094</v>
      </c>
      <c r="D382" s="70" t="s">
        <v>2095</v>
      </c>
      <c r="E382" s="173"/>
      <c r="F382" s="168"/>
      <c r="G382" s="168"/>
      <c r="H382" s="168" t="s">
        <v>25</v>
      </c>
      <c r="I382" s="168" t="s">
        <v>25</v>
      </c>
      <c r="J382" s="168" t="s">
        <v>25</v>
      </c>
      <c r="K382" s="163" t="str">
        <f>VLOOKUP(C382,'Term Reference Guide'!$C:$C,1,false)</f>
        <v>ENVO:00000020</v>
      </c>
      <c r="L382" s="173"/>
      <c r="M382" s="173"/>
      <c r="N382" s="173"/>
      <c r="O382" s="173"/>
      <c r="P382" s="173"/>
      <c r="Q382" s="173"/>
      <c r="R382" s="173"/>
      <c r="S382" s="173"/>
      <c r="T382" s="173"/>
      <c r="U382" s="173"/>
      <c r="V382" s="173"/>
      <c r="W382" s="173"/>
      <c r="X382" s="173"/>
      <c r="Y382" s="173"/>
      <c r="Z382" s="173"/>
      <c r="AA382" s="173"/>
      <c r="AB382" s="173"/>
      <c r="AC382" s="173"/>
      <c r="AD382" s="173"/>
      <c r="AE382" s="173"/>
      <c r="AF382" s="173"/>
      <c r="AG382" s="173"/>
      <c r="AH382" s="173"/>
      <c r="AI382" s="173"/>
      <c r="AJ382" s="173"/>
      <c r="AK382" s="173"/>
      <c r="AL382" s="173"/>
      <c r="AM382" s="173"/>
      <c r="AN382" s="173"/>
      <c r="AO382" s="173"/>
      <c r="AP382" s="173"/>
      <c r="AQ382" s="173"/>
      <c r="AR382" s="173"/>
      <c r="AS382" s="173"/>
      <c r="AT382" s="173"/>
      <c r="AU382" s="173"/>
      <c r="AV382" s="173"/>
      <c r="AW382" s="173"/>
      <c r="AX382" s="173"/>
      <c r="AY382" s="173"/>
      <c r="AZ382" s="173"/>
      <c r="BA382" s="173"/>
      <c r="BB382" s="173"/>
      <c r="BC382" s="173"/>
      <c r="BD382" s="173"/>
      <c r="BE382" s="173"/>
      <c r="BF382" s="173"/>
      <c r="BG382" s="173"/>
      <c r="BH382" s="173"/>
      <c r="BI382" s="173"/>
      <c r="BJ382" s="173"/>
      <c r="BK382" s="173"/>
      <c r="BL382" s="173"/>
      <c r="BM382" s="173"/>
      <c r="BN382" s="173"/>
      <c r="BO382" s="173"/>
      <c r="BP382" s="173"/>
      <c r="BQ382" s="173"/>
      <c r="BR382" s="173"/>
      <c r="BS382" s="173"/>
      <c r="BT382" s="173"/>
      <c r="BU382" s="173"/>
      <c r="BV382" s="173"/>
      <c r="BW382" s="173"/>
      <c r="BX382" s="173"/>
      <c r="BY382" s="173"/>
      <c r="BZ382" s="173"/>
      <c r="CA382" s="173"/>
      <c r="CB382" s="173"/>
      <c r="CC382" s="173"/>
      <c r="CD382" s="173"/>
      <c r="CE382" s="173"/>
      <c r="CF382" s="173"/>
      <c r="CG382" s="173"/>
      <c r="CH382" s="173"/>
      <c r="CI382" s="173"/>
      <c r="CJ382" s="173"/>
      <c r="CK382" s="173"/>
      <c r="CL382" s="173"/>
      <c r="CM382" s="173"/>
      <c r="CN382" s="173"/>
      <c r="CO382" s="173"/>
      <c r="CP382" s="173"/>
      <c r="CQ382" s="173"/>
      <c r="CR382" s="173"/>
      <c r="CS382" s="173"/>
    </row>
    <row r="383" hidden="1">
      <c r="A383" s="179" t="s">
        <v>257</v>
      </c>
      <c r="B383" s="179" t="s">
        <v>2096</v>
      </c>
      <c r="C383" s="179" t="s">
        <v>2097</v>
      </c>
      <c r="D383" s="70" t="s">
        <v>2098</v>
      </c>
      <c r="E383" s="173"/>
      <c r="F383" s="168"/>
      <c r="G383" s="168"/>
      <c r="H383" s="168" t="s">
        <v>25</v>
      </c>
      <c r="I383" s="168" t="s">
        <v>25</v>
      </c>
      <c r="J383" s="168" t="s">
        <v>25</v>
      </c>
      <c r="K383" s="163" t="str">
        <f>VLOOKUP(C383,'Term Reference Guide'!$C:$C,1,false)</f>
        <v>ENVO:00000023</v>
      </c>
      <c r="L383" s="173"/>
      <c r="M383" s="173"/>
      <c r="N383" s="173"/>
      <c r="O383" s="173"/>
      <c r="P383" s="173"/>
      <c r="Q383" s="173"/>
      <c r="R383" s="173"/>
      <c r="S383" s="173"/>
      <c r="T383" s="173"/>
      <c r="U383" s="173"/>
      <c r="V383" s="173"/>
      <c r="W383" s="173"/>
      <c r="X383" s="173"/>
      <c r="Y383" s="173"/>
      <c r="Z383" s="173"/>
      <c r="AA383" s="173"/>
      <c r="AB383" s="173"/>
      <c r="AC383" s="173"/>
      <c r="AD383" s="173"/>
      <c r="AE383" s="173"/>
      <c r="AF383" s="173"/>
      <c r="AG383" s="173"/>
      <c r="AH383" s="173"/>
      <c r="AI383" s="173"/>
      <c r="AJ383" s="173"/>
      <c r="AK383" s="173"/>
      <c r="AL383" s="173"/>
      <c r="AM383" s="173"/>
      <c r="AN383" s="173"/>
      <c r="AO383" s="173"/>
      <c r="AP383" s="173"/>
      <c r="AQ383" s="173"/>
      <c r="AR383" s="173"/>
      <c r="AS383" s="173"/>
      <c r="AT383" s="173"/>
      <c r="AU383" s="173"/>
      <c r="AV383" s="173"/>
      <c r="AW383" s="173"/>
      <c r="AX383" s="173"/>
      <c r="AY383" s="173"/>
      <c r="AZ383" s="173"/>
      <c r="BA383" s="173"/>
      <c r="BB383" s="173"/>
      <c r="BC383" s="173"/>
      <c r="BD383" s="173"/>
      <c r="BE383" s="173"/>
      <c r="BF383" s="173"/>
      <c r="BG383" s="173"/>
      <c r="BH383" s="173"/>
      <c r="BI383" s="173"/>
      <c r="BJ383" s="173"/>
      <c r="BK383" s="173"/>
      <c r="BL383" s="173"/>
      <c r="BM383" s="173"/>
      <c r="BN383" s="173"/>
      <c r="BO383" s="173"/>
      <c r="BP383" s="173"/>
      <c r="BQ383" s="173"/>
      <c r="BR383" s="173"/>
      <c r="BS383" s="173"/>
      <c r="BT383" s="173"/>
      <c r="BU383" s="173"/>
      <c r="BV383" s="173"/>
      <c r="BW383" s="173"/>
      <c r="BX383" s="173"/>
      <c r="BY383" s="173"/>
      <c r="BZ383" s="173"/>
      <c r="CA383" s="173"/>
      <c r="CB383" s="173"/>
      <c r="CC383" s="173"/>
      <c r="CD383" s="173"/>
      <c r="CE383" s="173"/>
      <c r="CF383" s="173"/>
      <c r="CG383" s="173"/>
      <c r="CH383" s="173"/>
      <c r="CI383" s="173"/>
      <c r="CJ383" s="173"/>
      <c r="CK383" s="173"/>
      <c r="CL383" s="173"/>
      <c r="CM383" s="173"/>
      <c r="CN383" s="173"/>
      <c r="CO383" s="173"/>
      <c r="CP383" s="173"/>
      <c r="CQ383" s="173"/>
      <c r="CR383" s="173"/>
      <c r="CS383" s="173"/>
    </row>
    <row r="384" hidden="1">
      <c r="A384" s="179" t="s">
        <v>257</v>
      </c>
      <c r="B384" s="179" t="s">
        <v>2099</v>
      </c>
      <c r="C384" s="179" t="s">
        <v>2100</v>
      </c>
      <c r="D384" s="70" t="s">
        <v>2101</v>
      </c>
      <c r="E384" s="173"/>
      <c r="F384" s="168"/>
      <c r="G384" s="168"/>
      <c r="H384" s="168" t="s">
        <v>25</v>
      </c>
      <c r="I384" s="168" t="s">
        <v>25</v>
      </c>
      <c r="J384" s="168" t="s">
        <v>25</v>
      </c>
      <c r="K384" s="163" t="str">
        <f>VLOOKUP(C384,'Term Reference Guide'!$C:$C,1,false)</f>
        <v>ENVO:00000022</v>
      </c>
      <c r="L384" s="173"/>
      <c r="M384" s="173"/>
      <c r="N384" s="173"/>
      <c r="O384" s="173"/>
      <c r="P384" s="173"/>
      <c r="Q384" s="173"/>
      <c r="R384" s="173"/>
      <c r="S384" s="173"/>
      <c r="T384" s="173"/>
      <c r="U384" s="173"/>
      <c r="V384" s="173"/>
      <c r="W384" s="173"/>
      <c r="X384" s="173"/>
      <c r="Y384" s="173"/>
      <c r="Z384" s="173"/>
      <c r="AA384" s="173"/>
      <c r="AB384" s="173"/>
      <c r="AC384" s="173"/>
      <c r="AD384" s="173"/>
      <c r="AE384" s="173"/>
      <c r="AF384" s="173"/>
      <c r="AG384" s="173"/>
      <c r="AH384" s="173"/>
      <c r="AI384" s="173"/>
      <c r="AJ384" s="173"/>
      <c r="AK384" s="173"/>
      <c r="AL384" s="173"/>
      <c r="AM384" s="173"/>
      <c r="AN384" s="173"/>
      <c r="AO384" s="173"/>
      <c r="AP384" s="173"/>
      <c r="AQ384" s="173"/>
      <c r="AR384" s="173"/>
      <c r="AS384" s="173"/>
      <c r="AT384" s="173"/>
      <c r="AU384" s="173"/>
      <c r="AV384" s="173"/>
      <c r="AW384" s="173"/>
      <c r="AX384" s="173"/>
      <c r="AY384" s="173"/>
      <c r="AZ384" s="173"/>
      <c r="BA384" s="173"/>
      <c r="BB384" s="173"/>
      <c r="BC384" s="173"/>
      <c r="BD384" s="173"/>
      <c r="BE384" s="173"/>
      <c r="BF384" s="173"/>
      <c r="BG384" s="173"/>
      <c r="BH384" s="173"/>
      <c r="BI384" s="173"/>
      <c r="BJ384" s="173"/>
      <c r="BK384" s="173"/>
      <c r="BL384" s="173"/>
      <c r="BM384" s="173"/>
      <c r="BN384" s="173"/>
      <c r="BO384" s="173"/>
      <c r="BP384" s="173"/>
      <c r="BQ384" s="173"/>
      <c r="BR384" s="173"/>
      <c r="BS384" s="173"/>
      <c r="BT384" s="173"/>
      <c r="BU384" s="173"/>
      <c r="BV384" s="173"/>
      <c r="BW384" s="173"/>
      <c r="BX384" s="173"/>
      <c r="BY384" s="173"/>
      <c r="BZ384" s="173"/>
      <c r="CA384" s="173"/>
      <c r="CB384" s="173"/>
      <c r="CC384" s="173"/>
      <c r="CD384" s="173"/>
      <c r="CE384" s="173"/>
      <c r="CF384" s="173"/>
      <c r="CG384" s="173"/>
      <c r="CH384" s="173"/>
      <c r="CI384" s="173"/>
      <c r="CJ384" s="173"/>
      <c r="CK384" s="173"/>
      <c r="CL384" s="173"/>
      <c r="CM384" s="173"/>
      <c r="CN384" s="173"/>
      <c r="CO384" s="173"/>
      <c r="CP384" s="173"/>
      <c r="CQ384" s="173"/>
      <c r="CR384" s="173"/>
      <c r="CS384" s="173"/>
    </row>
    <row r="385" hidden="1">
      <c r="A385" s="179" t="s">
        <v>257</v>
      </c>
      <c r="B385" s="179" t="s">
        <v>2102</v>
      </c>
      <c r="C385" s="179" t="s">
        <v>2103</v>
      </c>
      <c r="D385" s="70" t="s">
        <v>2104</v>
      </c>
      <c r="E385" s="173"/>
      <c r="F385" s="168"/>
      <c r="G385" s="168"/>
      <c r="H385" s="168" t="s">
        <v>25</v>
      </c>
      <c r="I385" s="168" t="s">
        <v>25</v>
      </c>
      <c r="J385" s="168" t="s">
        <v>25</v>
      </c>
      <c r="K385" s="163" t="str">
        <f>VLOOKUP(C385,'Term Reference Guide'!$C:$C,1,false)</f>
        <v>ENVO:00000015</v>
      </c>
      <c r="L385" s="173"/>
      <c r="M385" s="173"/>
      <c r="N385" s="173"/>
      <c r="O385" s="173"/>
      <c r="P385" s="173"/>
      <c r="Q385" s="173"/>
      <c r="R385" s="173"/>
      <c r="S385" s="173"/>
      <c r="T385" s="173"/>
      <c r="U385" s="173"/>
      <c r="V385" s="173"/>
      <c r="W385" s="173"/>
      <c r="X385" s="173"/>
      <c r="Y385" s="173"/>
      <c r="Z385" s="173"/>
      <c r="AA385" s="173"/>
      <c r="AB385" s="173"/>
      <c r="AC385" s="173"/>
      <c r="AD385" s="173"/>
      <c r="AE385" s="173"/>
      <c r="AF385" s="173"/>
      <c r="AG385" s="173"/>
      <c r="AH385" s="173"/>
      <c r="AI385" s="173"/>
      <c r="AJ385" s="173"/>
      <c r="AK385" s="173"/>
      <c r="AL385" s="173"/>
      <c r="AM385" s="173"/>
      <c r="AN385" s="173"/>
      <c r="AO385" s="173"/>
      <c r="AP385" s="173"/>
      <c r="AQ385" s="173"/>
      <c r="AR385" s="173"/>
      <c r="AS385" s="173"/>
      <c r="AT385" s="173"/>
      <c r="AU385" s="173"/>
      <c r="AV385" s="173"/>
      <c r="AW385" s="173"/>
      <c r="AX385" s="173"/>
      <c r="AY385" s="173"/>
      <c r="AZ385" s="173"/>
      <c r="BA385" s="173"/>
      <c r="BB385" s="173"/>
      <c r="BC385" s="173"/>
      <c r="BD385" s="173"/>
      <c r="BE385" s="173"/>
      <c r="BF385" s="173"/>
      <c r="BG385" s="173"/>
      <c r="BH385" s="173"/>
      <c r="BI385" s="173"/>
      <c r="BJ385" s="173"/>
      <c r="BK385" s="173"/>
      <c r="BL385" s="173"/>
      <c r="BM385" s="173"/>
      <c r="BN385" s="173"/>
      <c r="BO385" s="173"/>
      <c r="BP385" s="173"/>
      <c r="BQ385" s="173"/>
      <c r="BR385" s="173"/>
      <c r="BS385" s="173"/>
      <c r="BT385" s="173"/>
      <c r="BU385" s="173"/>
      <c r="BV385" s="173"/>
      <c r="BW385" s="173"/>
      <c r="BX385" s="173"/>
      <c r="BY385" s="173"/>
      <c r="BZ385" s="173"/>
      <c r="CA385" s="173"/>
      <c r="CB385" s="173"/>
      <c r="CC385" s="173"/>
      <c r="CD385" s="173"/>
      <c r="CE385" s="173"/>
      <c r="CF385" s="173"/>
      <c r="CG385" s="173"/>
      <c r="CH385" s="173"/>
      <c r="CI385" s="173"/>
      <c r="CJ385" s="173"/>
      <c r="CK385" s="173"/>
      <c r="CL385" s="173"/>
      <c r="CM385" s="173"/>
      <c r="CN385" s="173"/>
      <c r="CO385" s="173"/>
      <c r="CP385" s="173"/>
      <c r="CQ385" s="173"/>
      <c r="CR385" s="173"/>
      <c r="CS385" s="173"/>
    </row>
    <row r="386" hidden="1">
      <c r="A386" s="179" t="s">
        <v>257</v>
      </c>
      <c r="B386" s="179" t="s">
        <v>2105</v>
      </c>
      <c r="C386" s="179" t="s">
        <v>2106</v>
      </c>
      <c r="D386" s="70" t="s">
        <v>2107</v>
      </c>
      <c r="E386" s="173"/>
      <c r="F386" s="168"/>
      <c r="G386" s="168"/>
      <c r="H386" s="168" t="s">
        <v>25</v>
      </c>
      <c r="I386" s="168" t="s">
        <v>25</v>
      </c>
      <c r="J386" s="168" t="s">
        <v>25</v>
      </c>
      <c r="K386" s="163" t="str">
        <f>VLOOKUP(C386,'Term Reference Guide'!$C:$C,1,false)</f>
        <v>ENVO:00000016</v>
      </c>
      <c r="L386" s="173"/>
      <c r="M386" s="173"/>
      <c r="N386" s="173"/>
      <c r="O386" s="173"/>
      <c r="P386" s="173"/>
      <c r="Q386" s="173"/>
      <c r="R386" s="173"/>
      <c r="S386" s="173"/>
      <c r="T386" s="173"/>
      <c r="U386" s="173"/>
      <c r="V386" s="173"/>
      <c r="W386" s="173"/>
      <c r="X386" s="173"/>
      <c r="Y386" s="173"/>
      <c r="Z386" s="173"/>
      <c r="AA386" s="173"/>
      <c r="AB386" s="173"/>
      <c r="AC386" s="173"/>
      <c r="AD386" s="173"/>
      <c r="AE386" s="173"/>
      <c r="AF386" s="173"/>
      <c r="AG386" s="173"/>
      <c r="AH386" s="173"/>
      <c r="AI386" s="173"/>
      <c r="AJ386" s="173"/>
      <c r="AK386" s="173"/>
      <c r="AL386" s="173"/>
      <c r="AM386" s="173"/>
      <c r="AN386" s="173"/>
      <c r="AO386" s="173"/>
      <c r="AP386" s="173"/>
      <c r="AQ386" s="173"/>
      <c r="AR386" s="173"/>
      <c r="AS386" s="173"/>
      <c r="AT386" s="173"/>
      <c r="AU386" s="173"/>
      <c r="AV386" s="173"/>
      <c r="AW386" s="173"/>
      <c r="AX386" s="173"/>
      <c r="AY386" s="173"/>
      <c r="AZ386" s="173"/>
      <c r="BA386" s="173"/>
      <c r="BB386" s="173"/>
      <c r="BC386" s="173"/>
      <c r="BD386" s="173"/>
      <c r="BE386" s="173"/>
      <c r="BF386" s="173"/>
      <c r="BG386" s="173"/>
      <c r="BH386" s="173"/>
      <c r="BI386" s="173"/>
      <c r="BJ386" s="173"/>
      <c r="BK386" s="173"/>
      <c r="BL386" s="173"/>
      <c r="BM386" s="173"/>
      <c r="BN386" s="173"/>
      <c r="BO386" s="173"/>
      <c r="BP386" s="173"/>
      <c r="BQ386" s="173"/>
      <c r="BR386" s="173"/>
      <c r="BS386" s="173"/>
      <c r="BT386" s="173"/>
      <c r="BU386" s="173"/>
      <c r="BV386" s="173"/>
      <c r="BW386" s="173"/>
      <c r="BX386" s="173"/>
      <c r="BY386" s="173"/>
      <c r="BZ386" s="173"/>
      <c r="CA386" s="173"/>
      <c r="CB386" s="173"/>
      <c r="CC386" s="173"/>
      <c r="CD386" s="173"/>
      <c r="CE386" s="173"/>
      <c r="CF386" s="173"/>
      <c r="CG386" s="173"/>
      <c r="CH386" s="173"/>
      <c r="CI386" s="173"/>
      <c r="CJ386" s="173"/>
      <c r="CK386" s="173"/>
      <c r="CL386" s="173"/>
      <c r="CM386" s="173"/>
      <c r="CN386" s="173"/>
      <c r="CO386" s="173"/>
      <c r="CP386" s="173"/>
      <c r="CQ386" s="173"/>
      <c r="CR386" s="173"/>
      <c r="CS386" s="173"/>
    </row>
    <row r="387" hidden="1">
      <c r="A387" s="179" t="s">
        <v>257</v>
      </c>
      <c r="B387" s="179" t="s">
        <v>2108</v>
      </c>
      <c r="C387" s="179" t="s">
        <v>2109</v>
      </c>
      <c r="D387" s="70" t="s">
        <v>2110</v>
      </c>
      <c r="E387" s="173"/>
      <c r="F387" s="168"/>
      <c r="G387" s="168"/>
      <c r="H387" s="168" t="s">
        <v>25</v>
      </c>
      <c r="I387" s="168" t="s">
        <v>25</v>
      </c>
      <c r="J387" s="168" t="s">
        <v>25</v>
      </c>
      <c r="K387" s="163" t="str">
        <f>VLOOKUP(C387,'Term Reference Guide'!$C:$C,1,false)</f>
        <v>ENVO:00000014</v>
      </c>
      <c r="L387" s="173"/>
      <c r="M387" s="173"/>
      <c r="N387" s="173"/>
      <c r="O387" s="173"/>
      <c r="P387" s="173"/>
      <c r="Q387" s="173"/>
      <c r="R387" s="173"/>
      <c r="S387" s="173"/>
      <c r="T387" s="173"/>
      <c r="U387" s="173"/>
      <c r="V387" s="173"/>
      <c r="W387" s="173"/>
      <c r="X387" s="173"/>
      <c r="Y387" s="173"/>
      <c r="Z387" s="173"/>
      <c r="AA387" s="173"/>
      <c r="AB387" s="173"/>
      <c r="AC387" s="173"/>
      <c r="AD387" s="173"/>
      <c r="AE387" s="173"/>
      <c r="AF387" s="173"/>
      <c r="AG387" s="173"/>
      <c r="AH387" s="173"/>
      <c r="AI387" s="173"/>
      <c r="AJ387" s="173"/>
      <c r="AK387" s="173"/>
      <c r="AL387" s="173"/>
      <c r="AM387" s="173"/>
      <c r="AN387" s="173"/>
      <c r="AO387" s="173"/>
      <c r="AP387" s="173"/>
      <c r="AQ387" s="173"/>
      <c r="AR387" s="173"/>
      <c r="AS387" s="173"/>
      <c r="AT387" s="173"/>
      <c r="AU387" s="173"/>
      <c r="AV387" s="173"/>
      <c r="AW387" s="173"/>
      <c r="AX387" s="173"/>
      <c r="AY387" s="173"/>
      <c r="AZ387" s="173"/>
      <c r="BA387" s="173"/>
      <c r="BB387" s="173"/>
      <c r="BC387" s="173"/>
      <c r="BD387" s="173"/>
      <c r="BE387" s="173"/>
      <c r="BF387" s="173"/>
      <c r="BG387" s="173"/>
      <c r="BH387" s="173"/>
      <c r="BI387" s="173"/>
      <c r="BJ387" s="173"/>
      <c r="BK387" s="173"/>
      <c r="BL387" s="173"/>
      <c r="BM387" s="173"/>
      <c r="BN387" s="173"/>
      <c r="BO387" s="173"/>
      <c r="BP387" s="173"/>
      <c r="BQ387" s="173"/>
      <c r="BR387" s="173"/>
      <c r="BS387" s="173"/>
      <c r="BT387" s="173"/>
      <c r="BU387" s="173"/>
      <c r="BV387" s="173"/>
      <c r="BW387" s="173"/>
      <c r="BX387" s="173"/>
      <c r="BY387" s="173"/>
      <c r="BZ387" s="173"/>
      <c r="CA387" s="173"/>
      <c r="CB387" s="173"/>
      <c r="CC387" s="173"/>
      <c r="CD387" s="173"/>
      <c r="CE387" s="173"/>
      <c r="CF387" s="173"/>
      <c r="CG387" s="173"/>
      <c r="CH387" s="173"/>
      <c r="CI387" s="173"/>
      <c r="CJ387" s="173"/>
      <c r="CK387" s="173"/>
      <c r="CL387" s="173"/>
      <c r="CM387" s="173"/>
      <c r="CN387" s="173"/>
      <c r="CO387" s="173"/>
      <c r="CP387" s="173"/>
      <c r="CQ387" s="173"/>
      <c r="CR387" s="173"/>
      <c r="CS387" s="173"/>
    </row>
    <row r="388" hidden="1">
      <c r="A388" s="179" t="s">
        <v>257</v>
      </c>
      <c r="B388" s="179" t="s">
        <v>2111</v>
      </c>
      <c r="C388" s="179" t="s">
        <v>2112</v>
      </c>
      <c r="D388" s="70" t="s">
        <v>2113</v>
      </c>
      <c r="E388" s="173"/>
      <c r="F388" s="168"/>
      <c r="G388" s="168"/>
      <c r="H388" s="168" t="s">
        <v>25</v>
      </c>
      <c r="I388" s="168" t="s">
        <v>25</v>
      </c>
      <c r="J388" s="168" t="s">
        <v>25</v>
      </c>
      <c r="K388" s="163" t="str">
        <f>VLOOKUP(C388,'Term Reference Guide'!$C:$C,1,false)</f>
        <v>ENVO:00000025</v>
      </c>
      <c r="L388" s="173"/>
      <c r="M388" s="173"/>
      <c r="N388" s="173"/>
      <c r="O388" s="173"/>
      <c r="P388" s="173"/>
      <c r="Q388" s="173"/>
      <c r="R388" s="173"/>
      <c r="S388" s="173"/>
      <c r="T388" s="173"/>
      <c r="U388" s="173"/>
      <c r="V388" s="173"/>
      <c r="W388" s="173"/>
      <c r="X388" s="173"/>
      <c r="Y388" s="173"/>
      <c r="Z388" s="173"/>
      <c r="AA388" s="173"/>
      <c r="AB388" s="173"/>
      <c r="AC388" s="173"/>
      <c r="AD388" s="173"/>
      <c r="AE388" s="173"/>
      <c r="AF388" s="173"/>
      <c r="AG388" s="173"/>
      <c r="AH388" s="173"/>
      <c r="AI388" s="173"/>
      <c r="AJ388" s="173"/>
      <c r="AK388" s="173"/>
      <c r="AL388" s="173"/>
      <c r="AM388" s="173"/>
      <c r="AN388" s="173"/>
      <c r="AO388" s="173"/>
      <c r="AP388" s="173"/>
      <c r="AQ388" s="173"/>
      <c r="AR388" s="173"/>
      <c r="AS388" s="173"/>
      <c r="AT388" s="173"/>
      <c r="AU388" s="173"/>
      <c r="AV388" s="173"/>
      <c r="AW388" s="173"/>
      <c r="AX388" s="173"/>
      <c r="AY388" s="173"/>
      <c r="AZ388" s="173"/>
      <c r="BA388" s="173"/>
      <c r="BB388" s="173"/>
      <c r="BC388" s="173"/>
      <c r="BD388" s="173"/>
      <c r="BE388" s="173"/>
      <c r="BF388" s="173"/>
      <c r="BG388" s="173"/>
      <c r="BH388" s="173"/>
      <c r="BI388" s="173"/>
      <c r="BJ388" s="173"/>
      <c r="BK388" s="173"/>
      <c r="BL388" s="173"/>
      <c r="BM388" s="173"/>
      <c r="BN388" s="173"/>
      <c r="BO388" s="173"/>
      <c r="BP388" s="173"/>
      <c r="BQ388" s="173"/>
      <c r="BR388" s="173"/>
      <c r="BS388" s="173"/>
      <c r="BT388" s="173"/>
      <c r="BU388" s="173"/>
      <c r="BV388" s="173"/>
      <c r="BW388" s="173"/>
      <c r="BX388" s="173"/>
      <c r="BY388" s="173"/>
      <c r="BZ388" s="173"/>
      <c r="CA388" s="173"/>
      <c r="CB388" s="173"/>
      <c r="CC388" s="173"/>
      <c r="CD388" s="173"/>
      <c r="CE388" s="173"/>
      <c r="CF388" s="173"/>
      <c r="CG388" s="173"/>
      <c r="CH388" s="173"/>
      <c r="CI388" s="173"/>
      <c r="CJ388" s="173"/>
      <c r="CK388" s="173"/>
      <c r="CL388" s="173"/>
      <c r="CM388" s="173"/>
      <c r="CN388" s="173"/>
      <c r="CO388" s="173"/>
      <c r="CP388" s="173"/>
      <c r="CQ388" s="173"/>
      <c r="CR388" s="173"/>
      <c r="CS388" s="173"/>
    </row>
    <row r="389" hidden="1">
      <c r="A389" s="179" t="s">
        <v>257</v>
      </c>
      <c r="B389" s="179" t="s">
        <v>2114</v>
      </c>
      <c r="C389" s="179" t="s">
        <v>2115</v>
      </c>
      <c r="D389" s="70" t="s">
        <v>2116</v>
      </c>
      <c r="E389" s="173"/>
      <c r="F389" s="168"/>
      <c r="G389" s="168"/>
      <c r="H389" s="168" t="s">
        <v>25</v>
      </c>
      <c r="I389" s="168" t="s">
        <v>25</v>
      </c>
      <c r="J389" s="168" t="s">
        <v>25</v>
      </c>
      <c r="K389" s="163" t="str">
        <f>VLOOKUP(C389,'Term Reference Guide'!$C:$C,1,false)</f>
        <v>ENVO:01001004</v>
      </c>
      <c r="L389" s="173"/>
      <c r="M389" s="173"/>
      <c r="N389" s="173"/>
      <c r="O389" s="173"/>
      <c r="P389" s="173"/>
      <c r="Q389" s="173"/>
      <c r="R389" s="173"/>
      <c r="S389" s="173"/>
      <c r="T389" s="173"/>
      <c r="U389" s="173"/>
      <c r="V389" s="173"/>
      <c r="W389" s="173"/>
      <c r="X389" s="173"/>
      <c r="Y389" s="173"/>
      <c r="Z389" s="173"/>
      <c r="AA389" s="173"/>
      <c r="AB389" s="173"/>
      <c r="AC389" s="173"/>
      <c r="AD389" s="173"/>
      <c r="AE389" s="173"/>
      <c r="AF389" s="173"/>
      <c r="AG389" s="173"/>
      <c r="AH389" s="173"/>
      <c r="AI389" s="173"/>
      <c r="AJ389" s="173"/>
      <c r="AK389" s="173"/>
      <c r="AL389" s="173"/>
      <c r="AM389" s="173"/>
      <c r="AN389" s="173"/>
      <c r="AO389" s="173"/>
      <c r="AP389" s="173"/>
      <c r="AQ389" s="173"/>
      <c r="AR389" s="173"/>
      <c r="AS389" s="173"/>
      <c r="AT389" s="173"/>
      <c r="AU389" s="173"/>
      <c r="AV389" s="173"/>
      <c r="AW389" s="173"/>
      <c r="AX389" s="173"/>
      <c r="AY389" s="173"/>
      <c r="AZ389" s="173"/>
      <c r="BA389" s="173"/>
      <c r="BB389" s="173"/>
      <c r="BC389" s="173"/>
      <c r="BD389" s="173"/>
      <c r="BE389" s="173"/>
      <c r="BF389" s="173"/>
      <c r="BG389" s="173"/>
      <c r="BH389" s="173"/>
      <c r="BI389" s="173"/>
      <c r="BJ389" s="173"/>
      <c r="BK389" s="173"/>
      <c r="BL389" s="173"/>
      <c r="BM389" s="173"/>
      <c r="BN389" s="173"/>
      <c r="BO389" s="173"/>
      <c r="BP389" s="173"/>
      <c r="BQ389" s="173"/>
      <c r="BR389" s="173"/>
      <c r="BS389" s="173"/>
      <c r="BT389" s="173"/>
      <c r="BU389" s="173"/>
      <c r="BV389" s="173"/>
      <c r="BW389" s="173"/>
      <c r="BX389" s="173"/>
      <c r="BY389" s="173"/>
      <c r="BZ389" s="173"/>
      <c r="CA389" s="173"/>
      <c r="CB389" s="173"/>
      <c r="CC389" s="173"/>
      <c r="CD389" s="173"/>
      <c r="CE389" s="173"/>
      <c r="CF389" s="173"/>
      <c r="CG389" s="173"/>
      <c r="CH389" s="173"/>
      <c r="CI389" s="173"/>
      <c r="CJ389" s="173"/>
      <c r="CK389" s="173"/>
      <c r="CL389" s="173"/>
      <c r="CM389" s="173"/>
      <c r="CN389" s="173"/>
      <c r="CO389" s="173"/>
      <c r="CP389" s="173"/>
      <c r="CQ389" s="173"/>
      <c r="CR389" s="173"/>
      <c r="CS389" s="173"/>
    </row>
    <row r="390" hidden="1">
      <c r="A390" s="179" t="s">
        <v>257</v>
      </c>
      <c r="B390" s="179" t="s">
        <v>2117</v>
      </c>
      <c r="C390" s="179" t="s">
        <v>2118</v>
      </c>
      <c r="D390" s="70" t="s">
        <v>2119</v>
      </c>
      <c r="E390" s="173"/>
      <c r="F390" s="168"/>
      <c r="G390" s="168"/>
      <c r="H390" s="168" t="s">
        <v>25</v>
      </c>
      <c r="I390" s="168" t="s">
        <v>25</v>
      </c>
      <c r="J390" s="168" t="s">
        <v>25</v>
      </c>
      <c r="K390" s="163" t="str">
        <f>VLOOKUP(C390,'Term Reference Guide'!$C:$C,1,false)</f>
        <v>ENVO:00000026</v>
      </c>
      <c r="L390" s="173"/>
      <c r="M390" s="173"/>
      <c r="N390" s="173"/>
      <c r="O390" s="173"/>
      <c r="P390" s="173"/>
      <c r="Q390" s="173"/>
      <c r="R390" s="173"/>
      <c r="S390" s="173"/>
      <c r="T390" s="173"/>
      <c r="U390" s="173"/>
      <c r="V390" s="173"/>
      <c r="W390" s="173"/>
      <c r="X390" s="173"/>
      <c r="Y390" s="173"/>
      <c r="Z390" s="173"/>
      <c r="AA390" s="173"/>
      <c r="AB390" s="173"/>
      <c r="AC390" s="173"/>
      <c r="AD390" s="173"/>
      <c r="AE390" s="173"/>
      <c r="AF390" s="173"/>
      <c r="AG390" s="173"/>
      <c r="AH390" s="173"/>
      <c r="AI390" s="173"/>
      <c r="AJ390" s="173"/>
      <c r="AK390" s="173"/>
      <c r="AL390" s="173"/>
      <c r="AM390" s="173"/>
      <c r="AN390" s="173"/>
      <c r="AO390" s="173"/>
      <c r="AP390" s="173"/>
      <c r="AQ390" s="173"/>
      <c r="AR390" s="173"/>
      <c r="AS390" s="173"/>
      <c r="AT390" s="173"/>
      <c r="AU390" s="173"/>
      <c r="AV390" s="173"/>
      <c r="AW390" s="173"/>
      <c r="AX390" s="173"/>
      <c r="AY390" s="173"/>
      <c r="AZ390" s="173"/>
      <c r="BA390" s="173"/>
      <c r="BB390" s="173"/>
      <c r="BC390" s="173"/>
      <c r="BD390" s="173"/>
      <c r="BE390" s="173"/>
      <c r="BF390" s="173"/>
      <c r="BG390" s="173"/>
      <c r="BH390" s="173"/>
      <c r="BI390" s="173"/>
      <c r="BJ390" s="173"/>
      <c r="BK390" s="173"/>
      <c r="BL390" s="173"/>
      <c r="BM390" s="173"/>
      <c r="BN390" s="173"/>
      <c r="BO390" s="173"/>
      <c r="BP390" s="173"/>
      <c r="BQ390" s="173"/>
      <c r="BR390" s="173"/>
      <c r="BS390" s="173"/>
      <c r="BT390" s="173"/>
      <c r="BU390" s="173"/>
      <c r="BV390" s="173"/>
      <c r="BW390" s="173"/>
      <c r="BX390" s="173"/>
      <c r="BY390" s="173"/>
      <c r="BZ390" s="173"/>
      <c r="CA390" s="173"/>
      <c r="CB390" s="173"/>
      <c r="CC390" s="173"/>
      <c r="CD390" s="173"/>
      <c r="CE390" s="173"/>
      <c r="CF390" s="173"/>
      <c r="CG390" s="173"/>
      <c r="CH390" s="173"/>
      <c r="CI390" s="173"/>
      <c r="CJ390" s="173"/>
      <c r="CK390" s="173"/>
      <c r="CL390" s="173"/>
      <c r="CM390" s="173"/>
      <c r="CN390" s="173"/>
      <c r="CO390" s="173"/>
      <c r="CP390" s="173"/>
      <c r="CQ390" s="173"/>
      <c r="CR390" s="173"/>
      <c r="CS390" s="173"/>
    </row>
    <row r="391" hidden="1">
      <c r="A391" s="179" t="s">
        <v>257</v>
      </c>
      <c r="B391" s="179" t="s">
        <v>2120</v>
      </c>
      <c r="C391" s="179" t="s">
        <v>2121</v>
      </c>
      <c r="D391" s="70" t="s">
        <v>2122</v>
      </c>
      <c r="E391" s="173"/>
      <c r="F391" s="168"/>
      <c r="G391" s="168"/>
      <c r="H391" s="168" t="s">
        <v>25</v>
      </c>
      <c r="I391" s="168" t="s">
        <v>25</v>
      </c>
      <c r="J391" s="168" t="s">
        <v>25</v>
      </c>
      <c r="K391" s="163" t="str">
        <f>VLOOKUP(C391,'Term Reference Guide'!$C:$C,1,false)</f>
        <v>ENVO:00000027</v>
      </c>
      <c r="L391" s="173"/>
      <c r="M391" s="173"/>
      <c r="N391" s="173"/>
      <c r="O391" s="173"/>
      <c r="P391" s="173"/>
      <c r="Q391" s="173"/>
      <c r="R391" s="173"/>
      <c r="S391" s="173"/>
      <c r="T391" s="173"/>
      <c r="U391" s="173"/>
      <c r="V391" s="173"/>
      <c r="W391" s="173"/>
      <c r="X391" s="173"/>
      <c r="Y391" s="173"/>
      <c r="Z391" s="173"/>
      <c r="AA391" s="173"/>
      <c r="AB391" s="173"/>
      <c r="AC391" s="173"/>
      <c r="AD391" s="173"/>
      <c r="AE391" s="173"/>
      <c r="AF391" s="173"/>
      <c r="AG391" s="173"/>
      <c r="AH391" s="173"/>
      <c r="AI391" s="173"/>
      <c r="AJ391" s="173"/>
      <c r="AK391" s="173"/>
      <c r="AL391" s="173"/>
      <c r="AM391" s="173"/>
      <c r="AN391" s="173"/>
      <c r="AO391" s="173"/>
      <c r="AP391" s="173"/>
      <c r="AQ391" s="173"/>
      <c r="AR391" s="173"/>
      <c r="AS391" s="173"/>
      <c r="AT391" s="173"/>
      <c r="AU391" s="173"/>
      <c r="AV391" s="173"/>
      <c r="AW391" s="173"/>
      <c r="AX391" s="173"/>
      <c r="AY391" s="173"/>
      <c r="AZ391" s="173"/>
      <c r="BA391" s="173"/>
      <c r="BB391" s="173"/>
      <c r="BC391" s="173"/>
      <c r="BD391" s="173"/>
      <c r="BE391" s="173"/>
      <c r="BF391" s="173"/>
      <c r="BG391" s="173"/>
      <c r="BH391" s="173"/>
      <c r="BI391" s="173"/>
      <c r="BJ391" s="173"/>
      <c r="BK391" s="173"/>
      <c r="BL391" s="173"/>
      <c r="BM391" s="173"/>
      <c r="BN391" s="173"/>
      <c r="BO391" s="173"/>
      <c r="BP391" s="173"/>
      <c r="BQ391" s="173"/>
      <c r="BR391" s="173"/>
      <c r="BS391" s="173"/>
      <c r="BT391" s="173"/>
      <c r="BU391" s="173"/>
      <c r="BV391" s="173"/>
      <c r="BW391" s="173"/>
      <c r="BX391" s="173"/>
      <c r="BY391" s="173"/>
      <c r="BZ391" s="173"/>
      <c r="CA391" s="173"/>
      <c r="CB391" s="173"/>
      <c r="CC391" s="173"/>
      <c r="CD391" s="173"/>
      <c r="CE391" s="173"/>
      <c r="CF391" s="173"/>
      <c r="CG391" s="173"/>
      <c r="CH391" s="173"/>
      <c r="CI391" s="173"/>
      <c r="CJ391" s="173"/>
      <c r="CK391" s="173"/>
      <c r="CL391" s="173"/>
      <c r="CM391" s="173"/>
      <c r="CN391" s="173"/>
      <c r="CO391" s="173"/>
      <c r="CP391" s="173"/>
      <c r="CQ391" s="173"/>
      <c r="CR391" s="173"/>
      <c r="CS391" s="173"/>
    </row>
    <row r="392" hidden="1">
      <c r="A392" s="179" t="s">
        <v>257</v>
      </c>
      <c r="B392" s="179" t="s">
        <v>2123</v>
      </c>
      <c r="C392" s="179" t="s">
        <v>2124</v>
      </c>
      <c r="D392" s="70" t="s">
        <v>2125</v>
      </c>
      <c r="E392" s="173"/>
      <c r="F392" s="173"/>
      <c r="G392" s="173"/>
      <c r="H392" s="168" t="s">
        <v>25</v>
      </c>
      <c r="I392" s="168" t="s">
        <v>25</v>
      </c>
      <c r="J392" s="168" t="s">
        <v>25</v>
      </c>
      <c r="K392" s="163" t="str">
        <f>VLOOKUP(C392,'Term Reference Guide'!$C:$C,1,false)</f>
        <v>ENVO:03600076</v>
      </c>
      <c r="L392" s="173"/>
      <c r="M392" s="173"/>
      <c r="N392" s="173"/>
      <c r="O392" s="173"/>
      <c r="P392" s="173"/>
      <c r="Q392" s="173"/>
      <c r="R392" s="173"/>
      <c r="S392" s="173"/>
      <c r="T392" s="173"/>
      <c r="U392" s="173"/>
      <c r="V392" s="173"/>
      <c r="W392" s="173"/>
      <c r="X392" s="173"/>
      <c r="Y392" s="173"/>
      <c r="Z392" s="173"/>
      <c r="AA392" s="173"/>
      <c r="AB392" s="173"/>
      <c r="AC392" s="173"/>
      <c r="AD392" s="173"/>
      <c r="AE392" s="173"/>
      <c r="AF392" s="173"/>
      <c r="AG392" s="173"/>
      <c r="AH392" s="173"/>
      <c r="AI392" s="173"/>
      <c r="AJ392" s="173"/>
      <c r="AK392" s="173"/>
      <c r="AL392" s="173"/>
      <c r="AM392" s="173"/>
      <c r="AN392" s="173"/>
      <c r="AO392" s="173"/>
      <c r="AP392" s="173"/>
      <c r="AQ392" s="173"/>
      <c r="AR392" s="173"/>
      <c r="AS392" s="173"/>
      <c r="AT392" s="173"/>
      <c r="AU392" s="173"/>
      <c r="AV392" s="173"/>
      <c r="AW392" s="173"/>
      <c r="AX392" s="173"/>
      <c r="AY392" s="173"/>
      <c r="AZ392" s="173"/>
      <c r="BA392" s="173"/>
      <c r="BB392" s="173"/>
      <c r="BC392" s="173"/>
      <c r="BD392" s="173"/>
      <c r="BE392" s="173"/>
      <c r="BF392" s="173"/>
      <c r="BG392" s="173"/>
      <c r="BH392" s="173"/>
      <c r="BI392" s="173"/>
      <c r="BJ392" s="173"/>
      <c r="BK392" s="173"/>
      <c r="BL392" s="173"/>
      <c r="BM392" s="173"/>
      <c r="BN392" s="173"/>
      <c r="BO392" s="173"/>
      <c r="BP392" s="173"/>
      <c r="BQ392" s="173"/>
      <c r="BR392" s="173"/>
      <c r="BS392" s="173"/>
      <c r="BT392" s="173"/>
      <c r="BU392" s="173"/>
      <c r="BV392" s="173"/>
      <c r="BW392" s="173"/>
      <c r="BX392" s="173"/>
      <c r="BY392" s="173"/>
      <c r="BZ392" s="173"/>
      <c r="CA392" s="173"/>
      <c r="CB392" s="173"/>
      <c r="CC392" s="173"/>
      <c r="CD392" s="173"/>
      <c r="CE392" s="173"/>
      <c r="CF392" s="173"/>
      <c r="CG392" s="173"/>
      <c r="CH392" s="173"/>
      <c r="CI392" s="173"/>
      <c r="CJ392" s="173"/>
      <c r="CK392" s="173"/>
      <c r="CL392" s="173"/>
      <c r="CM392" s="173"/>
      <c r="CN392" s="173"/>
      <c r="CO392" s="173"/>
      <c r="CP392" s="173"/>
      <c r="CQ392" s="173"/>
      <c r="CR392" s="173"/>
      <c r="CS392" s="173"/>
    </row>
    <row r="393">
      <c r="A393" s="179" t="s">
        <v>257</v>
      </c>
      <c r="B393" s="179" t="s">
        <v>2126</v>
      </c>
      <c r="C393" s="179" t="s">
        <v>2127</v>
      </c>
      <c r="D393" s="70" t="s">
        <v>2128</v>
      </c>
      <c r="E393" s="173"/>
      <c r="F393" s="168"/>
      <c r="G393" s="168"/>
      <c r="H393" s="168" t="s">
        <v>25</v>
      </c>
      <c r="I393" s="168" t="s">
        <v>25</v>
      </c>
      <c r="J393" s="168" t="s">
        <v>25</v>
      </c>
      <c r="K393" s="163" t="str">
        <f>VLOOKUP(C393,'Term Reference Guide'!$C:$C,1,false)</f>
        <v>#N/A</v>
      </c>
      <c r="L393" s="173"/>
      <c r="M393" s="173"/>
      <c r="N393" s="173"/>
      <c r="O393" s="173"/>
      <c r="P393" s="173"/>
      <c r="Q393" s="173"/>
      <c r="R393" s="173"/>
      <c r="S393" s="173"/>
      <c r="T393" s="173"/>
      <c r="U393" s="173"/>
      <c r="V393" s="173"/>
      <c r="W393" s="173"/>
      <c r="X393" s="173"/>
      <c r="Y393" s="173"/>
      <c r="Z393" s="173"/>
      <c r="AA393" s="173"/>
      <c r="AB393" s="173"/>
      <c r="AC393" s="173"/>
      <c r="AD393" s="173"/>
      <c r="AE393" s="173"/>
      <c r="AF393" s="173"/>
      <c r="AG393" s="173"/>
      <c r="AH393" s="173"/>
      <c r="AI393" s="173"/>
      <c r="AJ393" s="173"/>
      <c r="AK393" s="173"/>
      <c r="AL393" s="173"/>
      <c r="AM393" s="173"/>
      <c r="AN393" s="173"/>
      <c r="AO393" s="173"/>
      <c r="AP393" s="173"/>
      <c r="AQ393" s="173"/>
      <c r="AR393" s="173"/>
      <c r="AS393" s="173"/>
      <c r="AT393" s="173"/>
      <c r="AU393" s="173"/>
      <c r="AV393" s="173"/>
      <c r="AW393" s="173"/>
      <c r="AX393" s="173"/>
      <c r="AY393" s="173"/>
      <c r="AZ393" s="173"/>
      <c r="BA393" s="173"/>
      <c r="BB393" s="173"/>
      <c r="BC393" s="173"/>
      <c r="BD393" s="173"/>
      <c r="BE393" s="173"/>
      <c r="BF393" s="173"/>
      <c r="BG393" s="173"/>
      <c r="BH393" s="173"/>
      <c r="BI393" s="173"/>
      <c r="BJ393" s="173"/>
      <c r="BK393" s="173"/>
      <c r="BL393" s="173"/>
      <c r="BM393" s="173"/>
      <c r="BN393" s="173"/>
      <c r="BO393" s="173"/>
      <c r="BP393" s="173"/>
      <c r="BQ393" s="173"/>
      <c r="BR393" s="173"/>
      <c r="BS393" s="173"/>
      <c r="BT393" s="173"/>
      <c r="BU393" s="173"/>
      <c r="BV393" s="173"/>
      <c r="BW393" s="173"/>
      <c r="BX393" s="173"/>
      <c r="BY393" s="173"/>
      <c r="BZ393" s="173"/>
      <c r="CA393" s="173"/>
      <c r="CB393" s="173"/>
      <c r="CC393" s="173"/>
      <c r="CD393" s="173"/>
      <c r="CE393" s="173"/>
      <c r="CF393" s="173"/>
      <c r="CG393" s="173"/>
      <c r="CH393" s="173"/>
      <c r="CI393" s="173"/>
      <c r="CJ393" s="173"/>
      <c r="CK393" s="173"/>
      <c r="CL393" s="173"/>
      <c r="CM393" s="173"/>
      <c r="CN393" s="173"/>
      <c r="CO393" s="173"/>
      <c r="CP393" s="173"/>
      <c r="CQ393" s="173"/>
      <c r="CR393" s="173"/>
      <c r="CS393" s="173"/>
    </row>
    <row r="394" hidden="1">
      <c r="A394" s="179" t="s">
        <v>257</v>
      </c>
      <c r="B394" s="179" t="s">
        <v>2129</v>
      </c>
      <c r="C394" s="179" t="s">
        <v>2130</v>
      </c>
      <c r="D394" s="70" t="s">
        <v>2131</v>
      </c>
      <c r="E394" s="173"/>
      <c r="F394" s="168"/>
      <c r="G394" s="168"/>
      <c r="H394" s="168" t="s">
        <v>25</v>
      </c>
      <c r="I394" s="168" t="s">
        <v>25</v>
      </c>
      <c r="J394" s="168" t="s">
        <v>25</v>
      </c>
      <c r="K394" s="163" t="str">
        <f>VLOOKUP(C394,'Term Reference Guide'!$C:$C,1,false)</f>
        <v>ENVO:00002272</v>
      </c>
      <c r="L394" s="173"/>
      <c r="M394" s="173"/>
      <c r="N394" s="173"/>
      <c r="O394" s="173"/>
      <c r="P394" s="173"/>
      <c r="Q394" s="173"/>
      <c r="R394" s="173"/>
      <c r="S394" s="173"/>
      <c r="T394" s="173"/>
      <c r="U394" s="173"/>
      <c r="V394" s="173"/>
      <c r="W394" s="173"/>
      <c r="X394" s="173"/>
      <c r="Y394" s="173"/>
      <c r="Z394" s="173"/>
      <c r="AA394" s="173"/>
      <c r="AB394" s="173"/>
      <c r="AC394" s="173"/>
      <c r="AD394" s="173"/>
      <c r="AE394" s="173"/>
      <c r="AF394" s="173"/>
      <c r="AG394" s="173"/>
      <c r="AH394" s="173"/>
      <c r="AI394" s="173"/>
      <c r="AJ394" s="173"/>
      <c r="AK394" s="173"/>
      <c r="AL394" s="173"/>
      <c r="AM394" s="173"/>
      <c r="AN394" s="173"/>
      <c r="AO394" s="173"/>
      <c r="AP394" s="173"/>
      <c r="AQ394" s="173"/>
      <c r="AR394" s="173"/>
      <c r="AS394" s="173"/>
      <c r="AT394" s="173"/>
      <c r="AU394" s="173"/>
      <c r="AV394" s="173"/>
      <c r="AW394" s="173"/>
      <c r="AX394" s="173"/>
      <c r="AY394" s="173"/>
      <c r="AZ394" s="173"/>
      <c r="BA394" s="173"/>
      <c r="BB394" s="173"/>
      <c r="BC394" s="173"/>
      <c r="BD394" s="173"/>
      <c r="BE394" s="173"/>
      <c r="BF394" s="173"/>
      <c r="BG394" s="173"/>
      <c r="BH394" s="173"/>
      <c r="BI394" s="173"/>
      <c r="BJ394" s="173"/>
      <c r="BK394" s="173"/>
      <c r="BL394" s="173"/>
      <c r="BM394" s="173"/>
      <c r="BN394" s="173"/>
      <c r="BO394" s="173"/>
      <c r="BP394" s="173"/>
      <c r="BQ394" s="173"/>
      <c r="BR394" s="173"/>
      <c r="BS394" s="173"/>
      <c r="BT394" s="173"/>
      <c r="BU394" s="173"/>
      <c r="BV394" s="173"/>
      <c r="BW394" s="173"/>
      <c r="BX394" s="173"/>
      <c r="BY394" s="173"/>
      <c r="BZ394" s="173"/>
      <c r="CA394" s="173"/>
      <c r="CB394" s="173"/>
      <c r="CC394" s="173"/>
      <c r="CD394" s="173"/>
      <c r="CE394" s="173"/>
      <c r="CF394" s="173"/>
      <c r="CG394" s="173"/>
      <c r="CH394" s="173"/>
      <c r="CI394" s="173"/>
      <c r="CJ394" s="173"/>
      <c r="CK394" s="173"/>
      <c r="CL394" s="173"/>
      <c r="CM394" s="173"/>
      <c r="CN394" s="173"/>
      <c r="CO394" s="173"/>
      <c r="CP394" s="173"/>
      <c r="CQ394" s="173"/>
      <c r="CR394" s="173"/>
      <c r="CS394" s="173"/>
    </row>
    <row r="395">
      <c r="A395" s="179" t="s">
        <v>257</v>
      </c>
      <c r="B395" s="184" t="s">
        <v>2132</v>
      </c>
      <c r="C395" s="179"/>
      <c r="D395" s="70"/>
      <c r="E395" s="173"/>
      <c r="F395" s="168"/>
      <c r="G395" s="168"/>
      <c r="H395" s="168"/>
      <c r="I395" s="168"/>
      <c r="J395" s="168"/>
      <c r="K395" s="163" t="str">
        <f>VLOOKUP(C395,'Term Reference Guide'!$C:$C,1,false)</f>
        <v>#N/A</v>
      </c>
      <c r="L395" s="173"/>
      <c r="M395" s="173"/>
      <c r="N395" s="173"/>
      <c r="O395" s="173"/>
      <c r="P395" s="173"/>
      <c r="Q395" s="173"/>
      <c r="R395" s="173"/>
      <c r="S395" s="173"/>
      <c r="T395" s="173"/>
      <c r="U395" s="173"/>
      <c r="V395" s="173"/>
      <c r="W395" s="173"/>
      <c r="X395" s="173"/>
      <c r="Y395" s="173"/>
      <c r="Z395" s="173"/>
      <c r="AA395" s="173"/>
      <c r="AB395" s="173"/>
      <c r="AC395" s="173"/>
      <c r="AD395" s="173"/>
      <c r="AE395" s="173"/>
      <c r="AF395" s="173"/>
      <c r="AG395" s="173"/>
      <c r="AH395" s="173"/>
      <c r="AI395" s="173"/>
      <c r="AJ395" s="173"/>
      <c r="AK395" s="173"/>
      <c r="AL395" s="173"/>
      <c r="AM395" s="173"/>
      <c r="AN395" s="173"/>
      <c r="AO395" s="173"/>
      <c r="AP395" s="173"/>
      <c r="AQ395" s="173"/>
      <c r="AR395" s="173"/>
      <c r="AS395" s="173"/>
      <c r="AT395" s="173"/>
      <c r="AU395" s="173"/>
      <c r="AV395" s="173"/>
      <c r="AW395" s="173"/>
      <c r="AX395" s="173"/>
      <c r="AY395" s="173"/>
      <c r="AZ395" s="173"/>
      <c r="BA395" s="173"/>
      <c r="BB395" s="173"/>
      <c r="BC395" s="173"/>
      <c r="BD395" s="173"/>
      <c r="BE395" s="173"/>
      <c r="BF395" s="173"/>
      <c r="BG395" s="173"/>
      <c r="BH395" s="173"/>
      <c r="BI395" s="173"/>
      <c r="BJ395" s="173"/>
      <c r="BK395" s="173"/>
      <c r="BL395" s="173"/>
      <c r="BM395" s="173"/>
      <c r="BN395" s="173"/>
      <c r="BO395" s="173"/>
      <c r="BP395" s="173"/>
      <c r="BQ395" s="173"/>
      <c r="BR395" s="173"/>
      <c r="BS395" s="173"/>
      <c r="BT395" s="173"/>
      <c r="BU395" s="173"/>
      <c r="BV395" s="173"/>
      <c r="BW395" s="173"/>
      <c r="BX395" s="173"/>
      <c r="BY395" s="173"/>
      <c r="BZ395" s="173"/>
      <c r="CA395" s="173"/>
      <c r="CB395" s="173"/>
      <c r="CC395" s="173"/>
      <c r="CD395" s="173"/>
      <c r="CE395" s="173"/>
      <c r="CF395" s="173"/>
      <c r="CG395" s="173"/>
      <c r="CH395" s="173"/>
      <c r="CI395" s="173"/>
      <c r="CJ395" s="173"/>
      <c r="CK395" s="173"/>
      <c r="CL395" s="173"/>
      <c r="CM395" s="173"/>
      <c r="CN395" s="173"/>
      <c r="CO395" s="173"/>
      <c r="CP395" s="173"/>
      <c r="CQ395" s="173"/>
      <c r="CR395" s="173"/>
      <c r="CS395" s="173"/>
    </row>
    <row r="396">
      <c r="A396" s="179" t="s">
        <v>257</v>
      </c>
      <c r="B396" s="184" t="s">
        <v>2133</v>
      </c>
      <c r="C396" s="179"/>
      <c r="D396" s="70"/>
      <c r="E396" s="173"/>
      <c r="F396" s="168"/>
      <c r="G396" s="168"/>
      <c r="H396" s="168"/>
      <c r="I396" s="168"/>
      <c r="J396" s="168"/>
      <c r="K396" s="163" t="str">
        <f>VLOOKUP(C396,'Term Reference Guide'!$C:$C,1,false)</f>
        <v>#N/A</v>
      </c>
      <c r="L396" s="173"/>
      <c r="M396" s="173"/>
      <c r="N396" s="173"/>
      <c r="O396" s="173"/>
      <c r="P396" s="173"/>
      <c r="Q396" s="173"/>
      <c r="R396" s="173"/>
      <c r="S396" s="173"/>
      <c r="T396" s="173"/>
      <c r="U396" s="173"/>
      <c r="V396" s="173"/>
      <c r="W396" s="173"/>
      <c r="X396" s="173"/>
      <c r="Y396" s="173"/>
      <c r="Z396" s="173"/>
      <c r="AA396" s="173"/>
      <c r="AB396" s="173"/>
      <c r="AC396" s="173"/>
      <c r="AD396" s="173"/>
      <c r="AE396" s="173"/>
      <c r="AF396" s="173"/>
      <c r="AG396" s="173"/>
      <c r="AH396" s="173"/>
      <c r="AI396" s="173"/>
      <c r="AJ396" s="173"/>
      <c r="AK396" s="173"/>
      <c r="AL396" s="173"/>
      <c r="AM396" s="173"/>
      <c r="AN396" s="173"/>
      <c r="AO396" s="173"/>
      <c r="AP396" s="173"/>
      <c r="AQ396" s="173"/>
      <c r="AR396" s="173"/>
      <c r="AS396" s="173"/>
      <c r="AT396" s="173"/>
      <c r="AU396" s="173"/>
      <c r="AV396" s="173"/>
      <c r="AW396" s="173"/>
      <c r="AX396" s="173"/>
      <c r="AY396" s="173"/>
      <c r="AZ396" s="173"/>
      <c r="BA396" s="173"/>
      <c r="BB396" s="173"/>
      <c r="BC396" s="173"/>
      <c r="BD396" s="173"/>
      <c r="BE396" s="173"/>
      <c r="BF396" s="173"/>
      <c r="BG396" s="173"/>
      <c r="BH396" s="173"/>
      <c r="BI396" s="173"/>
      <c r="BJ396" s="173"/>
      <c r="BK396" s="173"/>
      <c r="BL396" s="173"/>
      <c r="BM396" s="173"/>
      <c r="BN396" s="173"/>
      <c r="BO396" s="173"/>
      <c r="BP396" s="173"/>
      <c r="BQ396" s="173"/>
      <c r="BR396" s="173"/>
      <c r="BS396" s="173"/>
      <c r="BT396" s="173"/>
      <c r="BU396" s="173"/>
      <c r="BV396" s="173"/>
      <c r="BW396" s="173"/>
      <c r="BX396" s="173"/>
      <c r="BY396" s="173"/>
      <c r="BZ396" s="173"/>
      <c r="CA396" s="173"/>
      <c r="CB396" s="173"/>
      <c r="CC396" s="173"/>
      <c r="CD396" s="173"/>
      <c r="CE396" s="173"/>
      <c r="CF396" s="173"/>
      <c r="CG396" s="173"/>
      <c r="CH396" s="173"/>
      <c r="CI396" s="173"/>
      <c r="CJ396" s="173"/>
      <c r="CK396" s="173"/>
      <c r="CL396" s="173"/>
      <c r="CM396" s="173"/>
      <c r="CN396" s="173"/>
      <c r="CO396" s="173"/>
      <c r="CP396" s="173"/>
      <c r="CQ396" s="173"/>
      <c r="CR396" s="173"/>
      <c r="CS396" s="173"/>
    </row>
    <row r="397">
      <c r="A397" s="179" t="s">
        <v>257</v>
      </c>
      <c r="B397" s="184" t="s">
        <v>2134</v>
      </c>
      <c r="C397" s="179"/>
      <c r="D397" s="70"/>
      <c r="E397" s="173"/>
      <c r="F397" s="168"/>
      <c r="G397" s="168"/>
      <c r="H397" s="168"/>
      <c r="I397" s="168"/>
      <c r="J397" s="168"/>
      <c r="K397" s="163" t="str">
        <f>VLOOKUP(C397,'Term Reference Guide'!$C:$C,1,false)</f>
        <v>#N/A</v>
      </c>
      <c r="L397" s="173"/>
      <c r="M397" s="173"/>
      <c r="N397" s="173"/>
      <c r="O397" s="173"/>
      <c r="P397" s="173"/>
      <c r="Q397" s="173"/>
      <c r="R397" s="173"/>
      <c r="S397" s="173"/>
      <c r="T397" s="173"/>
      <c r="U397" s="173"/>
      <c r="V397" s="173"/>
      <c r="W397" s="173"/>
      <c r="X397" s="173"/>
      <c r="Y397" s="173"/>
      <c r="Z397" s="173"/>
      <c r="AA397" s="173"/>
      <c r="AB397" s="173"/>
      <c r="AC397" s="173"/>
      <c r="AD397" s="173"/>
      <c r="AE397" s="173"/>
      <c r="AF397" s="173"/>
      <c r="AG397" s="173"/>
      <c r="AH397" s="173"/>
      <c r="AI397" s="173"/>
      <c r="AJ397" s="173"/>
      <c r="AK397" s="173"/>
      <c r="AL397" s="173"/>
      <c r="AM397" s="173"/>
      <c r="AN397" s="173"/>
      <c r="AO397" s="173"/>
      <c r="AP397" s="173"/>
      <c r="AQ397" s="173"/>
      <c r="AR397" s="173"/>
      <c r="AS397" s="173"/>
      <c r="AT397" s="173"/>
      <c r="AU397" s="173"/>
      <c r="AV397" s="173"/>
      <c r="AW397" s="173"/>
      <c r="AX397" s="173"/>
      <c r="AY397" s="173"/>
      <c r="AZ397" s="173"/>
      <c r="BA397" s="173"/>
      <c r="BB397" s="173"/>
      <c r="BC397" s="173"/>
      <c r="BD397" s="173"/>
      <c r="BE397" s="173"/>
      <c r="BF397" s="173"/>
      <c r="BG397" s="173"/>
      <c r="BH397" s="173"/>
      <c r="BI397" s="173"/>
      <c r="BJ397" s="173"/>
      <c r="BK397" s="173"/>
      <c r="BL397" s="173"/>
      <c r="BM397" s="173"/>
      <c r="BN397" s="173"/>
      <c r="BO397" s="173"/>
      <c r="BP397" s="173"/>
      <c r="BQ397" s="173"/>
      <c r="BR397" s="173"/>
      <c r="BS397" s="173"/>
      <c r="BT397" s="173"/>
      <c r="BU397" s="173"/>
      <c r="BV397" s="173"/>
      <c r="BW397" s="173"/>
      <c r="BX397" s="173"/>
      <c r="BY397" s="173"/>
      <c r="BZ397" s="173"/>
      <c r="CA397" s="173"/>
      <c r="CB397" s="173"/>
      <c r="CC397" s="173"/>
      <c r="CD397" s="173"/>
      <c r="CE397" s="173"/>
      <c r="CF397" s="173"/>
      <c r="CG397" s="173"/>
      <c r="CH397" s="173"/>
      <c r="CI397" s="173"/>
      <c r="CJ397" s="173"/>
      <c r="CK397" s="173"/>
      <c r="CL397" s="173"/>
      <c r="CM397" s="173"/>
      <c r="CN397" s="173"/>
      <c r="CO397" s="173"/>
      <c r="CP397" s="173"/>
      <c r="CQ397" s="173"/>
      <c r="CR397" s="173"/>
      <c r="CS397" s="173"/>
    </row>
    <row r="398">
      <c r="A398" s="179" t="s">
        <v>257</v>
      </c>
      <c r="B398" s="184" t="s">
        <v>2135</v>
      </c>
      <c r="C398" s="179"/>
      <c r="D398" s="70"/>
      <c r="E398" s="173"/>
      <c r="F398" s="168"/>
      <c r="G398" s="168"/>
      <c r="H398" s="168"/>
      <c r="I398" s="168"/>
      <c r="J398" s="168"/>
      <c r="K398" s="163" t="str">
        <f>VLOOKUP(C398,'Term Reference Guide'!$C:$C,1,false)</f>
        <v>#N/A</v>
      </c>
      <c r="L398" s="173"/>
      <c r="M398" s="173"/>
      <c r="N398" s="173"/>
      <c r="O398" s="173"/>
      <c r="P398" s="173"/>
      <c r="Q398" s="173"/>
      <c r="R398" s="173"/>
      <c r="S398" s="173"/>
      <c r="T398" s="173"/>
      <c r="U398" s="173"/>
      <c r="V398" s="173"/>
      <c r="W398" s="173"/>
      <c r="X398" s="173"/>
      <c r="Y398" s="173"/>
      <c r="Z398" s="173"/>
      <c r="AA398" s="173"/>
      <c r="AB398" s="173"/>
      <c r="AC398" s="173"/>
      <c r="AD398" s="173"/>
      <c r="AE398" s="173"/>
      <c r="AF398" s="173"/>
      <c r="AG398" s="173"/>
      <c r="AH398" s="173"/>
      <c r="AI398" s="173"/>
      <c r="AJ398" s="173"/>
      <c r="AK398" s="173"/>
      <c r="AL398" s="173"/>
      <c r="AM398" s="173"/>
      <c r="AN398" s="173"/>
      <c r="AO398" s="173"/>
      <c r="AP398" s="173"/>
      <c r="AQ398" s="173"/>
      <c r="AR398" s="173"/>
      <c r="AS398" s="173"/>
      <c r="AT398" s="173"/>
      <c r="AU398" s="173"/>
      <c r="AV398" s="173"/>
      <c r="AW398" s="173"/>
      <c r="AX398" s="173"/>
      <c r="AY398" s="173"/>
      <c r="AZ398" s="173"/>
      <c r="BA398" s="173"/>
      <c r="BB398" s="173"/>
      <c r="BC398" s="173"/>
      <c r="BD398" s="173"/>
      <c r="BE398" s="173"/>
      <c r="BF398" s="173"/>
      <c r="BG398" s="173"/>
      <c r="BH398" s="173"/>
      <c r="BI398" s="173"/>
      <c r="BJ398" s="173"/>
      <c r="BK398" s="173"/>
      <c r="BL398" s="173"/>
      <c r="BM398" s="173"/>
      <c r="BN398" s="173"/>
      <c r="BO398" s="173"/>
      <c r="BP398" s="173"/>
      <c r="BQ398" s="173"/>
      <c r="BR398" s="173"/>
      <c r="BS398" s="173"/>
      <c r="BT398" s="173"/>
      <c r="BU398" s="173"/>
      <c r="BV398" s="173"/>
      <c r="BW398" s="173"/>
      <c r="BX398" s="173"/>
      <c r="BY398" s="173"/>
      <c r="BZ398" s="173"/>
      <c r="CA398" s="173"/>
      <c r="CB398" s="173"/>
      <c r="CC398" s="173"/>
      <c r="CD398" s="173"/>
      <c r="CE398" s="173"/>
      <c r="CF398" s="173"/>
      <c r="CG398" s="173"/>
      <c r="CH398" s="173"/>
      <c r="CI398" s="173"/>
      <c r="CJ398" s="173"/>
      <c r="CK398" s="173"/>
      <c r="CL398" s="173"/>
      <c r="CM398" s="173"/>
      <c r="CN398" s="173"/>
      <c r="CO398" s="173"/>
      <c r="CP398" s="173"/>
      <c r="CQ398" s="173"/>
      <c r="CR398" s="173"/>
      <c r="CS398" s="173"/>
    </row>
    <row r="399">
      <c r="A399" s="179" t="s">
        <v>257</v>
      </c>
      <c r="B399" s="184" t="s">
        <v>2136</v>
      </c>
      <c r="C399" s="179"/>
      <c r="D399" s="70"/>
      <c r="E399" s="173"/>
      <c r="F399" s="168"/>
      <c r="G399" s="168"/>
      <c r="H399" s="168"/>
      <c r="I399" s="168"/>
      <c r="J399" s="168"/>
      <c r="K399" s="163" t="str">
        <f>VLOOKUP(C399,'Term Reference Guide'!$C:$C,1,false)</f>
        <v>#N/A</v>
      </c>
      <c r="L399" s="173"/>
      <c r="M399" s="173"/>
      <c r="N399" s="173"/>
      <c r="O399" s="173"/>
      <c r="P399" s="173"/>
      <c r="Q399" s="173"/>
      <c r="R399" s="173"/>
      <c r="S399" s="173"/>
      <c r="T399" s="173"/>
      <c r="U399" s="173"/>
      <c r="V399" s="173"/>
      <c r="W399" s="173"/>
      <c r="X399" s="173"/>
      <c r="Y399" s="173"/>
      <c r="Z399" s="173"/>
      <c r="AA399" s="173"/>
      <c r="AB399" s="173"/>
      <c r="AC399" s="173"/>
      <c r="AD399" s="173"/>
      <c r="AE399" s="173"/>
      <c r="AF399" s="173"/>
      <c r="AG399" s="173"/>
      <c r="AH399" s="173"/>
      <c r="AI399" s="173"/>
      <c r="AJ399" s="173"/>
      <c r="AK399" s="173"/>
      <c r="AL399" s="173"/>
      <c r="AM399" s="173"/>
      <c r="AN399" s="173"/>
      <c r="AO399" s="173"/>
      <c r="AP399" s="173"/>
      <c r="AQ399" s="173"/>
      <c r="AR399" s="173"/>
      <c r="AS399" s="173"/>
      <c r="AT399" s="173"/>
      <c r="AU399" s="173"/>
      <c r="AV399" s="173"/>
      <c r="AW399" s="173"/>
      <c r="AX399" s="173"/>
      <c r="AY399" s="173"/>
      <c r="AZ399" s="173"/>
      <c r="BA399" s="173"/>
      <c r="BB399" s="173"/>
      <c r="BC399" s="173"/>
      <c r="BD399" s="173"/>
      <c r="BE399" s="173"/>
      <c r="BF399" s="173"/>
      <c r="BG399" s="173"/>
      <c r="BH399" s="173"/>
      <c r="BI399" s="173"/>
      <c r="BJ399" s="173"/>
      <c r="BK399" s="173"/>
      <c r="BL399" s="173"/>
      <c r="BM399" s="173"/>
      <c r="BN399" s="173"/>
      <c r="BO399" s="173"/>
      <c r="BP399" s="173"/>
      <c r="BQ399" s="173"/>
      <c r="BR399" s="173"/>
      <c r="BS399" s="173"/>
      <c r="BT399" s="173"/>
      <c r="BU399" s="173"/>
      <c r="BV399" s="173"/>
      <c r="BW399" s="173"/>
      <c r="BX399" s="173"/>
      <c r="BY399" s="173"/>
      <c r="BZ399" s="173"/>
      <c r="CA399" s="173"/>
      <c r="CB399" s="173"/>
      <c r="CC399" s="173"/>
      <c r="CD399" s="173"/>
      <c r="CE399" s="173"/>
      <c r="CF399" s="173"/>
      <c r="CG399" s="173"/>
      <c r="CH399" s="173"/>
      <c r="CI399" s="173"/>
      <c r="CJ399" s="173"/>
      <c r="CK399" s="173"/>
      <c r="CL399" s="173"/>
      <c r="CM399" s="173"/>
      <c r="CN399" s="173"/>
      <c r="CO399" s="173"/>
      <c r="CP399" s="173"/>
      <c r="CQ399" s="173"/>
      <c r="CR399" s="173"/>
      <c r="CS399" s="173"/>
    </row>
    <row r="400" hidden="1">
      <c r="A400" s="179" t="s">
        <v>257</v>
      </c>
      <c r="B400" s="179" t="s">
        <v>2137</v>
      </c>
      <c r="C400" s="179" t="s">
        <v>2138</v>
      </c>
      <c r="D400" s="70" t="s">
        <v>2139</v>
      </c>
      <c r="E400" s="173"/>
      <c r="F400" s="168"/>
      <c r="G400" s="168"/>
      <c r="H400" s="168" t="s">
        <v>25</v>
      </c>
      <c r="I400" s="168" t="s">
        <v>25</v>
      </c>
      <c r="J400" s="168" t="s">
        <v>25</v>
      </c>
      <c r="K400" s="163" t="str">
        <f>VLOOKUP(C400,'Term Reference Guide'!$C:$C,1,false)</f>
        <v>ENVO:01000604</v>
      </c>
      <c r="L400" s="173"/>
      <c r="M400" s="173"/>
      <c r="N400" s="173"/>
      <c r="O400" s="173"/>
      <c r="P400" s="173"/>
      <c r="Q400" s="173"/>
      <c r="R400" s="173"/>
      <c r="S400" s="173"/>
      <c r="T400" s="173"/>
      <c r="U400" s="173"/>
      <c r="V400" s="173"/>
      <c r="W400" s="173"/>
      <c r="X400" s="173"/>
      <c r="Y400" s="173"/>
      <c r="Z400" s="173"/>
      <c r="AA400" s="173"/>
      <c r="AB400" s="173"/>
      <c r="AC400" s="173"/>
      <c r="AD400" s="173"/>
      <c r="AE400" s="173"/>
      <c r="AF400" s="173"/>
      <c r="AG400" s="173"/>
      <c r="AH400" s="173"/>
      <c r="AI400" s="173"/>
      <c r="AJ400" s="173"/>
      <c r="AK400" s="173"/>
      <c r="AL400" s="173"/>
      <c r="AM400" s="173"/>
      <c r="AN400" s="173"/>
      <c r="AO400" s="173"/>
      <c r="AP400" s="173"/>
      <c r="AQ400" s="173"/>
      <c r="AR400" s="173"/>
      <c r="AS400" s="173"/>
      <c r="AT400" s="173"/>
      <c r="AU400" s="173"/>
      <c r="AV400" s="173"/>
      <c r="AW400" s="173"/>
      <c r="AX400" s="173"/>
      <c r="AY400" s="173"/>
      <c r="AZ400" s="173"/>
      <c r="BA400" s="173"/>
      <c r="BB400" s="173"/>
      <c r="BC400" s="173"/>
      <c r="BD400" s="173"/>
      <c r="BE400" s="173"/>
      <c r="BF400" s="173"/>
      <c r="BG400" s="173"/>
      <c r="BH400" s="173"/>
      <c r="BI400" s="173"/>
      <c r="BJ400" s="173"/>
      <c r="BK400" s="173"/>
      <c r="BL400" s="173"/>
      <c r="BM400" s="173"/>
      <c r="BN400" s="173"/>
      <c r="BO400" s="173"/>
      <c r="BP400" s="173"/>
      <c r="BQ400" s="173"/>
      <c r="BR400" s="173"/>
      <c r="BS400" s="173"/>
      <c r="BT400" s="173"/>
      <c r="BU400" s="173"/>
      <c r="BV400" s="173"/>
      <c r="BW400" s="173"/>
      <c r="BX400" s="173"/>
      <c r="BY400" s="173"/>
      <c r="BZ400" s="173"/>
      <c r="CA400" s="173"/>
      <c r="CB400" s="173"/>
      <c r="CC400" s="173"/>
      <c r="CD400" s="173"/>
      <c r="CE400" s="173"/>
      <c r="CF400" s="173"/>
      <c r="CG400" s="173"/>
      <c r="CH400" s="173"/>
      <c r="CI400" s="173"/>
      <c r="CJ400" s="173"/>
      <c r="CK400" s="173"/>
      <c r="CL400" s="173"/>
      <c r="CM400" s="173"/>
      <c r="CN400" s="173"/>
      <c r="CO400" s="173"/>
      <c r="CP400" s="173"/>
      <c r="CQ400" s="173"/>
      <c r="CR400" s="173"/>
      <c r="CS400" s="173"/>
    </row>
    <row r="401" hidden="1">
      <c r="A401" s="179" t="s">
        <v>257</v>
      </c>
      <c r="B401" s="179" t="s">
        <v>2140</v>
      </c>
      <c r="C401" s="179" t="s">
        <v>2141</v>
      </c>
      <c r="D401" s="70" t="s">
        <v>2142</v>
      </c>
      <c r="E401" s="173"/>
      <c r="F401" s="168"/>
      <c r="G401" s="168"/>
      <c r="H401" s="168" t="s">
        <v>25</v>
      </c>
      <c r="I401" s="168" t="s">
        <v>25</v>
      </c>
      <c r="J401" s="168" t="s">
        <v>25</v>
      </c>
      <c r="K401" s="163" t="str">
        <f>VLOOKUP(C401,'Term Reference Guide'!$C:$C,1,false)</f>
        <v>ENVO:01000608</v>
      </c>
      <c r="L401" s="173"/>
      <c r="M401" s="173"/>
      <c r="N401" s="173"/>
      <c r="O401" s="173"/>
      <c r="P401" s="173"/>
      <c r="Q401" s="173"/>
      <c r="R401" s="173"/>
      <c r="S401" s="173"/>
      <c r="T401" s="173"/>
      <c r="U401" s="173"/>
      <c r="V401" s="173"/>
      <c r="W401" s="173"/>
      <c r="X401" s="173"/>
      <c r="Y401" s="173"/>
      <c r="Z401" s="173"/>
      <c r="AA401" s="173"/>
      <c r="AB401" s="173"/>
      <c r="AC401" s="173"/>
      <c r="AD401" s="173"/>
      <c r="AE401" s="173"/>
      <c r="AF401" s="173"/>
      <c r="AG401" s="173"/>
      <c r="AH401" s="173"/>
      <c r="AI401" s="173"/>
      <c r="AJ401" s="173"/>
      <c r="AK401" s="173"/>
      <c r="AL401" s="173"/>
      <c r="AM401" s="173"/>
      <c r="AN401" s="173"/>
      <c r="AO401" s="173"/>
      <c r="AP401" s="173"/>
      <c r="AQ401" s="173"/>
      <c r="AR401" s="173"/>
      <c r="AS401" s="173"/>
      <c r="AT401" s="173"/>
      <c r="AU401" s="173"/>
      <c r="AV401" s="173"/>
      <c r="AW401" s="173"/>
      <c r="AX401" s="173"/>
      <c r="AY401" s="173"/>
      <c r="AZ401" s="173"/>
      <c r="BA401" s="173"/>
      <c r="BB401" s="173"/>
      <c r="BC401" s="173"/>
      <c r="BD401" s="173"/>
      <c r="BE401" s="173"/>
      <c r="BF401" s="173"/>
      <c r="BG401" s="173"/>
      <c r="BH401" s="173"/>
      <c r="BI401" s="173"/>
      <c r="BJ401" s="173"/>
      <c r="BK401" s="173"/>
      <c r="BL401" s="173"/>
      <c r="BM401" s="173"/>
      <c r="BN401" s="173"/>
      <c r="BO401" s="173"/>
      <c r="BP401" s="173"/>
      <c r="BQ401" s="173"/>
      <c r="BR401" s="173"/>
      <c r="BS401" s="173"/>
      <c r="BT401" s="173"/>
      <c r="BU401" s="173"/>
      <c r="BV401" s="173"/>
      <c r="BW401" s="173"/>
      <c r="BX401" s="173"/>
      <c r="BY401" s="173"/>
      <c r="BZ401" s="173"/>
      <c r="CA401" s="173"/>
      <c r="CB401" s="173"/>
      <c r="CC401" s="173"/>
      <c r="CD401" s="173"/>
      <c r="CE401" s="173"/>
      <c r="CF401" s="173"/>
      <c r="CG401" s="173"/>
      <c r="CH401" s="173"/>
      <c r="CI401" s="173"/>
      <c r="CJ401" s="173"/>
      <c r="CK401" s="173"/>
      <c r="CL401" s="173"/>
      <c r="CM401" s="173"/>
      <c r="CN401" s="173"/>
      <c r="CO401" s="173"/>
      <c r="CP401" s="173"/>
      <c r="CQ401" s="173"/>
      <c r="CR401" s="173"/>
      <c r="CS401" s="173"/>
    </row>
    <row r="402" hidden="1">
      <c r="A402" s="179" t="s">
        <v>257</v>
      </c>
      <c r="B402" s="179" t="s">
        <v>2143</v>
      </c>
      <c r="C402" s="179" t="s">
        <v>2144</v>
      </c>
      <c r="D402" s="70" t="s">
        <v>2145</v>
      </c>
      <c r="E402" s="173"/>
      <c r="F402" s="168"/>
      <c r="G402" s="168"/>
      <c r="H402" s="168" t="s">
        <v>25</v>
      </c>
      <c r="I402" s="168" t="s">
        <v>25</v>
      </c>
      <c r="J402" s="168" t="s">
        <v>25</v>
      </c>
      <c r="K402" s="163" t="str">
        <f>VLOOKUP(C402,'Term Reference Guide'!$C:$C,1,false)</f>
        <v>ENVO:03501349</v>
      </c>
      <c r="L402" s="173"/>
      <c r="M402" s="173"/>
      <c r="N402" s="173"/>
      <c r="O402" s="173"/>
      <c r="P402" s="173"/>
      <c r="Q402" s="173"/>
      <c r="R402" s="173"/>
      <c r="S402" s="173"/>
      <c r="T402" s="173"/>
      <c r="U402" s="173"/>
      <c r="V402" s="173"/>
      <c r="W402" s="173"/>
      <c r="X402" s="173"/>
      <c r="Y402" s="173"/>
      <c r="Z402" s="173"/>
      <c r="AA402" s="173"/>
      <c r="AB402" s="173"/>
      <c r="AC402" s="173"/>
      <c r="AD402" s="173"/>
      <c r="AE402" s="173"/>
      <c r="AF402" s="173"/>
      <c r="AG402" s="173"/>
      <c r="AH402" s="173"/>
      <c r="AI402" s="173"/>
      <c r="AJ402" s="173"/>
      <c r="AK402" s="173"/>
      <c r="AL402" s="173"/>
      <c r="AM402" s="173"/>
      <c r="AN402" s="173"/>
      <c r="AO402" s="173"/>
      <c r="AP402" s="173"/>
      <c r="AQ402" s="173"/>
      <c r="AR402" s="173"/>
      <c r="AS402" s="173"/>
      <c r="AT402" s="173"/>
      <c r="AU402" s="173"/>
      <c r="AV402" s="173"/>
      <c r="AW402" s="173"/>
      <c r="AX402" s="173"/>
      <c r="AY402" s="173"/>
      <c r="AZ402" s="173"/>
      <c r="BA402" s="173"/>
      <c r="BB402" s="173"/>
      <c r="BC402" s="173"/>
      <c r="BD402" s="173"/>
      <c r="BE402" s="173"/>
      <c r="BF402" s="173"/>
      <c r="BG402" s="173"/>
      <c r="BH402" s="173"/>
      <c r="BI402" s="173"/>
      <c r="BJ402" s="173"/>
      <c r="BK402" s="173"/>
      <c r="BL402" s="173"/>
      <c r="BM402" s="173"/>
      <c r="BN402" s="173"/>
      <c r="BO402" s="173"/>
      <c r="BP402" s="173"/>
      <c r="BQ402" s="173"/>
      <c r="BR402" s="173"/>
      <c r="BS402" s="173"/>
      <c r="BT402" s="173"/>
      <c r="BU402" s="173"/>
      <c r="BV402" s="173"/>
      <c r="BW402" s="173"/>
      <c r="BX402" s="173"/>
      <c r="BY402" s="173"/>
      <c r="BZ402" s="173"/>
      <c r="CA402" s="173"/>
      <c r="CB402" s="173"/>
      <c r="CC402" s="173"/>
      <c r="CD402" s="173"/>
      <c r="CE402" s="173"/>
      <c r="CF402" s="173"/>
      <c r="CG402" s="173"/>
      <c r="CH402" s="173"/>
      <c r="CI402" s="173"/>
      <c r="CJ402" s="173"/>
      <c r="CK402" s="173"/>
      <c r="CL402" s="173"/>
      <c r="CM402" s="173"/>
      <c r="CN402" s="173"/>
      <c r="CO402" s="173"/>
      <c r="CP402" s="173"/>
      <c r="CQ402" s="173"/>
      <c r="CR402" s="173"/>
      <c r="CS402" s="173"/>
    </row>
    <row r="403">
      <c r="K403" s="163" t="str">
        <f>VLOOKUP(C403,'Term Reference Guide'!$C:$C,1,false)</f>
        <v>#N/A</v>
      </c>
    </row>
    <row r="404">
      <c r="A404" s="170" t="s">
        <v>262</v>
      </c>
      <c r="B404" s="156"/>
      <c r="C404" s="156"/>
      <c r="D404" s="139"/>
      <c r="E404" s="156"/>
      <c r="F404" s="156"/>
      <c r="G404" s="156"/>
      <c r="H404" s="164"/>
      <c r="I404" s="164"/>
      <c r="J404" s="171"/>
      <c r="K404" s="163" t="str">
        <f>VLOOKUP(C404,'Term Reference Guide'!$C:$C,1,false)</f>
        <v>#N/A</v>
      </c>
      <c r="L404" s="163"/>
      <c r="M404" s="163"/>
      <c r="N404" s="163"/>
      <c r="O404" s="163"/>
      <c r="P404" s="163"/>
      <c r="Q404" s="163"/>
      <c r="R404" s="163"/>
      <c r="S404" s="163"/>
      <c r="T404" s="163"/>
      <c r="U404" s="163"/>
      <c r="V404" s="163"/>
      <c r="W404" s="163"/>
      <c r="X404" s="163"/>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c r="BP404" s="41"/>
      <c r="BQ404" s="41"/>
      <c r="BR404" s="41"/>
      <c r="BS404" s="41"/>
      <c r="BT404" s="41"/>
      <c r="BU404" s="41"/>
      <c r="BV404" s="41"/>
      <c r="BW404" s="41"/>
      <c r="BX404" s="41"/>
      <c r="BY404" s="41"/>
      <c r="BZ404" s="41"/>
      <c r="CA404" s="41"/>
      <c r="CB404" s="41"/>
      <c r="CC404" s="41"/>
      <c r="CD404" s="41"/>
      <c r="CE404" s="41"/>
      <c r="CF404" s="41"/>
      <c r="CG404" s="41"/>
      <c r="CH404" s="41"/>
      <c r="CI404" s="41"/>
      <c r="CJ404" s="41"/>
      <c r="CK404" s="41"/>
      <c r="CL404" s="41"/>
      <c r="CM404" s="41"/>
      <c r="CN404" s="41"/>
      <c r="CO404" s="41"/>
      <c r="CP404" s="41"/>
      <c r="CQ404" s="41"/>
      <c r="CR404" s="41"/>
      <c r="CS404" s="41"/>
    </row>
    <row r="405" hidden="1">
      <c r="A405" s="179" t="s">
        <v>262</v>
      </c>
      <c r="B405" s="179" t="s">
        <v>2146</v>
      </c>
      <c r="C405" s="185" t="s">
        <v>2091</v>
      </c>
      <c r="D405" s="70" t="s">
        <v>2147</v>
      </c>
      <c r="E405" s="173"/>
      <c r="F405" s="168"/>
      <c r="G405" s="168"/>
      <c r="H405" s="168" t="s">
        <v>25</v>
      </c>
      <c r="I405" s="168" t="s">
        <v>25</v>
      </c>
      <c r="J405" s="168" t="s">
        <v>25</v>
      </c>
      <c r="K405" s="163" t="str">
        <f>VLOOKUP(C405,'Term Reference Guide'!$C:$C,1,false)</f>
        <v>ENVO:00002042</v>
      </c>
      <c r="L405" s="173"/>
      <c r="M405" s="173"/>
      <c r="N405" s="173"/>
      <c r="O405" s="173"/>
      <c r="P405" s="173"/>
      <c r="Q405" s="173"/>
      <c r="R405" s="173"/>
      <c r="S405" s="173"/>
      <c r="T405" s="173"/>
      <c r="U405" s="173"/>
      <c r="V405" s="173"/>
      <c r="W405" s="173"/>
      <c r="X405" s="173"/>
      <c r="Y405" s="173"/>
      <c r="Z405" s="173"/>
      <c r="AA405" s="173"/>
      <c r="AB405" s="173"/>
      <c r="AC405" s="173"/>
      <c r="AD405" s="173"/>
      <c r="AE405" s="173"/>
      <c r="AF405" s="173"/>
      <c r="AG405" s="173"/>
      <c r="AH405" s="173"/>
      <c r="AI405" s="173"/>
      <c r="AJ405" s="173"/>
      <c r="AK405" s="173"/>
      <c r="AL405" s="173"/>
      <c r="AM405" s="173"/>
      <c r="AN405" s="173"/>
      <c r="AO405" s="173"/>
      <c r="AP405" s="173"/>
      <c r="AQ405" s="173"/>
      <c r="AR405" s="173"/>
      <c r="AS405" s="173"/>
      <c r="AT405" s="173"/>
      <c r="AU405" s="173"/>
      <c r="AV405" s="173"/>
      <c r="AW405" s="173"/>
      <c r="AX405" s="173"/>
      <c r="AY405" s="173"/>
      <c r="AZ405" s="173"/>
      <c r="BA405" s="173"/>
      <c r="BB405" s="173"/>
      <c r="BC405" s="173"/>
      <c r="BD405" s="173"/>
      <c r="BE405" s="173"/>
      <c r="BF405" s="173"/>
      <c r="BG405" s="173"/>
      <c r="BH405" s="173"/>
      <c r="BI405" s="173"/>
      <c r="BJ405" s="173"/>
      <c r="BK405" s="173"/>
      <c r="BL405" s="173"/>
      <c r="BM405" s="173"/>
      <c r="BN405" s="173"/>
      <c r="BO405" s="173"/>
      <c r="BP405" s="173"/>
      <c r="BQ405" s="173"/>
      <c r="BR405" s="173"/>
      <c r="BS405" s="173"/>
      <c r="BT405" s="173"/>
      <c r="BU405" s="173"/>
      <c r="BV405" s="173"/>
      <c r="BW405" s="173"/>
      <c r="BX405" s="173"/>
      <c r="BY405" s="173"/>
      <c r="BZ405" s="173"/>
      <c r="CA405" s="173"/>
      <c r="CB405" s="173"/>
      <c r="CC405" s="173"/>
      <c r="CD405" s="173"/>
      <c r="CE405" s="173"/>
      <c r="CF405" s="173"/>
      <c r="CG405" s="173"/>
      <c r="CH405" s="173"/>
      <c r="CI405" s="173"/>
      <c r="CJ405" s="173"/>
      <c r="CK405" s="173"/>
      <c r="CL405" s="173"/>
      <c r="CM405" s="173"/>
      <c r="CN405" s="173"/>
      <c r="CO405" s="173"/>
      <c r="CP405" s="173"/>
      <c r="CQ405" s="173"/>
      <c r="CR405" s="173"/>
      <c r="CS405" s="173"/>
    </row>
    <row r="406" hidden="1">
      <c r="A406" s="179" t="s">
        <v>262</v>
      </c>
      <c r="B406" s="179" t="s">
        <v>2148</v>
      </c>
      <c r="C406" s="185" t="s">
        <v>2149</v>
      </c>
      <c r="D406" s="70" t="s">
        <v>2150</v>
      </c>
      <c r="E406" s="173"/>
      <c r="F406" s="168"/>
      <c r="G406" s="168"/>
      <c r="H406" s="168" t="s">
        <v>25</v>
      </c>
      <c r="I406" s="168" t="s">
        <v>25</v>
      </c>
      <c r="J406" s="168" t="s">
        <v>25</v>
      </c>
      <c r="K406" s="163" t="str">
        <f>VLOOKUP(C406,'Term Reference Guide'!$C:$C,1,false)</f>
        <v>ENVO:00002001</v>
      </c>
      <c r="L406" s="173"/>
      <c r="M406" s="173"/>
      <c r="N406" s="173"/>
      <c r="O406" s="173"/>
      <c r="P406" s="173"/>
      <c r="Q406" s="173"/>
      <c r="R406" s="173"/>
      <c r="S406" s="173"/>
      <c r="T406" s="173"/>
      <c r="U406" s="173"/>
      <c r="V406" s="173"/>
      <c r="W406" s="173"/>
      <c r="X406" s="173"/>
      <c r="Y406" s="173"/>
      <c r="Z406" s="173"/>
      <c r="AA406" s="173"/>
      <c r="AB406" s="173"/>
      <c r="AC406" s="173"/>
      <c r="AD406" s="173"/>
      <c r="AE406" s="173"/>
      <c r="AF406" s="173"/>
      <c r="AG406" s="173"/>
      <c r="AH406" s="173"/>
      <c r="AI406" s="173"/>
      <c r="AJ406" s="173"/>
      <c r="AK406" s="173"/>
      <c r="AL406" s="173"/>
      <c r="AM406" s="173"/>
      <c r="AN406" s="173"/>
      <c r="AO406" s="173"/>
      <c r="AP406" s="173"/>
      <c r="AQ406" s="173"/>
      <c r="AR406" s="173"/>
      <c r="AS406" s="173"/>
      <c r="AT406" s="173"/>
      <c r="AU406" s="173"/>
      <c r="AV406" s="173"/>
      <c r="AW406" s="173"/>
      <c r="AX406" s="173"/>
      <c r="AY406" s="173"/>
      <c r="AZ406" s="173"/>
      <c r="BA406" s="173"/>
      <c r="BB406" s="173"/>
      <c r="BC406" s="173"/>
      <c r="BD406" s="173"/>
      <c r="BE406" s="173"/>
      <c r="BF406" s="173"/>
      <c r="BG406" s="173"/>
      <c r="BH406" s="173"/>
      <c r="BI406" s="173"/>
      <c r="BJ406" s="173"/>
      <c r="BK406" s="173"/>
      <c r="BL406" s="173"/>
      <c r="BM406" s="173"/>
      <c r="BN406" s="173"/>
      <c r="BO406" s="173"/>
      <c r="BP406" s="173"/>
      <c r="BQ406" s="173"/>
      <c r="BR406" s="173"/>
      <c r="BS406" s="173"/>
      <c r="BT406" s="173"/>
      <c r="BU406" s="173"/>
      <c r="BV406" s="173"/>
      <c r="BW406" s="173"/>
      <c r="BX406" s="173"/>
      <c r="BY406" s="173"/>
      <c r="BZ406" s="173"/>
      <c r="CA406" s="173"/>
      <c r="CB406" s="173"/>
      <c r="CC406" s="173"/>
      <c r="CD406" s="173"/>
      <c r="CE406" s="173"/>
      <c r="CF406" s="173"/>
      <c r="CG406" s="173"/>
      <c r="CH406" s="173"/>
      <c r="CI406" s="173"/>
      <c r="CJ406" s="173"/>
      <c r="CK406" s="173"/>
      <c r="CL406" s="173"/>
      <c r="CM406" s="173"/>
      <c r="CN406" s="173"/>
      <c r="CO406" s="173"/>
      <c r="CP406" s="173"/>
      <c r="CQ406" s="173"/>
      <c r="CR406" s="173"/>
      <c r="CS406" s="173"/>
    </row>
    <row r="407" hidden="1">
      <c r="A407" s="179" t="s">
        <v>262</v>
      </c>
      <c r="B407" s="179" t="s">
        <v>2151</v>
      </c>
      <c r="C407" s="183" t="s">
        <v>2152</v>
      </c>
      <c r="D407" s="33" t="s">
        <v>2153</v>
      </c>
      <c r="E407" s="173"/>
      <c r="F407" s="168"/>
      <c r="G407" s="168"/>
      <c r="H407" s="168" t="s">
        <v>25</v>
      </c>
      <c r="I407" s="168" t="s">
        <v>25</v>
      </c>
      <c r="J407" s="168" t="s">
        <v>25</v>
      </c>
      <c r="K407" s="163" t="str">
        <f>VLOOKUP(C407,'Term Reference Guide'!$C:$C,1,false)</f>
        <v>ENVO:03501456</v>
      </c>
      <c r="L407" s="173"/>
      <c r="M407" s="173"/>
      <c r="N407" s="173"/>
      <c r="O407" s="173"/>
      <c r="P407" s="173"/>
      <c r="Q407" s="173"/>
      <c r="R407" s="173"/>
      <c r="S407" s="173"/>
      <c r="T407" s="173"/>
      <c r="U407" s="173"/>
      <c r="V407" s="173"/>
      <c r="W407" s="173"/>
      <c r="X407" s="173"/>
      <c r="Y407" s="173"/>
      <c r="Z407" s="173"/>
      <c r="AA407" s="173"/>
      <c r="AB407" s="173"/>
      <c r="AC407" s="173"/>
      <c r="AD407" s="173"/>
      <c r="AE407" s="173"/>
      <c r="AF407" s="173"/>
      <c r="AG407" s="173"/>
      <c r="AH407" s="173"/>
      <c r="AI407" s="173"/>
      <c r="AJ407" s="173"/>
      <c r="AK407" s="173"/>
      <c r="AL407" s="173"/>
      <c r="AM407" s="173"/>
      <c r="AN407" s="173"/>
      <c r="AO407" s="173"/>
      <c r="AP407" s="173"/>
      <c r="AQ407" s="173"/>
      <c r="AR407" s="173"/>
      <c r="AS407" s="173"/>
      <c r="AT407" s="173"/>
      <c r="AU407" s="173"/>
      <c r="AV407" s="173"/>
      <c r="AW407" s="173"/>
      <c r="AX407" s="173"/>
      <c r="AY407" s="173"/>
      <c r="AZ407" s="173"/>
      <c r="BA407" s="173"/>
      <c r="BB407" s="173"/>
      <c r="BC407" s="173"/>
      <c r="BD407" s="173"/>
      <c r="BE407" s="173"/>
      <c r="BF407" s="173"/>
      <c r="BG407" s="173"/>
      <c r="BH407" s="173"/>
      <c r="BI407" s="173"/>
      <c r="BJ407" s="173"/>
      <c r="BK407" s="173"/>
      <c r="BL407" s="173"/>
      <c r="BM407" s="173"/>
      <c r="BN407" s="173"/>
      <c r="BO407" s="173"/>
      <c r="BP407" s="173"/>
      <c r="BQ407" s="173"/>
      <c r="BR407" s="173"/>
      <c r="BS407" s="173"/>
      <c r="BT407" s="173"/>
      <c r="BU407" s="173"/>
      <c r="BV407" s="173"/>
      <c r="BW407" s="173"/>
      <c r="BX407" s="173"/>
      <c r="BY407" s="173"/>
      <c r="BZ407" s="173"/>
      <c r="CA407" s="173"/>
      <c r="CB407" s="173"/>
      <c r="CC407" s="173"/>
      <c r="CD407" s="173"/>
      <c r="CE407" s="173"/>
      <c r="CF407" s="173"/>
      <c r="CG407" s="173"/>
      <c r="CH407" s="173"/>
      <c r="CI407" s="173"/>
      <c r="CJ407" s="173"/>
      <c r="CK407" s="173"/>
      <c r="CL407" s="173"/>
      <c r="CM407" s="173"/>
      <c r="CN407" s="173"/>
      <c r="CO407" s="173"/>
      <c r="CP407" s="173"/>
      <c r="CQ407" s="173"/>
      <c r="CR407" s="173"/>
      <c r="CS407" s="173"/>
    </row>
    <row r="408" hidden="1">
      <c r="A408" s="179" t="s">
        <v>262</v>
      </c>
      <c r="B408" s="179" t="s">
        <v>2154</v>
      </c>
      <c r="C408" s="179" t="s">
        <v>2155</v>
      </c>
      <c r="D408" s="70" t="s">
        <v>2156</v>
      </c>
      <c r="E408" s="173"/>
      <c r="F408" s="168"/>
      <c r="G408" s="168"/>
      <c r="H408" s="168" t="s">
        <v>25</v>
      </c>
      <c r="I408" s="168" t="s">
        <v>25</v>
      </c>
      <c r="J408" s="168" t="s">
        <v>25</v>
      </c>
      <c r="K408" s="163" t="str">
        <f>VLOOKUP(C408,'Term Reference Guide'!$C:$C,1,false)</f>
        <v>ENVO:00002044</v>
      </c>
      <c r="L408" s="173"/>
      <c r="M408" s="173"/>
      <c r="N408" s="173"/>
      <c r="O408" s="173"/>
      <c r="P408" s="173"/>
      <c r="Q408" s="173"/>
      <c r="R408" s="173"/>
      <c r="S408" s="173"/>
      <c r="T408" s="173"/>
      <c r="U408" s="173"/>
      <c r="V408" s="173"/>
      <c r="W408" s="173"/>
      <c r="X408" s="173"/>
      <c r="Y408" s="173"/>
      <c r="Z408" s="173"/>
      <c r="AA408" s="173"/>
      <c r="AB408" s="173"/>
      <c r="AC408" s="173"/>
      <c r="AD408" s="173"/>
      <c r="AE408" s="173"/>
      <c r="AF408" s="173"/>
      <c r="AG408" s="173"/>
      <c r="AH408" s="173"/>
      <c r="AI408" s="173"/>
      <c r="AJ408" s="173"/>
      <c r="AK408" s="173"/>
      <c r="AL408" s="173"/>
      <c r="AM408" s="173"/>
      <c r="AN408" s="173"/>
      <c r="AO408" s="173"/>
      <c r="AP408" s="173"/>
      <c r="AQ408" s="173"/>
      <c r="AR408" s="173"/>
      <c r="AS408" s="173"/>
      <c r="AT408" s="173"/>
      <c r="AU408" s="173"/>
      <c r="AV408" s="173"/>
      <c r="AW408" s="173"/>
      <c r="AX408" s="173"/>
      <c r="AY408" s="173"/>
      <c r="AZ408" s="173"/>
      <c r="BA408" s="173"/>
      <c r="BB408" s="173"/>
      <c r="BC408" s="173"/>
      <c r="BD408" s="173"/>
      <c r="BE408" s="173"/>
      <c r="BF408" s="173"/>
      <c r="BG408" s="173"/>
      <c r="BH408" s="173"/>
      <c r="BI408" s="173"/>
      <c r="BJ408" s="173"/>
      <c r="BK408" s="173"/>
      <c r="BL408" s="173"/>
      <c r="BM408" s="173"/>
      <c r="BN408" s="173"/>
      <c r="BO408" s="173"/>
      <c r="BP408" s="173"/>
      <c r="BQ408" s="173"/>
      <c r="BR408" s="173"/>
      <c r="BS408" s="173"/>
      <c r="BT408" s="173"/>
      <c r="BU408" s="173"/>
      <c r="BV408" s="173"/>
      <c r="BW408" s="173"/>
      <c r="BX408" s="173"/>
      <c r="BY408" s="173"/>
      <c r="BZ408" s="173"/>
      <c r="CA408" s="173"/>
      <c r="CB408" s="173"/>
      <c r="CC408" s="173"/>
      <c r="CD408" s="173"/>
      <c r="CE408" s="173"/>
      <c r="CF408" s="173"/>
      <c r="CG408" s="173"/>
      <c r="CH408" s="173"/>
      <c r="CI408" s="173"/>
      <c r="CJ408" s="173"/>
      <c r="CK408" s="173"/>
      <c r="CL408" s="173"/>
      <c r="CM408" s="173"/>
      <c r="CN408" s="173"/>
      <c r="CO408" s="173"/>
      <c r="CP408" s="173"/>
      <c r="CQ408" s="173"/>
      <c r="CR408" s="173"/>
      <c r="CS408" s="173"/>
    </row>
    <row r="409" hidden="1">
      <c r="A409" s="179" t="s">
        <v>262</v>
      </c>
      <c r="B409" s="179" t="s">
        <v>2157</v>
      </c>
      <c r="C409" s="179" t="s">
        <v>2158</v>
      </c>
      <c r="D409" s="70" t="s">
        <v>2159</v>
      </c>
      <c r="E409" s="173"/>
      <c r="F409" s="168"/>
      <c r="G409" s="168"/>
      <c r="H409" s="168" t="s">
        <v>25</v>
      </c>
      <c r="I409" s="168" t="s">
        <v>25</v>
      </c>
      <c r="J409" s="168" t="s">
        <v>25</v>
      </c>
      <c r="K409" s="163" t="str">
        <f>VLOOKUP(C409,'Term Reference Guide'!$C:$C,1,false)</f>
        <v>ENVO:00002057</v>
      </c>
      <c r="L409" s="173"/>
      <c r="M409" s="173"/>
      <c r="N409" s="173"/>
      <c r="O409" s="173"/>
      <c r="P409" s="173"/>
      <c r="Q409" s="173"/>
      <c r="R409" s="173"/>
      <c r="S409" s="173"/>
      <c r="T409" s="173"/>
      <c r="U409" s="173"/>
      <c r="V409" s="173"/>
      <c r="W409" s="173"/>
      <c r="X409" s="173"/>
      <c r="Y409" s="173"/>
      <c r="Z409" s="173"/>
      <c r="AA409" s="173"/>
      <c r="AB409" s="173"/>
      <c r="AC409" s="173"/>
      <c r="AD409" s="173"/>
      <c r="AE409" s="173"/>
      <c r="AF409" s="173"/>
      <c r="AG409" s="173"/>
      <c r="AH409" s="173"/>
      <c r="AI409" s="173"/>
      <c r="AJ409" s="173"/>
      <c r="AK409" s="173"/>
      <c r="AL409" s="173"/>
      <c r="AM409" s="173"/>
      <c r="AN409" s="173"/>
      <c r="AO409" s="173"/>
      <c r="AP409" s="173"/>
      <c r="AQ409" s="173"/>
      <c r="AR409" s="173"/>
      <c r="AS409" s="173"/>
      <c r="AT409" s="173"/>
      <c r="AU409" s="173"/>
      <c r="AV409" s="173"/>
      <c r="AW409" s="173"/>
      <c r="AX409" s="173"/>
      <c r="AY409" s="173"/>
      <c r="AZ409" s="173"/>
      <c r="BA409" s="173"/>
      <c r="BB409" s="173"/>
      <c r="BC409" s="173"/>
      <c r="BD409" s="173"/>
      <c r="BE409" s="173"/>
      <c r="BF409" s="173"/>
      <c r="BG409" s="173"/>
      <c r="BH409" s="173"/>
      <c r="BI409" s="173"/>
      <c r="BJ409" s="173"/>
      <c r="BK409" s="173"/>
      <c r="BL409" s="173"/>
      <c r="BM409" s="173"/>
      <c r="BN409" s="173"/>
      <c r="BO409" s="173"/>
      <c r="BP409" s="173"/>
      <c r="BQ409" s="173"/>
      <c r="BR409" s="173"/>
      <c r="BS409" s="173"/>
      <c r="BT409" s="173"/>
      <c r="BU409" s="173"/>
      <c r="BV409" s="173"/>
      <c r="BW409" s="173"/>
      <c r="BX409" s="173"/>
      <c r="BY409" s="173"/>
      <c r="BZ409" s="173"/>
      <c r="CA409" s="173"/>
      <c r="CB409" s="173"/>
      <c r="CC409" s="173"/>
      <c r="CD409" s="173"/>
      <c r="CE409" s="173"/>
      <c r="CF409" s="173"/>
      <c r="CG409" s="173"/>
      <c r="CH409" s="173"/>
      <c r="CI409" s="173"/>
      <c r="CJ409" s="173"/>
      <c r="CK409" s="173"/>
      <c r="CL409" s="173"/>
      <c r="CM409" s="173"/>
      <c r="CN409" s="173"/>
      <c r="CO409" s="173"/>
      <c r="CP409" s="173"/>
      <c r="CQ409" s="173"/>
      <c r="CR409" s="173"/>
      <c r="CS409" s="173"/>
    </row>
    <row r="410" hidden="1">
      <c r="A410" s="179" t="s">
        <v>262</v>
      </c>
      <c r="B410" s="179" t="s">
        <v>2160</v>
      </c>
      <c r="C410" s="179" t="s">
        <v>2161</v>
      </c>
      <c r="D410" s="70" t="s">
        <v>2162</v>
      </c>
      <c r="E410" s="173"/>
      <c r="F410" s="168"/>
      <c r="G410" s="168"/>
      <c r="H410" s="168" t="s">
        <v>25</v>
      </c>
      <c r="I410" s="168" t="s">
        <v>25</v>
      </c>
      <c r="J410" s="168" t="s">
        <v>25</v>
      </c>
      <c r="K410" s="163" t="str">
        <f>VLOOKUP(C410,'Term Reference Guide'!$C:$C,1,false)</f>
        <v>ENVO:00002058</v>
      </c>
      <c r="L410" s="173"/>
      <c r="M410" s="173"/>
      <c r="N410" s="173"/>
      <c r="O410" s="173"/>
      <c r="P410" s="173"/>
      <c r="Q410" s="173"/>
      <c r="R410" s="173"/>
      <c r="S410" s="173"/>
      <c r="T410" s="173"/>
      <c r="U410" s="173"/>
      <c r="V410" s="173"/>
      <c r="W410" s="173"/>
      <c r="X410" s="173"/>
      <c r="Y410" s="173"/>
      <c r="Z410" s="173"/>
      <c r="AA410" s="173"/>
      <c r="AB410" s="173"/>
      <c r="AC410" s="173"/>
      <c r="AD410" s="173"/>
      <c r="AE410" s="173"/>
      <c r="AF410" s="173"/>
      <c r="AG410" s="173"/>
      <c r="AH410" s="173"/>
      <c r="AI410" s="173"/>
      <c r="AJ410" s="173"/>
      <c r="AK410" s="173"/>
      <c r="AL410" s="173"/>
      <c r="AM410" s="173"/>
      <c r="AN410" s="173"/>
      <c r="AO410" s="173"/>
      <c r="AP410" s="173"/>
      <c r="AQ410" s="173"/>
      <c r="AR410" s="173"/>
      <c r="AS410" s="173"/>
      <c r="AT410" s="173"/>
      <c r="AU410" s="173"/>
      <c r="AV410" s="173"/>
      <c r="AW410" s="173"/>
      <c r="AX410" s="173"/>
      <c r="AY410" s="173"/>
      <c r="AZ410" s="173"/>
      <c r="BA410" s="173"/>
      <c r="BB410" s="173"/>
      <c r="BC410" s="173"/>
      <c r="BD410" s="173"/>
      <c r="BE410" s="173"/>
      <c r="BF410" s="173"/>
      <c r="BG410" s="173"/>
      <c r="BH410" s="173"/>
      <c r="BI410" s="173"/>
      <c r="BJ410" s="173"/>
      <c r="BK410" s="173"/>
      <c r="BL410" s="173"/>
      <c r="BM410" s="173"/>
      <c r="BN410" s="173"/>
      <c r="BO410" s="173"/>
      <c r="BP410" s="173"/>
      <c r="BQ410" s="173"/>
      <c r="BR410" s="173"/>
      <c r="BS410" s="173"/>
      <c r="BT410" s="173"/>
      <c r="BU410" s="173"/>
      <c r="BV410" s="173"/>
      <c r="BW410" s="173"/>
      <c r="BX410" s="173"/>
      <c r="BY410" s="173"/>
      <c r="BZ410" s="173"/>
      <c r="CA410" s="173"/>
      <c r="CB410" s="173"/>
      <c r="CC410" s="173"/>
      <c r="CD410" s="173"/>
      <c r="CE410" s="173"/>
      <c r="CF410" s="173"/>
      <c r="CG410" s="173"/>
      <c r="CH410" s="173"/>
      <c r="CI410" s="173"/>
      <c r="CJ410" s="173"/>
      <c r="CK410" s="173"/>
      <c r="CL410" s="173"/>
      <c r="CM410" s="173"/>
      <c r="CN410" s="173"/>
      <c r="CO410" s="173"/>
      <c r="CP410" s="173"/>
      <c r="CQ410" s="173"/>
      <c r="CR410" s="173"/>
      <c r="CS410" s="173"/>
    </row>
    <row r="411" hidden="1">
      <c r="A411" s="179" t="s">
        <v>262</v>
      </c>
      <c r="B411" s="179" t="s">
        <v>2163</v>
      </c>
      <c r="C411" s="183" t="s">
        <v>2164</v>
      </c>
      <c r="D411" s="33" t="s">
        <v>2165</v>
      </c>
      <c r="E411" s="173"/>
      <c r="F411" s="168"/>
      <c r="G411" s="168"/>
      <c r="H411" s="168" t="s">
        <v>25</v>
      </c>
      <c r="I411" s="168" t="s">
        <v>25</v>
      </c>
      <c r="J411" s="168" t="s">
        <v>25</v>
      </c>
      <c r="K411" s="163" t="str">
        <f>VLOOKUP(C411,'Term Reference Guide'!$C:$C,1,false)</f>
        <v>ENVO:03501457</v>
      </c>
      <c r="L411" s="173"/>
      <c r="M411" s="173"/>
      <c r="N411" s="173"/>
      <c r="O411" s="173"/>
      <c r="P411" s="173"/>
      <c r="Q411" s="173"/>
      <c r="R411" s="173"/>
      <c r="S411" s="173"/>
      <c r="T411" s="173"/>
      <c r="U411" s="173"/>
      <c r="V411" s="173"/>
      <c r="W411" s="173"/>
      <c r="X411" s="173"/>
      <c r="Y411" s="173"/>
      <c r="Z411" s="173"/>
      <c r="AA411" s="173"/>
      <c r="AB411" s="173"/>
      <c r="AC411" s="173"/>
      <c r="AD411" s="173"/>
      <c r="AE411" s="173"/>
      <c r="AF411" s="173"/>
      <c r="AG411" s="173"/>
      <c r="AH411" s="173"/>
      <c r="AI411" s="173"/>
      <c r="AJ411" s="173"/>
      <c r="AK411" s="173"/>
      <c r="AL411" s="173"/>
      <c r="AM411" s="173"/>
      <c r="AN411" s="173"/>
      <c r="AO411" s="173"/>
      <c r="AP411" s="173"/>
      <c r="AQ411" s="173"/>
      <c r="AR411" s="173"/>
      <c r="AS411" s="173"/>
      <c r="AT411" s="173"/>
      <c r="AU411" s="173"/>
      <c r="AV411" s="173"/>
      <c r="AW411" s="173"/>
      <c r="AX411" s="173"/>
      <c r="AY411" s="173"/>
      <c r="AZ411" s="173"/>
      <c r="BA411" s="173"/>
      <c r="BB411" s="173"/>
      <c r="BC411" s="173"/>
      <c r="BD411" s="173"/>
      <c r="BE411" s="173"/>
      <c r="BF411" s="173"/>
      <c r="BG411" s="173"/>
      <c r="BH411" s="173"/>
      <c r="BI411" s="173"/>
      <c r="BJ411" s="173"/>
      <c r="BK411" s="173"/>
      <c r="BL411" s="173"/>
      <c r="BM411" s="173"/>
      <c r="BN411" s="173"/>
      <c r="BO411" s="173"/>
      <c r="BP411" s="173"/>
      <c r="BQ411" s="173"/>
      <c r="BR411" s="173"/>
      <c r="BS411" s="173"/>
      <c r="BT411" s="173"/>
      <c r="BU411" s="173"/>
      <c r="BV411" s="173"/>
      <c r="BW411" s="173"/>
      <c r="BX411" s="173"/>
      <c r="BY411" s="173"/>
      <c r="BZ411" s="173"/>
      <c r="CA411" s="173"/>
      <c r="CB411" s="173"/>
      <c r="CC411" s="173"/>
      <c r="CD411" s="173"/>
      <c r="CE411" s="173"/>
      <c r="CF411" s="173"/>
      <c r="CG411" s="173"/>
      <c r="CH411" s="173"/>
      <c r="CI411" s="173"/>
      <c r="CJ411" s="173"/>
      <c r="CK411" s="173"/>
      <c r="CL411" s="173"/>
      <c r="CM411" s="173"/>
      <c r="CN411" s="173"/>
      <c r="CO411" s="173"/>
      <c r="CP411" s="173"/>
      <c r="CQ411" s="173"/>
      <c r="CR411" s="173"/>
      <c r="CS411" s="173"/>
    </row>
    <row r="412" hidden="1">
      <c r="A412" s="179" t="s">
        <v>262</v>
      </c>
      <c r="B412" s="179" t="s">
        <v>2166</v>
      </c>
      <c r="C412" s="180" t="s">
        <v>2167</v>
      </c>
      <c r="D412" s="33" t="s">
        <v>2168</v>
      </c>
      <c r="E412" s="173"/>
      <c r="F412" s="168"/>
      <c r="G412" s="168"/>
      <c r="H412" s="168" t="s">
        <v>25</v>
      </c>
      <c r="I412" s="168" t="s">
        <v>25</v>
      </c>
      <c r="J412" s="168" t="s">
        <v>25</v>
      </c>
      <c r="K412" s="163" t="str">
        <f>VLOOKUP(C412,'Term Reference Guide'!$C:$C,1,false)</f>
        <v>GENEPIO:0100892</v>
      </c>
      <c r="L412" s="173"/>
      <c r="M412" s="173"/>
      <c r="N412" s="173"/>
      <c r="O412" s="173"/>
      <c r="P412" s="173"/>
      <c r="Q412" s="173"/>
      <c r="R412" s="173"/>
      <c r="S412" s="173"/>
      <c r="T412" s="173"/>
      <c r="U412" s="173"/>
      <c r="V412" s="173"/>
      <c r="W412" s="173"/>
      <c r="X412" s="173"/>
      <c r="Y412" s="173"/>
      <c r="Z412" s="173"/>
      <c r="AA412" s="173"/>
      <c r="AB412" s="173"/>
      <c r="AC412" s="173"/>
      <c r="AD412" s="173"/>
      <c r="AE412" s="173"/>
      <c r="AF412" s="173"/>
      <c r="AG412" s="173"/>
      <c r="AH412" s="173"/>
      <c r="AI412" s="173"/>
      <c r="AJ412" s="173"/>
      <c r="AK412" s="173"/>
      <c r="AL412" s="173"/>
      <c r="AM412" s="173"/>
      <c r="AN412" s="173"/>
      <c r="AO412" s="173"/>
      <c r="AP412" s="173"/>
      <c r="AQ412" s="173"/>
      <c r="AR412" s="173"/>
      <c r="AS412" s="173"/>
      <c r="AT412" s="173"/>
      <c r="AU412" s="173"/>
      <c r="AV412" s="173"/>
      <c r="AW412" s="173"/>
      <c r="AX412" s="173"/>
      <c r="AY412" s="173"/>
      <c r="AZ412" s="173"/>
      <c r="BA412" s="173"/>
      <c r="BB412" s="173"/>
      <c r="BC412" s="173"/>
      <c r="BD412" s="173"/>
      <c r="BE412" s="173"/>
      <c r="BF412" s="173"/>
      <c r="BG412" s="173"/>
      <c r="BH412" s="173"/>
      <c r="BI412" s="173"/>
      <c r="BJ412" s="173"/>
      <c r="BK412" s="173"/>
      <c r="BL412" s="173"/>
      <c r="BM412" s="173"/>
      <c r="BN412" s="173"/>
      <c r="BO412" s="173"/>
      <c r="BP412" s="173"/>
      <c r="BQ412" s="173"/>
      <c r="BR412" s="173"/>
      <c r="BS412" s="173"/>
      <c r="BT412" s="173"/>
      <c r="BU412" s="173"/>
      <c r="BV412" s="173"/>
      <c r="BW412" s="173"/>
      <c r="BX412" s="173"/>
      <c r="BY412" s="173"/>
      <c r="BZ412" s="173"/>
      <c r="CA412" s="173"/>
      <c r="CB412" s="173"/>
      <c r="CC412" s="173"/>
      <c r="CD412" s="173"/>
      <c r="CE412" s="173"/>
      <c r="CF412" s="173"/>
      <c r="CG412" s="173"/>
      <c r="CH412" s="173"/>
      <c r="CI412" s="173"/>
      <c r="CJ412" s="173"/>
      <c r="CK412" s="173"/>
      <c r="CL412" s="173"/>
      <c r="CM412" s="173"/>
      <c r="CN412" s="173"/>
      <c r="CO412" s="173"/>
      <c r="CP412" s="173"/>
      <c r="CQ412" s="173"/>
      <c r="CR412" s="173"/>
      <c r="CS412" s="173"/>
    </row>
    <row r="413" hidden="1">
      <c r="A413" s="179" t="s">
        <v>262</v>
      </c>
      <c r="B413" s="179" t="s">
        <v>2169</v>
      </c>
      <c r="C413" s="180" t="s">
        <v>2170</v>
      </c>
      <c r="D413" s="33" t="s">
        <v>2171</v>
      </c>
      <c r="E413" s="173"/>
      <c r="F413" s="168"/>
      <c r="G413" s="168"/>
      <c r="H413" s="168" t="s">
        <v>25</v>
      </c>
      <c r="I413" s="168" t="s">
        <v>25</v>
      </c>
      <c r="J413" s="168" t="s">
        <v>25</v>
      </c>
      <c r="K413" s="163" t="str">
        <f>VLOOKUP(C413,'Term Reference Guide'!$C:$C,1,false)</f>
        <v>GENEPIO:0100893</v>
      </c>
      <c r="L413" s="173"/>
      <c r="M413" s="173"/>
      <c r="N413" s="173"/>
      <c r="O413" s="173"/>
      <c r="P413" s="173"/>
      <c r="Q413" s="173"/>
      <c r="R413" s="173"/>
      <c r="S413" s="173"/>
      <c r="T413" s="173"/>
      <c r="U413" s="173"/>
      <c r="V413" s="173"/>
      <c r="W413" s="173"/>
      <c r="X413" s="173"/>
      <c r="Y413" s="173"/>
      <c r="Z413" s="173"/>
      <c r="AA413" s="173"/>
      <c r="AB413" s="173"/>
      <c r="AC413" s="173"/>
      <c r="AD413" s="173"/>
      <c r="AE413" s="173"/>
      <c r="AF413" s="173"/>
      <c r="AG413" s="173"/>
      <c r="AH413" s="173"/>
      <c r="AI413" s="173"/>
      <c r="AJ413" s="173"/>
      <c r="AK413" s="173"/>
      <c r="AL413" s="173"/>
      <c r="AM413" s="173"/>
      <c r="AN413" s="173"/>
      <c r="AO413" s="173"/>
      <c r="AP413" s="173"/>
      <c r="AQ413" s="173"/>
      <c r="AR413" s="173"/>
      <c r="AS413" s="173"/>
      <c r="AT413" s="173"/>
      <c r="AU413" s="173"/>
      <c r="AV413" s="173"/>
      <c r="AW413" s="173"/>
      <c r="AX413" s="173"/>
      <c r="AY413" s="173"/>
      <c r="AZ413" s="173"/>
      <c r="BA413" s="173"/>
      <c r="BB413" s="173"/>
      <c r="BC413" s="173"/>
      <c r="BD413" s="173"/>
      <c r="BE413" s="173"/>
      <c r="BF413" s="173"/>
      <c r="BG413" s="173"/>
      <c r="BH413" s="173"/>
      <c r="BI413" s="173"/>
      <c r="BJ413" s="173"/>
      <c r="BK413" s="173"/>
      <c r="BL413" s="173"/>
      <c r="BM413" s="173"/>
      <c r="BN413" s="173"/>
      <c r="BO413" s="173"/>
      <c r="BP413" s="173"/>
      <c r="BQ413" s="173"/>
      <c r="BR413" s="173"/>
      <c r="BS413" s="173"/>
      <c r="BT413" s="173"/>
      <c r="BU413" s="173"/>
      <c r="BV413" s="173"/>
      <c r="BW413" s="173"/>
      <c r="BX413" s="173"/>
      <c r="BY413" s="173"/>
      <c r="BZ413" s="173"/>
      <c r="CA413" s="173"/>
      <c r="CB413" s="173"/>
      <c r="CC413" s="173"/>
      <c r="CD413" s="173"/>
      <c r="CE413" s="173"/>
      <c r="CF413" s="173"/>
      <c r="CG413" s="173"/>
      <c r="CH413" s="173"/>
      <c r="CI413" s="173"/>
      <c r="CJ413" s="173"/>
      <c r="CK413" s="173"/>
      <c r="CL413" s="173"/>
      <c r="CM413" s="173"/>
      <c r="CN413" s="173"/>
      <c r="CO413" s="173"/>
      <c r="CP413" s="173"/>
      <c r="CQ413" s="173"/>
      <c r="CR413" s="173"/>
      <c r="CS413" s="173"/>
    </row>
    <row r="414">
      <c r="A414" s="179"/>
      <c r="B414" s="179"/>
      <c r="C414" s="173"/>
      <c r="D414" s="141"/>
      <c r="E414" s="173"/>
      <c r="F414" s="173"/>
      <c r="G414" s="173"/>
      <c r="H414" s="173"/>
      <c r="I414" s="173"/>
      <c r="J414" s="141"/>
      <c r="K414" s="163" t="str">
        <f>VLOOKUP(C414,'Term Reference Guide'!$C:$C,1,false)</f>
        <v>#N/A</v>
      </c>
      <c r="L414" s="173"/>
      <c r="M414" s="173"/>
      <c r="N414" s="173"/>
      <c r="O414" s="173"/>
      <c r="P414" s="173"/>
      <c r="Q414" s="173"/>
      <c r="R414" s="173"/>
      <c r="S414" s="173"/>
      <c r="T414" s="173"/>
      <c r="U414" s="173"/>
      <c r="V414" s="173"/>
      <c r="W414" s="173"/>
      <c r="X414" s="173"/>
      <c r="Y414" s="173"/>
      <c r="Z414" s="173"/>
      <c r="AA414" s="173"/>
      <c r="AB414" s="173"/>
      <c r="AC414" s="173"/>
      <c r="AD414" s="173"/>
      <c r="AE414" s="173"/>
      <c r="AF414" s="173"/>
      <c r="AG414" s="173"/>
      <c r="AH414" s="173"/>
      <c r="AI414" s="173"/>
      <c r="AJ414" s="173"/>
      <c r="AK414" s="173"/>
      <c r="AL414" s="173"/>
      <c r="AM414" s="173"/>
      <c r="AN414" s="173"/>
      <c r="AO414" s="173"/>
      <c r="AP414" s="173"/>
      <c r="AQ414" s="173"/>
      <c r="AR414" s="173"/>
      <c r="AS414" s="173"/>
      <c r="AT414" s="173"/>
      <c r="AU414" s="173"/>
      <c r="AV414" s="173"/>
      <c r="AW414" s="173"/>
      <c r="AX414" s="173"/>
      <c r="AY414" s="173"/>
      <c r="AZ414" s="173"/>
      <c r="BA414" s="173"/>
      <c r="BB414" s="173"/>
      <c r="BC414" s="173"/>
      <c r="BD414" s="173"/>
      <c r="BE414" s="173"/>
      <c r="BF414" s="173"/>
      <c r="BG414" s="173"/>
      <c r="BH414" s="173"/>
      <c r="BI414" s="173"/>
      <c r="BJ414" s="173"/>
      <c r="BK414" s="173"/>
      <c r="BL414" s="173"/>
      <c r="BM414" s="173"/>
      <c r="BN414" s="173"/>
      <c r="BO414" s="173"/>
      <c r="BP414" s="173"/>
      <c r="BQ414" s="173"/>
      <c r="BR414" s="173"/>
      <c r="BS414" s="173"/>
      <c r="BT414" s="173"/>
      <c r="BU414" s="173"/>
      <c r="BV414" s="173"/>
      <c r="BW414" s="173"/>
      <c r="BX414" s="173"/>
      <c r="BY414" s="173"/>
      <c r="BZ414" s="173"/>
      <c r="CA414" s="173"/>
      <c r="CB414" s="173"/>
      <c r="CC414" s="173"/>
      <c r="CD414" s="173"/>
      <c r="CE414" s="173"/>
      <c r="CF414" s="173"/>
      <c r="CG414" s="173"/>
      <c r="CH414" s="173"/>
      <c r="CI414" s="173"/>
      <c r="CJ414" s="173"/>
      <c r="CK414" s="173"/>
      <c r="CL414" s="173"/>
      <c r="CM414" s="173"/>
      <c r="CN414" s="173"/>
      <c r="CO414" s="173"/>
      <c r="CP414" s="173"/>
      <c r="CQ414" s="173"/>
      <c r="CR414" s="173"/>
      <c r="CS414" s="173"/>
    </row>
    <row r="415">
      <c r="A415" s="170" t="s">
        <v>267</v>
      </c>
      <c r="B415" s="156"/>
      <c r="C415" s="156"/>
      <c r="D415" s="139"/>
      <c r="E415" s="156"/>
      <c r="F415" s="156"/>
      <c r="G415" s="156"/>
      <c r="H415" s="164"/>
      <c r="I415" s="164"/>
      <c r="J415" s="171"/>
      <c r="K415" s="163" t="str">
        <f>VLOOKUP(C415,'Term Reference Guide'!$C:$C,1,false)</f>
        <v>#N/A</v>
      </c>
      <c r="L415" s="163"/>
      <c r="M415" s="163"/>
      <c r="N415" s="163"/>
      <c r="O415" s="163"/>
      <c r="P415" s="163"/>
      <c r="Q415" s="163"/>
      <c r="R415" s="163"/>
      <c r="S415" s="163"/>
      <c r="T415" s="163"/>
      <c r="U415" s="163"/>
      <c r="V415" s="163"/>
      <c r="W415" s="163"/>
      <c r="X415" s="163"/>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c r="BP415" s="41"/>
      <c r="BQ415" s="41"/>
      <c r="BR415" s="41"/>
      <c r="BS415" s="41"/>
      <c r="BT415" s="41"/>
      <c r="BU415" s="41"/>
      <c r="BV415" s="41"/>
      <c r="BW415" s="41"/>
      <c r="BX415" s="41"/>
      <c r="BY415" s="41"/>
      <c r="BZ415" s="41"/>
      <c r="CA415" s="41"/>
      <c r="CB415" s="41"/>
      <c r="CC415" s="41"/>
      <c r="CD415" s="41"/>
      <c r="CE415" s="41"/>
      <c r="CF415" s="41"/>
      <c r="CG415" s="41"/>
      <c r="CH415" s="41"/>
      <c r="CI415" s="41"/>
      <c r="CJ415" s="41"/>
      <c r="CK415" s="41"/>
      <c r="CL415" s="41"/>
      <c r="CM415" s="41"/>
      <c r="CN415" s="41"/>
      <c r="CO415" s="41"/>
      <c r="CP415" s="41"/>
      <c r="CQ415" s="41"/>
      <c r="CR415" s="41"/>
      <c r="CS415" s="41"/>
    </row>
    <row r="416" ht="23.25" hidden="1" customHeight="1">
      <c r="A416" s="179" t="s">
        <v>267</v>
      </c>
      <c r="B416" s="186" t="s">
        <v>271</v>
      </c>
      <c r="C416" s="40" t="s">
        <v>2172</v>
      </c>
      <c r="D416" s="70" t="s">
        <v>2173</v>
      </c>
      <c r="E416" s="173"/>
      <c r="F416" s="168"/>
      <c r="G416" s="168"/>
      <c r="H416" s="168" t="s">
        <v>25</v>
      </c>
      <c r="I416" s="168" t="s">
        <v>25</v>
      </c>
      <c r="J416" s="168" t="s">
        <v>25</v>
      </c>
      <c r="K416" s="163" t="str">
        <f>VLOOKUP(C416,'Term Reference Guide'!$C:$C,1,false)</f>
        <v>GENEPIO:0101004</v>
      </c>
      <c r="L416" s="173"/>
      <c r="M416" s="173"/>
      <c r="N416" s="173"/>
      <c r="O416" s="173"/>
      <c r="P416" s="173"/>
      <c r="Q416" s="173"/>
      <c r="R416" s="173"/>
      <c r="S416" s="173"/>
      <c r="T416" s="173"/>
      <c r="U416" s="173"/>
      <c r="V416" s="173"/>
      <c r="W416" s="173"/>
      <c r="X416" s="173"/>
      <c r="Y416" s="173"/>
      <c r="Z416" s="173"/>
      <c r="AA416" s="173"/>
      <c r="AB416" s="173"/>
      <c r="AC416" s="173"/>
      <c r="AD416" s="173"/>
      <c r="AE416" s="173"/>
      <c r="AF416" s="173"/>
      <c r="AG416" s="173"/>
      <c r="AH416" s="173"/>
      <c r="AI416" s="173"/>
      <c r="AJ416" s="173"/>
      <c r="AK416" s="173"/>
      <c r="AL416" s="173"/>
      <c r="AM416" s="173"/>
      <c r="AN416" s="173"/>
      <c r="AO416" s="173"/>
      <c r="AP416" s="173"/>
      <c r="AQ416" s="173"/>
      <c r="AR416" s="173"/>
      <c r="AS416" s="173"/>
      <c r="AT416" s="173"/>
      <c r="AU416" s="173"/>
      <c r="AV416" s="173"/>
      <c r="AW416" s="173"/>
      <c r="AX416" s="173"/>
      <c r="AY416" s="173"/>
      <c r="AZ416" s="173"/>
      <c r="BA416" s="173"/>
      <c r="BB416" s="173"/>
      <c r="BC416" s="173"/>
      <c r="BD416" s="173"/>
      <c r="BE416" s="173"/>
      <c r="BF416" s="173"/>
      <c r="BG416" s="173"/>
      <c r="BH416" s="173"/>
      <c r="BI416" s="173"/>
      <c r="BJ416" s="173"/>
      <c r="BK416" s="173"/>
      <c r="BL416" s="173"/>
      <c r="BM416" s="173"/>
      <c r="BN416" s="173"/>
      <c r="BO416" s="173"/>
      <c r="BP416" s="173"/>
      <c r="BQ416" s="173"/>
      <c r="BR416" s="173"/>
      <c r="BS416" s="173"/>
      <c r="BT416" s="173"/>
      <c r="BU416" s="173"/>
      <c r="BV416" s="173"/>
      <c r="BW416" s="173"/>
      <c r="BX416" s="173"/>
      <c r="BY416" s="173"/>
      <c r="BZ416" s="173"/>
      <c r="CA416" s="173"/>
      <c r="CB416" s="173"/>
      <c r="CC416" s="173"/>
      <c r="CD416" s="173"/>
      <c r="CE416" s="173"/>
      <c r="CF416" s="173"/>
      <c r="CG416" s="173"/>
      <c r="CH416" s="173"/>
      <c r="CI416" s="173"/>
      <c r="CJ416" s="173"/>
      <c r="CK416" s="173"/>
      <c r="CL416" s="173"/>
      <c r="CM416" s="173"/>
      <c r="CN416" s="173"/>
      <c r="CO416" s="173"/>
      <c r="CP416" s="173"/>
      <c r="CQ416" s="173"/>
      <c r="CR416" s="173"/>
      <c r="CS416" s="173"/>
    </row>
    <row r="417" ht="27.75" hidden="1" customHeight="1">
      <c r="A417" s="179" t="s">
        <v>267</v>
      </c>
      <c r="B417" s="186" t="s">
        <v>2174</v>
      </c>
      <c r="C417" s="40" t="s">
        <v>2175</v>
      </c>
      <c r="D417" s="70" t="s">
        <v>2176</v>
      </c>
      <c r="E417" s="173"/>
      <c r="F417" s="168"/>
      <c r="G417" s="168"/>
      <c r="H417" s="168" t="s">
        <v>25</v>
      </c>
      <c r="I417" s="168" t="s">
        <v>25</v>
      </c>
      <c r="J417" s="168" t="s">
        <v>25</v>
      </c>
      <c r="K417" s="163" t="str">
        <f>VLOOKUP(C417,'Term Reference Guide'!$C:$C,1,false)</f>
        <v>GENEPIO:0101005</v>
      </c>
      <c r="L417" s="173"/>
      <c r="M417" s="173"/>
      <c r="N417" s="173"/>
      <c r="O417" s="173"/>
      <c r="P417" s="173"/>
      <c r="Q417" s="173"/>
      <c r="R417" s="173"/>
      <c r="S417" s="173"/>
      <c r="T417" s="173"/>
      <c r="U417" s="173"/>
      <c r="V417" s="173"/>
      <c r="W417" s="173"/>
      <c r="X417" s="173"/>
      <c r="Y417" s="173"/>
      <c r="Z417" s="173"/>
      <c r="AA417" s="173"/>
      <c r="AB417" s="173"/>
      <c r="AC417" s="173"/>
      <c r="AD417" s="173"/>
      <c r="AE417" s="173"/>
      <c r="AF417" s="173"/>
      <c r="AG417" s="173"/>
      <c r="AH417" s="173"/>
      <c r="AI417" s="173"/>
      <c r="AJ417" s="173"/>
      <c r="AK417" s="173"/>
      <c r="AL417" s="173"/>
      <c r="AM417" s="173"/>
      <c r="AN417" s="173"/>
      <c r="AO417" s="173"/>
      <c r="AP417" s="173"/>
      <c r="AQ417" s="173"/>
      <c r="AR417" s="173"/>
      <c r="AS417" s="173"/>
      <c r="AT417" s="173"/>
      <c r="AU417" s="173"/>
      <c r="AV417" s="173"/>
      <c r="AW417" s="173"/>
      <c r="AX417" s="173"/>
      <c r="AY417" s="173"/>
      <c r="AZ417" s="173"/>
      <c r="BA417" s="173"/>
      <c r="BB417" s="173"/>
      <c r="BC417" s="173"/>
      <c r="BD417" s="173"/>
      <c r="BE417" s="173"/>
      <c r="BF417" s="173"/>
      <c r="BG417" s="173"/>
      <c r="BH417" s="173"/>
      <c r="BI417" s="173"/>
      <c r="BJ417" s="173"/>
      <c r="BK417" s="173"/>
      <c r="BL417" s="173"/>
      <c r="BM417" s="173"/>
      <c r="BN417" s="173"/>
      <c r="BO417" s="173"/>
      <c r="BP417" s="173"/>
      <c r="BQ417" s="173"/>
      <c r="BR417" s="173"/>
      <c r="BS417" s="173"/>
      <c r="BT417" s="173"/>
      <c r="BU417" s="173"/>
      <c r="BV417" s="173"/>
      <c r="BW417" s="173"/>
      <c r="BX417" s="173"/>
      <c r="BY417" s="173"/>
      <c r="BZ417" s="173"/>
      <c r="CA417" s="173"/>
      <c r="CB417" s="173"/>
      <c r="CC417" s="173"/>
      <c r="CD417" s="173"/>
      <c r="CE417" s="173"/>
      <c r="CF417" s="173"/>
      <c r="CG417" s="173"/>
      <c r="CH417" s="173"/>
      <c r="CI417" s="173"/>
      <c r="CJ417" s="173"/>
      <c r="CK417" s="173"/>
      <c r="CL417" s="173"/>
      <c r="CM417" s="173"/>
      <c r="CN417" s="173"/>
      <c r="CO417" s="173"/>
      <c r="CP417" s="173"/>
      <c r="CQ417" s="173"/>
      <c r="CR417" s="173"/>
      <c r="CS417" s="173"/>
    </row>
    <row r="418" ht="23.25" hidden="1" customHeight="1">
      <c r="A418" s="179" t="s">
        <v>267</v>
      </c>
      <c r="B418" s="186" t="s">
        <v>2177</v>
      </c>
      <c r="C418" s="40" t="s">
        <v>2178</v>
      </c>
      <c r="D418" s="70" t="s">
        <v>2179</v>
      </c>
      <c r="E418" s="173"/>
      <c r="F418" s="168"/>
      <c r="G418" s="168"/>
      <c r="H418" s="168" t="s">
        <v>25</v>
      </c>
      <c r="I418" s="168" t="s">
        <v>25</v>
      </c>
      <c r="J418" s="168" t="s">
        <v>25</v>
      </c>
      <c r="K418" s="163" t="str">
        <f>VLOOKUP(C418,'Term Reference Guide'!$C:$C,1,false)</f>
        <v>GENEPIO:0101006</v>
      </c>
      <c r="L418" s="173"/>
      <c r="M418" s="173"/>
      <c r="N418" s="173"/>
      <c r="O418" s="173"/>
      <c r="P418" s="173"/>
      <c r="Q418" s="173"/>
      <c r="R418" s="173"/>
      <c r="S418" s="173"/>
      <c r="T418" s="173"/>
      <c r="U418" s="173"/>
      <c r="V418" s="173"/>
      <c r="W418" s="173"/>
      <c r="X418" s="173"/>
      <c r="Y418" s="173"/>
      <c r="Z418" s="173"/>
      <c r="AA418" s="173"/>
      <c r="AB418" s="173"/>
      <c r="AC418" s="173"/>
      <c r="AD418" s="173"/>
      <c r="AE418" s="173"/>
      <c r="AF418" s="173"/>
      <c r="AG418" s="173"/>
      <c r="AH418" s="173"/>
      <c r="AI418" s="173"/>
      <c r="AJ418" s="173"/>
      <c r="AK418" s="173"/>
      <c r="AL418" s="173"/>
      <c r="AM418" s="173"/>
      <c r="AN418" s="173"/>
      <c r="AO418" s="173"/>
      <c r="AP418" s="173"/>
      <c r="AQ418" s="173"/>
      <c r="AR418" s="173"/>
      <c r="AS418" s="173"/>
      <c r="AT418" s="173"/>
      <c r="AU418" s="173"/>
      <c r="AV418" s="173"/>
      <c r="AW418" s="173"/>
      <c r="AX418" s="173"/>
      <c r="AY418" s="173"/>
      <c r="AZ418" s="173"/>
      <c r="BA418" s="173"/>
      <c r="BB418" s="173"/>
      <c r="BC418" s="173"/>
      <c r="BD418" s="173"/>
      <c r="BE418" s="173"/>
      <c r="BF418" s="173"/>
      <c r="BG418" s="173"/>
      <c r="BH418" s="173"/>
      <c r="BI418" s="173"/>
      <c r="BJ418" s="173"/>
      <c r="BK418" s="173"/>
      <c r="BL418" s="173"/>
      <c r="BM418" s="173"/>
      <c r="BN418" s="173"/>
      <c r="BO418" s="173"/>
      <c r="BP418" s="173"/>
      <c r="BQ418" s="173"/>
      <c r="BR418" s="173"/>
      <c r="BS418" s="173"/>
      <c r="BT418" s="173"/>
      <c r="BU418" s="173"/>
      <c r="BV418" s="173"/>
      <c r="BW418" s="173"/>
      <c r="BX418" s="173"/>
      <c r="BY418" s="173"/>
      <c r="BZ418" s="173"/>
      <c r="CA418" s="173"/>
      <c r="CB418" s="173"/>
      <c r="CC418" s="173"/>
      <c r="CD418" s="173"/>
      <c r="CE418" s="173"/>
      <c r="CF418" s="173"/>
      <c r="CG418" s="173"/>
      <c r="CH418" s="173"/>
      <c r="CI418" s="173"/>
      <c r="CJ418" s="173"/>
      <c r="CK418" s="173"/>
      <c r="CL418" s="173"/>
      <c r="CM418" s="173"/>
      <c r="CN418" s="173"/>
      <c r="CO418" s="173"/>
      <c r="CP418" s="173"/>
      <c r="CQ418" s="173"/>
      <c r="CR418" s="173"/>
      <c r="CS418" s="173"/>
    </row>
    <row r="419" hidden="1">
      <c r="A419" s="179" t="s">
        <v>267</v>
      </c>
      <c r="B419" s="179" t="s">
        <v>2180</v>
      </c>
      <c r="C419" s="179" t="s">
        <v>2181</v>
      </c>
      <c r="D419" s="70" t="s">
        <v>2182</v>
      </c>
      <c r="E419" s="173"/>
      <c r="F419" s="168"/>
      <c r="G419" s="168"/>
      <c r="H419" s="168" t="s">
        <v>25</v>
      </c>
      <c r="I419" s="168" t="s">
        <v>25</v>
      </c>
      <c r="J419" s="168" t="s">
        <v>25</v>
      </c>
      <c r="K419" s="163" t="str">
        <f>VLOOKUP(C419,'Term Reference Guide'!$C:$C,1,false)</f>
        <v>PATO:0015031</v>
      </c>
      <c r="L419" s="173"/>
      <c r="M419" s="173"/>
      <c r="N419" s="173"/>
      <c r="O419" s="173"/>
      <c r="P419" s="173"/>
      <c r="Q419" s="173"/>
      <c r="R419" s="173"/>
      <c r="S419" s="173"/>
      <c r="T419" s="173"/>
      <c r="U419" s="173"/>
      <c r="V419" s="173"/>
      <c r="W419" s="173"/>
      <c r="X419" s="173"/>
      <c r="Y419" s="173"/>
      <c r="Z419" s="173"/>
      <c r="AA419" s="173"/>
      <c r="AB419" s="173"/>
      <c r="AC419" s="173"/>
      <c r="AD419" s="173"/>
      <c r="AE419" s="173"/>
      <c r="AF419" s="173"/>
      <c r="AG419" s="173"/>
      <c r="AH419" s="173"/>
      <c r="AI419" s="173"/>
      <c r="AJ419" s="173"/>
      <c r="AK419" s="173"/>
      <c r="AL419" s="173"/>
      <c r="AM419" s="173"/>
      <c r="AN419" s="173"/>
      <c r="AO419" s="173"/>
      <c r="AP419" s="173"/>
      <c r="AQ419" s="173"/>
      <c r="AR419" s="173"/>
      <c r="AS419" s="173"/>
      <c r="AT419" s="173"/>
      <c r="AU419" s="173"/>
      <c r="AV419" s="173"/>
      <c r="AW419" s="173"/>
      <c r="AX419" s="173"/>
      <c r="AY419" s="173"/>
      <c r="AZ419" s="173"/>
      <c r="BA419" s="173"/>
      <c r="BB419" s="173"/>
      <c r="BC419" s="173"/>
      <c r="BD419" s="173"/>
      <c r="BE419" s="173"/>
      <c r="BF419" s="173"/>
      <c r="BG419" s="173"/>
      <c r="BH419" s="173"/>
      <c r="BI419" s="173"/>
      <c r="BJ419" s="173"/>
      <c r="BK419" s="173"/>
      <c r="BL419" s="173"/>
      <c r="BM419" s="173"/>
      <c r="BN419" s="173"/>
      <c r="BO419" s="173"/>
      <c r="BP419" s="173"/>
      <c r="BQ419" s="173"/>
      <c r="BR419" s="173"/>
      <c r="BS419" s="173"/>
      <c r="BT419" s="173"/>
      <c r="BU419" s="173"/>
      <c r="BV419" s="173"/>
      <c r="BW419" s="173"/>
      <c r="BX419" s="173"/>
      <c r="BY419" s="173"/>
      <c r="BZ419" s="173"/>
      <c r="CA419" s="173"/>
      <c r="CB419" s="173"/>
      <c r="CC419" s="173"/>
      <c r="CD419" s="173"/>
      <c r="CE419" s="173"/>
      <c r="CF419" s="173"/>
      <c r="CG419" s="173"/>
      <c r="CH419" s="173"/>
      <c r="CI419" s="173"/>
      <c r="CJ419" s="173"/>
      <c r="CK419" s="173"/>
      <c r="CL419" s="173"/>
      <c r="CM419" s="173"/>
      <c r="CN419" s="173"/>
      <c r="CO419" s="173"/>
      <c r="CP419" s="173"/>
      <c r="CQ419" s="173"/>
      <c r="CR419" s="173"/>
      <c r="CS419" s="173"/>
    </row>
    <row r="420" hidden="1">
      <c r="A420" s="179" t="s">
        <v>267</v>
      </c>
      <c r="B420" s="179" t="s">
        <v>2183</v>
      </c>
      <c r="C420" s="179" t="s">
        <v>2184</v>
      </c>
      <c r="D420" s="70" t="s">
        <v>2185</v>
      </c>
      <c r="E420" s="173"/>
      <c r="F420" s="168"/>
      <c r="G420" s="168"/>
      <c r="H420" s="168" t="s">
        <v>25</v>
      </c>
      <c r="I420" s="168" t="s">
        <v>25</v>
      </c>
      <c r="J420" s="168" t="s">
        <v>25</v>
      </c>
      <c r="K420" s="163" t="str">
        <f>VLOOKUP(C420,'Term Reference Guide'!$C:$C,1,false)</f>
        <v>GENEPIO:0101010</v>
      </c>
      <c r="L420" s="173"/>
      <c r="M420" s="173"/>
      <c r="N420" s="173"/>
      <c r="O420" s="173"/>
      <c r="P420" s="173"/>
      <c r="Q420" s="173"/>
      <c r="R420" s="173"/>
      <c r="S420" s="173"/>
      <c r="T420" s="173"/>
      <c r="U420" s="173"/>
      <c r="V420" s="173"/>
      <c r="W420" s="173"/>
      <c r="X420" s="173"/>
      <c r="Y420" s="173"/>
      <c r="Z420" s="173"/>
      <c r="AA420" s="173"/>
      <c r="AB420" s="173"/>
      <c r="AC420" s="173"/>
      <c r="AD420" s="173"/>
      <c r="AE420" s="173"/>
      <c r="AF420" s="173"/>
      <c r="AG420" s="173"/>
      <c r="AH420" s="173"/>
      <c r="AI420" s="173"/>
      <c r="AJ420" s="173"/>
      <c r="AK420" s="173"/>
      <c r="AL420" s="173"/>
      <c r="AM420" s="173"/>
      <c r="AN420" s="173"/>
      <c r="AO420" s="173"/>
      <c r="AP420" s="173"/>
      <c r="AQ420" s="173"/>
      <c r="AR420" s="173"/>
      <c r="AS420" s="173"/>
      <c r="AT420" s="173"/>
      <c r="AU420" s="173"/>
      <c r="AV420" s="173"/>
      <c r="AW420" s="173"/>
      <c r="AX420" s="173"/>
      <c r="AY420" s="173"/>
      <c r="AZ420" s="173"/>
      <c r="BA420" s="173"/>
      <c r="BB420" s="173"/>
      <c r="BC420" s="173"/>
      <c r="BD420" s="173"/>
      <c r="BE420" s="173"/>
      <c r="BF420" s="173"/>
      <c r="BG420" s="173"/>
      <c r="BH420" s="173"/>
      <c r="BI420" s="173"/>
      <c r="BJ420" s="173"/>
      <c r="BK420" s="173"/>
      <c r="BL420" s="173"/>
      <c r="BM420" s="173"/>
      <c r="BN420" s="173"/>
      <c r="BO420" s="173"/>
      <c r="BP420" s="173"/>
      <c r="BQ420" s="173"/>
      <c r="BR420" s="173"/>
      <c r="BS420" s="173"/>
      <c r="BT420" s="173"/>
      <c r="BU420" s="173"/>
      <c r="BV420" s="173"/>
      <c r="BW420" s="173"/>
      <c r="BX420" s="173"/>
      <c r="BY420" s="173"/>
      <c r="BZ420" s="173"/>
      <c r="CA420" s="173"/>
      <c r="CB420" s="173"/>
      <c r="CC420" s="173"/>
      <c r="CD420" s="173"/>
      <c r="CE420" s="173"/>
      <c r="CF420" s="173"/>
      <c r="CG420" s="173"/>
      <c r="CH420" s="173"/>
      <c r="CI420" s="173"/>
      <c r="CJ420" s="173"/>
      <c r="CK420" s="173"/>
      <c r="CL420" s="173"/>
      <c r="CM420" s="173"/>
      <c r="CN420" s="173"/>
      <c r="CO420" s="173"/>
      <c r="CP420" s="173"/>
      <c r="CQ420" s="173"/>
      <c r="CR420" s="173"/>
      <c r="CS420" s="173"/>
    </row>
    <row r="421" hidden="1">
      <c r="A421" s="179" t="s">
        <v>267</v>
      </c>
      <c r="B421" s="179" t="s">
        <v>2186</v>
      </c>
      <c r="C421" s="179" t="s">
        <v>2187</v>
      </c>
      <c r="D421" s="70" t="s">
        <v>2188</v>
      </c>
      <c r="E421" s="173"/>
      <c r="F421" s="168"/>
      <c r="G421" s="168"/>
      <c r="H421" s="168" t="s">
        <v>25</v>
      </c>
      <c r="I421" s="168" t="s">
        <v>25</v>
      </c>
      <c r="J421" s="168" t="s">
        <v>25</v>
      </c>
      <c r="K421" s="163" t="str">
        <f>VLOOKUP(C421,'Term Reference Guide'!$C:$C,1,false)</f>
        <v>PATO:0001735</v>
      </c>
      <c r="L421" s="173"/>
      <c r="M421" s="173"/>
      <c r="N421" s="173"/>
      <c r="O421" s="173"/>
      <c r="P421" s="173"/>
      <c r="Q421" s="173"/>
      <c r="R421" s="173"/>
      <c r="S421" s="173"/>
      <c r="T421" s="173"/>
      <c r="U421" s="173"/>
      <c r="V421" s="173"/>
      <c r="W421" s="173"/>
      <c r="X421" s="173"/>
      <c r="Y421" s="173"/>
      <c r="Z421" s="173"/>
      <c r="AA421" s="173"/>
      <c r="AB421" s="173"/>
      <c r="AC421" s="173"/>
      <c r="AD421" s="173"/>
      <c r="AE421" s="173"/>
      <c r="AF421" s="173"/>
      <c r="AG421" s="173"/>
      <c r="AH421" s="173"/>
      <c r="AI421" s="173"/>
      <c r="AJ421" s="173"/>
      <c r="AK421" s="173"/>
      <c r="AL421" s="173"/>
      <c r="AM421" s="173"/>
      <c r="AN421" s="173"/>
      <c r="AO421" s="173"/>
      <c r="AP421" s="173"/>
      <c r="AQ421" s="173"/>
      <c r="AR421" s="173"/>
      <c r="AS421" s="173"/>
      <c r="AT421" s="173"/>
      <c r="AU421" s="173"/>
      <c r="AV421" s="173"/>
      <c r="AW421" s="173"/>
      <c r="AX421" s="173"/>
      <c r="AY421" s="173"/>
      <c r="AZ421" s="173"/>
      <c r="BA421" s="173"/>
      <c r="BB421" s="173"/>
      <c r="BC421" s="173"/>
      <c r="BD421" s="173"/>
      <c r="BE421" s="173"/>
      <c r="BF421" s="173"/>
      <c r="BG421" s="173"/>
      <c r="BH421" s="173"/>
      <c r="BI421" s="173"/>
      <c r="BJ421" s="173"/>
      <c r="BK421" s="173"/>
      <c r="BL421" s="173"/>
      <c r="BM421" s="173"/>
      <c r="BN421" s="173"/>
      <c r="BO421" s="173"/>
      <c r="BP421" s="173"/>
      <c r="BQ421" s="173"/>
      <c r="BR421" s="173"/>
      <c r="BS421" s="173"/>
      <c r="BT421" s="173"/>
      <c r="BU421" s="173"/>
      <c r="BV421" s="173"/>
      <c r="BW421" s="173"/>
      <c r="BX421" s="173"/>
      <c r="BY421" s="173"/>
      <c r="BZ421" s="173"/>
      <c r="CA421" s="173"/>
      <c r="CB421" s="173"/>
      <c r="CC421" s="173"/>
      <c r="CD421" s="173"/>
      <c r="CE421" s="173"/>
      <c r="CF421" s="173"/>
      <c r="CG421" s="173"/>
      <c r="CH421" s="173"/>
      <c r="CI421" s="173"/>
      <c r="CJ421" s="173"/>
      <c r="CK421" s="173"/>
      <c r="CL421" s="173"/>
      <c r="CM421" s="173"/>
      <c r="CN421" s="173"/>
      <c r="CO421" s="173"/>
      <c r="CP421" s="173"/>
      <c r="CQ421" s="173"/>
      <c r="CR421" s="173"/>
      <c r="CS421" s="173"/>
    </row>
    <row r="422" hidden="1">
      <c r="A422" s="179" t="s">
        <v>267</v>
      </c>
      <c r="B422" s="179" t="s">
        <v>2189</v>
      </c>
      <c r="C422" s="38" t="s">
        <v>2190</v>
      </c>
      <c r="D422" s="70" t="s">
        <v>2191</v>
      </c>
      <c r="E422" s="173"/>
      <c r="F422" s="168"/>
      <c r="G422" s="168"/>
      <c r="H422" s="168" t="s">
        <v>25</v>
      </c>
      <c r="I422" s="168" t="s">
        <v>25</v>
      </c>
      <c r="J422" s="168" t="s">
        <v>25</v>
      </c>
      <c r="K422" s="163" t="str">
        <f>VLOOKUP(C422,'Term Reference Guide'!$C:$C,1,false)</f>
        <v>GENEPIO:0101007</v>
      </c>
      <c r="L422" s="173"/>
      <c r="M422" s="173"/>
      <c r="N422" s="173"/>
      <c r="O422" s="173"/>
      <c r="P422" s="173"/>
      <c r="Q422" s="173"/>
      <c r="R422" s="173"/>
      <c r="S422" s="173"/>
      <c r="T422" s="173"/>
      <c r="U422" s="173"/>
      <c r="V422" s="173"/>
      <c r="W422" s="173"/>
      <c r="X422" s="173"/>
      <c r="Y422" s="173"/>
      <c r="Z422" s="173"/>
      <c r="AA422" s="173"/>
      <c r="AB422" s="173"/>
      <c r="AC422" s="173"/>
      <c r="AD422" s="173"/>
      <c r="AE422" s="173"/>
      <c r="AF422" s="173"/>
      <c r="AG422" s="173"/>
      <c r="AH422" s="173"/>
      <c r="AI422" s="173"/>
      <c r="AJ422" s="173"/>
      <c r="AK422" s="173"/>
      <c r="AL422" s="173"/>
      <c r="AM422" s="173"/>
      <c r="AN422" s="173"/>
      <c r="AO422" s="173"/>
      <c r="AP422" s="173"/>
      <c r="AQ422" s="173"/>
      <c r="AR422" s="173"/>
      <c r="AS422" s="173"/>
      <c r="AT422" s="173"/>
      <c r="AU422" s="173"/>
      <c r="AV422" s="173"/>
      <c r="AW422" s="173"/>
      <c r="AX422" s="173"/>
      <c r="AY422" s="173"/>
      <c r="AZ422" s="173"/>
      <c r="BA422" s="173"/>
      <c r="BB422" s="173"/>
      <c r="BC422" s="173"/>
      <c r="BD422" s="173"/>
      <c r="BE422" s="173"/>
      <c r="BF422" s="173"/>
      <c r="BG422" s="173"/>
      <c r="BH422" s="173"/>
      <c r="BI422" s="173"/>
      <c r="BJ422" s="173"/>
      <c r="BK422" s="173"/>
      <c r="BL422" s="173"/>
      <c r="BM422" s="173"/>
      <c r="BN422" s="173"/>
      <c r="BO422" s="173"/>
      <c r="BP422" s="173"/>
      <c r="BQ422" s="173"/>
      <c r="BR422" s="173"/>
      <c r="BS422" s="173"/>
      <c r="BT422" s="173"/>
      <c r="BU422" s="173"/>
      <c r="BV422" s="173"/>
      <c r="BW422" s="173"/>
      <c r="BX422" s="173"/>
      <c r="BY422" s="173"/>
      <c r="BZ422" s="173"/>
      <c r="CA422" s="173"/>
      <c r="CB422" s="173"/>
      <c r="CC422" s="173"/>
      <c r="CD422" s="173"/>
      <c r="CE422" s="173"/>
      <c r="CF422" s="173"/>
      <c r="CG422" s="173"/>
      <c r="CH422" s="173"/>
      <c r="CI422" s="173"/>
      <c r="CJ422" s="173"/>
      <c r="CK422" s="173"/>
      <c r="CL422" s="173"/>
      <c r="CM422" s="173"/>
      <c r="CN422" s="173"/>
      <c r="CO422" s="173"/>
      <c r="CP422" s="173"/>
      <c r="CQ422" s="173"/>
      <c r="CR422" s="173"/>
      <c r="CS422" s="173"/>
    </row>
    <row r="423" hidden="1">
      <c r="A423" s="179" t="s">
        <v>267</v>
      </c>
      <c r="B423" s="179" t="s">
        <v>2192</v>
      </c>
      <c r="C423" s="179" t="s">
        <v>2193</v>
      </c>
      <c r="D423" s="70" t="s">
        <v>2194</v>
      </c>
      <c r="E423" s="173"/>
      <c r="F423" s="168"/>
      <c r="G423" s="168"/>
      <c r="H423" s="168" t="s">
        <v>25</v>
      </c>
      <c r="I423" s="168" t="s">
        <v>25</v>
      </c>
      <c r="J423" s="168" t="s">
        <v>25</v>
      </c>
      <c r="K423" s="163" t="str">
        <f>VLOOKUP(C423,'Term Reference Guide'!$C:$C,1,false)</f>
        <v>NCIT:C149895</v>
      </c>
      <c r="L423" s="173"/>
      <c r="M423" s="173"/>
      <c r="N423" s="173"/>
      <c r="O423" s="173"/>
      <c r="P423" s="173"/>
      <c r="Q423" s="173"/>
      <c r="R423" s="173"/>
      <c r="S423" s="173"/>
      <c r="T423" s="173"/>
      <c r="U423" s="173"/>
      <c r="V423" s="173"/>
      <c r="W423" s="173"/>
      <c r="X423" s="173"/>
      <c r="Y423" s="173"/>
      <c r="Z423" s="173"/>
      <c r="AA423" s="173"/>
      <c r="AB423" s="173"/>
      <c r="AC423" s="173"/>
      <c r="AD423" s="173"/>
      <c r="AE423" s="173"/>
      <c r="AF423" s="173"/>
      <c r="AG423" s="173"/>
      <c r="AH423" s="173"/>
      <c r="AI423" s="173"/>
      <c r="AJ423" s="173"/>
      <c r="AK423" s="173"/>
      <c r="AL423" s="173"/>
      <c r="AM423" s="173"/>
      <c r="AN423" s="173"/>
      <c r="AO423" s="173"/>
      <c r="AP423" s="173"/>
      <c r="AQ423" s="173"/>
      <c r="AR423" s="173"/>
      <c r="AS423" s="173"/>
      <c r="AT423" s="173"/>
      <c r="AU423" s="173"/>
      <c r="AV423" s="173"/>
      <c r="AW423" s="173"/>
      <c r="AX423" s="173"/>
      <c r="AY423" s="173"/>
      <c r="AZ423" s="173"/>
      <c r="BA423" s="173"/>
      <c r="BB423" s="173"/>
      <c r="BC423" s="173"/>
      <c r="BD423" s="173"/>
      <c r="BE423" s="173"/>
      <c r="BF423" s="173"/>
      <c r="BG423" s="173"/>
      <c r="BH423" s="173"/>
      <c r="BI423" s="173"/>
      <c r="BJ423" s="173"/>
      <c r="BK423" s="173"/>
      <c r="BL423" s="173"/>
      <c r="BM423" s="173"/>
      <c r="BN423" s="173"/>
      <c r="BO423" s="173"/>
      <c r="BP423" s="173"/>
      <c r="BQ423" s="173"/>
      <c r="BR423" s="173"/>
      <c r="BS423" s="173"/>
      <c r="BT423" s="173"/>
      <c r="BU423" s="173"/>
      <c r="BV423" s="173"/>
      <c r="BW423" s="173"/>
      <c r="BX423" s="173"/>
      <c r="BY423" s="173"/>
      <c r="BZ423" s="173"/>
      <c r="CA423" s="173"/>
      <c r="CB423" s="173"/>
      <c r="CC423" s="173"/>
      <c r="CD423" s="173"/>
      <c r="CE423" s="173"/>
      <c r="CF423" s="173"/>
      <c r="CG423" s="173"/>
      <c r="CH423" s="173"/>
      <c r="CI423" s="173"/>
      <c r="CJ423" s="173"/>
      <c r="CK423" s="173"/>
      <c r="CL423" s="173"/>
      <c r="CM423" s="173"/>
      <c r="CN423" s="173"/>
      <c r="CO423" s="173"/>
      <c r="CP423" s="173"/>
      <c r="CQ423" s="173"/>
      <c r="CR423" s="173"/>
      <c r="CS423" s="173"/>
    </row>
    <row r="424">
      <c r="A424" s="179" t="s">
        <v>267</v>
      </c>
      <c r="B424" s="179" t="s">
        <v>2195</v>
      </c>
      <c r="C424" s="179" t="s">
        <v>2196</v>
      </c>
      <c r="D424" s="70" t="s">
        <v>2197</v>
      </c>
      <c r="E424" s="173"/>
      <c r="F424" s="168"/>
      <c r="G424" s="168"/>
      <c r="H424" s="168" t="s">
        <v>25</v>
      </c>
      <c r="I424" s="168" t="s">
        <v>25</v>
      </c>
      <c r="J424" s="168" t="s">
        <v>25</v>
      </c>
      <c r="K424" s="163" t="str">
        <f>VLOOKUP(C424,'Term Reference Guide'!$C:$C,1,false)</f>
        <v>#N/A</v>
      </c>
      <c r="L424" s="173"/>
      <c r="M424" s="173"/>
      <c r="N424" s="173"/>
      <c r="O424" s="173"/>
      <c r="P424" s="173"/>
      <c r="Q424" s="173"/>
      <c r="R424" s="173"/>
      <c r="S424" s="173"/>
      <c r="T424" s="173"/>
      <c r="U424" s="173"/>
      <c r="V424" s="173"/>
      <c r="W424" s="173"/>
      <c r="X424" s="173"/>
      <c r="Y424" s="173"/>
      <c r="Z424" s="173"/>
      <c r="AA424" s="173"/>
      <c r="AB424" s="173"/>
      <c r="AC424" s="173"/>
      <c r="AD424" s="173"/>
      <c r="AE424" s="173"/>
      <c r="AF424" s="173"/>
      <c r="AG424" s="173"/>
      <c r="AH424" s="173"/>
      <c r="AI424" s="173"/>
      <c r="AJ424" s="173"/>
      <c r="AK424" s="173"/>
      <c r="AL424" s="173"/>
      <c r="AM424" s="173"/>
      <c r="AN424" s="173"/>
      <c r="AO424" s="173"/>
      <c r="AP424" s="173"/>
      <c r="AQ424" s="173"/>
      <c r="AR424" s="173"/>
      <c r="AS424" s="173"/>
      <c r="AT424" s="173"/>
      <c r="AU424" s="173"/>
      <c r="AV424" s="173"/>
      <c r="AW424" s="173"/>
      <c r="AX424" s="173"/>
      <c r="AY424" s="173"/>
      <c r="AZ424" s="173"/>
      <c r="BA424" s="173"/>
      <c r="BB424" s="173"/>
      <c r="BC424" s="173"/>
      <c r="BD424" s="173"/>
      <c r="BE424" s="173"/>
      <c r="BF424" s="173"/>
      <c r="BG424" s="173"/>
      <c r="BH424" s="173"/>
      <c r="BI424" s="173"/>
      <c r="BJ424" s="173"/>
      <c r="BK424" s="173"/>
      <c r="BL424" s="173"/>
      <c r="BM424" s="173"/>
      <c r="BN424" s="173"/>
      <c r="BO424" s="173"/>
      <c r="BP424" s="173"/>
      <c r="BQ424" s="173"/>
      <c r="BR424" s="173"/>
      <c r="BS424" s="173"/>
      <c r="BT424" s="173"/>
      <c r="BU424" s="173"/>
      <c r="BV424" s="173"/>
      <c r="BW424" s="173"/>
      <c r="BX424" s="173"/>
      <c r="BY424" s="173"/>
      <c r="BZ424" s="173"/>
      <c r="CA424" s="173"/>
      <c r="CB424" s="173"/>
      <c r="CC424" s="173"/>
      <c r="CD424" s="173"/>
      <c r="CE424" s="173"/>
      <c r="CF424" s="173"/>
      <c r="CG424" s="173"/>
      <c r="CH424" s="173"/>
      <c r="CI424" s="173"/>
      <c r="CJ424" s="173"/>
      <c r="CK424" s="173"/>
      <c r="CL424" s="173"/>
      <c r="CM424" s="173"/>
      <c r="CN424" s="173"/>
      <c r="CO424" s="173"/>
      <c r="CP424" s="173"/>
      <c r="CQ424" s="173"/>
      <c r="CR424" s="173"/>
      <c r="CS424" s="173"/>
    </row>
    <row r="425" hidden="1">
      <c r="A425" s="179" t="s">
        <v>267</v>
      </c>
      <c r="B425" s="179" t="s">
        <v>2198</v>
      </c>
      <c r="C425" s="40" t="s">
        <v>2199</v>
      </c>
      <c r="D425" s="70" t="s">
        <v>2200</v>
      </c>
      <c r="E425" s="173"/>
      <c r="F425" s="168"/>
      <c r="G425" s="168"/>
      <c r="H425" s="168" t="s">
        <v>25</v>
      </c>
      <c r="I425" s="168" t="s">
        <v>25</v>
      </c>
      <c r="J425" s="168" t="s">
        <v>25</v>
      </c>
      <c r="K425" s="163" t="str">
        <f>VLOOKUP(C425,'Term Reference Guide'!$C:$C,1,false)</f>
        <v>GENEPIO:0101008</v>
      </c>
      <c r="L425" s="173"/>
      <c r="M425" s="173"/>
      <c r="N425" s="173"/>
      <c r="O425" s="173"/>
      <c r="P425" s="173"/>
      <c r="Q425" s="173"/>
      <c r="R425" s="173"/>
      <c r="S425" s="173"/>
      <c r="T425" s="173"/>
      <c r="U425" s="173"/>
      <c r="V425" s="173"/>
      <c r="W425" s="173"/>
      <c r="X425" s="173"/>
      <c r="Y425" s="173"/>
      <c r="Z425" s="173"/>
      <c r="AA425" s="173"/>
      <c r="AB425" s="173"/>
      <c r="AC425" s="173"/>
      <c r="AD425" s="173"/>
      <c r="AE425" s="173"/>
      <c r="AF425" s="173"/>
      <c r="AG425" s="173"/>
      <c r="AH425" s="173"/>
      <c r="AI425" s="173"/>
      <c r="AJ425" s="173"/>
      <c r="AK425" s="173"/>
      <c r="AL425" s="173"/>
      <c r="AM425" s="173"/>
      <c r="AN425" s="173"/>
      <c r="AO425" s="173"/>
      <c r="AP425" s="173"/>
      <c r="AQ425" s="173"/>
      <c r="AR425" s="173"/>
      <c r="AS425" s="173"/>
      <c r="AT425" s="173"/>
      <c r="AU425" s="173"/>
      <c r="AV425" s="173"/>
      <c r="AW425" s="173"/>
      <c r="AX425" s="173"/>
      <c r="AY425" s="173"/>
      <c r="AZ425" s="173"/>
      <c r="BA425" s="173"/>
      <c r="BB425" s="173"/>
      <c r="BC425" s="173"/>
      <c r="BD425" s="173"/>
      <c r="BE425" s="173"/>
      <c r="BF425" s="173"/>
      <c r="BG425" s="173"/>
      <c r="BH425" s="173"/>
      <c r="BI425" s="173"/>
      <c r="BJ425" s="173"/>
      <c r="BK425" s="173"/>
      <c r="BL425" s="173"/>
      <c r="BM425" s="173"/>
      <c r="BN425" s="173"/>
      <c r="BO425" s="173"/>
      <c r="BP425" s="173"/>
      <c r="BQ425" s="173"/>
      <c r="BR425" s="173"/>
      <c r="BS425" s="173"/>
      <c r="BT425" s="173"/>
      <c r="BU425" s="173"/>
      <c r="BV425" s="173"/>
      <c r="BW425" s="173"/>
      <c r="BX425" s="173"/>
      <c r="BY425" s="173"/>
      <c r="BZ425" s="173"/>
      <c r="CA425" s="173"/>
      <c r="CB425" s="173"/>
      <c r="CC425" s="173"/>
      <c r="CD425" s="173"/>
      <c r="CE425" s="173"/>
      <c r="CF425" s="173"/>
      <c r="CG425" s="173"/>
      <c r="CH425" s="173"/>
      <c r="CI425" s="173"/>
      <c r="CJ425" s="173"/>
      <c r="CK425" s="173"/>
      <c r="CL425" s="173"/>
      <c r="CM425" s="173"/>
      <c r="CN425" s="173"/>
      <c r="CO425" s="173"/>
      <c r="CP425" s="173"/>
      <c r="CQ425" s="173"/>
      <c r="CR425" s="173"/>
      <c r="CS425" s="173"/>
    </row>
    <row r="426" hidden="1">
      <c r="A426" s="179" t="s">
        <v>267</v>
      </c>
      <c r="B426" s="179" t="s">
        <v>2201</v>
      </c>
      <c r="C426" s="40" t="s">
        <v>2202</v>
      </c>
      <c r="D426" s="70" t="s">
        <v>2203</v>
      </c>
      <c r="E426" s="173"/>
      <c r="F426" s="168"/>
      <c r="G426" s="168"/>
      <c r="H426" s="168" t="s">
        <v>25</v>
      </c>
      <c r="I426" s="168" t="s">
        <v>25</v>
      </c>
      <c r="J426" s="168" t="s">
        <v>25</v>
      </c>
      <c r="K426" s="163" t="str">
        <f>VLOOKUP(C426,'Term Reference Guide'!$C:$C,1,false)</f>
        <v>GENEPIO:0101009</v>
      </c>
      <c r="L426" s="173"/>
      <c r="M426" s="173"/>
      <c r="N426" s="173"/>
      <c r="O426" s="173"/>
      <c r="P426" s="173"/>
      <c r="Q426" s="173"/>
      <c r="R426" s="173"/>
      <c r="S426" s="173"/>
      <c r="T426" s="173"/>
      <c r="U426" s="173"/>
      <c r="V426" s="173"/>
      <c r="W426" s="173"/>
      <c r="X426" s="173"/>
      <c r="Y426" s="173"/>
      <c r="Z426" s="173"/>
      <c r="AA426" s="173"/>
      <c r="AB426" s="173"/>
      <c r="AC426" s="173"/>
      <c r="AD426" s="173"/>
      <c r="AE426" s="173"/>
      <c r="AF426" s="173"/>
      <c r="AG426" s="173"/>
      <c r="AH426" s="173"/>
      <c r="AI426" s="173"/>
      <c r="AJ426" s="173"/>
      <c r="AK426" s="173"/>
      <c r="AL426" s="173"/>
      <c r="AM426" s="173"/>
      <c r="AN426" s="173"/>
      <c r="AO426" s="173"/>
      <c r="AP426" s="173"/>
      <c r="AQ426" s="173"/>
      <c r="AR426" s="173"/>
      <c r="AS426" s="173"/>
      <c r="AT426" s="173"/>
      <c r="AU426" s="173"/>
      <c r="AV426" s="173"/>
      <c r="AW426" s="173"/>
      <c r="AX426" s="173"/>
      <c r="AY426" s="173"/>
      <c r="AZ426" s="173"/>
      <c r="BA426" s="173"/>
      <c r="BB426" s="173"/>
      <c r="BC426" s="173"/>
      <c r="BD426" s="173"/>
      <c r="BE426" s="173"/>
      <c r="BF426" s="173"/>
      <c r="BG426" s="173"/>
      <c r="BH426" s="173"/>
      <c r="BI426" s="173"/>
      <c r="BJ426" s="173"/>
      <c r="BK426" s="173"/>
      <c r="BL426" s="173"/>
      <c r="BM426" s="173"/>
      <c r="BN426" s="173"/>
      <c r="BO426" s="173"/>
      <c r="BP426" s="173"/>
      <c r="BQ426" s="173"/>
      <c r="BR426" s="173"/>
      <c r="BS426" s="173"/>
      <c r="BT426" s="173"/>
      <c r="BU426" s="173"/>
      <c r="BV426" s="173"/>
      <c r="BW426" s="173"/>
      <c r="BX426" s="173"/>
      <c r="BY426" s="173"/>
      <c r="BZ426" s="173"/>
      <c r="CA426" s="173"/>
      <c r="CB426" s="173"/>
      <c r="CC426" s="173"/>
      <c r="CD426" s="173"/>
      <c r="CE426" s="173"/>
      <c r="CF426" s="173"/>
      <c r="CG426" s="173"/>
      <c r="CH426" s="173"/>
      <c r="CI426" s="173"/>
      <c r="CJ426" s="173"/>
      <c r="CK426" s="173"/>
      <c r="CL426" s="173"/>
      <c r="CM426" s="173"/>
      <c r="CN426" s="173"/>
      <c r="CO426" s="173"/>
      <c r="CP426" s="173"/>
      <c r="CQ426" s="173"/>
      <c r="CR426" s="173"/>
      <c r="CS426" s="173"/>
    </row>
    <row r="427">
      <c r="A427" s="173"/>
      <c r="B427" s="179"/>
      <c r="C427" s="173"/>
      <c r="D427" s="141"/>
      <c r="E427" s="173"/>
      <c r="F427" s="173"/>
      <c r="G427" s="173"/>
      <c r="H427" s="173"/>
      <c r="I427" s="173"/>
      <c r="J427" s="141"/>
      <c r="K427" s="163" t="str">
        <f>VLOOKUP(C427,'Term Reference Guide'!$C:$C,1,false)</f>
        <v>#N/A</v>
      </c>
      <c r="L427" s="173"/>
      <c r="M427" s="173"/>
      <c r="N427" s="173"/>
      <c r="O427" s="173"/>
      <c r="P427" s="173"/>
      <c r="Q427" s="173"/>
      <c r="R427" s="173"/>
      <c r="S427" s="173"/>
      <c r="T427" s="173"/>
      <c r="U427" s="173"/>
      <c r="V427" s="173"/>
      <c r="W427" s="173"/>
      <c r="X427" s="173"/>
      <c r="Y427" s="173"/>
      <c r="Z427" s="173"/>
      <c r="AA427" s="173"/>
      <c r="AB427" s="173"/>
      <c r="AC427" s="173"/>
      <c r="AD427" s="173"/>
      <c r="AE427" s="173"/>
      <c r="AF427" s="173"/>
      <c r="AG427" s="173"/>
      <c r="AH427" s="173"/>
      <c r="AI427" s="173"/>
      <c r="AJ427" s="173"/>
      <c r="AK427" s="173"/>
      <c r="AL427" s="173"/>
      <c r="AM427" s="173"/>
      <c r="AN427" s="173"/>
      <c r="AO427" s="173"/>
      <c r="AP427" s="173"/>
      <c r="AQ427" s="173"/>
      <c r="AR427" s="173"/>
      <c r="AS427" s="173"/>
      <c r="AT427" s="173"/>
      <c r="AU427" s="173"/>
      <c r="AV427" s="173"/>
      <c r="AW427" s="173"/>
      <c r="AX427" s="173"/>
      <c r="AY427" s="173"/>
      <c r="AZ427" s="173"/>
      <c r="BA427" s="173"/>
      <c r="BB427" s="173"/>
      <c r="BC427" s="173"/>
      <c r="BD427" s="173"/>
      <c r="BE427" s="173"/>
      <c r="BF427" s="173"/>
      <c r="BG427" s="173"/>
      <c r="BH427" s="173"/>
      <c r="BI427" s="173"/>
      <c r="BJ427" s="173"/>
      <c r="BK427" s="173"/>
      <c r="BL427" s="173"/>
      <c r="BM427" s="173"/>
      <c r="BN427" s="173"/>
      <c r="BO427" s="173"/>
      <c r="BP427" s="173"/>
      <c r="BQ427" s="173"/>
      <c r="BR427" s="173"/>
      <c r="BS427" s="173"/>
      <c r="BT427" s="173"/>
      <c r="BU427" s="173"/>
      <c r="BV427" s="173"/>
      <c r="BW427" s="173"/>
      <c r="BX427" s="173"/>
      <c r="BY427" s="173"/>
      <c r="BZ427" s="173"/>
      <c r="CA427" s="173"/>
      <c r="CB427" s="173"/>
      <c r="CC427" s="173"/>
      <c r="CD427" s="173"/>
      <c r="CE427" s="173"/>
      <c r="CF427" s="173"/>
      <c r="CG427" s="173"/>
      <c r="CH427" s="173"/>
      <c r="CI427" s="173"/>
      <c r="CJ427" s="173"/>
      <c r="CK427" s="173"/>
      <c r="CL427" s="173"/>
      <c r="CM427" s="173"/>
      <c r="CN427" s="173"/>
      <c r="CO427" s="173"/>
      <c r="CP427" s="173"/>
      <c r="CQ427" s="173"/>
      <c r="CR427" s="173"/>
      <c r="CS427" s="173"/>
    </row>
    <row r="428">
      <c r="A428" s="170" t="s">
        <v>272</v>
      </c>
      <c r="B428" s="156"/>
      <c r="C428" s="156"/>
      <c r="D428" s="139"/>
      <c r="E428" s="156"/>
      <c r="F428" s="187"/>
      <c r="G428" s="187"/>
      <c r="H428" s="188"/>
      <c r="I428" s="188"/>
      <c r="J428" s="189"/>
      <c r="K428" s="163" t="str">
        <f>VLOOKUP(C428,'Term Reference Guide'!$C:$C,1,false)</f>
        <v>#N/A</v>
      </c>
      <c r="L428" s="163"/>
      <c r="M428" s="163"/>
      <c r="N428" s="163"/>
      <c r="O428" s="163"/>
      <c r="P428" s="163"/>
      <c r="Q428" s="163"/>
      <c r="R428" s="163"/>
      <c r="S428" s="163"/>
      <c r="T428" s="163"/>
      <c r="U428" s="163"/>
      <c r="V428" s="163"/>
      <c r="W428" s="163"/>
      <c r="X428" s="163"/>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c r="BP428" s="41"/>
      <c r="BQ428" s="41"/>
      <c r="BR428" s="41"/>
      <c r="BS428" s="41"/>
      <c r="BT428" s="41"/>
      <c r="BU428" s="41"/>
      <c r="BV428" s="41"/>
      <c r="BW428" s="41"/>
      <c r="BX428" s="41"/>
      <c r="BY428" s="41"/>
      <c r="BZ428" s="41"/>
      <c r="CA428" s="41"/>
      <c r="CB428" s="41"/>
      <c r="CC428" s="41"/>
      <c r="CD428" s="41"/>
      <c r="CE428" s="41"/>
      <c r="CF428" s="41"/>
      <c r="CG428" s="41"/>
      <c r="CH428" s="41"/>
      <c r="CI428" s="41"/>
      <c r="CJ428" s="41"/>
      <c r="CK428" s="41"/>
      <c r="CL428" s="41"/>
      <c r="CM428" s="41"/>
      <c r="CN428" s="41"/>
      <c r="CO428" s="41"/>
      <c r="CP428" s="41"/>
      <c r="CQ428" s="41"/>
      <c r="CR428" s="41"/>
      <c r="CS428" s="41"/>
    </row>
    <row r="429" hidden="1">
      <c r="A429" s="179" t="s">
        <v>272</v>
      </c>
      <c r="B429" s="179" t="s">
        <v>2204</v>
      </c>
      <c r="C429" s="179" t="s">
        <v>2205</v>
      </c>
      <c r="D429" s="70" t="s">
        <v>2206</v>
      </c>
      <c r="E429" s="173"/>
      <c r="F429" s="168"/>
      <c r="G429" s="168"/>
      <c r="H429" s="168" t="s">
        <v>25</v>
      </c>
      <c r="I429" s="168" t="s">
        <v>25</v>
      </c>
      <c r="J429" s="168" t="s">
        <v>25</v>
      </c>
      <c r="K429" s="163" t="str">
        <f>VLOOKUP(C429,'Term Reference Guide'!$C:$C,1,false)</f>
        <v>ENVO:03501453</v>
      </c>
      <c r="L429" s="173"/>
      <c r="M429" s="173"/>
      <c r="N429" s="173"/>
      <c r="O429" s="173"/>
      <c r="P429" s="173"/>
      <c r="Q429" s="173"/>
      <c r="R429" s="173"/>
      <c r="S429" s="173"/>
      <c r="T429" s="173"/>
      <c r="U429" s="173"/>
      <c r="V429" s="173"/>
      <c r="W429" s="173"/>
      <c r="X429" s="173"/>
      <c r="Y429" s="173"/>
      <c r="Z429" s="173"/>
      <c r="AA429" s="173"/>
      <c r="AB429" s="173"/>
      <c r="AC429" s="173"/>
      <c r="AD429" s="173"/>
      <c r="AE429" s="173"/>
      <c r="AF429" s="173"/>
      <c r="AG429" s="173"/>
      <c r="AH429" s="173"/>
      <c r="AI429" s="173"/>
      <c r="AJ429" s="173"/>
      <c r="AK429" s="173"/>
      <c r="AL429" s="173"/>
      <c r="AM429" s="173"/>
      <c r="AN429" s="173"/>
      <c r="AO429" s="173"/>
      <c r="AP429" s="173"/>
      <c r="AQ429" s="173"/>
      <c r="AR429" s="173"/>
      <c r="AS429" s="173"/>
      <c r="AT429" s="173"/>
      <c r="AU429" s="173"/>
      <c r="AV429" s="173"/>
      <c r="AW429" s="173"/>
      <c r="AX429" s="173"/>
      <c r="AY429" s="173"/>
      <c r="AZ429" s="173"/>
      <c r="BA429" s="173"/>
      <c r="BB429" s="173"/>
      <c r="BC429" s="173"/>
      <c r="BD429" s="173"/>
      <c r="BE429" s="173"/>
      <c r="BF429" s="173"/>
      <c r="BG429" s="173"/>
      <c r="BH429" s="173"/>
      <c r="BI429" s="173"/>
      <c r="BJ429" s="173"/>
      <c r="BK429" s="173"/>
      <c r="BL429" s="173"/>
      <c r="BM429" s="173"/>
      <c r="BN429" s="173"/>
      <c r="BO429" s="173"/>
      <c r="BP429" s="173"/>
      <c r="BQ429" s="173"/>
      <c r="BR429" s="173"/>
      <c r="BS429" s="173"/>
      <c r="BT429" s="173"/>
      <c r="BU429" s="173"/>
      <c r="BV429" s="173"/>
      <c r="BW429" s="173"/>
      <c r="BX429" s="173"/>
      <c r="BY429" s="173"/>
      <c r="BZ429" s="173"/>
      <c r="CA429" s="173"/>
      <c r="CB429" s="173"/>
      <c r="CC429" s="173"/>
      <c r="CD429" s="173"/>
      <c r="CE429" s="173"/>
      <c r="CF429" s="173"/>
      <c r="CG429" s="173"/>
      <c r="CH429" s="173"/>
      <c r="CI429" s="173"/>
      <c r="CJ429" s="173"/>
      <c r="CK429" s="173"/>
      <c r="CL429" s="173"/>
      <c r="CM429" s="173"/>
      <c r="CN429" s="173"/>
      <c r="CO429" s="173"/>
      <c r="CP429" s="173"/>
      <c r="CQ429" s="173"/>
      <c r="CR429" s="173"/>
      <c r="CS429" s="173"/>
    </row>
    <row r="430" hidden="1">
      <c r="A430" s="179" t="s">
        <v>272</v>
      </c>
      <c r="B430" s="179" t="s">
        <v>2207</v>
      </c>
      <c r="C430" s="179" t="s">
        <v>2208</v>
      </c>
      <c r="D430" s="70" t="s">
        <v>2209</v>
      </c>
      <c r="E430" s="173"/>
      <c r="F430" s="168"/>
      <c r="G430" s="168"/>
      <c r="H430" s="168" t="s">
        <v>25</v>
      </c>
      <c r="I430" s="168" t="s">
        <v>25</v>
      </c>
      <c r="J430" s="168" t="s">
        <v>25</v>
      </c>
      <c r="K430" s="163" t="str">
        <f>VLOOKUP(C430,'Term Reference Guide'!$C:$C,1,false)</f>
        <v>ENVO:03501454</v>
      </c>
      <c r="L430" s="173"/>
      <c r="M430" s="173"/>
      <c r="N430" s="173"/>
      <c r="O430" s="173"/>
      <c r="P430" s="173"/>
      <c r="Q430" s="173"/>
      <c r="R430" s="173"/>
      <c r="S430" s="173"/>
      <c r="T430" s="173"/>
      <c r="U430" s="173"/>
      <c r="V430" s="173"/>
      <c r="W430" s="173"/>
      <c r="X430" s="173"/>
      <c r="Y430" s="173"/>
      <c r="Z430" s="173"/>
      <c r="AA430" s="173"/>
      <c r="AB430" s="173"/>
      <c r="AC430" s="173"/>
      <c r="AD430" s="173"/>
      <c r="AE430" s="173"/>
      <c r="AF430" s="173"/>
      <c r="AG430" s="173"/>
      <c r="AH430" s="173"/>
      <c r="AI430" s="173"/>
      <c r="AJ430" s="173"/>
      <c r="AK430" s="173"/>
      <c r="AL430" s="173"/>
      <c r="AM430" s="173"/>
      <c r="AN430" s="173"/>
      <c r="AO430" s="173"/>
      <c r="AP430" s="173"/>
      <c r="AQ430" s="173"/>
      <c r="AR430" s="173"/>
      <c r="AS430" s="173"/>
      <c r="AT430" s="173"/>
      <c r="AU430" s="173"/>
      <c r="AV430" s="173"/>
      <c r="AW430" s="173"/>
      <c r="AX430" s="173"/>
      <c r="AY430" s="173"/>
      <c r="AZ430" s="173"/>
      <c r="BA430" s="173"/>
      <c r="BB430" s="173"/>
      <c r="BC430" s="173"/>
      <c r="BD430" s="173"/>
      <c r="BE430" s="173"/>
      <c r="BF430" s="173"/>
      <c r="BG430" s="173"/>
      <c r="BH430" s="173"/>
      <c r="BI430" s="173"/>
      <c r="BJ430" s="173"/>
      <c r="BK430" s="173"/>
      <c r="BL430" s="173"/>
      <c r="BM430" s="173"/>
      <c r="BN430" s="173"/>
      <c r="BO430" s="173"/>
      <c r="BP430" s="173"/>
      <c r="BQ430" s="173"/>
      <c r="BR430" s="173"/>
      <c r="BS430" s="173"/>
      <c r="BT430" s="173"/>
      <c r="BU430" s="173"/>
      <c r="BV430" s="173"/>
      <c r="BW430" s="173"/>
      <c r="BX430" s="173"/>
      <c r="BY430" s="173"/>
      <c r="BZ430" s="173"/>
      <c r="CA430" s="173"/>
      <c r="CB430" s="173"/>
      <c r="CC430" s="173"/>
      <c r="CD430" s="173"/>
      <c r="CE430" s="173"/>
      <c r="CF430" s="173"/>
      <c r="CG430" s="173"/>
      <c r="CH430" s="173"/>
      <c r="CI430" s="173"/>
      <c r="CJ430" s="173"/>
      <c r="CK430" s="173"/>
      <c r="CL430" s="173"/>
      <c r="CM430" s="173"/>
      <c r="CN430" s="173"/>
      <c r="CO430" s="173"/>
      <c r="CP430" s="173"/>
      <c r="CQ430" s="173"/>
      <c r="CR430" s="173"/>
      <c r="CS430" s="173"/>
    </row>
    <row r="431" hidden="1">
      <c r="A431" s="179" t="s">
        <v>272</v>
      </c>
      <c r="B431" s="179" t="s">
        <v>2123</v>
      </c>
      <c r="C431" s="179" t="s">
        <v>2124</v>
      </c>
      <c r="D431" s="70" t="s">
        <v>2210</v>
      </c>
      <c r="E431" s="173"/>
      <c r="F431" s="168"/>
      <c r="G431" s="168"/>
      <c r="H431" s="168" t="s">
        <v>25</v>
      </c>
      <c r="I431" s="168" t="s">
        <v>25</v>
      </c>
      <c r="J431" s="168" t="s">
        <v>25</v>
      </c>
      <c r="K431" s="163" t="str">
        <f>VLOOKUP(C431,'Term Reference Guide'!$C:$C,1,false)</f>
        <v>ENVO:03600076</v>
      </c>
      <c r="L431" s="173"/>
      <c r="M431" s="173"/>
      <c r="N431" s="173"/>
      <c r="O431" s="173"/>
      <c r="P431" s="173"/>
      <c r="Q431" s="173"/>
      <c r="R431" s="173"/>
      <c r="S431" s="173"/>
      <c r="T431" s="173"/>
      <c r="U431" s="173"/>
      <c r="V431" s="173"/>
      <c r="W431" s="173"/>
      <c r="X431" s="173"/>
      <c r="Y431" s="173"/>
      <c r="Z431" s="173"/>
      <c r="AA431" s="173"/>
      <c r="AB431" s="173"/>
      <c r="AC431" s="173"/>
      <c r="AD431" s="173"/>
      <c r="AE431" s="173"/>
      <c r="AF431" s="173"/>
      <c r="AG431" s="173"/>
      <c r="AH431" s="173"/>
      <c r="AI431" s="173"/>
      <c r="AJ431" s="173"/>
      <c r="AK431" s="173"/>
      <c r="AL431" s="173"/>
      <c r="AM431" s="173"/>
      <c r="AN431" s="173"/>
      <c r="AO431" s="173"/>
      <c r="AP431" s="173"/>
      <c r="AQ431" s="173"/>
      <c r="AR431" s="173"/>
      <c r="AS431" s="173"/>
      <c r="AT431" s="173"/>
      <c r="AU431" s="173"/>
      <c r="AV431" s="173"/>
      <c r="AW431" s="173"/>
      <c r="AX431" s="173"/>
      <c r="AY431" s="173"/>
      <c r="AZ431" s="173"/>
      <c r="BA431" s="173"/>
      <c r="BB431" s="173"/>
      <c r="BC431" s="173"/>
      <c r="BD431" s="173"/>
      <c r="BE431" s="173"/>
      <c r="BF431" s="173"/>
      <c r="BG431" s="173"/>
      <c r="BH431" s="173"/>
      <c r="BI431" s="173"/>
      <c r="BJ431" s="173"/>
      <c r="BK431" s="173"/>
      <c r="BL431" s="173"/>
      <c r="BM431" s="173"/>
      <c r="BN431" s="173"/>
      <c r="BO431" s="173"/>
      <c r="BP431" s="173"/>
      <c r="BQ431" s="173"/>
      <c r="BR431" s="173"/>
      <c r="BS431" s="173"/>
      <c r="BT431" s="173"/>
      <c r="BU431" s="173"/>
      <c r="BV431" s="173"/>
      <c r="BW431" s="173"/>
      <c r="BX431" s="173"/>
      <c r="BY431" s="173"/>
      <c r="BZ431" s="173"/>
      <c r="CA431" s="173"/>
      <c r="CB431" s="173"/>
      <c r="CC431" s="173"/>
      <c r="CD431" s="173"/>
      <c r="CE431" s="173"/>
      <c r="CF431" s="173"/>
      <c r="CG431" s="173"/>
      <c r="CH431" s="173"/>
      <c r="CI431" s="173"/>
      <c r="CJ431" s="173"/>
      <c r="CK431" s="173"/>
      <c r="CL431" s="173"/>
      <c r="CM431" s="173"/>
      <c r="CN431" s="173"/>
      <c r="CO431" s="173"/>
      <c r="CP431" s="173"/>
      <c r="CQ431" s="173"/>
      <c r="CR431" s="173"/>
      <c r="CS431" s="173"/>
    </row>
    <row r="432" hidden="1">
      <c r="A432" s="179" t="s">
        <v>272</v>
      </c>
      <c r="B432" s="179" t="s">
        <v>2211</v>
      </c>
      <c r="C432" s="179" t="s">
        <v>2212</v>
      </c>
      <c r="D432" s="70" t="s">
        <v>2213</v>
      </c>
      <c r="E432" s="173"/>
      <c r="F432" s="168"/>
      <c r="G432" s="168"/>
      <c r="H432" s="168" t="s">
        <v>25</v>
      </c>
      <c r="I432" s="168" t="s">
        <v>25</v>
      </c>
      <c r="J432" s="168" t="s">
        <v>25</v>
      </c>
      <c r="K432" s="163" t="str">
        <f>VLOOKUP(C432,'Term Reference Guide'!$C:$C,1,false)</f>
        <v>ENVO:01000519</v>
      </c>
      <c r="L432" s="173"/>
      <c r="M432" s="173"/>
      <c r="N432" s="173"/>
      <c r="O432" s="173"/>
      <c r="P432" s="173"/>
      <c r="Q432" s="173"/>
      <c r="R432" s="173"/>
      <c r="S432" s="173"/>
      <c r="T432" s="173"/>
      <c r="U432" s="173"/>
      <c r="V432" s="173"/>
      <c r="W432" s="173"/>
      <c r="X432" s="173"/>
      <c r="Y432" s="173"/>
      <c r="Z432" s="173"/>
      <c r="AA432" s="173"/>
      <c r="AB432" s="173"/>
      <c r="AC432" s="173"/>
      <c r="AD432" s="173"/>
      <c r="AE432" s="173"/>
      <c r="AF432" s="173"/>
      <c r="AG432" s="173"/>
      <c r="AH432" s="173"/>
      <c r="AI432" s="173"/>
      <c r="AJ432" s="173"/>
      <c r="AK432" s="173"/>
      <c r="AL432" s="173"/>
      <c r="AM432" s="173"/>
      <c r="AN432" s="173"/>
      <c r="AO432" s="173"/>
      <c r="AP432" s="173"/>
      <c r="AQ432" s="173"/>
      <c r="AR432" s="173"/>
      <c r="AS432" s="173"/>
      <c r="AT432" s="173"/>
      <c r="AU432" s="173"/>
      <c r="AV432" s="173"/>
      <c r="AW432" s="173"/>
      <c r="AX432" s="173"/>
      <c r="AY432" s="173"/>
      <c r="AZ432" s="173"/>
      <c r="BA432" s="173"/>
      <c r="BB432" s="173"/>
      <c r="BC432" s="173"/>
      <c r="BD432" s="173"/>
      <c r="BE432" s="173"/>
      <c r="BF432" s="173"/>
      <c r="BG432" s="173"/>
      <c r="BH432" s="173"/>
      <c r="BI432" s="173"/>
      <c r="BJ432" s="173"/>
      <c r="BK432" s="173"/>
      <c r="BL432" s="173"/>
      <c r="BM432" s="173"/>
      <c r="BN432" s="173"/>
      <c r="BO432" s="173"/>
      <c r="BP432" s="173"/>
      <c r="BQ432" s="173"/>
      <c r="BR432" s="173"/>
      <c r="BS432" s="173"/>
      <c r="BT432" s="173"/>
      <c r="BU432" s="173"/>
      <c r="BV432" s="173"/>
      <c r="BW432" s="173"/>
      <c r="BX432" s="173"/>
      <c r="BY432" s="173"/>
      <c r="BZ432" s="173"/>
      <c r="CA432" s="173"/>
      <c r="CB432" s="173"/>
      <c r="CC432" s="173"/>
      <c r="CD432" s="173"/>
      <c r="CE432" s="173"/>
      <c r="CF432" s="173"/>
      <c r="CG432" s="173"/>
      <c r="CH432" s="173"/>
      <c r="CI432" s="173"/>
      <c r="CJ432" s="173"/>
      <c r="CK432" s="173"/>
      <c r="CL432" s="173"/>
      <c r="CM432" s="173"/>
      <c r="CN432" s="173"/>
      <c r="CO432" s="173"/>
      <c r="CP432" s="173"/>
      <c r="CQ432" s="173"/>
      <c r="CR432" s="173"/>
      <c r="CS432" s="173"/>
    </row>
    <row r="433" hidden="1">
      <c r="A433" s="179" t="s">
        <v>272</v>
      </c>
      <c r="B433" s="179" t="s">
        <v>2214</v>
      </c>
      <c r="C433" s="179" t="s">
        <v>2215</v>
      </c>
      <c r="D433" s="70" t="s">
        <v>2216</v>
      </c>
      <c r="E433" s="173"/>
      <c r="F433" s="168"/>
      <c r="G433" s="168"/>
      <c r="H433" s="168" t="s">
        <v>25</v>
      </c>
      <c r="I433" s="168" t="s">
        <v>25</v>
      </c>
      <c r="J433" s="168" t="s">
        <v>25</v>
      </c>
      <c r="K433" s="163" t="str">
        <f>VLOOKUP(C433,'Term Reference Guide'!$C:$C,1,false)</f>
        <v>ENVO:03501451</v>
      </c>
      <c r="L433" s="173"/>
      <c r="M433" s="173"/>
      <c r="N433" s="173"/>
      <c r="O433" s="173"/>
      <c r="P433" s="173"/>
      <c r="Q433" s="173"/>
      <c r="R433" s="173"/>
      <c r="S433" s="173"/>
      <c r="T433" s="173"/>
      <c r="U433" s="173"/>
      <c r="V433" s="173"/>
      <c r="W433" s="173"/>
      <c r="X433" s="173"/>
      <c r="Y433" s="173"/>
      <c r="Z433" s="173"/>
      <c r="AA433" s="173"/>
      <c r="AB433" s="173"/>
      <c r="AC433" s="173"/>
      <c r="AD433" s="173"/>
      <c r="AE433" s="173"/>
      <c r="AF433" s="173"/>
      <c r="AG433" s="173"/>
      <c r="AH433" s="173"/>
      <c r="AI433" s="173"/>
      <c r="AJ433" s="173"/>
      <c r="AK433" s="173"/>
      <c r="AL433" s="173"/>
      <c r="AM433" s="173"/>
      <c r="AN433" s="173"/>
      <c r="AO433" s="173"/>
      <c r="AP433" s="173"/>
      <c r="AQ433" s="173"/>
      <c r="AR433" s="173"/>
      <c r="AS433" s="173"/>
      <c r="AT433" s="173"/>
      <c r="AU433" s="173"/>
      <c r="AV433" s="173"/>
      <c r="AW433" s="173"/>
      <c r="AX433" s="173"/>
      <c r="AY433" s="173"/>
      <c r="AZ433" s="173"/>
      <c r="BA433" s="173"/>
      <c r="BB433" s="173"/>
      <c r="BC433" s="173"/>
      <c r="BD433" s="173"/>
      <c r="BE433" s="173"/>
      <c r="BF433" s="173"/>
      <c r="BG433" s="173"/>
      <c r="BH433" s="173"/>
      <c r="BI433" s="173"/>
      <c r="BJ433" s="173"/>
      <c r="BK433" s="173"/>
      <c r="BL433" s="173"/>
      <c r="BM433" s="173"/>
      <c r="BN433" s="173"/>
      <c r="BO433" s="173"/>
      <c r="BP433" s="173"/>
      <c r="BQ433" s="173"/>
      <c r="BR433" s="173"/>
      <c r="BS433" s="173"/>
      <c r="BT433" s="173"/>
      <c r="BU433" s="173"/>
      <c r="BV433" s="173"/>
      <c r="BW433" s="173"/>
      <c r="BX433" s="173"/>
      <c r="BY433" s="173"/>
      <c r="BZ433" s="173"/>
      <c r="CA433" s="173"/>
      <c r="CB433" s="173"/>
      <c r="CC433" s="173"/>
      <c r="CD433" s="173"/>
      <c r="CE433" s="173"/>
      <c r="CF433" s="173"/>
      <c r="CG433" s="173"/>
      <c r="CH433" s="173"/>
      <c r="CI433" s="173"/>
      <c r="CJ433" s="173"/>
      <c r="CK433" s="173"/>
      <c r="CL433" s="173"/>
      <c r="CM433" s="173"/>
      <c r="CN433" s="173"/>
      <c r="CO433" s="173"/>
      <c r="CP433" s="173"/>
      <c r="CQ433" s="173"/>
      <c r="CR433" s="173"/>
      <c r="CS433" s="173"/>
    </row>
    <row r="434" hidden="1">
      <c r="A434" s="179" t="s">
        <v>272</v>
      </c>
      <c r="B434" s="179" t="s">
        <v>2217</v>
      </c>
      <c r="C434" s="179" t="s">
        <v>2218</v>
      </c>
      <c r="D434" s="70" t="s">
        <v>2219</v>
      </c>
      <c r="E434" s="173"/>
      <c r="F434" s="168"/>
      <c r="G434" s="168"/>
      <c r="H434" s="168" t="s">
        <v>25</v>
      </c>
      <c r="I434" s="168" t="s">
        <v>25</v>
      </c>
      <c r="J434" s="168" t="s">
        <v>25</v>
      </c>
      <c r="K434" s="163" t="str">
        <f>VLOOKUP(C434,'Term Reference Guide'!$C:$C,1,false)</f>
        <v>ENVO:03501452</v>
      </c>
      <c r="L434" s="173"/>
      <c r="M434" s="173"/>
      <c r="N434" s="173"/>
      <c r="O434" s="173"/>
      <c r="P434" s="173"/>
      <c r="Q434" s="173"/>
      <c r="R434" s="173"/>
      <c r="S434" s="173"/>
      <c r="T434" s="173"/>
      <c r="U434" s="173"/>
      <c r="V434" s="173"/>
      <c r="W434" s="173"/>
      <c r="X434" s="173"/>
      <c r="Y434" s="173"/>
      <c r="Z434" s="173"/>
      <c r="AA434" s="173"/>
      <c r="AB434" s="173"/>
      <c r="AC434" s="173"/>
      <c r="AD434" s="173"/>
      <c r="AE434" s="173"/>
      <c r="AF434" s="173"/>
      <c r="AG434" s="173"/>
      <c r="AH434" s="173"/>
      <c r="AI434" s="173"/>
      <c r="AJ434" s="173"/>
      <c r="AK434" s="173"/>
      <c r="AL434" s="173"/>
      <c r="AM434" s="173"/>
      <c r="AN434" s="173"/>
      <c r="AO434" s="173"/>
      <c r="AP434" s="173"/>
      <c r="AQ434" s="173"/>
      <c r="AR434" s="173"/>
      <c r="AS434" s="173"/>
      <c r="AT434" s="173"/>
      <c r="AU434" s="173"/>
      <c r="AV434" s="173"/>
      <c r="AW434" s="173"/>
      <c r="AX434" s="173"/>
      <c r="AY434" s="173"/>
      <c r="AZ434" s="173"/>
      <c r="BA434" s="173"/>
      <c r="BB434" s="173"/>
      <c r="BC434" s="173"/>
      <c r="BD434" s="173"/>
      <c r="BE434" s="173"/>
      <c r="BF434" s="173"/>
      <c r="BG434" s="173"/>
      <c r="BH434" s="173"/>
      <c r="BI434" s="173"/>
      <c r="BJ434" s="173"/>
      <c r="BK434" s="173"/>
      <c r="BL434" s="173"/>
      <c r="BM434" s="173"/>
      <c r="BN434" s="173"/>
      <c r="BO434" s="173"/>
      <c r="BP434" s="173"/>
      <c r="BQ434" s="173"/>
      <c r="BR434" s="173"/>
      <c r="BS434" s="173"/>
      <c r="BT434" s="173"/>
      <c r="BU434" s="173"/>
      <c r="BV434" s="173"/>
      <c r="BW434" s="173"/>
      <c r="BX434" s="173"/>
      <c r="BY434" s="173"/>
      <c r="BZ434" s="173"/>
      <c r="CA434" s="173"/>
      <c r="CB434" s="173"/>
      <c r="CC434" s="173"/>
      <c r="CD434" s="173"/>
      <c r="CE434" s="173"/>
      <c r="CF434" s="173"/>
      <c r="CG434" s="173"/>
      <c r="CH434" s="173"/>
      <c r="CI434" s="173"/>
      <c r="CJ434" s="173"/>
      <c r="CK434" s="173"/>
      <c r="CL434" s="173"/>
      <c r="CM434" s="173"/>
      <c r="CN434" s="173"/>
      <c r="CO434" s="173"/>
      <c r="CP434" s="173"/>
      <c r="CQ434" s="173"/>
      <c r="CR434" s="173"/>
      <c r="CS434" s="173"/>
    </row>
    <row r="435" hidden="1">
      <c r="A435" s="179" t="s">
        <v>272</v>
      </c>
      <c r="B435" s="179" t="s">
        <v>2220</v>
      </c>
      <c r="C435" s="179" t="s">
        <v>2221</v>
      </c>
      <c r="D435" s="70" t="s">
        <v>2222</v>
      </c>
      <c r="E435" s="173"/>
      <c r="F435" s="168"/>
      <c r="G435" s="168"/>
      <c r="H435" s="168" t="s">
        <v>25</v>
      </c>
      <c r="I435" s="168" t="s">
        <v>25</v>
      </c>
      <c r="J435" s="168" t="s">
        <v>25</v>
      </c>
      <c r="K435" s="163" t="str">
        <f>VLOOKUP(C435,'Term Reference Guide'!$C:$C,1,false)</f>
        <v>ENVO:01000550</v>
      </c>
      <c r="L435" s="173"/>
      <c r="M435" s="173"/>
      <c r="N435" s="173"/>
      <c r="O435" s="173"/>
      <c r="P435" s="173"/>
      <c r="Q435" s="173"/>
      <c r="R435" s="173"/>
      <c r="S435" s="173"/>
      <c r="T435" s="173"/>
      <c r="U435" s="173"/>
      <c r="V435" s="173"/>
      <c r="W435" s="173"/>
      <c r="X435" s="173"/>
      <c r="Y435" s="173"/>
      <c r="Z435" s="173"/>
      <c r="AA435" s="173"/>
      <c r="AB435" s="173"/>
      <c r="AC435" s="173"/>
      <c r="AD435" s="173"/>
      <c r="AE435" s="173"/>
      <c r="AF435" s="173"/>
      <c r="AG435" s="173"/>
      <c r="AH435" s="173"/>
      <c r="AI435" s="173"/>
      <c r="AJ435" s="173"/>
      <c r="AK435" s="173"/>
      <c r="AL435" s="173"/>
      <c r="AM435" s="173"/>
      <c r="AN435" s="173"/>
      <c r="AO435" s="173"/>
      <c r="AP435" s="173"/>
      <c r="AQ435" s="173"/>
      <c r="AR435" s="173"/>
      <c r="AS435" s="173"/>
      <c r="AT435" s="173"/>
      <c r="AU435" s="173"/>
      <c r="AV435" s="173"/>
      <c r="AW435" s="173"/>
      <c r="AX435" s="173"/>
      <c r="AY435" s="173"/>
      <c r="AZ435" s="173"/>
      <c r="BA435" s="173"/>
      <c r="BB435" s="173"/>
      <c r="BC435" s="173"/>
      <c r="BD435" s="173"/>
      <c r="BE435" s="173"/>
      <c r="BF435" s="173"/>
      <c r="BG435" s="173"/>
      <c r="BH435" s="173"/>
      <c r="BI435" s="173"/>
      <c r="BJ435" s="173"/>
      <c r="BK435" s="173"/>
      <c r="BL435" s="173"/>
      <c r="BM435" s="173"/>
      <c r="BN435" s="173"/>
      <c r="BO435" s="173"/>
      <c r="BP435" s="173"/>
      <c r="BQ435" s="173"/>
      <c r="BR435" s="173"/>
      <c r="BS435" s="173"/>
      <c r="BT435" s="173"/>
      <c r="BU435" s="173"/>
      <c r="BV435" s="173"/>
      <c r="BW435" s="173"/>
      <c r="BX435" s="173"/>
      <c r="BY435" s="173"/>
      <c r="BZ435" s="173"/>
      <c r="CA435" s="173"/>
      <c r="CB435" s="173"/>
      <c r="CC435" s="173"/>
      <c r="CD435" s="173"/>
      <c r="CE435" s="173"/>
      <c r="CF435" s="173"/>
      <c r="CG435" s="173"/>
      <c r="CH435" s="173"/>
      <c r="CI435" s="173"/>
      <c r="CJ435" s="173"/>
      <c r="CK435" s="173"/>
      <c r="CL435" s="173"/>
      <c r="CM435" s="173"/>
      <c r="CN435" s="173"/>
      <c r="CO435" s="173"/>
      <c r="CP435" s="173"/>
      <c r="CQ435" s="173"/>
      <c r="CR435" s="173"/>
      <c r="CS435" s="173"/>
    </row>
    <row r="436">
      <c r="A436" s="179" t="s">
        <v>272</v>
      </c>
      <c r="B436" s="179" t="s">
        <v>2223</v>
      </c>
      <c r="C436" s="179" t="s">
        <v>2224</v>
      </c>
      <c r="D436" s="70" t="s">
        <v>2128</v>
      </c>
      <c r="E436" s="173"/>
      <c r="F436" s="168"/>
      <c r="G436" s="168"/>
      <c r="H436" s="168" t="s">
        <v>25</v>
      </c>
      <c r="I436" s="168" t="s">
        <v>25</v>
      </c>
      <c r="J436" s="168" t="s">
        <v>25</v>
      </c>
      <c r="K436" s="163" t="str">
        <f>VLOOKUP(C436,'Term Reference Guide'!$C:$C,1,false)</f>
        <v>ENVO:01000924</v>
      </c>
      <c r="L436" s="173"/>
      <c r="M436" s="173"/>
      <c r="N436" s="173"/>
      <c r="O436" s="173"/>
      <c r="P436" s="173"/>
      <c r="Q436" s="173"/>
      <c r="R436" s="173"/>
      <c r="S436" s="173"/>
      <c r="T436" s="173"/>
      <c r="U436" s="173"/>
      <c r="V436" s="173"/>
      <c r="W436" s="173"/>
      <c r="X436" s="173"/>
      <c r="Y436" s="173"/>
      <c r="Z436" s="173"/>
      <c r="AA436" s="173"/>
      <c r="AB436" s="173"/>
      <c r="AC436" s="173"/>
      <c r="AD436" s="173"/>
      <c r="AE436" s="173"/>
      <c r="AF436" s="173"/>
      <c r="AG436" s="173"/>
      <c r="AH436" s="173"/>
      <c r="AI436" s="173"/>
      <c r="AJ436" s="173"/>
      <c r="AK436" s="173"/>
      <c r="AL436" s="173"/>
      <c r="AM436" s="173"/>
      <c r="AN436" s="173"/>
      <c r="AO436" s="173"/>
      <c r="AP436" s="173"/>
      <c r="AQ436" s="173"/>
      <c r="AR436" s="173"/>
      <c r="AS436" s="173"/>
      <c r="AT436" s="173"/>
      <c r="AU436" s="173"/>
      <c r="AV436" s="173"/>
      <c r="AW436" s="173"/>
      <c r="AX436" s="173"/>
      <c r="AY436" s="173"/>
      <c r="AZ436" s="173"/>
      <c r="BA436" s="173"/>
      <c r="BB436" s="173"/>
      <c r="BC436" s="173"/>
      <c r="BD436" s="173"/>
      <c r="BE436" s="173"/>
      <c r="BF436" s="173"/>
      <c r="BG436" s="173"/>
      <c r="BH436" s="173"/>
      <c r="BI436" s="173"/>
      <c r="BJ436" s="173"/>
      <c r="BK436" s="173"/>
      <c r="BL436" s="173"/>
      <c r="BM436" s="173"/>
      <c r="BN436" s="173"/>
      <c r="BO436" s="173"/>
      <c r="BP436" s="173"/>
      <c r="BQ436" s="173"/>
      <c r="BR436" s="173"/>
      <c r="BS436" s="173"/>
      <c r="BT436" s="173"/>
      <c r="BU436" s="173"/>
      <c r="BV436" s="173"/>
      <c r="BW436" s="173"/>
      <c r="BX436" s="173"/>
      <c r="BY436" s="173"/>
      <c r="BZ436" s="173"/>
      <c r="CA436" s="173"/>
      <c r="CB436" s="173"/>
      <c r="CC436" s="173"/>
      <c r="CD436" s="173"/>
      <c r="CE436" s="173"/>
      <c r="CF436" s="173"/>
      <c r="CG436" s="173"/>
      <c r="CH436" s="173"/>
      <c r="CI436" s="173"/>
      <c r="CJ436" s="173"/>
      <c r="CK436" s="173"/>
      <c r="CL436" s="173"/>
      <c r="CM436" s="173"/>
      <c r="CN436" s="173"/>
      <c r="CO436" s="173"/>
      <c r="CP436" s="173"/>
      <c r="CQ436" s="173"/>
      <c r="CR436" s="173"/>
      <c r="CS436" s="173"/>
    </row>
    <row r="437">
      <c r="A437" s="173"/>
      <c r="B437" s="179"/>
      <c r="C437" s="173"/>
      <c r="D437" s="141"/>
      <c r="E437" s="173"/>
      <c r="F437" s="173"/>
      <c r="G437" s="173"/>
      <c r="H437" s="173"/>
      <c r="I437" s="173"/>
      <c r="J437" s="141"/>
      <c r="K437" s="163" t="str">
        <f>VLOOKUP(C437,'Term Reference Guide'!$C:$C,1,false)</f>
        <v>#N/A</v>
      </c>
      <c r="L437" s="173"/>
      <c r="M437" s="173"/>
      <c r="N437" s="173"/>
      <c r="O437" s="173"/>
      <c r="P437" s="173"/>
      <c r="Q437" s="173"/>
      <c r="R437" s="173"/>
      <c r="S437" s="173"/>
      <c r="T437" s="173"/>
      <c r="U437" s="173"/>
      <c r="V437" s="173"/>
      <c r="W437" s="173"/>
      <c r="X437" s="173"/>
      <c r="Y437" s="173"/>
      <c r="Z437" s="173"/>
      <c r="AA437" s="173"/>
      <c r="AB437" s="173"/>
      <c r="AC437" s="173"/>
      <c r="AD437" s="173"/>
      <c r="AE437" s="173"/>
      <c r="AF437" s="173"/>
      <c r="AG437" s="173"/>
      <c r="AH437" s="173"/>
      <c r="AI437" s="173"/>
      <c r="AJ437" s="173"/>
      <c r="AK437" s="173"/>
      <c r="AL437" s="173"/>
      <c r="AM437" s="173"/>
      <c r="AN437" s="173"/>
      <c r="AO437" s="173"/>
      <c r="AP437" s="173"/>
      <c r="AQ437" s="173"/>
      <c r="AR437" s="173"/>
      <c r="AS437" s="173"/>
      <c r="AT437" s="173"/>
      <c r="AU437" s="173"/>
      <c r="AV437" s="173"/>
      <c r="AW437" s="173"/>
      <c r="AX437" s="173"/>
      <c r="AY437" s="173"/>
      <c r="AZ437" s="173"/>
      <c r="BA437" s="173"/>
      <c r="BB437" s="173"/>
      <c r="BC437" s="173"/>
      <c r="BD437" s="173"/>
      <c r="BE437" s="173"/>
      <c r="BF437" s="173"/>
      <c r="BG437" s="173"/>
      <c r="BH437" s="173"/>
      <c r="BI437" s="173"/>
      <c r="BJ437" s="173"/>
      <c r="BK437" s="173"/>
      <c r="BL437" s="173"/>
      <c r="BM437" s="173"/>
      <c r="BN437" s="173"/>
      <c r="BO437" s="173"/>
      <c r="BP437" s="173"/>
      <c r="BQ437" s="173"/>
      <c r="BR437" s="173"/>
      <c r="BS437" s="173"/>
      <c r="BT437" s="173"/>
      <c r="BU437" s="173"/>
      <c r="BV437" s="173"/>
      <c r="BW437" s="173"/>
      <c r="BX437" s="173"/>
      <c r="BY437" s="173"/>
      <c r="BZ437" s="173"/>
      <c r="CA437" s="173"/>
      <c r="CB437" s="173"/>
      <c r="CC437" s="173"/>
      <c r="CD437" s="173"/>
      <c r="CE437" s="173"/>
      <c r="CF437" s="173"/>
      <c r="CG437" s="173"/>
      <c r="CH437" s="173"/>
      <c r="CI437" s="173"/>
      <c r="CJ437" s="173"/>
      <c r="CK437" s="173"/>
      <c r="CL437" s="173"/>
      <c r="CM437" s="173"/>
      <c r="CN437" s="173"/>
      <c r="CO437" s="173"/>
      <c r="CP437" s="173"/>
      <c r="CQ437" s="173"/>
      <c r="CR437" s="173"/>
      <c r="CS437" s="173"/>
    </row>
    <row r="438" ht="18.75" customHeight="1">
      <c r="A438" s="170" t="s">
        <v>277</v>
      </c>
      <c r="B438" s="156"/>
      <c r="C438" s="156"/>
      <c r="D438" s="139"/>
      <c r="E438" s="156"/>
      <c r="F438" s="156"/>
      <c r="G438" s="156"/>
      <c r="H438" s="164"/>
      <c r="I438" s="164"/>
      <c r="J438" s="171"/>
      <c r="K438" s="163" t="str">
        <f>VLOOKUP(C438,'Term Reference Guide'!$C:$C,1,false)</f>
        <v>#N/A</v>
      </c>
      <c r="L438" s="163"/>
      <c r="M438" s="163"/>
      <c r="N438" s="163"/>
      <c r="O438" s="163"/>
      <c r="P438" s="163"/>
      <c r="Q438" s="163"/>
      <c r="R438" s="163"/>
      <c r="S438" s="163"/>
      <c r="T438" s="163"/>
      <c r="U438" s="163"/>
      <c r="V438" s="163"/>
      <c r="W438" s="163"/>
      <c r="X438" s="163"/>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c r="BP438" s="41"/>
      <c r="BQ438" s="41"/>
      <c r="BR438" s="41"/>
      <c r="BS438" s="41"/>
      <c r="BT438" s="41"/>
      <c r="BU438" s="41"/>
      <c r="BV438" s="41"/>
      <c r="BW438" s="41"/>
      <c r="BX438" s="41"/>
      <c r="BY438" s="41"/>
      <c r="BZ438" s="41"/>
      <c r="CA438" s="41"/>
      <c r="CB438" s="41"/>
      <c r="CC438" s="41"/>
      <c r="CD438" s="41"/>
      <c r="CE438" s="41"/>
      <c r="CF438" s="41"/>
      <c r="CG438" s="41"/>
      <c r="CH438" s="41"/>
      <c r="CI438" s="41"/>
      <c r="CJ438" s="41"/>
      <c r="CK438" s="41"/>
      <c r="CL438" s="41"/>
      <c r="CM438" s="41"/>
      <c r="CN438" s="41"/>
      <c r="CO438" s="41"/>
      <c r="CP438" s="41"/>
      <c r="CQ438" s="41"/>
      <c r="CR438" s="41"/>
      <c r="CS438" s="41"/>
    </row>
    <row r="439" hidden="1">
      <c r="A439" s="144" t="s">
        <v>277</v>
      </c>
      <c r="B439" s="179" t="s">
        <v>281</v>
      </c>
      <c r="C439" s="40" t="s">
        <v>2225</v>
      </c>
      <c r="D439" s="70" t="s">
        <v>2226</v>
      </c>
      <c r="E439" s="173"/>
      <c r="F439" s="168"/>
      <c r="G439" s="168"/>
      <c r="H439" s="168" t="s">
        <v>25</v>
      </c>
      <c r="I439" s="168" t="s">
        <v>25</v>
      </c>
      <c r="J439" s="168" t="s">
        <v>25</v>
      </c>
      <c r="K439" s="163" t="str">
        <f>VLOOKUP(C439,'Term Reference Guide'!$C:$C,1,false)</f>
        <v>GENEPIO:0101018</v>
      </c>
      <c r="L439" s="173"/>
      <c r="M439" s="173"/>
      <c r="N439" s="173"/>
      <c r="O439" s="173"/>
      <c r="P439" s="173"/>
      <c r="Q439" s="173"/>
      <c r="R439" s="173"/>
      <c r="S439" s="173"/>
      <c r="T439" s="173"/>
      <c r="U439" s="173"/>
      <c r="V439" s="173"/>
      <c r="W439" s="173"/>
      <c r="X439" s="173"/>
      <c r="Y439" s="173"/>
      <c r="Z439" s="173"/>
      <c r="AA439" s="173"/>
      <c r="AB439" s="173"/>
      <c r="AC439" s="173"/>
      <c r="AD439" s="173"/>
      <c r="AE439" s="173"/>
      <c r="AF439" s="173"/>
      <c r="AG439" s="173"/>
      <c r="AH439" s="173"/>
      <c r="AI439" s="173"/>
      <c r="AJ439" s="173"/>
      <c r="AK439" s="173"/>
      <c r="AL439" s="173"/>
      <c r="AM439" s="173"/>
      <c r="AN439" s="173"/>
      <c r="AO439" s="173"/>
      <c r="AP439" s="173"/>
      <c r="AQ439" s="173"/>
      <c r="AR439" s="173"/>
      <c r="AS439" s="173"/>
      <c r="AT439" s="173"/>
      <c r="AU439" s="173"/>
      <c r="AV439" s="173"/>
      <c r="AW439" s="173"/>
      <c r="AX439" s="173"/>
      <c r="AY439" s="173"/>
      <c r="AZ439" s="173"/>
      <c r="BA439" s="173"/>
      <c r="BB439" s="173"/>
      <c r="BC439" s="173"/>
      <c r="BD439" s="173"/>
      <c r="BE439" s="173"/>
      <c r="BF439" s="173"/>
      <c r="BG439" s="173"/>
      <c r="BH439" s="173"/>
      <c r="BI439" s="173"/>
      <c r="BJ439" s="173"/>
      <c r="BK439" s="173"/>
      <c r="BL439" s="173"/>
      <c r="BM439" s="173"/>
      <c r="BN439" s="173"/>
      <c r="BO439" s="173"/>
      <c r="BP439" s="173"/>
      <c r="BQ439" s="173"/>
      <c r="BR439" s="173"/>
      <c r="BS439" s="173"/>
      <c r="BT439" s="173"/>
      <c r="BU439" s="173"/>
      <c r="BV439" s="173"/>
      <c r="BW439" s="173"/>
      <c r="BX439" s="173"/>
      <c r="BY439" s="173"/>
      <c r="BZ439" s="173"/>
      <c r="CA439" s="173"/>
      <c r="CB439" s="173"/>
      <c r="CC439" s="173"/>
      <c r="CD439" s="173"/>
      <c r="CE439" s="173"/>
      <c r="CF439" s="173"/>
      <c r="CG439" s="173"/>
      <c r="CH439" s="173"/>
      <c r="CI439" s="173"/>
      <c r="CJ439" s="173"/>
      <c r="CK439" s="173"/>
      <c r="CL439" s="173"/>
      <c r="CM439" s="173"/>
      <c r="CN439" s="173"/>
      <c r="CO439" s="173"/>
      <c r="CP439" s="173"/>
      <c r="CQ439" s="173"/>
      <c r="CR439" s="173"/>
      <c r="CS439" s="173"/>
    </row>
    <row r="440" hidden="1">
      <c r="A440" s="144" t="s">
        <v>277</v>
      </c>
      <c r="B440" s="179" t="s">
        <v>2227</v>
      </c>
      <c r="C440" s="40" t="s">
        <v>2228</v>
      </c>
      <c r="D440" s="70" t="s">
        <v>2229</v>
      </c>
      <c r="E440" s="173"/>
      <c r="F440" s="168"/>
      <c r="G440" s="168"/>
      <c r="H440" s="168" t="s">
        <v>25</v>
      </c>
      <c r="I440" s="168" t="s">
        <v>25</v>
      </c>
      <c r="J440" s="168" t="s">
        <v>25</v>
      </c>
      <c r="K440" s="163" t="str">
        <f>VLOOKUP(C440,'Term Reference Guide'!$C:$C,1,false)</f>
        <v>GENEPIO:0101019</v>
      </c>
      <c r="L440" s="173"/>
      <c r="M440" s="173"/>
      <c r="N440" s="173"/>
      <c r="O440" s="173"/>
      <c r="P440" s="173"/>
      <c r="Q440" s="173"/>
      <c r="R440" s="173"/>
      <c r="S440" s="173"/>
      <c r="T440" s="173"/>
      <c r="U440" s="173"/>
      <c r="V440" s="173"/>
      <c r="W440" s="173"/>
      <c r="X440" s="173"/>
      <c r="Y440" s="173"/>
      <c r="Z440" s="173"/>
      <c r="AA440" s="173"/>
      <c r="AB440" s="173"/>
      <c r="AC440" s="173"/>
      <c r="AD440" s="173"/>
      <c r="AE440" s="173"/>
      <c r="AF440" s="173"/>
      <c r="AG440" s="173"/>
      <c r="AH440" s="173"/>
      <c r="AI440" s="173"/>
      <c r="AJ440" s="173"/>
      <c r="AK440" s="173"/>
      <c r="AL440" s="173"/>
      <c r="AM440" s="173"/>
      <c r="AN440" s="173"/>
      <c r="AO440" s="173"/>
      <c r="AP440" s="173"/>
      <c r="AQ440" s="173"/>
      <c r="AR440" s="173"/>
      <c r="AS440" s="173"/>
      <c r="AT440" s="173"/>
      <c r="AU440" s="173"/>
      <c r="AV440" s="173"/>
      <c r="AW440" s="173"/>
      <c r="AX440" s="173"/>
      <c r="AY440" s="173"/>
      <c r="AZ440" s="173"/>
      <c r="BA440" s="173"/>
      <c r="BB440" s="173"/>
      <c r="BC440" s="173"/>
      <c r="BD440" s="173"/>
      <c r="BE440" s="173"/>
      <c r="BF440" s="173"/>
      <c r="BG440" s="173"/>
      <c r="BH440" s="173"/>
      <c r="BI440" s="173"/>
      <c r="BJ440" s="173"/>
      <c r="BK440" s="173"/>
      <c r="BL440" s="173"/>
      <c r="BM440" s="173"/>
      <c r="BN440" s="173"/>
      <c r="BO440" s="173"/>
      <c r="BP440" s="173"/>
      <c r="BQ440" s="173"/>
      <c r="BR440" s="173"/>
      <c r="BS440" s="173"/>
      <c r="BT440" s="173"/>
      <c r="BU440" s="173"/>
      <c r="BV440" s="173"/>
      <c r="BW440" s="173"/>
      <c r="BX440" s="173"/>
      <c r="BY440" s="173"/>
      <c r="BZ440" s="173"/>
      <c r="CA440" s="173"/>
      <c r="CB440" s="173"/>
      <c r="CC440" s="173"/>
      <c r="CD440" s="173"/>
      <c r="CE440" s="173"/>
      <c r="CF440" s="173"/>
      <c r="CG440" s="173"/>
      <c r="CH440" s="173"/>
      <c r="CI440" s="173"/>
      <c r="CJ440" s="173"/>
      <c r="CK440" s="173"/>
      <c r="CL440" s="173"/>
      <c r="CM440" s="173"/>
      <c r="CN440" s="173"/>
      <c r="CO440" s="173"/>
      <c r="CP440" s="173"/>
      <c r="CQ440" s="173"/>
      <c r="CR440" s="173"/>
      <c r="CS440" s="173"/>
    </row>
    <row r="441" hidden="1">
      <c r="A441" s="144" t="s">
        <v>277</v>
      </c>
      <c r="B441" s="163" t="s">
        <v>2230</v>
      </c>
      <c r="C441" s="163" t="s">
        <v>2231</v>
      </c>
      <c r="D441" s="167" t="s">
        <v>2232</v>
      </c>
      <c r="E441" s="173"/>
      <c r="F441" s="168"/>
      <c r="G441" s="168"/>
      <c r="H441" s="168" t="s">
        <v>25</v>
      </c>
      <c r="I441" s="168" t="s">
        <v>25</v>
      </c>
      <c r="J441" s="168" t="s">
        <v>25</v>
      </c>
      <c r="K441" s="163" t="str">
        <f>VLOOKUP(C441,'Term Reference Guide'!$C:$C,1,false)</f>
        <v>EFO:0002090</v>
      </c>
      <c r="L441" s="173"/>
      <c r="M441" s="173"/>
      <c r="N441" s="173"/>
      <c r="O441" s="173"/>
      <c r="P441" s="173"/>
      <c r="Q441" s="173"/>
      <c r="R441" s="173"/>
      <c r="S441" s="173"/>
      <c r="T441" s="173"/>
      <c r="U441" s="173"/>
      <c r="V441" s="173"/>
      <c r="W441" s="173"/>
      <c r="X441" s="173"/>
      <c r="Y441" s="173"/>
      <c r="Z441" s="173"/>
      <c r="AA441" s="173"/>
      <c r="AB441" s="173"/>
      <c r="AC441" s="173"/>
      <c r="AD441" s="173"/>
      <c r="AE441" s="173"/>
      <c r="AF441" s="173"/>
      <c r="AG441" s="173"/>
      <c r="AH441" s="173"/>
      <c r="AI441" s="173"/>
      <c r="AJ441" s="173"/>
      <c r="AK441" s="173"/>
      <c r="AL441" s="173"/>
      <c r="AM441" s="173"/>
      <c r="AN441" s="173"/>
      <c r="AO441" s="173"/>
      <c r="AP441" s="173"/>
      <c r="AQ441" s="173"/>
      <c r="AR441" s="173"/>
      <c r="AS441" s="173"/>
      <c r="AT441" s="173"/>
      <c r="AU441" s="173"/>
      <c r="AV441" s="173"/>
      <c r="AW441" s="173"/>
      <c r="AX441" s="173"/>
      <c r="AY441" s="173"/>
      <c r="AZ441" s="173"/>
      <c r="BA441" s="173"/>
      <c r="BB441" s="173"/>
      <c r="BC441" s="173"/>
      <c r="BD441" s="173"/>
      <c r="BE441" s="173"/>
      <c r="BF441" s="173"/>
      <c r="BG441" s="173"/>
      <c r="BH441" s="173"/>
      <c r="BI441" s="173"/>
      <c r="BJ441" s="173"/>
      <c r="BK441" s="173"/>
      <c r="BL441" s="173"/>
      <c r="BM441" s="173"/>
      <c r="BN441" s="173"/>
      <c r="BO441" s="173"/>
      <c r="BP441" s="173"/>
      <c r="BQ441" s="173"/>
      <c r="BR441" s="173"/>
      <c r="BS441" s="173"/>
      <c r="BT441" s="173"/>
      <c r="BU441" s="173"/>
      <c r="BV441" s="173"/>
      <c r="BW441" s="173"/>
      <c r="BX441" s="173"/>
      <c r="BY441" s="173"/>
      <c r="BZ441" s="173"/>
      <c r="CA441" s="173"/>
      <c r="CB441" s="173"/>
      <c r="CC441" s="173"/>
      <c r="CD441" s="173"/>
      <c r="CE441" s="173"/>
      <c r="CF441" s="173"/>
      <c r="CG441" s="173"/>
      <c r="CH441" s="173"/>
      <c r="CI441" s="173"/>
      <c r="CJ441" s="173"/>
      <c r="CK441" s="173"/>
      <c r="CL441" s="173"/>
      <c r="CM441" s="173"/>
      <c r="CN441" s="173"/>
      <c r="CO441" s="173"/>
      <c r="CP441" s="173"/>
      <c r="CQ441" s="173"/>
      <c r="CR441" s="173"/>
      <c r="CS441" s="173"/>
    </row>
    <row r="442" hidden="1">
      <c r="A442" s="144" t="s">
        <v>277</v>
      </c>
      <c r="B442" s="179" t="s">
        <v>2233</v>
      </c>
      <c r="C442" s="179" t="s">
        <v>2234</v>
      </c>
      <c r="D442" s="70" t="s">
        <v>2235</v>
      </c>
      <c r="E442" s="173"/>
      <c r="F442" s="168"/>
      <c r="G442" s="168"/>
      <c r="H442" s="168" t="s">
        <v>25</v>
      </c>
      <c r="I442" s="168" t="s">
        <v>25</v>
      </c>
      <c r="J442" s="168" t="s">
        <v>25</v>
      </c>
      <c r="K442" s="163" t="str">
        <f>VLOOKUP(C442,'Term Reference Guide'!$C:$C,1,false)</f>
        <v>EFO:0002091</v>
      </c>
      <c r="L442" s="173"/>
      <c r="M442" s="173"/>
      <c r="N442" s="173"/>
      <c r="O442" s="173"/>
      <c r="P442" s="173"/>
      <c r="Q442" s="173"/>
      <c r="R442" s="173"/>
      <c r="S442" s="173"/>
      <c r="T442" s="173"/>
      <c r="U442" s="173"/>
      <c r="V442" s="173"/>
      <c r="W442" s="173"/>
      <c r="X442" s="173"/>
      <c r="Y442" s="173"/>
      <c r="Z442" s="173"/>
      <c r="AA442" s="173"/>
      <c r="AB442" s="173"/>
      <c r="AC442" s="173"/>
      <c r="AD442" s="173"/>
      <c r="AE442" s="173"/>
      <c r="AF442" s="173"/>
      <c r="AG442" s="173"/>
      <c r="AH442" s="173"/>
      <c r="AI442" s="173"/>
      <c r="AJ442" s="173"/>
      <c r="AK442" s="173"/>
      <c r="AL442" s="173"/>
      <c r="AM442" s="173"/>
      <c r="AN442" s="173"/>
      <c r="AO442" s="173"/>
      <c r="AP442" s="173"/>
      <c r="AQ442" s="173"/>
      <c r="AR442" s="173"/>
      <c r="AS442" s="173"/>
      <c r="AT442" s="173"/>
      <c r="AU442" s="173"/>
      <c r="AV442" s="173"/>
      <c r="AW442" s="173"/>
      <c r="AX442" s="173"/>
      <c r="AY442" s="173"/>
      <c r="AZ442" s="173"/>
      <c r="BA442" s="173"/>
      <c r="BB442" s="173"/>
      <c r="BC442" s="173"/>
      <c r="BD442" s="173"/>
      <c r="BE442" s="173"/>
      <c r="BF442" s="173"/>
      <c r="BG442" s="173"/>
      <c r="BH442" s="173"/>
      <c r="BI442" s="173"/>
      <c r="BJ442" s="173"/>
      <c r="BK442" s="173"/>
      <c r="BL442" s="173"/>
      <c r="BM442" s="173"/>
      <c r="BN442" s="173"/>
      <c r="BO442" s="173"/>
      <c r="BP442" s="173"/>
      <c r="BQ442" s="173"/>
      <c r="BR442" s="173"/>
      <c r="BS442" s="173"/>
      <c r="BT442" s="173"/>
      <c r="BU442" s="173"/>
      <c r="BV442" s="173"/>
      <c r="BW442" s="173"/>
      <c r="BX442" s="173"/>
      <c r="BY442" s="173"/>
      <c r="BZ442" s="173"/>
      <c r="CA442" s="173"/>
      <c r="CB442" s="173"/>
      <c r="CC442" s="173"/>
      <c r="CD442" s="173"/>
      <c r="CE442" s="173"/>
      <c r="CF442" s="173"/>
      <c r="CG442" s="173"/>
      <c r="CH442" s="173"/>
      <c r="CI442" s="173"/>
      <c r="CJ442" s="173"/>
      <c r="CK442" s="173"/>
      <c r="CL442" s="173"/>
      <c r="CM442" s="173"/>
      <c r="CN442" s="173"/>
      <c r="CO442" s="173"/>
      <c r="CP442" s="173"/>
      <c r="CQ442" s="173"/>
      <c r="CR442" s="173"/>
      <c r="CS442" s="173"/>
    </row>
    <row r="443">
      <c r="A443" s="173"/>
      <c r="B443" s="179"/>
      <c r="C443" s="173"/>
      <c r="D443" s="141"/>
      <c r="E443" s="173"/>
      <c r="F443" s="173"/>
      <c r="G443" s="173"/>
      <c r="H443" s="173"/>
      <c r="I443" s="173"/>
      <c r="J443" s="141"/>
      <c r="K443" s="163" t="str">
        <f>VLOOKUP(C443,'Term Reference Guide'!$C:$C,1,false)</f>
        <v>#N/A</v>
      </c>
      <c r="L443" s="173"/>
      <c r="M443" s="173"/>
      <c r="N443" s="173"/>
      <c r="O443" s="173"/>
      <c r="P443" s="173"/>
      <c r="Q443" s="173"/>
      <c r="R443" s="173"/>
      <c r="S443" s="173"/>
      <c r="T443" s="173"/>
      <c r="U443" s="173"/>
      <c r="V443" s="173"/>
      <c r="W443" s="173"/>
      <c r="X443" s="173"/>
      <c r="Y443" s="173"/>
      <c r="Z443" s="173"/>
      <c r="AA443" s="173"/>
      <c r="AB443" s="173"/>
      <c r="AC443" s="173"/>
      <c r="AD443" s="173"/>
      <c r="AE443" s="173"/>
      <c r="AF443" s="173"/>
      <c r="AG443" s="173"/>
      <c r="AH443" s="173"/>
      <c r="AI443" s="173"/>
      <c r="AJ443" s="173"/>
      <c r="AK443" s="173"/>
      <c r="AL443" s="173"/>
      <c r="AM443" s="173"/>
      <c r="AN443" s="173"/>
      <c r="AO443" s="173"/>
      <c r="AP443" s="173"/>
      <c r="AQ443" s="173"/>
      <c r="AR443" s="173"/>
      <c r="AS443" s="173"/>
      <c r="AT443" s="173"/>
      <c r="AU443" s="173"/>
      <c r="AV443" s="173"/>
      <c r="AW443" s="173"/>
      <c r="AX443" s="173"/>
      <c r="AY443" s="173"/>
      <c r="AZ443" s="173"/>
      <c r="BA443" s="173"/>
      <c r="BB443" s="173"/>
      <c r="BC443" s="173"/>
      <c r="BD443" s="173"/>
      <c r="BE443" s="173"/>
      <c r="BF443" s="173"/>
      <c r="BG443" s="173"/>
      <c r="BH443" s="173"/>
      <c r="BI443" s="173"/>
      <c r="BJ443" s="173"/>
      <c r="BK443" s="173"/>
      <c r="BL443" s="173"/>
      <c r="BM443" s="173"/>
      <c r="BN443" s="173"/>
      <c r="BO443" s="173"/>
      <c r="BP443" s="173"/>
      <c r="BQ443" s="173"/>
      <c r="BR443" s="173"/>
      <c r="BS443" s="173"/>
      <c r="BT443" s="173"/>
      <c r="BU443" s="173"/>
      <c r="BV443" s="173"/>
      <c r="BW443" s="173"/>
      <c r="BX443" s="173"/>
      <c r="BY443" s="173"/>
      <c r="BZ443" s="173"/>
      <c r="CA443" s="173"/>
      <c r="CB443" s="173"/>
      <c r="CC443" s="173"/>
      <c r="CD443" s="173"/>
      <c r="CE443" s="173"/>
      <c r="CF443" s="173"/>
      <c r="CG443" s="173"/>
      <c r="CH443" s="173"/>
      <c r="CI443" s="173"/>
      <c r="CJ443" s="173"/>
      <c r="CK443" s="173"/>
      <c r="CL443" s="173"/>
      <c r="CM443" s="173"/>
      <c r="CN443" s="173"/>
      <c r="CO443" s="173"/>
      <c r="CP443" s="173"/>
      <c r="CQ443" s="173"/>
      <c r="CR443" s="173"/>
      <c r="CS443" s="173"/>
    </row>
    <row r="444">
      <c r="A444" s="170" t="s">
        <v>287</v>
      </c>
      <c r="B444" s="156"/>
      <c r="C444" s="156"/>
      <c r="D444" s="139"/>
      <c r="E444" s="156"/>
      <c r="F444" s="156"/>
      <c r="G444" s="156"/>
      <c r="H444" s="164"/>
      <c r="I444" s="164"/>
      <c r="J444" s="171"/>
      <c r="K444" s="163" t="str">
        <f>VLOOKUP(C444,'Term Reference Guide'!$C:$C,1,false)</f>
        <v>#N/A</v>
      </c>
      <c r="L444" s="163"/>
      <c r="M444" s="163"/>
      <c r="N444" s="163"/>
      <c r="O444" s="163"/>
      <c r="P444" s="163"/>
      <c r="Q444" s="163"/>
      <c r="R444" s="163"/>
      <c r="S444" s="163"/>
      <c r="T444" s="163"/>
      <c r="U444" s="163"/>
      <c r="V444" s="163"/>
      <c r="W444" s="163"/>
      <c r="X444" s="163"/>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c r="BP444" s="41"/>
      <c r="BQ444" s="41"/>
      <c r="BR444" s="41"/>
      <c r="BS444" s="41"/>
      <c r="BT444" s="41"/>
      <c r="BU444" s="41"/>
      <c r="BV444" s="41"/>
      <c r="BW444" s="41"/>
      <c r="BX444" s="41"/>
      <c r="BY444" s="41"/>
      <c r="BZ444" s="41"/>
      <c r="CA444" s="41"/>
      <c r="CB444" s="41"/>
      <c r="CC444" s="41"/>
      <c r="CD444" s="41"/>
      <c r="CE444" s="41"/>
      <c r="CF444" s="41"/>
      <c r="CG444" s="41"/>
      <c r="CH444" s="41"/>
      <c r="CI444" s="41"/>
      <c r="CJ444" s="41"/>
      <c r="CK444" s="41"/>
      <c r="CL444" s="41"/>
      <c r="CM444" s="41"/>
      <c r="CN444" s="41"/>
      <c r="CO444" s="41"/>
      <c r="CP444" s="41"/>
      <c r="CQ444" s="41"/>
      <c r="CR444" s="41"/>
      <c r="CS444" s="41"/>
    </row>
    <row r="445" hidden="1">
      <c r="A445" s="173" t="str">
        <f t="shared" ref="A445:A456" si="2">A$444</f>
        <v>collection device</v>
      </c>
      <c r="B445" s="179" t="s">
        <v>2236</v>
      </c>
      <c r="C445" s="40" t="s">
        <v>2237</v>
      </c>
      <c r="D445" s="33" t="s">
        <v>2238</v>
      </c>
      <c r="E445" s="173"/>
      <c r="F445" s="168"/>
      <c r="G445" s="168"/>
      <c r="H445" s="168" t="s">
        <v>25</v>
      </c>
      <c r="I445" s="168" t="s">
        <v>25</v>
      </c>
      <c r="J445" s="168" t="s">
        <v>25</v>
      </c>
      <c r="K445" s="163" t="str">
        <f>VLOOKUP(C445,'Term Reference Guide'!$C:$C,1,false)</f>
        <v>GENEPIO:0100941</v>
      </c>
      <c r="L445" s="173"/>
      <c r="M445" s="173"/>
      <c r="N445" s="173"/>
      <c r="O445" s="173"/>
      <c r="P445" s="173"/>
      <c r="Q445" s="173"/>
      <c r="R445" s="173"/>
      <c r="S445" s="173"/>
      <c r="T445" s="173"/>
      <c r="U445" s="173"/>
      <c r="V445" s="173"/>
      <c r="W445" s="173"/>
      <c r="X445" s="173"/>
      <c r="Y445" s="173"/>
      <c r="Z445" s="173"/>
      <c r="AA445" s="173"/>
      <c r="AB445" s="173"/>
      <c r="AC445" s="173"/>
      <c r="AD445" s="173"/>
      <c r="AE445" s="173"/>
      <c r="AF445" s="173"/>
      <c r="AG445" s="173"/>
      <c r="AH445" s="173"/>
      <c r="AI445" s="173"/>
      <c r="AJ445" s="173"/>
      <c r="AK445" s="173"/>
      <c r="AL445" s="173"/>
      <c r="AM445" s="173"/>
      <c r="AN445" s="173"/>
      <c r="AO445" s="173"/>
      <c r="AP445" s="173"/>
      <c r="AQ445" s="173"/>
      <c r="AR445" s="173"/>
      <c r="AS445" s="173"/>
      <c r="AT445" s="173"/>
      <c r="AU445" s="173"/>
      <c r="AV445" s="173"/>
      <c r="AW445" s="173"/>
      <c r="AX445" s="173"/>
      <c r="AY445" s="173"/>
      <c r="AZ445" s="173"/>
      <c r="BA445" s="173"/>
      <c r="BB445" s="173"/>
      <c r="BC445" s="173"/>
      <c r="BD445" s="173"/>
      <c r="BE445" s="173"/>
      <c r="BF445" s="173"/>
      <c r="BG445" s="173"/>
      <c r="BH445" s="173"/>
      <c r="BI445" s="173"/>
      <c r="BJ445" s="173"/>
      <c r="BK445" s="173"/>
      <c r="BL445" s="173"/>
      <c r="BM445" s="173"/>
      <c r="BN445" s="173"/>
      <c r="BO445" s="173"/>
      <c r="BP445" s="173"/>
      <c r="BQ445" s="173"/>
      <c r="BR445" s="173"/>
      <c r="BS445" s="173"/>
      <c r="BT445" s="173"/>
      <c r="BU445" s="173"/>
      <c r="BV445" s="173"/>
      <c r="BW445" s="173"/>
      <c r="BX445" s="173"/>
      <c r="BY445" s="173"/>
      <c r="BZ445" s="173"/>
      <c r="CA445" s="173"/>
      <c r="CB445" s="173"/>
      <c r="CC445" s="173"/>
      <c r="CD445" s="173"/>
      <c r="CE445" s="173"/>
      <c r="CF445" s="173"/>
      <c r="CG445" s="173"/>
      <c r="CH445" s="173"/>
      <c r="CI445" s="173"/>
      <c r="CJ445" s="173"/>
      <c r="CK445" s="173"/>
      <c r="CL445" s="173"/>
      <c r="CM445" s="173"/>
      <c r="CN445" s="173"/>
      <c r="CO445" s="173"/>
      <c r="CP445" s="173"/>
      <c r="CQ445" s="173"/>
      <c r="CR445" s="173"/>
      <c r="CS445" s="173"/>
    </row>
    <row r="446" hidden="1">
      <c r="A446" s="173" t="str">
        <f t="shared" si="2"/>
        <v>collection device</v>
      </c>
      <c r="B446" s="179" t="s">
        <v>2239</v>
      </c>
      <c r="C446" s="40" t="s">
        <v>2240</v>
      </c>
      <c r="D446" s="70" t="s">
        <v>2241</v>
      </c>
      <c r="E446" s="173"/>
      <c r="F446" s="168"/>
      <c r="G446" s="168"/>
      <c r="H446" s="168" t="s">
        <v>25</v>
      </c>
      <c r="I446" s="168" t="s">
        <v>25</v>
      </c>
      <c r="J446" s="168" t="s">
        <v>25</v>
      </c>
      <c r="K446" s="163" t="str">
        <f>VLOOKUP(C446,'Term Reference Guide'!$C:$C,1,false)</f>
        <v>GENEPIO:0100943</v>
      </c>
      <c r="L446" s="173"/>
      <c r="M446" s="173"/>
      <c r="N446" s="173"/>
      <c r="O446" s="173"/>
      <c r="P446" s="173"/>
      <c r="Q446" s="173"/>
      <c r="R446" s="173"/>
      <c r="S446" s="173"/>
      <c r="T446" s="173"/>
      <c r="U446" s="173"/>
      <c r="V446" s="173"/>
      <c r="W446" s="173"/>
      <c r="X446" s="173"/>
      <c r="Y446" s="173"/>
      <c r="Z446" s="173"/>
      <c r="AA446" s="173"/>
      <c r="AB446" s="173"/>
      <c r="AC446" s="173"/>
      <c r="AD446" s="173"/>
      <c r="AE446" s="173"/>
      <c r="AF446" s="173"/>
      <c r="AG446" s="173"/>
      <c r="AH446" s="173"/>
      <c r="AI446" s="173"/>
      <c r="AJ446" s="173"/>
      <c r="AK446" s="173"/>
      <c r="AL446" s="173"/>
      <c r="AM446" s="173"/>
      <c r="AN446" s="173"/>
      <c r="AO446" s="173"/>
      <c r="AP446" s="173"/>
      <c r="AQ446" s="173"/>
      <c r="AR446" s="173"/>
      <c r="AS446" s="173"/>
      <c r="AT446" s="173"/>
      <c r="AU446" s="173"/>
      <c r="AV446" s="173"/>
      <c r="AW446" s="173"/>
      <c r="AX446" s="173"/>
      <c r="AY446" s="173"/>
      <c r="AZ446" s="173"/>
      <c r="BA446" s="173"/>
      <c r="BB446" s="173"/>
      <c r="BC446" s="173"/>
      <c r="BD446" s="173"/>
      <c r="BE446" s="173"/>
      <c r="BF446" s="173"/>
      <c r="BG446" s="173"/>
      <c r="BH446" s="173"/>
      <c r="BI446" s="173"/>
      <c r="BJ446" s="173"/>
      <c r="BK446" s="173"/>
      <c r="BL446" s="173"/>
      <c r="BM446" s="173"/>
      <c r="BN446" s="173"/>
      <c r="BO446" s="173"/>
      <c r="BP446" s="173"/>
      <c r="BQ446" s="173"/>
      <c r="BR446" s="173"/>
      <c r="BS446" s="173"/>
      <c r="BT446" s="173"/>
      <c r="BU446" s="173"/>
      <c r="BV446" s="173"/>
      <c r="BW446" s="173"/>
      <c r="BX446" s="173"/>
      <c r="BY446" s="173"/>
      <c r="BZ446" s="173"/>
      <c r="CA446" s="173"/>
      <c r="CB446" s="173"/>
      <c r="CC446" s="173"/>
      <c r="CD446" s="173"/>
      <c r="CE446" s="173"/>
      <c r="CF446" s="173"/>
      <c r="CG446" s="173"/>
      <c r="CH446" s="173"/>
      <c r="CI446" s="173"/>
      <c r="CJ446" s="173"/>
      <c r="CK446" s="173"/>
      <c r="CL446" s="173"/>
      <c r="CM446" s="173"/>
      <c r="CN446" s="173"/>
      <c r="CO446" s="173"/>
      <c r="CP446" s="173"/>
      <c r="CQ446" s="173"/>
      <c r="CR446" s="173"/>
      <c r="CS446" s="173"/>
    </row>
    <row r="447" hidden="1">
      <c r="A447" s="173" t="str">
        <f t="shared" si="2"/>
        <v>collection device</v>
      </c>
      <c r="B447" s="179" t="s">
        <v>2242</v>
      </c>
      <c r="C447" s="40" t="s">
        <v>2243</v>
      </c>
      <c r="D447" s="70" t="s">
        <v>2244</v>
      </c>
      <c r="E447" s="173"/>
      <c r="F447" s="168"/>
      <c r="G447" s="168"/>
      <c r="H447" s="168" t="s">
        <v>25</v>
      </c>
      <c r="I447" s="168" t="s">
        <v>25</v>
      </c>
      <c r="J447" s="168" t="s">
        <v>25</v>
      </c>
      <c r="K447" s="163" t="str">
        <f>VLOOKUP(C447,'Term Reference Guide'!$C:$C,1,false)</f>
        <v>GENEPIO:0100944</v>
      </c>
      <c r="L447" s="173"/>
      <c r="M447" s="173"/>
      <c r="N447" s="173"/>
      <c r="O447" s="173"/>
      <c r="P447" s="173"/>
      <c r="Q447" s="173"/>
      <c r="R447" s="173"/>
      <c r="S447" s="173"/>
      <c r="T447" s="173"/>
      <c r="U447" s="173"/>
      <c r="V447" s="173"/>
      <c r="W447" s="173"/>
      <c r="X447" s="173"/>
      <c r="Y447" s="173"/>
      <c r="Z447" s="173"/>
      <c r="AA447" s="173"/>
      <c r="AB447" s="173"/>
      <c r="AC447" s="173"/>
      <c r="AD447" s="173"/>
      <c r="AE447" s="173"/>
      <c r="AF447" s="173"/>
      <c r="AG447" s="173"/>
      <c r="AH447" s="173"/>
      <c r="AI447" s="173"/>
      <c r="AJ447" s="173"/>
      <c r="AK447" s="173"/>
      <c r="AL447" s="173"/>
      <c r="AM447" s="173"/>
      <c r="AN447" s="173"/>
      <c r="AO447" s="173"/>
      <c r="AP447" s="173"/>
      <c r="AQ447" s="173"/>
      <c r="AR447" s="173"/>
      <c r="AS447" s="173"/>
      <c r="AT447" s="173"/>
      <c r="AU447" s="173"/>
      <c r="AV447" s="173"/>
      <c r="AW447" s="173"/>
      <c r="AX447" s="173"/>
      <c r="AY447" s="173"/>
      <c r="AZ447" s="173"/>
      <c r="BA447" s="173"/>
      <c r="BB447" s="173"/>
      <c r="BC447" s="173"/>
      <c r="BD447" s="173"/>
      <c r="BE447" s="173"/>
      <c r="BF447" s="173"/>
      <c r="BG447" s="173"/>
      <c r="BH447" s="173"/>
      <c r="BI447" s="173"/>
      <c r="BJ447" s="173"/>
      <c r="BK447" s="173"/>
      <c r="BL447" s="173"/>
      <c r="BM447" s="173"/>
      <c r="BN447" s="173"/>
      <c r="BO447" s="173"/>
      <c r="BP447" s="173"/>
      <c r="BQ447" s="173"/>
      <c r="BR447" s="173"/>
      <c r="BS447" s="173"/>
      <c r="BT447" s="173"/>
      <c r="BU447" s="173"/>
      <c r="BV447" s="173"/>
      <c r="BW447" s="173"/>
      <c r="BX447" s="173"/>
      <c r="BY447" s="173"/>
      <c r="BZ447" s="173"/>
      <c r="CA447" s="173"/>
      <c r="CB447" s="173"/>
      <c r="CC447" s="173"/>
      <c r="CD447" s="173"/>
      <c r="CE447" s="173"/>
      <c r="CF447" s="173"/>
      <c r="CG447" s="173"/>
      <c r="CH447" s="173"/>
      <c r="CI447" s="173"/>
      <c r="CJ447" s="173"/>
      <c r="CK447" s="173"/>
      <c r="CL447" s="173"/>
      <c r="CM447" s="173"/>
      <c r="CN447" s="173"/>
      <c r="CO447" s="173"/>
      <c r="CP447" s="173"/>
      <c r="CQ447" s="173"/>
      <c r="CR447" s="173"/>
      <c r="CS447" s="173"/>
    </row>
    <row r="448" hidden="1">
      <c r="A448" s="173" t="str">
        <f t="shared" si="2"/>
        <v>collection device</v>
      </c>
      <c r="B448" s="179" t="s">
        <v>2245</v>
      </c>
      <c r="C448" s="40" t="s">
        <v>2246</v>
      </c>
      <c r="D448" s="70" t="s">
        <v>2247</v>
      </c>
      <c r="E448" s="173"/>
      <c r="F448" s="168"/>
      <c r="G448" s="168"/>
      <c r="H448" s="168" t="s">
        <v>25</v>
      </c>
      <c r="I448" s="168" t="s">
        <v>25</v>
      </c>
      <c r="J448" s="168" t="s">
        <v>25</v>
      </c>
      <c r="K448" s="163" t="str">
        <f>VLOOKUP(C448,'Term Reference Guide'!$C:$C,1,false)</f>
        <v>GENEPIO:0100945</v>
      </c>
      <c r="L448" s="173"/>
      <c r="M448" s="173"/>
      <c r="N448" s="173"/>
      <c r="O448" s="173"/>
      <c r="P448" s="173"/>
      <c r="Q448" s="173"/>
      <c r="R448" s="173"/>
      <c r="S448" s="173"/>
      <c r="T448" s="173"/>
      <c r="U448" s="173"/>
      <c r="V448" s="173"/>
      <c r="W448" s="173"/>
      <c r="X448" s="173"/>
      <c r="Y448" s="173"/>
      <c r="Z448" s="173"/>
      <c r="AA448" s="173"/>
      <c r="AB448" s="173"/>
      <c r="AC448" s="173"/>
      <c r="AD448" s="173"/>
      <c r="AE448" s="173"/>
      <c r="AF448" s="173"/>
      <c r="AG448" s="173"/>
      <c r="AH448" s="173"/>
      <c r="AI448" s="173"/>
      <c r="AJ448" s="173"/>
      <c r="AK448" s="173"/>
      <c r="AL448" s="173"/>
      <c r="AM448" s="173"/>
      <c r="AN448" s="173"/>
      <c r="AO448" s="173"/>
      <c r="AP448" s="173"/>
      <c r="AQ448" s="173"/>
      <c r="AR448" s="173"/>
      <c r="AS448" s="173"/>
      <c r="AT448" s="173"/>
      <c r="AU448" s="173"/>
      <c r="AV448" s="173"/>
      <c r="AW448" s="173"/>
      <c r="AX448" s="173"/>
      <c r="AY448" s="173"/>
      <c r="AZ448" s="173"/>
      <c r="BA448" s="173"/>
      <c r="BB448" s="173"/>
      <c r="BC448" s="173"/>
      <c r="BD448" s="173"/>
      <c r="BE448" s="173"/>
      <c r="BF448" s="173"/>
      <c r="BG448" s="173"/>
      <c r="BH448" s="173"/>
      <c r="BI448" s="173"/>
      <c r="BJ448" s="173"/>
      <c r="BK448" s="173"/>
      <c r="BL448" s="173"/>
      <c r="BM448" s="173"/>
      <c r="BN448" s="173"/>
      <c r="BO448" s="173"/>
      <c r="BP448" s="173"/>
      <c r="BQ448" s="173"/>
      <c r="BR448" s="173"/>
      <c r="BS448" s="173"/>
      <c r="BT448" s="173"/>
      <c r="BU448" s="173"/>
      <c r="BV448" s="173"/>
      <c r="BW448" s="173"/>
      <c r="BX448" s="173"/>
      <c r="BY448" s="173"/>
      <c r="BZ448" s="173"/>
      <c r="CA448" s="173"/>
      <c r="CB448" s="173"/>
      <c r="CC448" s="173"/>
      <c r="CD448" s="173"/>
      <c r="CE448" s="173"/>
      <c r="CF448" s="173"/>
      <c r="CG448" s="173"/>
      <c r="CH448" s="173"/>
      <c r="CI448" s="173"/>
      <c r="CJ448" s="173"/>
      <c r="CK448" s="173"/>
      <c r="CL448" s="173"/>
      <c r="CM448" s="173"/>
      <c r="CN448" s="173"/>
      <c r="CO448" s="173"/>
      <c r="CP448" s="173"/>
      <c r="CQ448" s="173"/>
      <c r="CR448" s="173"/>
      <c r="CS448" s="173"/>
    </row>
    <row r="449" hidden="1">
      <c r="A449" s="173" t="str">
        <f t="shared" si="2"/>
        <v>collection device</v>
      </c>
      <c r="B449" s="179" t="s">
        <v>2248</v>
      </c>
      <c r="C449" s="40" t="s">
        <v>2249</v>
      </c>
      <c r="D449" s="33" t="s">
        <v>2250</v>
      </c>
      <c r="E449" s="173"/>
      <c r="F449" s="168"/>
      <c r="G449" s="168"/>
      <c r="H449" s="168" t="s">
        <v>25</v>
      </c>
      <c r="I449" s="168" t="s">
        <v>25</v>
      </c>
      <c r="J449" s="168" t="s">
        <v>25</v>
      </c>
      <c r="K449" s="163" t="str">
        <f>VLOOKUP(C449,'Term Reference Guide'!$C:$C,1,false)</f>
        <v>GENEPIO:0100946</v>
      </c>
      <c r="L449" s="173"/>
      <c r="M449" s="173"/>
      <c r="N449" s="173"/>
      <c r="O449" s="173"/>
      <c r="P449" s="173"/>
      <c r="Q449" s="173"/>
      <c r="R449" s="173"/>
      <c r="S449" s="173"/>
      <c r="T449" s="173"/>
      <c r="U449" s="173"/>
      <c r="V449" s="173"/>
      <c r="W449" s="173"/>
      <c r="X449" s="173"/>
      <c r="Y449" s="173"/>
      <c r="Z449" s="173"/>
      <c r="AA449" s="173"/>
      <c r="AB449" s="173"/>
      <c r="AC449" s="173"/>
      <c r="AD449" s="173"/>
      <c r="AE449" s="173"/>
      <c r="AF449" s="173"/>
      <c r="AG449" s="173"/>
      <c r="AH449" s="173"/>
      <c r="AI449" s="173"/>
      <c r="AJ449" s="173"/>
      <c r="AK449" s="173"/>
      <c r="AL449" s="173"/>
      <c r="AM449" s="173"/>
      <c r="AN449" s="173"/>
      <c r="AO449" s="173"/>
      <c r="AP449" s="173"/>
      <c r="AQ449" s="173"/>
      <c r="AR449" s="173"/>
      <c r="AS449" s="173"/>
      <c r="AT449" s="173"/>
      <c r="AU449" s="173"/>
      <c r="AV449" s="173"/>
      <c r="AW449" s="173"/>
      <c r="AX449" s="173"/>
      <c r="AY449" s="173"/>
      <c r="AZ449" s="173"/>
      <c r="BA449" s="173"/>
      <c r="BB449" s="173"/>
      <c r="BC449" s="173"/>
      <c r="BD449" s="173"/>
      <c r="BE449" s="173"/>
      <c r="BF449" s="173"/>
      <c r="BG449" s="173"/>
      <c r="BH449" s="173"/>
      <c r="BI449" s="173"/>
      <c r="BJ449" s="173"/>
      <c r="BK449" s="173"/>
      <c r="BL449" s="173"/>
      <c r="BM449" s="173"/>
      <c r="BN449" s="173"/>
      <c r="BO449" s="173"/>
      <c r="BP449" s="173"/>
      <c r="BQ449" s="173"/>
      <c r="BR449" s="173"/>
      <c r="BS449" s="173"/>
      <c r="BT449" s="173"/>
      <c r="BU449" s="173"/>
      <c r="BV449" s="173"/>
      <c r="BW449" s="173"/>
      <c r="BX449" s="173"/>
      <c r="BY449" s="173"/>
      <c r="BZ449" s="173"/>
      <c r="CA449" s="173"/>
      <c r="CB449" s="173"/>
      <c r="CC449" s="173"/>
      <c r="CD449" s="173"/>
      <c r="CE449" s="173"/>
      <c r="CF449" s="173"/>
      <c r="CG449" s="173"/>
      <c r="CH449" s="173"/>
      <c r="CI449" s="173"/>
      <c r="CJ449" s="173"/>
      <c r="CK449" s="173"/>
      <c r="CL449" s="173"/>
      <c r="CM449" s="173"/>
      <c r="CN449" s="173"/>
      <c r="CO449" s="173"/>
      <c r="CP449" s="173"/>
      <c r="CQ449" s="173"/>
      <c r="CR449" s="173"/>
      <c r="CS449" s="173"/>
    </row>
    <row r="450" hidden="1">
      <c r="A450" s="173" t="str">
        <f t="shared" si="2"/>
        <v>collection device</v>
      </c>
      <c r="B450" s="179" t="s">
        <v>2251</v>
      </c>
      <c r="C450" s="40" t="s">
        <v>2252</v>
      </c>
      <c r="D450" s="33" t="s">
        <v>2253</v>
      </c>
      <c r="E450" s="173"/>
      <c r="F450" s="168"/>
      <c r="G450" s="168"/>
      <c r="H450" s="168" t="s">
        <v>25</v>
      </c>
      <c r="I450" s="168" t="s">
        <v>25</v>
      </c>
      <c r="J450" s="168" t="s">
        <v>25</v>
      </c>
      <c r="K450" s="163" t="str">
        <f>VLOOKUP(C450,'Term Reference Guide'!$C:$C,1,false)</f>
        <v>GENEPIO:0100947</v>
      </c>
      <c r="L450" s="173"/>
      <c r="M450" s="173"/>
      <c r="N450" s="173"/>
      <c r="O450" s="173"/>
      <c r="P450" s="173"/>
      <c r="Q450" s="173"/>
      <c r="R450" s="173"/>
      <c r="S450" s="173"/>
      <c r="T450" s="173"/>
      <c r="U450" s="173"/>
      <c r="V450" s="173"/>
      <c r="W450" s="173"/>
      <c r="X450" s="173"/>
      <c r="Y450" s="173"/>
      <c r="Z450" s="173"/>
      <c r="AA450" s="173"/>
      <c r="AB450" s="173"/>
      <c r="AC450" s="173"/>
      <c r="AD450" s="173"/>
      <c r="AE450" s="173"/>
      <c r="AF450" s="173"/>
      <c r="AG450" s="173"/>
      <c r="AH450" s="173"/>
      <c r="AI450" s="173"/>
      <c r="AJ450" s="173"/>
      <c r="AK450" s="173"/>
      <c r="AL450" s="173"/>
      <c r="AM450" s="173"/>
      <c r="AN450" s="173"/>
      <c r="AO450" s="173"/>
      <c r="AP450" s="173"/>
      <c r="AQ450" s="173"/>
      <c r="AR450" s="173"/>
      <c r="AS450" s="173"/>
      <c r="AT450" s="173"/>
      <c r="AU450" s="173"/>
      <c r="AV450" s="173"/>
      <c r="AW450" s="173"/>
      <c r="AX450" s="173"/>
      <c r="AY450" s="173"/>
      <c r="AZ450" s="173"/>
      <c r="BA450" s="173"/>
      <c r="BB450" s="173"/>
      <c r="BC450" s="173"/>
      <c r="BD450" s="173"/>
      <c r="BE450" s="173"/>
      <c r="BF450" s="173"/>
      <c r="BG450" s="173"/>
      <c r="BH450" s="173"/>
      <c r="BI450" s="173"/>
      <c r="BJ450" s="173"/>
      <c r="BK450" s="173"/>
      <c r="BL450" s="173"/>
      <c r="BM450" s="173"/>
      <c r="BN450" s="173"/>
      <c r="BO450" s="173"/>
      <c r="BP450" s="173"/>
      <c r="BQ450" s="173"/>
      <c r="BR450" s="173"/>
      <c r="BS450" s="173"/>
      <c r="BT450" s="173"/>
      <c r="BU450" s="173"/>
      <c r="BV450" s="173"/>
      <c r="BW450" s="173"/>
      <c r="BX450" s="173"/>
      <c r="BY450" s="173"/>
      <c r="BZ450" s="173"/>
      <c r="CA450" s="173"/>
      <c r="CB450" s="173"/>
      <c r="CC450" s="173"/>
      <c r="CD450" s="173"/>
      <c r="CE450" s="173"/>
      <c r="CF450" s="173"/>
      <c r="CG450" s="173"/>
      <c r="CH450" s="173"/>
      <c r="CI450" s="173"/>
      <c r="CJ450" s="173"/>
      <c r="CK450" s="173"/>
      <c r="CL450" s="173"/>
      <c r="CM450" s="173"/>
      <c r="CN450" s="173"/>
      <c r="CO450" s="173"/>
      <c r="CP450" s="173"/>
      <c r="CQ450" s="173"/>
      <c r="CR450" s="173"/>
      <c r="CS450" s="173"/>
    </row>
    <row r="451" hidden="1">
      <c r="A451" s="173" t="str">
        <f t="shared" si="2"/>
        <v>collection device</v>
      </c>
      <c r="B451" s="179" t="s">
        <v>2254</v>
      </c>
      <c r="C451" s="40" t="s">
        <v>2255</v>
      </c>
      <c r="D451" s="33" t="s">
        <v>2256</v>
      </c>
      <c r="E451" s="173"/>
      <c r="F451" s="168"/>
      <c r="G451" s="168"/>
      <c r="H451" s="168" t="s">
        <v>25</v>
      </c>
      <c r="I451" s="168" t="s">
        <v>25</v>
      </c>
      <c r="J451" s="168" t="s">
        <v>25</v>
      </c>
      <c r="K451" s="163" t="str">
        <f>VLOOKUP(C451,'Term Reference Guide'!$C:$C,1,false)</f>
        <v>GENEPIO:0100942</v>
      </c>
      <c r="L451" s="173"/>
      <c r="M451" s="173"/>
      <c r="N451" s="173"/>
      <c r="O451" s="173"/>
      <c r="P451" s="173"/>
      <c r="Q451" s="173"/>
      <c r="R451" s="173"/>
      <c r="S451" s="173"/>
      <c r="T451" s="173"/>
      <c r="U451" s="173"/>
      <c r="V451" s="173"/>
      <c r="W451" s="173"/>
      <c r="X451" s="173"/>
      <c r="Y451" s="173"/>
      <c r="Z451" s="173"/>
      <c r="AA451" s="173"/>
      <c r="AB451" s="173"/>
      <c r="AC451" s="173"/>
      <c r="AD451" s="173"/>
      <c r="AE451" s="173"/>
      <c r="AF451" s="173"/>
      <c r="AG451" s="173"/>
      <c r="AH451" s="173"/>
      <c r="AI451" s="173"/>
      <c r="AJ451" s="173"/>
      <c r="AK451" s="173"/>
      <c r="AL451" s="173"/>
      <c r="AM451" s="173"/>
      <c r="AN451" s="173"/>
      <c r="AO451" s="173"/>
      <c r="AP451" s="173"/>
      <c r="AQ451" s="173"/>
      <c r="AR451" s="173"/>
      <c r="AS451" s="173"/>
      <c r="AT451" s="173"/>
      <c r="AU451" s="173"/>
      <c r="AV451" s="173"/>
      <c r="AW451" s="173"/>
      <c r="AX451" s="173"/>
      <c r="AY451" s="173"/>
      <c r="AZ451" s="173"/>
      <c r="BA451" s="173"/>
      <c r="BB451" s="173"/>
      <c r="BC451" s="173"/>
      <c r="BD451" s="173"/>
      <c r="BE451" s="173"/>
      <c r="BF451" s="173"/>
      <c r="BG451" s="173"/>
      <c r="BH451" s="173"/>
      <c r="BI451" s="173"/>
      <c r="BJ451" s="173"/>
      <c r="BK451" s="173"/>
      <c r="BL451" s="173"/>
      <c r="BM451" s="173"/>
      <c r="BN451" s="173"/>
      <c r="BO451" s="173"/>
      <c r="BP451" s="173"/>
      <c r="BQ451" s="173"/>
      <c r="BR451" s="173"/>
      <c r="BS451" s="173"/>
      <c r="BT451" s="173"/>
      <c r="BU451" s="173"/>
      <c r="BV451" s="173"/>
      <c r="BW451" s="173"/>
      <c r="BX451" s="173"/>
      <c r="BY451" s="173"/>
      <c r="BZ451" s="173"/>
      <c r="CA451" s="173"/>
      <c r="CB451" s="173"/>
      <c r="CC451" s="173"/>
      <c r="CD451" s="173"/>
      <c r="CE451" s="173"/>
      <c r="CF451" s="173"/>
      <c r="CG451" s="173"/>
      <c r="CH451" s="173"/>
      <c r="CI451" s="173"/>
      <c r="CJ451" s="173"/>
      <c r="CK451" s="173"/>
      <c r="CL451" s="173"/>
      <c r="CM451" s="173"/>
      <c r="CN451" s="173"/>
      <c r="CO451" s="173"/>
      <c r="CP451" s="173"/>
      <c r="CQ451" s="173"/>
      <c r="CR451" s="173"/>
      <c r="CS451" s="173"/>
    </row>
    <row r="452" hidden="1">
      <c r="A452" s="173" t="str">
        <f t="shared" si="2"/>
        <v>collection device</v>
      </c>
      <c r="B452" s="179" t="s">
        <v>2257</v>
      </c>
      <c r="C452" s="40" t="s">
        <v>2258</v>
      </c>
      <c r="D452" s="33" t="s">
        <v>2259</v>
      </c>
      <c r="E452" s="173"/>
      <c r="F452" s="168"/>
      <c r="G452" s="168"/>
      <c r="H452" s="168" t="s">
        <v>25</v>
      </c>
      <c r="I452" s="168" t="s">
        <v>25</v>
      </c>
      <c r="J452" s="168" t="s">
        <v>25</v>
      </c>
      <c r="K452" s="163" t="str">
        <f>VLOOKUP(C452,'Term Reference Guide'!$C:$C,1,false)</f>
        <v>GENEPIO:0100948</v>
      </c>
      <c r="L452" s="173"/>
      <c r="M452" s="173"/>
      <c r="N452" s="173"/>
      <c r="O452" s="173"/>
      <c r="P452" s="173"/>
      <c r="Q452" s="173"/>
      <c r="R452" s="173"/>
      <c r="S452" s="173"/>
      <c r="T452" s="173"/>
      <c r="U452" s="173"/>
      <c r="V452" s="173"/>
      <c r="W452" s="173"/>
      <c r="X452" s="173"/>
      <c r="Y452" s="173"/>
      <c r="Z452" s="173"/>
      <c r="AA452" s="173"/>
      <c r="AB452" s="173"/>
      <c r="AC452" s="173"/>
      <c r="AD452" s="173"/>
      <c r="AE452" s="173"/>
      <c r="AF452" s="173"/>
      <c r="AG452" s="173"/>
      <c r="AH452" s="173"/>
      <c r="AI452" s="173"/>
      <c r="AJ452" s="173"/>
      <c r="AK452" s="173"/>
      <c r="AL452" s="173"/>
      <c r="AM452" s="173"/>
      <c r="AN452" s="173"/>
      <c r="AO452" s="173"/>
      <c r="AP452" s="173"/>
      <c r="AQ452" s="173"/>
      <c r="AR452" s="173"/>
      <c r="AS452" s="173"/>
      <c r="AT452" s="173"/>
      <c r="AU452" s="173"/>
      <c r="AV452" s="173"/>
      <c r="AW452" s="173"/>
      <c r="AX452" s="173"/>
      <c r="AY452" s="173"/>
      <c r="AZ452" s="173"/>
      <c r="BA452" s="173"/>
      <c r="BB452" s="173"/>
      <c r="BC452" s="173"/>
      <c r="BD452" s="173"/>
      <c r="BE452" s="173"/>
      <c r="BF452" s="173"/>
      <c r="BG452" s="173"/>
      <c r="BH452" s="173"/>
      <c r="BI452" s="173"/>
      <c r="BJ452" s="173"/>
      <c r="BK452" s="173"/>
      <c r="BL452" s="173"/>
      <c r="BM452" s="173"/>
      <c r="BN452" s="173"/>
      <c r="BO452" s="173"/>
      <c r="BP452" s="173"/>
      <c r="BQ452" s="173"/>
      <c r="BR452" s="173"/>
      <c r="BS452" s="173"/>
      <c r="BT452" s="173"/>
      <c r="BU452" s="173"/>
      <c r="BV452" s="173"/>
      <c r="BW452" s="173"/>
      <c r="BX452" s="173"/>
      <c r="BY452" s="173"/>
      <c r="BZ452" s="173"/>
      <c r="CA452" s="173"/>
      <c r="CB452" s="173"/>
      <c r="CC452" s="173"/>
      <c r="CD452" s="173"/>
      <c r="CE452" s="173"/>
      <c r="CF452" s="173"/>
      <c r="CG452" s="173"/>
      <c r="CH452" s="173"/>
      <c r="CI452" s="173"/>
      <c r="CJ452" s="173"/>
      <c r="CK452" s="173"/>
      <c r="CL452" s="173"/>
      <c r="CM452" s="173"/>
      <c r="CN452" s="173"/>
      <c r="CO452" s="173"/>
      <c r="CP452" s="173"/>
      <c r="CQ452" s="173"/>
      <c r="CR452" s="173"/>
      <c r="CS452" s="173"/>
    </row>
    <row r="453" hidden="1">
      <c r="A453" s="173" t="str">
        <f t="shared" si="2"/>
        <v>collection device</v>
      </c>
      <c r="B453" s="179" t="s">
        <v>2260</v>
      </c>
      <c r="C453" s="40" t="s">
        <v>2261</v>
      </c>
      <c r="D453" s="33" t="s">
        <v>2262</v>
      </c>
      <c r="E453" s="173"/>
      <c r="F453" s="168"/>
      <c r="G453" s="168"/>
      <c r="H453" s="168" t="s">
        <v>25</v>
      </c>
      <c r="I453" s="168" t="s">
        <v>25</v>
      </c>
      <c r="J453" s="168" t="s">
        <v>25</v>
      </c>
      <c r="K453" s="163" t="str">
        <f>VLOOKUP(C453,'Term Reference Guide'!$C:$C,1,false)</f>
        <v>GENEPIO:0100949</v>
      </c>
      <c r="L453" s="173"/>
      <c r="M453" s="173"/>
      <c r="N453" s="173"/>
      <c r="O453" s="173"/>
      <c r="P453" s="173"/>
      <c r="Q453" s="173"/>
      <c r="R453" s="173"/>
      <c r="S453" s="173"/>
      <c r="T453" s="173"/>
      <c r="U453" s="173"/>
      <c r="V453" s="173"/>
      <c r="W453" s="173"/>
      <c r="X453" s="173"/>
      <c r="Y453" s="173"/>
      <c r="Z453" s="173"/>
      <c r="AA453" s="173"/>
      <c r="AB453" s="173"/>
      <c r="AC453" s="173"/>
      <c r="AD453" s="173"/>
      <c r="AE453" s="173"/>
      <c r="AF453" s="173"/>
      <c r="AG453" s="173"/>
      <c r="AH453" s="173"/>
      <c r="AI453" s="173"/>
      <c r="AJ453" s="173"/>
      <c r="AK453" s="173"/>
      <c r="AL453" s="173"/>
      <c r="AM453" s="173"/>
      <c r="AN453" s="173"/>
      <c r="AO453" s="173"/>
      <c r="AP453" s="173"/>
      <c r="AQ453" s="173"/>
      <c r="AR453" s="173"/>
      <c r="AS453" s="173"/>
      <c r="AT453" s="173"/>
      <c r="AU453" s="173"/>
      <c r="AV453" s="173"/>
      <c r="AW453" s="173"/>
      <c r="AX453" s="173"/>
      <c r="AY453" s="173"/>
      <c r="AZ453" s="173"/>
      <c r="BA453" s="173"/>
      <c r="BB453" s="173"/>
      <c r="BC453" s="173"/>
      <c r="BD453" s="173"/>
      <c r="BE453" s="173"/>
      <c r="BF453" s="173"/>
      <c r="BG453" s="173"/>
      <c r="BH453" s="173"/>
      <c r="BI453" s="173"/>
      <c r="BJ453" s="173"/>
      <c r="BK453" s="173"/>
      <c r="BL453" s="173"/>
      <c r="BM453" s="173"/>
      <c r="BN453" s="173"/>
      <c r="BO453" s="173"/>
      <c r="BP453" s="173"/>
      <c r="BQ453" s="173"/>
      <c r="BR453" s="173"/>
      <c r="BS453" s="173"/>
      <c r="BT453" s="173"/>
      <c r="BU453" s="173"/>
      <c r="BV453" s="173"/>
      <c r="BW453" s="173"/>
      <c r="BX453" s="173"/>
      <c r="BY453" s="173"/>
      <c r="BZ453" s="173"/>
      <c r="CA453" s="173"/>
      <c r="CB453" s="173"/>
      <c r="CC453" s="173"/>
      <c r="CD453" s="173"/>
      <c r="CE453" s="173"/>
      <c r="CF453" s="173"/>
      <c r="CG453" s="173"/>
      <c r="CH453" s="173"/>
      <c r="CI453" s="173"/>
      <c r="CJ453" s="173"/>
      <c r="CK453" s="173"/>
      <c r="CL453" s="173"/>
      <c r="CM453" s="173"/>
      <c r="CN453" s="173"/>
      <c r="CO453" s="173"/>
      <c r="CP453" s="173"/>
      <c r="CQ453" s="173"/>
      <c r="CR453" s="173"/>
      <c r="CS453" s="173"/>
    </row>
    <row r="454" hidden="1">
      <c r="A454" s="173" t="str">
        <f t="shared" si="2"/>
        <v>collection device</v>
      </c>
      <c r="B454" s="179" t="s">
        <v>2263</v>
      </c>
      <c r="C454" s="40" t="s">
        <v>2264</v>
      </c>
      <c r="D454" s="33" t="s">
        <v>2265</v>
      </c>
      <c r="E454" s="173"/>
      <c r="F454" s="168"/>
      <c r="G454" s="168"/>
      <c r="H454" s="168" t="s">
        <v>25</v>
      </c>
      <c r="I454" s="168" t="s">
        <v>25</v>
      </c>
      <c r="J454" s="168" t="s">
        <v>25</v>
      </c>
      <c r="K454" s="163" t="str">
        <f>VLOOKUP(C454,'Term Reference Guide'!$C:$C,1,false)</f>
        <v>GENEPIO:0100950</v>
      </c>
      <c r="L454" s="173"/>
      <c r="M454" s="173"/>
      <c r="N454" s="173"/>
      <c r="O454" s="173"/>
      <c r="P454" s="173"/>
      <c r="Q454" s="173"/>
      <c r="R454" s="173"/>
      <c r="S454" s="173"/>
      <c r="T454" s="173"/>
      <c r="U454" s="173"/>
      <c r="V454" s="173"/>
      <c r="W454" s="173"/>
      <c r="X454" s="173"/>
      <c r="Y454" s="173"/>
      <c r="Z454" s="173"/>
      <c r="AA454" s="173"/>
      <c r="AB454" s="173"/>
      <c r="AC454" s="173"/>
      <c r="AD454" s="173"/>
      <c r="AE454" s="173"/>
      <c r="AF454" s="173"/>
      <c r="AG454" s="173"/>
      <c r="AH454" s="173"/>
      <c r="AI454" s="173"/>
      <c r="AJ454" s="173"/>
      <c r="AK454" s="173"/>
      <c r="AL454" s="173"/>
      <c r="AM454" s="173"/>
      <c r="AN454" s="173"/>
      <c r="AO454" s="173"/>
      <c r="AP454" s="173"/>
      <c r="AQ454" s="173"/>
      <c r="AR454" s="173"/>
      <c r="AS454" s="173"/>
      <c r="AT454" s="173"/>
      <c r="AU454" s="173"/>
      <c r="AV454" s="173"/>
      <c r="AW454" s="173"/>
      <c r="AX454" s="173"/>
      <c r="AY454" s="173"/>
      <c r="AZ454" s="173"/>
      <c r="BA454" s="173"/>
      <c r="BB454" s="173"/>
      <c r="BC454" s="173"/>
      <c r="BD454" s="173"/>
      <c r="BE454" s="173"/>
      <c r="BF454" s="173"/>
      <c r="BG454" s="173"/>
      <c r="BH454" s="173"/>
      <c r="BI454" s="173"/>
      <c r="BJ454" s="173"/>
      <c r="BK454" s="173"/>
      <c r="BL454" s="173"/>
      <c r="BM454" s="173"/>
      <c r="BN454" s="173"/>
      <c r="BO454" s="173"/>
      <c r="BP454" s="173"/>
      <c r="BQ454" s="173"/>
      <c r="BR454" s="173"/>
      <c r="BS454" s="173"/>
      <c r="BT454" s="173"/>
      <c r="BU454" s="173"/>
      <c r="BV454" s="173"/>
      <c r="BW454" s="173"/>
      <c r="BX454" s="173"/>
      <c r="BY454" s="173"/>
      <c r="BZ454" s="173"/>
      <c r="CA454" s="173"/>
      <c r="CB454" s="173"/>
      <c r="CC454" s="173"/>
      <c r="CD454" s="173"/>
      <c r="CE454" s="173"/>
      <c r="CF454" s="173"/>
      <c r="CG454" s="173"/>
      <c r="CH454" s="173"/>
      <c r="CI454" s="173"/>
      <c r="CJ454" s="173"/>
      <c r="CK454" s="173"/>
      <c r="CL454" s="173"/>
      <c r="CM454" s="173"/>
      <c r="CN454" s="173"/>
      <c r="CO454" s="173"/>
      <c r="CP454" s="173"/>
      <c r="CQ454" s="173"/>
      <c r="CR454" s="173"/>
      <c r="CS454" s="173"/>
    </row>
    <row r="455" hidden="1">
      <c r="A455" s="173" t="str">
        <f t="shared" si="2"/>
        <v>collection device</v>
      </c>
      <c r="B455" s="179" t="s">
        <v>2266</v>
      </c>
      <c r="C455" s="40" t="s">
        <v>2267</v>
      </c>
      <c r="D455" s="33" t="s">
        <v>2268</v>
      </c>
      <c r="E455" s="173"/>
      <c r="F455" s="168"/>
      <c r="G455" s="168"/>
      <c r="H455" s="168" t="s">
        <v>25</v>
      </c>
      <c r="I455" s="168" t="s">
        <v>25</v>
      </c>
      <c r="J455" s="168" t="s">
        <v>25</v>
      </c>
      <c r="K455" s="163" t="str">
        <f>VLOOKUP(C455,'Term Reference Guide'!$C:$C,1,false)</f>
        <v>GENEPIO:0100951</v>
      </c>
      <c r="L455" s="173"/>
      <c r="M455" s="173"/>
      <c r="N455" s="173"/>
      <c r="O455" s="173"/>
      <c r="P455" s="173"/>
      <c r="Q455" s="173"/>
      <c r="R455" s="173"/>
      <c r="S455" s="173"/>
      <c r="T455" s="173"/>
      <c r="U455" s="173"/>
      <c r="V455" s="173"/>
      <c r="W455" s="173"/>
      <c r="X455" s="173"/>
      <c r="Y455" s="173"/>
      <c r="Z455" s="173"/>
      <c r="AA455" s="173"/>
      <c r="AB455" s="173"/>
      <c r="AC455" s="173"/>
      <c r="AD455" s="173"/>
      <c r="AE455" s="173"/>
      <c r="AF455" s="173"/>
      <c r="AG455" s="173"/>
      <c r="AH455" s="173"/>
      <c r="AI455" s="173"/>
      <c r="AJ455" s="173"/>
      <c r="AK455" s="173"/>
      <c r="AL455" s="173"/>
      <c r="AM455" s="173"/>
      <c r="AN455" s="173"/>
      <c r="AO455" s="173"/>
      <c r="AP455" s="173"/>
      <c r="AQ455" s="173"/>
      <c r="AR455" s="173"/>
      <c r="AS455" s="173"/>
      <c r="AT455" s="173"/>
      <c r="AU455" s="173"/>
      <c r="AV455" s="173"/>
      <c r="AW455" s="173"/>
      <c r="AX455" s="173"/>
      <c r="AY455" s="173"/>
      <c r="AZ455" s="173"/>
      <c r="BA455" s="173"/>
      <c r="BB455" s="173"/>
      <c r="BC455" s="173"/>
      <c r="BD455" s="173"/>
      <c r="BE455" s="173"/>
      <c r="BF455" s="173"/>
      <c r="BG455" s="173"/>
      <c r="BH455" s="173"/>
      <c r="BI455" s="173"/>
      <c r="BJ455" s="173"/>
      <c r="BK455" s="173"/>
      <c r="BL455" s="173"/>
      <c r="BM455" s="173"/>
      <c r="BN455" s="173"/>
      <c r="BO455" s="173"/>
      <c r="BP455" s="173"/>
      <c r="BQ455" s="173"/>
      <c r="BR455" s="173"/>
      <c r="BS455" s="173"/>
      <c r="BT455" s="173"/>
      <c r="BU455" s="173"/>
      <c r="BV455" s="173"/>
      <c r="BW455" s="173"/>
      <c r="BX455" s="173"/>
      <c r="BY455" s="173"/>
      <c r="BZ455" s="173"/>
      <c r="CA455" s="173"/>
      <c r="CB455" s="173"/>
      <c r="CC455" s="173"/>
      <c r="CD455" s="173"/>
      <c r="CE455" s="173"/>
      <c r="CF455" s="173"/>
      <c r="CG455" s="173"/>
      <c r="CH455" s="173"/>
      <c r="CI455" s="173"/>
      <c r="CJ455" s="173"/>
      <c r="CK455" s="173"/>
      <c r="CL455" s="173"/>
      <c r="CM455" s="173"/>
      <c r="CN455" s="173"/>
      <c r="CO455" s="173"/>
      <c r="CP455" s="173"/>
      <c r="CQ455" s="173"/>
      <c r="CR455" s="173"/>
      <c r="CS455" s="173"/>
    </row>
    <row r="456" hidden="1">
      <c r="A456" s="173" t="str">
        <f t="shared" si="2"/>
        <v>collection device</v>
      </c>
      <c r="B456" s="179" t="s">
        <v>2269</v>
      </c>
      <c r="C456" s="40" t="s">
        <v>2270</v>
      </c>
      <c r="D456" s="33" t="s">
        <v>2271</v>
      </c>
      <c r="E456" s="173"/>
      <c r="F456" s="168"/>
      <c r="G456" s="168"/>
      <c r="H456" s="168" t="s">
        <v>25</v>
      </c>
      <c r="I456" s="168" t="s">
        <v>25</v>
      </c>
      <c r="J456" s="168" t="s">
        <v>25</v>
      </c>
      <c r="K456" s="163" t="str">
        <f>VLOOKUP(C456,'Term Reference Guide'!$C:$C,1,false)</f>
        <v>GENEPIO:0100952</v>
      </c>
      <c r="L456" s="173"/>
      <c r="M456" s="173"/>
      <c r="N456" s="173"/>
      <c r="O456" s="173"/>
      <c r="P456" s="173"/>
      <c r="Q456" s="173"/>
      <c r="R456" s="173"/>
      <c r="S456" s="173"/>
      <c r="T456" s="173"/>
      <c r="U456" s="173"/>
      <c r="V456" s="173"/>
      <c r="W456" s="173"/>
      <c r="X456" s="173"/>
      <c r="Y456" s="173"/>
      <c r="Z456" s="173"/>
      <c r="AA456" s="173"/>
      <c r="AB456" s="173"/>
      <c r="AC456" s="173"/>
      <c r="AD456" s="173"/>
      <c r="AE456" s="173"/>
      <c r="AF456" s="173"/>
      <c r="AG456" s="173"/>
      <c r="AH456" s="173"/>
      <c r="AI456" s="173"/>
      <c r="AJ456" s="173"/>
      <c r="AK456" s="173"/>
      <c r="AL456" s="173"/>
      <c r="AM456" s="173"/>
      <c r="AN456" s="173"/>
      <c r="AO456" s="173"/>
      <c r="AP456" s="173"/>
      <c r="AQ456" s="173"/>
      <c r="AR456" s="173"/>
      <c r="AS456" s="173"/>
      <c r="AT456" s="173"/>
      <c r="AU456" s="173"/>
      <c r="AV456" s="173"/>
      <c r="AW456" s="173"/>
      <c r="AX456" s="173"/>
      <c r="AY456" s="173"/>
      <c r="AZ456" s="173"/>
      <c r="BA456" s="173"/>
      <c r="BB456" s="173"/>
      <c r="BC456" s="173"/>
      <c r="BD456" s="173"/>
      <c r="BE456" s="173"/>
      <c r="BF456" s="173"/>
      <c r="BG456" s="173"/>
      <c r="BH456" s="173"/>
      <c r="BI456" s="173"/>
      <c r="BJ456" s="173"/>
      <c r="BK456" s="173"/>
      <c r="BL456" s="173"/>
      <c r="BM456" s="173"/>
      <c r="BN456" s="173"/>
      <c r="BO456" s="173"/>
      <c r="BP456" s="173"/>
      <c r="BQ456" s="173"/>
      <c r="BR456" s="173"/>
      <c r="BS456" s="173"/>
      <c r="BT456" s="173"/>
      <c r="BU456" s="173"/>
      <c r="BV456" s="173"/>
      <c r="BW456" s="173"/>
      <c r="BX456" s="173"/>
      <c r="BY456" s="173"/>
      <c r="BZ456" s="173"/>
      <c r="CA456" s="173"/>
      <c r="CB456" s="173"/>
      <c r="CC456" s="173"/>
      <c r="CD456" s="173"/>
      <c r="CE456" s="173"/>
      <c r="CF456" s="173"/>
      <c r="CG456" s="173"/>
      <c r="CH456" s="173"/>
      <c r="CI456" s="173"/>
      <c r="CJ456" s="173"/>
      <c r="CK456" s="173"/>
      <c r="CL456" s="173"/>
      <c r="CM456" s="173"/>
      <c r="CN456" s="173"/>
      <c r="CO456" s="173"/>
      <c r="CP456" s="173"/>
      <c r="CQ456" s="173"/>
      <c r="CR456" s="173"/>
      <c r="CS456" s="173"/>
    </row>
    <row r="457">
      <c r="A457" s="173"/>
      <c r="B457" s="179"/>
      <c r="C457" s="173"/>
      <c r="D457" s="70"/>
      <c r="E457" s="173"/>
      <c r="F457" s="173"/>
      <c r="G457" s="173"/>
      <c r="H457" s="173"/>
      <c r="I457" s="173"/>
      <c r="J457" s="141"/>
      <c r="K457" s="163" t="str">
        <f>VLOOKUP(C457,'Term Reference Guide'!$C:$C,1,false)</f>
        <v>#N/A</v>
      </c>
      <c r="L457" s="173"/>
      <c r="M457" s="173"/>
      <c r="N457" s="173"/>
      <c r="O457" s="173"/>
      <c r="P457" s="173"/>
      <c r="Q457" s="173"/>
      <c r="R457" s="173"/>
      <c r="S457" s="173"/>
      <c r="T457" s="173"/>
      <c r="U457" s="173"/>
      <c r="V457" s="173"/>
      <c r="W457" s="173"/>
      <c r="X457" s="173"/>
      <c r="Y457" s="173"/>
      <c r="Z457" s="173"/>
      <c r="AA457" s="173"/>
      <c r="AB457" s="173"/>
      <c r="AC457" s="173"/>
      <c r="AD457" s="173"/>
      <c r="AE457" s="173"/>
      <c r="AF457" s="173"/>
      <c r="AG457" s="173"/>
      <c r="AH457" s="173"/>
      <c r="AI457" s="173"/>
      <c r="AJ457" s="173"/>
      <c r="AK457" s="173"/>
      <c r="AL457" s="173"/>
      <c r="AM457" s="173"/>
      <c r="AN457" s="173"/>
      <c r="AO457" s="173"/>
      <c r="AP457" s="173"/>
      <c r="AQ457" s="173"/>
      <c r="AR457" s="173"/>
      <c r="AS457" s="173"/>
      <c r="AT457" s="173"/>
      <c r="AU457" s="173"/>
      <c r="AV457" s="173"/>
      <c r="AW457" s="173"/>
      <c r="AX457" s="173"/>
      <c r="AY457" s="173"/>
      <c r="AZ457" s="173"/>
      <c r="BA457" s="173"/>
      <c r="BB457" s="173"/>
      <c r="BC457" s="173"/>
      <c r="BD457" s="173"/>
      <c r="BE457" s="173"/>
      <c r="BF457" s="173"/>
      <c r="BG457" s="173"/>
      <c r="BH457" s="173"/>
      <c r="BI457" s="173"/>
      <c r="BJ457" s="173"/>
      <c r="BK457" s="173"/>
      <c r="BL457" s="173"/>
      <c r="BM457" s="173"/>
      <c r="BN457" s="173"/>
      <c r="BO457" s="173"/>
      <c r="BP457" s="173"/>
      <c r="BQ457" s="173"/>
      <c r="BR457" s="173"/>
      <c r="BS457" s="173"/>
      <c r="BT457" s="173"/>
      <c r="BU457" s="173"/>
      <c r="BV457" s="173"/>
      <c r="BW457" s="173"/>
      <c r="BX457" s="173"/>
      <c r="BY457" s="173"/>
      <c r="BZ457" s="173"/>
      <c r="CA457" s="173"/>
      <c r="CB457" s="173"/>
      <c r="CC457" s="173"/>
      <c r="CD457" s="173"/>
      <c r="CE457" s="173"/>
      <c r="CF457" s="173"/>
      <c r="CG457" s="173"/>
      <c r="CH457" s="173"/>
      <c r="CI457" s="173"/>
      <c r="CJ457" s="173"/>
      <c r="CK457" s="173"/>
      <c r="CL457" s="173"/>
      <c r="CM457" s="173"/>
      <c r="CN457" s="173"/>
      <c r="CO457" s="173"/>
      <c r="CP457" s="173"/>
      <c r="CQ457" s="173"/>
      <c r="CR457" s="173"/>
      <c r="CS457" s="173"/>
    </row>
    <row r="458">
      <c r="A458" s="170" t="s">
        <v>292</v>
      </c>
      <c r="B458" s="156"/>
      <c r="C458" s="156"/>
      <c r="D458" s="139"/>
      <c r="E458" s="156"/>
      <c r="F458" s="156"/>
      <c r="G458" s="156"/>
      <c r="H458" s="164"/>
      <c r="I458" s="164"/>
      <c r="J458" s="171"/>
      <c r="K458" s="163" t="str">
        <f>VLOOKUP(C458,'Term Reference Guide'!$C:$C,1,false)</f>
        <v>#N/A</v>
      </c>
      <c r="L458" s="163"/>
      <c r="M458" s="163"/>
      <c r="N458" s="163"/>
      <c r="O458" s="163"/>
      <c r="P458" s="163"/>
      <c r="Q458" s="163"/>
      <c r="R458" s="163"/>
      <c r="S458" s="163"/>
      <c r="T458" s="163"/>
      <c r="U458" s="163"/>
      <c r="V458" s="163"/>
      <c r="W458" s="163"/>
      <c r="X458" s="163"/>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c r="BP458" s="41"/>
      <c r="BQ458" s="41"/>
      <c r="BR458" s="41"/>
      <c r="BS458" s="41"/>
      <c r="BT458" s="41"/>
      <c r="BU458" s="41"/>
      <c r="BV458" s="41"/>
      <c r="BW458" s="41"/>
      <c r="BX458" s="41"/>
      <c r="BY458" s="41"/>
      <c r="BZ458" s="41"/>
      <c r="CA458" s="41"/>
      <c r="CB458" s="41"/>
      <c r="CC458" s="41"/>
      <c r="CD458" s="41"/>
      <c r="CE458" s="41"/>
      <c r="CF458" s="41"/>
      <c r="CG458" s="41"/>
      <c r="CH458" s="41"/>
      <c r="CI458" s="41"/>
      <c r="CJ458" s="41"/>
      <c r="CK458" s="41"/>
      <c r="CL458" s="41"/>
      <c r="CM458" s="41"/>
      <c r="CN458" s="41"/>
      <c r="CO458" s="41"/>
      <c r="CP458" s="41"/>
      <c r="CQ458" s="41"/>
      <c r="CR458" s="41"/>
      <c r="CS458" s="41"/>
    </row>
    <row r="459" hidden="1">
      <c r="A459" s="173" t="str">
        <f t="shared" ref="A459:A463" si="3">A$458</f>
        <v>collection method</v>
      </c>
      <c r="B459" s="179" t="s">
        <v>2272</v>
      </c>
      <c r="C459" s="40" t="s">
        <v>2273</v>
      </c>
      <c r="D459" s="33" t="s">
        <v>2274</v>
      </c>
      <c r="E459" s="173"/>
      <c r="F459" s="168"/>
      <c r="G459" s="168"/>
      <c r="H459" s="168" t="s">
        <v>25</v>
      </c>
      <c r="I459" s="168" t="s">
        <v>25</v>
      </c>
      <c r="J459" s="168" t="s">
        <v>25</v>
      </c>
      <c r="K459" s="163" t="str">
        <f>VLOOKUP(C459,'Term Reference Guide'!$C:$C,1,false)</f>
        <v>GENEPIO:0100953</v>
      </c>
      <c r="L459" s="173"/>
      <c r="M459" s="173"/>
      <c r="N459" s="173"/>
      <c r="O459" s="173"/>
      <c r="P459" s="173"/>
      <c r="Q459" s="173"/>
      <c r="R459" s="173"/>
      <c r="S459" s="173"/>
      <c r="T459" s="173"/>
      <c r="U459" s="173"/>
      <c r="V459" s="173"/>
      <c r="W459" s="173"/>
      <c r="X459" s="173"/>
      <c r="Y459" s="173"/>
      <c r="Z459" s="173"/>
      <c r="AA459" s="173"/>
      <c r="AB459" s="173"/>
      <c r="AC459" s="173"/>
      <c r="AD459" s="173"/>
      <c r="AE459" s="173"/>
      <c r="AF459" s="173"/>
      <c r="AG459" s="173"/>
      <c r="AH459" s="173"/>
      <c r="AI459" s="173"/>
      <c r="AJ459" s="173"/>
      <c r="AK459" s="173"/>
      <c r="AL459" s="173"/>
      <c r="AM459" s="173"/>
      <c r="AN459" s="173"/>
      <c r="AO459" s="173"/>
      <c r="AP459" s="173"/>
      <c r="AQ459" s="173"/>
      <c r="AR459" s="173"/>
      <c r="AS459" s="173"/>
      <c r="AT459" s="173"/>
      <c r="AU459" s="173"/>
      <c r="AV459" s="173"/>
      <c r="AW459" s="173"/>
      <c r="AX459" s="173"/>
      <c r="AY459" s="173"/>
      <c r="AZ459" s="173"/>
      <c r="BA459" s="173"/>
      <c r="BB459" s="173"/>
      <c r="BC459" s="173"/>
      <c r="BD459" s="173"/>
      <c r="BE459" s="173"/>
      <c r="BF459" s="173"/>
      <c r="BG459" s="173"/>
      <c r="BH459" s="173"/>
      <c r="BI459" s="173"/>
      <c r="BJ459" s="173"/>
      <c r="BK459" s="173"/>
      <c r="BL459" s="173"/>
      <c r="BM459" s="173"/>
      <c r="BN459" s="173"/>
      <c r="BO459" s="173"/>
      <c r="BP459" s="173"/>
      <c r="BQ459" s="173"/>
      <c r="BR459" s="173"/>
      <c r="BS459" s="173"/>
      <c r="BT459" s="173"/>
      <c r="BU459" s="173"/>
      <c r="BV459" s="173"/>
      <c r="BW459" s="173"/>
      <c r="BX459" s="173"/>
      <c r="BY459" s="173"/>
      <c r="BZ459" s="173"/>
      <c r="CA459" s="173"/>
      <c r="CB459" s="173"/>
      <c r="CC459" s="173"/>
      <c r="CD459" s="173"/>
      <c r="CE459" s="173"/>
      <c r="CF459" s="173"/>
      <c r="CG459" s="173"/>
      <c r="CH459" s="173"/>
      <c r="CI459" s="173"/>
      <c r="CJ459" s="173"/>
      <c r="CK459" s="173"/>
      <c r="CL459" s="173"/>
      <c r="CM459" s="173"/>
      <c r="CN459" s="173"/>
      <c r="CO459" s="173"/>
      <c r="CP459" s="173"/>
      <c r="CQ459" s="173"/>
      <c r="CR459" s="173"/>
      <c r="CS459" s="173"/>
    </row>
    <row r="460" hidden="1">
      <c r="A460" s="173" t="str">
        <f t="shared" si="3"/>
        <v>collection method</v>
      </c>
      <c r="B460" s="179" t="s">
        <v>2275</v>
      </c>
      <c r="C460" s="40" t="s">
        <v>2276</v>
      </c>
      <c r="D460" s="33" t="s">
        <v>2277</v>
      </c>
      <c r="E460" s="173"/>
      <c r="F460" s="168"/>
      <c r="G460" s="168"/>
      <c r="H460" s="168" t="s">
        <v>25</v>
      </c>
      <c r="I460" s="168" t="s">
        <v>25</v>
      </c>
      <c r="J460" s="168" t="s">
        <v>25</v>
      </c>
      <c r="K460" s="163" t="str">
        <f>VLOOKUP(C460,'Term Reference Guide'!$C:$C,1,false)</f>
        <v>GENEPIO:0100954</v>
      </c>
      <c r="L460" s="173"/>
      <c r="M460" s="173"/>
      <c r="N460" s="173"/>
      <c r="O460" s="173"/>
      <c r="P460" s="173"/>
      <c r="Q460" s="173"/>
      <c r="R460" s="173"/>
      <c r="S460" s="173"/>
      <c r="T460" s="173"/>
      <c r="U460" s="173"/>
      <c r="V460" s="173"/>
      <c r="W460" s="173"/>
      <c r="X460" s="173"/>
      <c r="Y460" s="173"/>
      <c r="Z460" s="173"/>
      <c r="AA460" s="173"/>
      <c r="AB460" s="173"/>
      <c r="AC460" s="173"/>
      <c r="AD460" s="173"/>
      <c r="AE460" s="173"/>
      <c r="AF460" s="173"/>
      <c r="AG460" s="173"/>
      <c r="AH460" s="173"/>
      <c r="AI460" s="173"/>
      <c r="AJ460" s="173"/>
      <c r="AK460" s="173"/>
      <c r="AL460" s="173"/>
      <c r="AM460" s="173"/>
      <c r="AN460" s="173"/>
      <c r="AO460" s="173"/>
      <c r="AP460" s="173"/>
      <c r="AQ460" s="173"/>
      <c r="AR460" s="173"/>
      <c r="AS460" s="173"/>
      <c r="AT460" s="173"/>
      <c r="AU460" s="173"/>
      <c r="AV460" s="173"/>
      <c r="AW460" s="173"/>
      <c r="AX460" s="173"/>
      <c r="AY460" s="173"/>
      <c r="AZ460" s="173"/>
      <c r="BA460" s="173"/>
      <c r="BB460" s="173"/>
      <c r="BC460" s="173"/>
      <c r="BD460" s="173"/>
      <c r="BE460" s="173"/>
      <c r="BF460" s="173"/>
      <c r="BG460" s="173"/>
      <c r="BH460" s="173"/>
      <c r="BI460" s="173"/>
      <c r="BJ460" s="173"/>
      <c r="BK460" s="173"/>
      <c r="BL460" s="173"/>
      <c r="BM460" s="173"/>
      <c r="BN460" s="173"/>
      <c r="BO460" s="173"/>
      <c r="BP460" s="173"/>
      <c r="BQ460" s="173"/>
      <c r="BR460" s="173"/>
      <c r="BS460" s="173"/>
      <c r="BT460" s="173"/>
      <c r="BU460" s="173"/>
      <c r="BV460" s="173"/>
      <c r="BW460" s="173"/>
      <c r="BX460" s="173"/>
      <c r="BY460" s="173"/>
      <c r="BZ460" s="173"/>
      <c r="CA460" s="173"/>
      <c r="CB460" s="173"/>
      <c r="CC460" s="173"/>
      <c r="CD460" s="173"/>
      <c r="CE460" s="173"/>
      <c r="CF460" s="173"/>
      <c r="CG460" s="173"/>
      <c r="CH460" s="173"/>
      <c r="CI460" s="173"/>
      <c r="CJ460" s="173"/>
      <c r="CK460" s="173"/>
      <c r="CL460" s="173"/>
      <c r="CM460" s="173"/>
      <c r="CN460" s="173"/>
      <c r="CO460" s="173"/>
      <c r="CP460" s="173"/>
      <c r="CQ460" s="173"/>
      <c r="CR460" s="173"/>
      <c r="CS460" s="173"/>
    </row>
    <row r="461" hidden="1">
      <c r="A461" s="173" t="str">
        <f t="shared" si="3"/>
        <v>collection method</v>
      </c>
      <c r="B461" s="179" t="s">
        <v>2278</v>
      </c>
      <c r="C461" s="40" t="s">
        <v>2279</v>
      </c>
      <c r="D461" s="33" t="s">
        <v>2280</v>
      </c>
      <c r="E461" s="173"/>
      <c r="F461" s="168"/>
      <c r="G461" s="168"/>
      <c r="H461" s="168" t="s">
        <v>25</v>
      </c>
      <c r="I461" s="168" t="s">
        <v>25</v>
      </c>
      <c r="J461" s="168" t="s">
        <v>25</v>
      </c>
      <c r="K461" s="163" t="str">
        <f>VLOOKUP(C461,'Term Reference Guide'!$C:$C,1,false)</f>
        <v>GENEPIO:0100955</v>
      </c>
      <c r="L461" s="173"/>
      <c r="M461" s="173"/>
      <c r="N461" s="173"/>
      <c r="O461" s="173"/>
      <c r="P461" s="173"/>
      <c r="Q461" s="173"/>
      <c r="R461" s="173"/>
      <c r="S461" s="173"/>
      <c r="T461" s="173"/>
      <c r="U461" s="173"/>
      <c r="V461" s="173"/>
      <c r="W461" s="173"/>
      <c r="X461" s="173"/>
      <c r="Y461" s="173"/>
      <c r="Z461" s="173"/>
      <c r="AA461" s="173"/>
      <c r="AB461" s="173"/>
      <c r="AC461" s="173"/>
      <c r="AD461" s="173"/>
      <c r="AE461" s="173"/>
      <c r="AF461" s="173"/>
      <c r="AG461" s="173"/>
      <c r="AH461" s="173"/>
      <c r="AI461" s="173"/>
      <c r="AJ461" s="173"/>
      <c r="AK461" s="173"/>
      <c r="AL461" s="173"/>
      <c r="AM461" s="173"/>
      <c r="AN461" s="173"/>
      <c r="AO461" s="173"/>
      <c r="AP461" s="173"/>
      <c r="AQ461" s="173"/>
      <c r="AR461" s="173"/>
      <c r="AS461" s="173"/>
      <c r="AT461" s="173"/>
      <c r="AU461" s="173"/>
      <c r="AV461" s="173"/>
      <c r="AW461" s="173"/>
      <c r="AX461" s="173"/>
      <c r="AY461" s="173"/>
      <c r="AZ461" s="173"/>
      <c r="BA461" s="173"/>
      <c r="BB461" s="173"/>
      <c r="BC461" s="173"/>
      <c r="BD461" s="173"/>
      <c r="BE461" s="173"/>
      <c r="BF461" s="173"/>
      <c r="BG461" s="173"/>
      <c r="BH461" s="173"/>
      <c r="BI461" s="173"/>
      <c r="BJ461" s="173"/>
      <c r="BK461" s="173"/>
      <c r="BL461" s="173"/>
      <c r="BM461" s="173"/>
      <c r="BN461" s="173"/>
      <c r="BO461" s="173"/>
      <c r="BP461" s="173"/>
      <c r="BQ461" s="173"/>
      <c r="BR461" s="173"/>
      <c r="BS461" s="173"/>
      <c r="BT461" s="173"/>
      <c r="BU461" s="173"/>
      <c r="BV461" s="173"/>
      <c r="BW461" s="173"/>
      <c r="BX461" s="173"/>
      <c r="BY461" s="173"/>
      <c r="BZ461" s="173"/>
      <c r="CA461" s="173"/>
      <c r="CB461" s="173"/>
      <c r="CC461" s="173"/>
      <c r="CD461" s="173"/>
      <c r="CE461" s="173"/>
      <c r="CF461" s="173"/>
      <c r="CG461" s="173"/>
      <c r="CH461" s="173"/>
      <c r="CI461" s="173"/>
      <c r="CJ461" s="173"/>
      <c r="CK461" s="173"/>
      <c r="CL461" s="173"/>
      <c r="CM461" s="173"/>
      <c r="CN461" s="173"/>
      <c r="CO461" s="173"/>
      <c r="CP461" s="173"/>
      <c r="CQ461" s="173"/>
      <c r="CR461" s="173"/>
      <c r="CS461" s="173"/>
    </row>
    <row r="462" hidden="1">
      <c r="A462" s="173" t="str">
        <f t="shared" si="3"/>
        <v>collection method</v>
      </c>
      <c r="B462" s="179" t="s">
        <v>2281</v>
      </c>
      <c r="C462" s="40" t="s">
        <v>2282</v>
      </c>
      <c r="D462" s="33" t="s">
        <v>2283</v>
      </c>
      <c r="E462" s="173"/>
      <c r="F462" s="168"/>
      <c r="G462" s="168"/>
      <c r="H462" s="168" t="s">
        <v>25</v>
      </c>
      <c r="I462" s="168" t="s">
        <v>25</v>
      </c>
      <c r="J462" s="168" t="s">
        <v>25</v>
      </c>
      <c r="K462" s="163" t="str">
        <f>VLOOKUP(C462,'Term Reference Guide'!$C:$C,1,false)</f>
        <v>GENEPIO:0100956</v>
      </c>
      <c r="L462" s="173"/>
      <c r="M462" s="173"/>
      <c r="N462" s="173"/>
      <c r="O462" s="173"/>
      <c r="P462" s="173"/>
      <c r="Q462" s="173"/>
      <c r="R462" s="173"/>
      <c r="S462" s="173"/>
      <c r="T462" s="173"/>
      <c r="U462" s="173"/>
      <c r="V462" s="173"/>
      <c r="W462" s="173"/>
      <c r="X462" s="173"/>
      <c r="Y462" s="173"/>
      <c r="Z462" s="173"/>
      <c r="AA462" s="173"/>
      <c r="AB462" s="173"/>
      <c r="AC462" s="173"/>
      <c r="AD462" s="173"/>
      <c r="AE462" s="173"/>
      <c r="AF462" s="173"/>
      <c r="AG462" s="173"/>
      <c r="AH462" s="173"/>
      <c r="AI462" s="173"/>
      <c r="AJ462" s="173"/>
      <c r="AK462" s="173"/>
      <c r="AL462" s="173"/>
      <c r="AM462" s="173"/>
      <c r="AN462" s="173"/>
      <c r="AO462" s="173"/>
      <c r="AP462" s="173"/>
      <c r="AQ462" s="173"/>
      <c r="AR462" s="173"/>
      <c r="AS462" s="173"/>
      <c r="AT462" s="173"/>
      <c r="AU462" s="173"/>
      <c r="AV462" s="173"/>
      <c r="AW462" s="173"/>
      <c r="AX462" s="173"/>
      <c r="AY462" s="173"/>
      <c r="AZ462" s="173"/>
      <c r="BA462" s="173"/>
      <c r="BB462" s="173"/>
      <c r="BC462" s="173"/>
      <c r="BD462" s="173"/>
      <c r="BE462" s="173"/>
      <c r="BF462" s="173"/>
      <c r="BG462" s="173"/>
      <c r="BH462" s="173"/>
      <c r="BI462" s="173"/>
      <c r="BJ462" s="173"/>
      <c r="BK462" s="173"/>
      <c r="BL462" s="173"/>
      <c r="BM462" s="173"/>
      <c r="BN462" s="173"/>
      <c r="BO462" s="173"/>
      <c r="BP462" s="173"/>
      <c r="BQ462" s="173"/>
      <c r="BR462" s="173"/>
      <c r="BS462" s="173"/>
      <c r="BT462" s="173"/>
      <c r="BU462" s="173"/>
      <c r="BV462" s="173"/>
      <c r="BW462" s="173"/>
      <c r="BX462" s="173"/>
      <c r="BY462" s="173"/>
      <c r="BZ462" s="173"/>
      <c r="CA462" s="173"/>
      <c r="CB462" s="173"/>
      <c r="CC462" s="173"/>
      <c r="CD462" s="173"/>
      <c r="CE462" s="173"/>
      <c r="CF462" s="173"/>
      <c r="CG462" s="173"/>
      <c r="CH462" s="173"/>
      <c r="CI462" s="173"/>
      <c r="CJ462" s="173"/>
      <c r="CK462" s="173"/>
      <c r="CL462" s="173"/>
      <c r="CM462" s="173"/>
      <c r="CN462" s="173"/>
      <c r="CO462" s="173"/>
      <c r="CP462" s="173"/>
      <c r="CQ462" s="173"/>
      <c r="CR462" s="173"/>
      <c r="CS462" s="173"/>
    </row>
    <row r="463" hidden="1">
      <c r="A463" s="173" t="str">
        <f t="shared" si="3"/>
        <v>collection method</v>
      </c>
      <c r="B463" s="179" t="s">
        <v>2284</v>
      </c>
      <c r="C463" s="40" t="s">
        <v>2285</v>
      </c>
      <c r="D463" s="33" t="s">
        <v>2286</v>
      </c>
      <c r="E463" s="173"/>
      <c r="F463" s="168"/>
      <c r="G463" s="168"/>
      <c r="H463" s="168" t="s">
        <v>25</v>
      </c>
      <c r="I463" s="168" t="s">
        <v>25</v>
      </c>
      <c r="J463" s="168" t="s">
        <v>25</v>
      </c>
      <c r="K463" s="163" t="str">
        <f>VLOOKUP(C463,'Term Reference Guide'!$C:$C,1,false)</f>
        <v>GENEPIO:0100957</v>
      </c>
      <c r="L463" s="173"/>
      <c r="M463" s="173"/>
      <c r="N463" s="173"/>
      <c r="O463" s="173"/>
      <c r="P463" s="173"/>
      <c r="Q463" s="173"/>
      <c r="R463" s="173"/>
      <c r="S463" s="173"/>
      <c r="T463" s="173"/>
      <c r="U463" s="173"/>
      <c r="V463" s="173"/>
      <c r="W463" s="173"/>
      <c r="X463" s="173"/>
      <c r="Y463" s="173"/>
      <c r="Z463" s="173"/>
      <c r="AA463" s="173"/>
      <c r="AB463" s="173"/>
      <c r="AC463" s="173"/>
      <c r="AD463" s="173"/>
      <c r="AE463" s="173"/>
      <c r="AF463" s="173"/>
      <c r="AG463" s="173"/>
      <c r="AH463" s="173"/>
      <c r="AI463" s="173"/>
      <c r="AJ463" s="173"/>
      <c r="AK463" s="173"/>
      <c r="AL463" s="173"/>
      <c r="AM463" s="173"/>
      <c r="AN463" s="173"/>
      <c r="AO463" s="173"/>
      <c r="AP463" s="173"/>
      <c r="AQ463" s="173"/>
      <c r="AR463" s="173"/>
      <c r="AS463" s="173"/>
      <c r="AT463" s="173"/>
      <c r="AU463" s="173"/>
      <c r="AV463" s="173"/>
      <c r="AW463" s="173"/>
      <c r="AX463" s="173"/>
      <c r="AY463" s="173"/>
      <c r="AZ463" s="173"/>
      <c r="BA463" s="173"/>
      <c r="BB463" s="173"/>
      <c r="BC463" s="173"/>
      <c r="BD463" s="173"/>
      <c r="BE463" s="173"/>
      <c r="BF463" s="173"/>
      <c r="BG463" s="173"/>
      <c r="BH463" s="173"/>
      <c r="BI463" s="173"/>
      <c r="BJ463" s="173"/>
      <c r="BK463" s="173"/>
      <c r="BL463" s="173"/>
      <c r="BM463" s="173"/>
      <c r="BN463" s="173"/>
      <c r="BO463" s="173"/>
      <c r="BP463" s="173"/>
      <c r="BQ463" s="173"/>
      <c r="BR463" s="173"/>
      <c r="BS463" s="173"/>
      <c r="BT463" s="173"/>
      <c r="BU463" s="173"/>
      <c r="BV463" s="173"/>
      <c r="BW463" s="173"/>
      <c r="BX463" s="173"/>
      <c r="BY463" s="173"/>
      <c r="BZ463" s="173"/>
      <c r="CA463" s="173"/>
      <c r="CB463" s="173"/>
      <c r="CC463" s="173"/>
      <c r="CD463" s="173"/>
      <c r="CE463" s="173"/>
      <c r="CF463" s="173"/>
      <c r="CG463" s="173"/>
      <c r="CH463" s="173"/>
      <c r="CI463" s="173"/>
      <c r="CJ463" s="173"/>
      <c r="CK463" s="173"/>
      <c r="CL463" s="173"/>
      <c r="CM463" s="173"/>
      <c r="CN463" s="173"/>
      <c r="CO463" s="173"/>
      <c r="CP463" s="173"/>
      <c r="CQ463" s="173"/>
      <c r="CR463" s="173"/>
      <c r="CS463" s="173"/>
    </row>
    <row r="464">
      <c r="A464" s="173"/>
      <c r="B464" s="179"/>
      <c r="C464" s="173"/>
      <c r="D464" s="70"/>
      <c r="E464" s="173"/>
      <c r="F464" s="173"/>
      <c r="G464" s="173"/>
      <c r="H464" s="173"/>
      <c r="I464" s="173"/>
      <c r="J464" s="141"/>
      <c r="K464" s="163" t="str">
        <f>VLOOKUP(C464,'Term Reference Guide'!$C:$C,1,false)</f>
        <v>#N/A</v>
      </c>
      <c r="L464" s="173"/>
      <c r="M464" s="173"/>
      <c r="N464" s="173"/>
      <c r="O464" s="173"/>
      <c r="P464" s="173"/>
      <c r="Q464" s="173"/>
      <c r="R464" s="173"/>
      <c r="S464" s="173"/>
      <c r="T464" s="173"/>
      <c r="U464" s="173"/>
      <c r="V464" s="173"/>
      <c r="W464" s="173"/>
      <c r="X464" s="173"/>
      <c r="Y464" s="173"/>
      <c r="Z464" s="173"/>
      <c r="AA464" s="173"/>
      <c r="AB464" s="173"/>
      <c r="AC464" s="173"/>
      <c r="AD464" s="173"/>
      <c r="AE464" s="173"/>
      <c r="AF464" s="173"/>
      <c r="AG464" s="173"/>
      <c r="AH464" s="173"/>
      <c r="AI464" s="173"/>
      <c r="AJ464" s="173"/>
      <c r="AK464" s="173"/>
      <c r="AL464" s="173"/>
      <c r="AM464" s="173"/>
      <c r="AN464" s="173"/>
      <c r="AO464" s="173"/>
      <c r="AP464" s="173"/>
      <c r="AQ464" s="173"/>
      <c r="AR464" s="173"/>
      <c r="AS464" s="173"/>
      <c r="AT464" s="173"/>
      <c r="AU464" s="173"/>
      <c r="AV464" s="173"/>
      <c r="AW464" s="173"/>
      <c r="AX464" s="173"/>
      <c r="AY464" s="173"/>
      <c r="AZ464" s="173"/>
      <c r="BA464" s="173"/>
      <c r="BB464" s="173"/>
      <c r="BC464" s="173"/>
      <c r="BD464" s="173"/>
      <c r="BE464" s="173"/>
      <c r="BF464" s="173"/>
      <c r="BG464" s="173"/>
      <c r="BH464" s="173"/>
      <c r="BI464" s="173"/>
      <c r="BJ464" s="173"/>
      <c r="BK464" s="173"/>
      <c r="BL464" s="173"/>
      <c r="BM464" s="173"/>
      <c r="BN464" s="173"/>
      <c r="BO464" s="173"/>
      <c r="BP464" s="173"/>
      <c r="BQ464" s="173"/>
      <c r="BR464" s="173"/>
      <c r="BS464" s="173"/>
      <c r="BT464" s="173"/>
      <c r="BU464" s="173"/>
      <c r="BV464" s="173"/>
      <c r="BW464" s="173"/>
      <c r="BX464" s="173"/>
      <c r="BY464" s="173"/>
      <c r="BZ464" s="173"/>
      <c r="CA464" s="173"/>
      <c r="CB464" s="173"/>
      <c r="CC464" s="173"/>
      <c r="CD464" s="173"/>
      <c r="CE464" s="173"/>
      <c r="CF464" s="173"/>
      <c r="CG464" s="173"/>
      <c r="CH464" s="173"/>
      <c r="CI464" s="173"/>
      <c r="CJ464" s="173"/>
      <c r="CK464" s="173"/>
      <c r="CL464" s="173"/>
      <c r="CM464" s="173"/>
      <c r="CN464" s="173"/>
      <c r="CO464" s="173"/>
      <c r="CP464" s="173"/>
      <c r="CQ464" s="173"/>
      <c r="CR464" s="173"/>
      <c r="CS464" s="173"/>
    </row>
    <row r="465">
      <c r="A465" s="170" t="s">
        <v>2287</v>
      </c>
      <c r="B465" s="156"/>
      <c r="C465" s="156"/>
      <c r="D465" s="139"/>
      <c r="E465" s="156"/>
      <c r="F465" s="156"/>
      <c r="G465" s="156"/>
      <c r="H465" s="164"/>
      <c r="I465" s="164"/>
      <c r="J465" s="171"/>
      <c r="K465" s="163" t="str">
        <f>VLOOKUP(C465,'Term Reference Guide'!$C:$C,1,false)</f>
        <v>#N/A</v>
      </c>
      <c r="L465" s="163"/>
      <c r="M465" s="163"/>
      <c r="N465" s="163"/>
      <c r="O465" s="163"/>
      <c r="P465" s="163"/>
      <c r="Q465" s="163"/>
      <c r="R465" s="163"/>
      <c r="S465" s="163"/>
      <c r="T465" s="163"/>
      <c r="U465" s="163"/>
      <c r="V465" s="163"/>
      <c r="W465" s="163"/>
      <c r="X465" s="163"/>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c r="BP465" s="41"/>
      <c r="BQ465" s="41"/>
      <c r="BR465" s="41"/>
      <c r="BS465" s="41"/>
      <c r="BT465" s="41"/>
      <c r="BU465" s="41"/>
      <c r="BV465" s="41"/>
      <c r="BW465" s="41"/>
      <c r="BX465" s="41"/>
      <c r="BY465" s="41"/>
      <c r="BZ465" s="41"/>
      <c r="CA465" s="41"/>
      <c r="CB465" s="41"/>
      <c r="CC465" s="41"/>
      <c r="CD465" s="41"/>
      <c r="CE465" s="41"/>
      <c r="CF465" s="41"/>
      <c r="CG465" s="41"/>
      <c r="CH465" s="41"/>
      <c r="CI465" s="41"/>
      <c r="CJ465" s="41"/>
      <c r="CK465" s="41"/>
      <c r="CL465" s="41"/>
      <c r="CM465" s="41"/>
      <c r="CN465" s="41"/>
      <c r="CO465" s="41"/>
      <c r="CP465" s="41"/>
      <c r="CQ465" s="41"/>
      <c r="CR465" s="41"/>
      <c r="CS465" s="41"/>
    </row>
    <row r="466">
      <c r="A466" s="179" t="str">
        <f t="shared" ref="A466:A472" si="4">A$465</f>
        <v>water catchment area human population measurement bin</v>
      </c>
      <c r="B466" s="190" t="s">
        <v>2288</v>
      </c>
      <c r="C466" s="191" t="s">
        <v>2289</v>
      </c>
      <c r="D466" s="70" t="s">
        <v>2290</v>
      </c>
      <c r="E466" s="191" t="s">
        <v>2291</v>
      </c>
      <c r="F466" s="168"/>
      <c r="G466" s="168"/>
      <c r="H466" s="168" t="s">
        <v>25</v>
      </c>
      <c r="I466" s="168" t="s">
        <v>25</v>
      </c>
      <c r="J466" s="168" t="s">
        <v>25</v>
      </c>
      <c r="K466" s="163" t="str">
        <f>VLOOKUP(C466,'Term Reference Guide'!$C:$C,1,false)</f>
        <v>#N/A</v>
      </c>
      <c r="L466" s="173"/>
      <c r="M466" s="173"/>
      <c r="N466" s="173"/>
      <c r="O466" s="173"/>
      <c r="P466" s="173"/>
      <c r="Q466" s="173"/>
      <c r="R466" s="173"/>
      <c r="S466" s="173"/>
      <c r="T466" s="173"/>
      <c r="U466" s="173"/>
      <c r="V466" s="173"/>
      <c r="W466" s="173"/>
      <c r="X466" s="173"/>
      <c r="Y466" s="173"/>
      <c r="Z466" s="173"/>
      <c r="AA466" s="173"/>
      <c r="AB466" s="173"/>
      <c r="AC466" s="173"/>
      <c r="AD466" s="173"/>
      <c r="AE466" s="173"/>
      <c r="AF466" s="173"/>
      <c r="AG466" s="173"/>
      <c r="AH466" s="173"/>
      <c r="AI466" s="173"/>
      <c r="AJ466" s="173"/>
      <c r="AK466" s="173"/>
      <c r="AL466" s="173"/>
      <c r="AM466" s="173"/>
      <c r="AN466" s="173"/>
      <c r="AO466" s="173"/>
      <c r="AP466" s="173"/>
      <c r="AQ466" s="173"/>
      <c r="AR466" s="173"/>
      <c r="AS466" s="173"/>
      <c r="AT466" s="173"/>
      <c r="AU466" s="173"/>
      <c r="AV466" s="173"/>
      <c r="AW466" s="173"/>
      <c r="AX466" s="173"/>
      <c r="AY466" s="173"/>
      <c r="AZ466" s="173"/>
      <c r="BA466" s="173"/>
      <c r="BB466" s="173"/>
      <c r="BC466" s="173"/>
      <c r="BD466" s="173"/>
      <c r="BE466" s="173"/>
      <c r="BF466" s="173"/>
      <c r="BG466" s="173"/>
      <c r="BH466" s="173"/>
      <c r="BI466" s="173"/>
      <c r="BJ466" s="173"/>
      <c r="BK466" s="173"/>
      <c r="BL466" s="173"/>
      <c r="BM466" s="173"/>
      <c r="BN466" s="173"/>
      <c r="BO466" s="173"/>
      <c r="BP466" s="173"/>
      <c r="BQ466" s="173"/>
      <c r="BR466" s="173"/>
      <c r="BS466" s="173"/>
      <c r="BT466" s="173"/>
      <c r="BU466" s="173"/>
      <c r="BV466" s="173"/>
      <c r="BW466" s="173"/>
      <c r="BX466" s="173"/>
      <c r="BY466" s="173"/>
      <c r="BZ466" s="173"/>
      <c r="CA466" s="173"/>
      <c r="CB466" s="173"/>
      <c r="CC466" s="173"/>
      <c r="CD466" s="173"/>
      <c r="CE466" s="173"/>
      <c r="CF466" s="173"/>
      <c r="CG466" s="173"/>
      <c r="CH466" s="173"/>
      <c r="CI466" s="173"/>
      <c r="CJ466" s="173"/>
      <c r="CK466" s="173"/>
      <c r="CL466" s="173"/>
      <c r="CM466" s="173"/>
      <c r="CN466" s="173"/>
      <c r="CO466" s="173"/>
      <c r="CP466" s="173"/>
      <c r="CQ466" s="173"/>
      <c r="CR466" s="173"/>
      <c r="CS466" s="173"/>
    </row>
    <row r="467">
      <c r="A467" s="179" t="str">
        <f t="shared" si="4"/>
        <v>water catchment area human population measurement bin</v>
      </c>
      <c r="B467" s="190" t="s">
        <v>2292</v>
      </c>
      <c r="C467" s="191" t="s">
        <v>2289</v>
      </c>
      <c r="D467" s="70" t="s">
        <v>2293</v>
      </c>
      <c r="E467" s="191" t="s">
        <v>2291</v>
      </c>
      <c r="F467" s="168"/>
      <c r="G467" s="168"/>
      <c r="H467" s="168" t="s">
        <v>25</v>
      </c>
      <c r="I467" s="168" t="s">
        <v>25</v>
      </c>
      <c r="J467" s="168" t="s">
        <v>25</v>
      </c>
      <c r="K467" s="163" t="str">
        <f>VLOOKUP(C467,'Term Reference Guide'!$C:$C,1,false)</f>
        <v>#N/A</v>
      </c>
      <c r="L467" s="173"/>
      <c r="M467" s="173"/>
      <c r="N467" s="173"/>
      <c r="O467" s="173"/>
      <c r="P467" s="173"/>
      <c r="Q467" s="173"/>
      <c r="R467" s="173"/>
      <c r="S467" s="173"/>
      <c r="T467" s="173"/>
      <c r="U467" s="173"/>
      <c r="V467" s="173"/>
      <c r="W467" s="173"/>
      <c r="X467" s="173"/>
      <c r="Y467" s="173"/>
      <c r="Z467" s="173"/>
      <c r="AA467" s="173"/>
      <c r="AB467" s="173"/>
      <c r="AC467" s="173"/>
      <c r="AD467" s="173"/>
      <c r="AE467" s="173"/>
      <c r="AF467" s="173"/>
      <c r="AG467" s="173"/>
      <c r="AH467" s="173"/>
      <c r="AI467" s="173"/>
      <c r="AJ467" s="173"/>
      <c r="AK467" s="173"/>
      <c r="AL467" s="173"/>
      <c r="AM467" s="173"/>
      <c r="AN467" s="173"/>
      <c r="AO467" s="173"/>
      <c r="AP467" s="173"/>
      <c r="AQ467" s="173"/>
      <c r="AR467" s="173"/>
      <c r="AS467" s="173"/>
      <c r="AT467" s="173"/>
      <c r="AU467" s="173"/>
      <c r="AV467" s="173"/>
      <c r="AW467" s="173"/>
      <c r="AX467" s="173"/>
      <c r="AY467" s="173"/>
      <c r="AZ467" s="173"/>
      <c r="BA467" s="173"/>
      <c r="BB467" s="173"/>
      <c r="BC467" s="173"/>
      <c r="BD467" s="173"/>
      <c r="BE467" s="173"/>
      <c r="BF467" s="173"/>
      <c r="BG467" s="173"/>
      <c r="BH467" s="173"/>
      <c r="BI467" s="173"/>
      <c r="BJ467" s="173"/>
      <c r="BK467" s="173"/>
      <c r="BL467" s="173"/>
      <c r="BM467" s="173"/>
      <c r="BN467" s="173"/>
      <c r="BO467" s="173"/>
      <c r="BP467" s="173"/>
      <c r="BQ467" s="173"/>
      <c r="BR467" s="173"/>
      <c r="BS467" s="173"/>
      <c r="BT467" s="173"/>
      <c r="BU467" s="173"/>
      <c r="BV467" s="173"/>
      <c r="BW467" s="173"/>
      <c r="BX467" s="173"/>
      <c r="BY467" s="173"/>
      <c r="BZ467" s="173"/>
      <c r="CA467" s="173"/>
      <c r="CB467" s="173"/>
      <c r="CC467" s="173"/>
      <c r="CD467" s="173"/>
      <c r="CE467" s="173"/>
      <c r="CF467" s="173"/>
      <c r="CG467" s="173"/>
      <c r="CH467" s="173"/>
      <c r="CI467" s="173"/>
      <c r="CJ467" s="173"/>
      <c r="CK467" s="173"/>
      <c r="CL467" s="173"/>
      <c r="CM467" s="173"/>
      <c r="CN467" s="173"/>
      <c r="CO467" s="173"/>
      <c r="CP467" s="173"/>
      <c r="CQ467" s="173"/>
      <c r="CR467" s="173"/>
      <c r="CS467" s="173"/>
    </row>
    <row r="468">
      <c r="A468" s="179" t="str">
        <f t="shared" si="4"/>
        <v>water catchment area human population measurement bin</v>
      </c>
      <c r="B468" s="190" t="s">
        <v>2294</v>
      </c>
      <c r="C468" s="191" t="s">
        <v>2289</v>
      </c>
      <c r="D468" s="70" t="s">
        <v>2295</v>
      </c>
      <c r="E468" s="191" t="s">
        <v>2291</v>
      </c>
      <c r="F468" s="168"/>
      <c r="G468" s="168"/>
      <c r="H468" s="168" t="s">
        <v>25</v>
      </c>
      <c r="I468" s="168" t="s">
        <v>25</v>
      </c>
      <c r="J468" s="168" t="s">
        <v>25</v>
      </c>
      <c r="K468" s="163" t="str">
        <f>VLOOKUP(C468,'Term Reference Guide'!$C:$C,1,false)</f>
        <v>#N/A</v>
      </c>
      <c r="L468" s="173"/>
      <c r="M468" s="173"/>
      <c r="N468" s="173"/>
      <c r="O468" s="173"/>
      <c r="P468" s="173"/>
      <c r="Q468" s="173"/>
      <c r="R468" s="173"/>
      <c r="S468" s="173"/>
      <c r="T468" s="173"/>
      <c r="U468" s="173"/>
      <c r="V468" s="173"/>
      <c r="W468" s="173"/>
      <c r="X468" s="173"/>
      <c r="Y468" s="173"/>
      <c r="Z468" s="173"/>
      <c r="AA468" s="173"/>
      <c r="AB468" s="173"/>
      <c r="AC468" s="173"/>
      <c r="AD468" s="173"/>
      <c r="AE468" s="173"/>
      <c r="AF468" s="173"/>
      <c r="AG468" s="173"/>
      <c r="AH468" s="173"/>
      <c r="AI468" s="173"/>
      <c r="AJ468" s="173"/>
      <c r="AK468" s="173"/>
      <c r="AL468" s="173"/>
      <c r="AM468" s="173"/>
      <c r="AN468" s="173"/>
      <c r="AO468" s="173"/>
      <c r="AP468" s="173"/>
      <c r="AQ468" s="173"/>
      <c r="AR468" s="173"/>
      <c r="AS468" s="173"/>
      <c r="AT468" s="173"/>
      <c r="AU468" s="173"/>
      <c r="AV468" s="173"/>
      <c r="AW468" s="173"/>
      <c r="AX468" s="173"/>
      <c r="AY468" s="173"/>
      <c r="AZ468" s="173"/>
      <c r="BA468" s="173"/>
      <c r="BB468" s="173"/>
      <c r="BC468" s="173"/>
      <c r="BD468" s="173"/>
      <c r="BE468" s="173"/>
      <c r="BF468" s="173"/>
      <c r="BG468" s="173"/>
      <c r="BH468" s="173"/>
      <c r="BI468" s="173"/>
      <c r="BJ468" s="173"/>
      <c r="BK468" s="173"/>
      <c r="BL468" s="173"/>
      <c r="BM468" s="173"/>
      <c r="BN468" s="173"/>
      <c r="BO468" s="173"/>
      <c r="BP468" s="173"/>
      <c r="BQ468" s="173"/>
      <c r="BR468" s="173"/>
      <c r="BS468" s="173"/>
      <c r="BT468" s="173"/>
      <c r="BU468" s="173"/>
      <c r="BV468" s="173"/>
      <c r="BW468" s="173"/>
      <c r="BX468" s="173"/>
      <c r="BY468" s="173"/>
      <c r="BZ468" s="173"/>
      <c r="CA468" s="173"/>
      <c r="CB468" s="173"/>
      <c r="CC468" s="173"/>
      <c r="CD468" s="173"/>
      <c r="CE468" s="173"/>
      <c r="CF468" s="173"/>
      <c r="CG468" s="173"/>
      <c r="CH468" s="173"/>
      <c r="CI468" s="173"/>
      <c r="CJ468" s="173"/>
      <c r="CK468" s="173"/>
      <c r="CL468" s="173"/>
      <c r="CM468" s="173"/>
      <c r="CN468" s="173"/>
      <c r="CO468" s="173"/>
      <c r="CP468" s="173"/>
      <c r="CQ468" s="173"/>
      <c r="CR468" s="173"/>
      <c r="CS468" s="173"/>
    </row>
    <row r="469">
      <c r="A469" s="179" t="str">
        <f t="shared" si="4"/>
        <v>water catchment area human population measurement bin</v>
      </c>
      <c r="B469" s="190" t="s">
        <v>331</v>
      </c>
      <c r="C469" s="191" t="s">
        <v>2289</v>
      </c>
      <c r="D469" s="70" t="s">
        <v>2296</v>
      </c>
      <c r="E469" s="191" t="s">
        <v>2291</v>
      </c>
      <c r="F469" s="168"/>
      <c r="G469" s="168"/>
      <c r="H469" s="168" t="s">
        <v>25</v>
      </c>
      <c r="I469" s="168" t="s">
        <v>25</v>
      </c>
      <c r="J469" s="168" t="s">
        <v>25</v>
      </c>
      <c r="K469" s="163" t="str">
        <f>VLOOKUP(C469,'Term Reference Guide'!$C:$C,1,false)</f>
        <v>#N/A</v>
      </c>
      <c r="L469" s="173"/>
      <c r="M469" s="173"/>
      <c r="N469" s="173"/>
      <c r="O469" s="173"/>
      <c r="P469" s="173"/>
      <c r="Q469" s="173"/>
      <c r="R469" s="173"/>
      <c r="S469" s="173"/>
      <c r="T469" s="173"/>
      <c r="U469" s="173"/>
      <c r="V469" s="173"/>
      <c r="W469" s="173"/>
      <c r="X469" s="173"/>
      <c r="Y469" s="173"/>
      <c r="Z469" s="173"/>
      <c r="AA469" s="173"/>
      <c r="AB469" s="173"/>
      <c r="AC469" s="173"/>
      <c r="AD469" s="173"/>
      <c r="AE469" s="173"/>
      <c r="AF469" s="173"/>
      <c r="AG469" s="173"/>
      <c r="AH469" s="173"/>
      <c r="AI469" s="173"/>
      <c r="AJ469" s="173"/>
      <c r="AK469" s="173"/>
      <c r="AL469" s="173"/>
      <c r="AM469" s="173"/>
      <c r="AN469" s="173"/>
      <c r="AO469" s="173"/>
      <c r="AP469" s="173"/>
      <c r="AQ469" s="173"/>
      <c r="AR469" s="173"/>
      <c r="AS469" s="173"/>
      <c r="AT469" s="173"/>
      <c r="AU469" s="173"/>
      <c r="AV469" s="173"/>
      <c r="AW469" s="173"/>
      <c r="AX469" s="173"/>
      <c r="AY469" s="173"/>
      <c r="AZ469" s="173"/>
      <c r="BA469" s="173"/>
      <c r="BB469" s="173"/>
      <c r="BC469" s="173"/>
      <c r="BD469" s="173"/>
      <c r="BE469" s="173"/>
      <c r="BF469" s="173"/>
      <c r="BG469" s="173"/>
      <c r="BH469" s="173"/>
      <c r="BI469" s="173"/>
      <c r="BJ469" s="173"/>
      <c r="BK469" s="173"/>
      <c r="BL469" s="173"/>
      <c r="BM469" s="173"/>
      <c r="BN469" s="173"/>
      <c r="BO469" s="173"/>
      <c r="BP469" s="173"/>
      <c r="BQ469" s="173"/>
      <c r="BR469" s="173"/>
      <c r="BS469" s="173"/>
      <c r="BT469" s="173"/>
      <c r="BU469" s="173"/>
      <c r="BV469" s="173"/>
      <c r="BW469" s="173"/>
      <c r="BX469" s="173"/>
      <c r="BY469" s="173"/>
      <c r="BZ469" s="173"/>
      <c r="CA469" s="173"/>
      <c r="CB469" s="173"/>
      <c r="CC469" s="173"/>
      <c r="CD469" s="173"/>
      <c r="CE469" s="173"/>
      <c r="CF469" s="173"/>
      <c r="CG469" s="173"/>
      <c r="CH469" s="173"/>
      <c r="CI469" s="173"/>
      <c r="CJ469" s="173"/>
      <c r="CK469" s="173"/>
      <c r="CL469" s="173"/>
      <c r="CM469" s="173"/>
      <c r="CN469" s="173"/>
      <c r="CO469" s="173"/>
      <c r="CP469" s="173"/>
      <c r="CQ469" s="173"/>
      <c r="CR469" s="173"/>
      <c r="CS469" s="173"/>
    </row>
    <row r="470">
      <c r="A470" s="179" t="str">
        <f t="shared" si="4"/>
        <v>water catchment area human population measurement bin</v>
      </c>
      <c r="B470" s="190" t="s">
        <v>2297</v>
      </c>
      <c r="C470" s="191" t="s">
        <v>2289</v>
      </c>
      <c r="D470" s="70" t="s">
        <v>2298</v>
      </c>
      <c r="E470" s="191" t="s">
        <v>2291</v>
      </c>
      <c r="F470" s="168"/>
      <c r="G470" s="168"/>
      <c r="H470" s="168" t="s">
        <v>25</v>
      </c>
      <c r="I470" s="168" t="s">
        <v>25</v>
      </c>
      <c r="J470" s="168" t="s">
        <v>25</v>
      </c>
      <c r="K470" s="163" t="str">
        <f>VLOOKUP(C470,'Term Reference Guide'!$C:$C,1,false)</f>
        <v>#N/A</v>
      </c>
      <c r="L470" s="173"/>
      <c r="M470" s="173"/>
      <c r="N470" s="173"/>
      <c r="O470" s="173"/>
      <c r="P470" s="173"/>
      <c r="Q470" s="173"/>
      <c r="R470" s="173"/>
      <c r="S470" s="173"/>
      <c r="T470" s="173"/>
      <c r="U470" s="173"/>
      <c r="V470" s="173"/>
      <c r="W470" s="173"/>
      <c r="X470" s="173"/>
      <c r="Y470" s="173"/>
      <c r="Z470" s="173"/>
      <c r="AA470" s="173"/>
      <c r="AB470" s="173"/>
      <c r="AC470" s="173"/>
      <c r="AD470" s="173"/>
      <c r="AE470" s="173"/>
      <c r="AF470" s="173"/>
      <c r="AG470" s="173"/>
      <c r="AH470" s="173"/>
      <c r="AI470" s="173"/>
      <c r="AJ470" s="173"/>
      <c r="AK470" s="173"/>
      <c r="AL470" s="173"/>
      <c r="AM470" s="173"/>
      <c r="AN470" s="173"/>
      <c r="AO470" s="173"/>
      <c r="AP470" s="173"/>
      <c r="AQ470" s="173"/>
      <c r="AR470" s="173"/>
      <c r="AS470" s="173"/>
      <c r="AT470" s="173"/>
      <c r="AU470" s="173"/>
      <c r="AV470" s="173"/>
      <c r="AW470" s="173"/>
      <c r="AX470" s="173"/>
      <c r="AY470" s="173"/>
      <c r="AZ470" s="173"/>
      <c r="BA470" s="173"/>
      <c r="BB470" s="173"/>
      <c r="BC470" s="173"/>
      <c r="BD470" s="173"/>
      <c r="BE470" s="173"/>
      <c r="BF470" s="173"/>
      <c r="BG470" s="173"/>
      <c r="BH470" s="173"/>
      <c r="BI470" s="173"/>
      <c r="BJ470" s="173"/>
      <c r="BK470" s="173"/>
      <c r="BL470" s="173"/>
      <c r="BM470" s="173"/>
      <c r="BN470" s="173"/>
      <c r="BO470" s="173"/>
      <c r="BP470" s="173"/>
      <c r="BQ470" s="173"/>
      <c r="BR470" s="173"/>
      <c r="BS470" s="173"/>
      <c r="BT470" s="173"/>
      <c r="BU470" s="173"/>
      <c r="BV470" s="173"/>
      <c r="BW470" s="173"/>
      <c r="BX470" s="173"/>
      <c r="BY470" s="173"/>
      <c r="BZ470" s="173"/>
      <c r="CA470" s="173"/>
      <c r="CB470" s="173"/>
      <c r="CC470" s="173"/>
      <c r="CD470" s="173"/>
      <c r="CE470" s="173"/>
      <c r="CF470" s="173"/>
      <c r="CG470" s="173"/>
      <c r="CH470" s="173"/>
      <c r="CI470" s="173"/>
      <c r="CJ470" s="173"/>
      <c r="CK470" s="173"/>
      <c r="CL470" s="173"/>
      <c r="CM470" s="173"/>
      <c r="CN470" s="173"/>
      <c r="CO470" s="173"/>
      <c r="CP470" s="173"/>
      <c r="CQ470" s="173"/>
      <c r="CR470" s="173"/>
      <c r="CS470" s="173"/>
    </row>
    <row r="471">
      <c r="A471" s="179" t="str">
        <f t="shared" si="4"/>
        <v>water catchment area human population measurement bin</v>
      </c>
      <c r="B471" s="190" t="s">
        <v>2299</v>
      </c>
      <c r="C471" s="191" t="s">
        <v>2289</v>
      </c>
      <c r="D471" s="70" t="s">
        <v>2300</v>
      </c>
      <c r="E471" s="191" t="s">
        <v>2291</v>
      </c>
      <c r="F471" s="168"/>
      <c r="G471" s="168"/>
      <c r="H471" s="168" t="s">
        <v>25</v>
      </c>
      <c r="I471" s="168" t="s">
        <v>25</v>
      </c>
      <c r="J471" s="168" t="s">
        <v>25</v>
      </c>
      <c r="K471" s="163" t="str">
        <f>VLOOKUP(C471,'Term Reference Guide'!$C:$C,1,false)</f>
        <v>#N/A</v>
      </c>
      <c r="L471" s="173"/>
      <c r="M471" s="173"/>
      <c r="N471" s="173"/>
      <c r="O471" s="173"/>
      <c r="P471" s="173"/>
      <c r="Q471" s="173"/>
      <c r="R471" s="173"/>
      <c r="S471" s="173"/>
      <c r="T471" s="173"/>
      <c r="U471" s="173"/>
      <c r="V471" s="173"/>
      <c r="W471" s="173"/>
      <c r="X471" s="173"/>
      <c r="Y471" s="173"/>
      <c r="Z471" s="173"/>
      <c r="AA471" s="173"/>
      <c r="AB471" s="173"/>
      <c r="AC471" s="173"/>
      <c r="AD471" s="173"/>
      <c r="AE471" s="173"/>
      <c r="AF471" s="173"/>
      <c r="AG471" s="173"/>
      <c r="AH471" s="173"/>
      <c r="AI471" s="173"/>
      <c r="AJ471" s="173"/>
      <c r="AK471" s="173"/>
      <c r="AL471" s="173"/>
      <c r="AM471" s="173"/>
      <c r="AN471" s="173"/>
      <c r="AO471" s="173"/>
      <c r="AP471" s="173"/>
      <c r="AQ471" s="173"/>
      <c r="AR471" s="173"/>
      <c r="AS471" s="173"/>
      <c r="AT471" s="173"/>
      <c r="AU471" s="173"/>
      <c r="AV471" s="173"/>
      <c r="AW471" s="173"/>
      <c r="AX471" s="173"/>
      <c r="AY471" s="173"/>
      <c r="AZ471" s="173"/>
      <c r="BA471" s="173"/>
      <c r="BB471" s="173"/>
      <c r="BC471" s="173"/>
      <c r="BD471" s="173"/>
      <c r="BE471" s="173"/>
      <c r="BF471" s="173"/>
      <c r="BG471" s="173"/>
      <c r="BH471" s="173"/>
      <c r="BI471" s="173"/>
      <c r="BJ471" s="173"/>
      <c r="BK471" s="173"/>
      <c r="BL471" s="173"/>
      <c r="BM471" s="173"/>
      <c r="BN471" s="173"/>
      <c r="BO471" s="173"/>
      <c r="BP471" s="173"/>
      <c r="BQ471" s="173"/>
      <c r="BR471" s="173"/>
      <c r="BS471" s="173"/>
      <c r="BT471" s="173"/>
      <c r="BU471" s="173"/>
      <c r="BV471" s="173"/>
      <c r="BW471" s="173"/>
      <c r="BX471" s="173"/>
      <c r="BY471" s="173"/>
      <c r="BZ471" s="173"/>
      <c r="CA471" s="173"/>
      <c r="CB471" s="173"/>
      <c r="CC471" s="173"/>
      <c r="CD471" s="173"/>
      <c r="CE471" s="173"/>
      <c r="CF471" s="173"/>
      <c r="CG471" s="173"/>
      <c r="CH471" s="173"/>
      <c r="CI471" s="173"/>
      <c r="CJ471" s="173"/>
      <c r="CK471" s="173"/>
      <c r="CL471" s="173"/>
      <c r="CM471" s="173"/>
      <c r="CN471" s="173"/>
      <c r="CO471" s="173"/>
      <c r="CP471" s="173"/>
      <c r="CQ471" s="173"/>
      <c r="CR471" s="173"/>
      <c r="CS471" s="173"/>
    </row>
    <row r="472">
      <c r="A472" s="179" t="str">
        <f t="shared" si="4"/>
        <v>water catchment area human population measurement bin</v>
      </c>
      <c r="B472" s="190" t="s">
        <v>2301</v>
      </c>
      <c r="C472" s="191" t="s">
        <v>2289</v>
      </c>
      <c r="D472" s="70" t="s">
        <v>2302</v>
      </c>
      <c r="E472" s="191" t="s">
        <v>2291</v>
      </c>
      <c r="F472" s="168"/>
      <c r="G472" s="168"/>
      <c r="H472" s="168" t="s">
        <v>25</v>
      </c>
      <c r="I472" s="168" t="s">
        <v>25</v>
      </c>
      <c r="J472" s="168" t="s">
        <v>25</v>
      </c>
      <c r="K472" s="163" t="str">
        <f>VLOOKUP(C472,'Term Reference Guide'!$C:$C,1,false)</f>
        <v>#N/A</v>
      </c>
      <c r="L472" s="173"/>
      <c r="M472" s="173"/>
      <c r="N472" s="173"/>
      <c r="O472" s="173"/>
      <c r="P472" s="173"/>
      <c r="Q472" s="173"/>
      <c r="R472" s="173"/>
      <c r="S472" s="173"/>
      <c r="T472" s="173"/>
      <c r="U472" s="173"/>
      <c r="V472" s="173"/>
      <c r="W472" s="173"/>
      <c r="X472" s="173"/>
      <c r="Y472" s="173"/>
      <c r="Z472" s="173"/>
      <c r="AA472" s="173"/>
      <c r="AB472" s="173"/>
      <c r="AC472" s="173"/>
      <c r="AD472" s="173"/>
      <c r="AE472" s="173"/>
      <c r="AF472" s="173"/>
      <c r="AG472" s="173"/>
      <c r="AH472" s="173"/>
      <c r="AI472" s="173"/>
      <c r="AJ472" s="173"/>
      <c r="AK472" s="173"/>
      <c r="AL472" s="173"/>
      <c r="AM472" s="173"/>
      <c r="AN472" s="173"/>
      <c r="AO472" s="173"/>
      <c r="AP472" s="173"/>
      <c r="AQ472" s="173"/>
      <c r="AR472" s="173"/>
      <c r="AS472" s="173"/>
      <c r="AT472" s="173"/>
      <c r="AU472" s="173"/>
      <c r="AV472" s="173"/>
      <c r="AW472" s="173"/>
      <c r="AX472" s="173"/>
      <c r="AY472" s="173"/>
      <c r="AZ472" s="173"/>
      <c r="BA472" s="173"/>
      <c r="BB472" s="173"/>
      <c r="BC472" s="173"/>
      <c r="BD472" s="173"/>
      <c r="BE472" s="173"/>
      <c r="BF472" s="173"/>
      <c r="BG472" s="173"/>
      <c r="BH472" s="173"/>
      <c r="BI472" s="173"/>
      <c r="BJ472" s="173"/>
      <c r="BK472" s="173"/>
      <c r="BL472" s="173"/>
      <c r="BM472" s="173"/>
      <c r="BN472" s="173"/>
      <c r="BO472" s="173"/>
      <c r="BP472" s="173"/>
      <c r="BQ472" s="173"/>
      <c r="BR472" s="173"/>
      <c r="BS472" s="173"/>
      <c r="BT472" s="173"/>
      <c r="BU472" s="173"/>
      <c r="BV472" s="173"/>
      <c r="BW472" s="173"/>
      <c r="BX472" s="173"/>
      <c r="BY472" s="173"/>
      <c r="BZ472" s="173"/>
      <c r="CA472" s="173"/>
      <c r="CB472" s="173"/>
      <c r="CC472" s="173"/>
      <c r="CD472" s="173"/>
      <c r="CE472" s="173"/>
      <c r="CF472" s="173"/>
      <c r="CG472" s="173"/>
      <c r="CH472" s="173"/>
      <c r="CI472" s="173"/>
      <c r="CJ472" s="173"/>
      <c r="CK472" s="173"/>
      <c r="CL472" s="173"/>
      <c r="CM472" s="173"/>
      <c r="CN472" s="173"/>
      <c r="CO472" s="173"/>
      <c r="CP472" s="173"/>
      <c r="CQ472" s="173"/>
      <c r="CR472" s="173"/>
      <c r="CS472" s="173"/>
    </row>
    <row r="473">
      <c r="A473" s="173"/>
      <c r="B473" s="173"/>
      <c r="C473" s="173"/>
      <c r="D473" s="141"/>
      <c r="E473" s="173"/>
      <c r="F473" s="173"/>
      <c r="G473" s="173"/>
      <c r="H473" s="173"/>
      <c r="I473" s="173"/>
      <c r="J473" s="141"/>
      <c r="K473" s="163" t="str">
        <f>VLOOKUP(C473,'Term Reference Guide'!$C:$C,1,false)</f>
        <v>#N/A</v>
      </c>
      <c r="L473" s="173"/>
      <c r="M473" s="173"/>
      <c r="N473" s="173"/>
      <c r="O473" s="173"/>
      <c r="P473" s="173"/>
      <c r="Q473" s="173"/>
      <c r="R473" s="173"/>
      <c r="S473" s="173"/>
      <c r="T473" s="173"/>
      <c r="U473" s="173"/>
      <c r="V473" s="173"/>
      <c r="W473" s="173"/>
      <c r="X473" s="173"/>
      <c r="Y473" s="173"/>
      <c r="Z473" s="173"/>
      <c r="AA473" s="173"/>
      <c r="AB473" s="173"/>
      <c r="AC473" s="173"/>
      <c r="AD473" s="173"/>
      <c r="AE473" s="173"/>
      <c r="AF473" s="173"/>
      <c r="AG473" s="173"/>
      <c r="AH473" s="173"/>
      <c r="AI473" s="173"/>
      <c r="AJ473" s="173"/>
      <c r="AK473" s="173"/>
      <c r="AL473" s="173"/>
      <c r="AM473" s="173"/>
      <c r="AN473" s="173"/>
      <c r="AO473" s="173"/>
      <c r="AP473" s="173"/>
      <c r="AQ473" s="173"/>
      <c r="AR473" s="173"/>
      <c r="AS473" s="173"/>
      <c r="AT473" s="173"/>
      <c r="AU473" s="173"/>
      <c r="AV473" s="173"/>
      <c r="AW473" s="173"/>
      <c r="AX473" s="173"/>
      <c r="AY473" s="173"/>
      <c r="AZ473" s="173"/>
      <c r="BA473" s="173"/>
      <c r="BB473" s="173"/>
      <c r="BC473" s="173"/>
      <c r="BD473" s="173"/>
      <c r="BE473" s="173"/>
      <c r="BF473" s="173"/>
      <c r="BG473" s="173"/>
      <c r="BH473" s="173"/>
      <c r="BI473" s="173"/>
      <c r="BJ473" s="173"/>
      <c r="BK473" s="173"/>
      <c r="BL473" s="173"/>
      <c r="BM473" s="173"/>
      <c r="BN473" s="173"/>
      <c r="BO473" s="173"/>
      <c r="BP473" s="173"/>
      <c r="BQ473" s="173"/>
      <c r="BR473" s="173"/>
      <c r="BS473" s="173"/>
      <c r="BT473" s="173"/>
      <c r="BU473" s="173"/>
      <c r="BV473" s="173"/>
      <c r="BW473" s="173"/>
      <c r="BX473" s="173"/>
      <c r="BY473" s="173"/>
      <c r="BZ473" s="173"/>
      <c r="CA473" s="173"/>
      <c r="CB473" s="173"/>
      <c r="CC473" s="173"/>
      <c r="CD473" s="173"/>
      <c r="CE473" s="173"/>
      <c r="CF473" s="173"/>
      <c r="CG473" s="173"/>
      <c r="CH473" s="173"/>
      <c r="CI473" s="173"/>
      <c r="CJ473" s="173"/>
      <c r="CK473" s="173"/>
      <c r="CL473" s="173"/>
      <c r="CM473" s="173"/>
      <c r="CN473" s="173"/>
      <c r="CO473" s="173"/>
      <c r="CP473" s="173"/>
      <c r="CQ473" s="173"/>
      <c r="CR473" s="173"/>
      <c r="CS473" s="173"/>
    </row>
    <row r="474">
      <c r="A474" s="27" t="s">
        <v>341</v>
      </c>
      <c r="B474" s="174"/>
      <c r="C474" s="174"/>
      <c r="D474" s="175"/>
      <c r="E474" s="174"/>
      <c r="F474" s="174"/>
      <c r="G474" s="174"/>
      <c r="H474" s="176"/>
      <c r="I474" s="176"/>
      <c r="J474" s="177"/>
      <c r="K474" s="163" t="str">
        <f>VLOOKUP(C474,'Term Reference Guide'!$C:$C,1,false)</f>
        <v>#N/A</v>
      </c>
      <c r="L474" s="178"/>
      <c r="M474" s="178"/>
      <c r="N474" s="178"/>
      <c r="O474" s="178"/>
      <c r="P474" s="178"/>
      <c r="Q474" s="178"/>
      <c r="R474" s="178"/>
      <c r="S474" s="178"/>
      <c r="T474" s="178"/>
      <c r="U474" s="178"/>
      <c r="V474" s="178"/>
      <c r="W474" s="178"/>
      <c r="X474" s="178"/>
      <c r="Y474" s="178"/>
      <c r="Z474" s="178"/>
      <c r="AA474" s="178"/>
      <c r="AB474" s="178"/>
      <c r="AC474" s="178"/>
      <c r="AD474" s="178"/>
      <c r="AE474" s="178"/>
      <c r="AF474" s="178"/>
      <c r="AG474" s="178"/>
      <c r="AH474" s="178"/>
      <c r="AI474" s="178"/>
      <c r="AJ474" s="178"/>
      <c r="AK474" s="178"/>
      <c r="AL474" s="178"/>
      <c r="AM474" s="178"/>
      <c r="AN474" s="178"/>
      <c r="AO474" s="178"/>
      <c r="AP474" s="178"/>
      <c r="AQ474" s="178"/>
      <c r="AR474" s="178"/>
      <c r="AS474" s="178"/>
      <c r="AT474" s="178"/>
      <c r="AU474" s="178"/>
      <c r="AV474" s="178"/>
      <c r="AW474" s="178"/>
      <c r="AX474" s="178"/>
      <c r="AY474" s="178"/>
      <c r="AZ474" s="178"/>
      <c r="BA474" s="178"/>
      <c r="BB474" s="178"/>
      <c r="BC474" s="178"/>
      <c r="BD474" s="178"/>
      <c r="BE474" s="178"/>
      <c r="BF474" s="178"/>
      <c r="BG474" s="178"/>
      <c r="BH474" s="178"/>
      <c r="BI474" s="178"/>
      <c r="BJ474" s="178"/>
      <c r="BK474" s="178"/>
      <c r="BL474" s="178"/>
      <c r="BM474" s="178"/>
      <c r="BN474" s="178"/>
      <c r="BO474" s="178"/>
      <c r="BP474" s="178"/>
      <c r="BQ474" s="178"/>
      <c r="BR474" s="178"/>
      <c r="BS474" s="178"/>
      <c r="BT474" s="178"/>
      <c r="BU474" s="178"/>
      <c r="BV474" s="178"/>
      <c r="BW474" s="178"/>
      <c r="BX474" s="178"/>
      <c r="BY474" s="178"/>
      <c r="BZ474" s="178"/>
      <c r="CA474" s="178"/>
      <c r="CB474" s="178"/>
      <c r="CC474" s="178"/>
      <c r="CD474" s="178"/>
      <c r="CE474" s="178"/>
      <c r="CF474" s="178"/>
      <c r="CG474" s="178"/>
      <c r="CH474" s="178"/>
      <c r="CI474" s="178"/>
      <c r="CJ474" s="178"/>
      <c r="CK474" s="178"/>
      <c r="CL474" s="178"/>
      <c r="CM474" s="178"/>
      <c r="CN474" s="178"/>
      <c r="CO474" s="178"/>
      <c r="CP474" s="178"/>
      <c r="CQ474" s="178"/>
      <c r="CR474" s="178"/>
      <c r="CS474" s="178"/>
    </row>
    <row r="475" hidden="1">
      <c r="A475" s="173" t="str">
        <f t="shared" ref="A475:A478" si="5">A$474</f>
        <v>water catchment area human population density unit</v>
      </c>
      <c r="B475" s="179" t="s">
        <v>2303</v>
      </c>
      <c r="C475" s="40" t="s">
        <v>2304</v>
      </c>
      <c r="D475" s="70" t="s">
        <v>2305</v>
      </c>
      <c r="E475" s="173"/>
      <c r="F475" s="168"/>
      <c r="G475" s="168"/>
      <c r="H475" s="168" t="s">
        <v>25</v>
      </c>
      <c r="I475" s="168" t="s">
        <v>25</v>
      </c>
      <c r="J475" s="168" t="s">
        <v>25</v>
      </c>
      <c r="K475" s="163" t="str">
        <f>VLOOKUP(C475,'Term Reference Guide'!$C:$C,1,false)</f>
        <v>GENEPIO:0100989</v>
      </c>
      <c r="L475" s="173"/>
      <c r="M475" s="173"/>
      <c r="N475" s="173"/>
      <c r="O475" s="173"/>
      <c r="P475" s="173"/>
      <c r="Q475" s="173"/>
      <c r="R475" s="173"/>
      <c r="S475" s="173"/>
      <c r="T475" s="173"/>
      <c r="U475" s="173"/>
      <c r="V475" s="173"/>
      <c r="W475" s="173"/>
      <c r="X475" s="173"/>
      <c r="Y475" s="173"/>
      <c r="Z475" s="173"/>
      <c r="AA475" s="173"/>
      <c r="AB475" s="173"/>
      <c r="AC475" s="173"/>
      <c r="AD475" s="173"/>
      <c r="AE475" s="173"/>
      <c r="AF475" s="173"/>
      <c r="AG475" s="173"/>
      <c r="AH475" s="173"/>
      <c r="AI475" s="173"/>
      <c r="AJ475" s="173"/>
      <c r="AK475" s="173"/>
      <c r="AL475" s="173"/>
      <c r="AM475" s="173"/>
      <c r="AN475" s="173"/>
      <c r="AO475" s="173"/>
      <c r="AP475" s="173"/>
      <c r="AQ475" s="173"/>
      <c r="AR475" s="173"/>
      <c r="AS475" s="173"/>
      <c r="AT475" s="173"/>
      <c r="AU475" s="173"/>
      <c r="AV475" s="173"/>
      <c r="AW475" s="173"/>
      <c r="AX475" s="173"/>
      <c r="AY475" s="173"/>
      <c r="AZ475" s="173"/>
      <c r="BA475" s="173"/>
      <c r="BB475" s="173"/>
      <c r="BC475" s="173"/>
      <c r="BD475" s="173"/>
      <c r="BE475" s="173"/>
      <c r="BF475" s="173"/>
      <c r="BG475" s="173"/>
      <c r="BH475" s="173"/>
      <c r="BI475" s="173"/>
      <c r="BJ475" s="173"/>
      <c r="BK475" s="173"/>
      <c r="BL475" s="173"/>
      <c r="BM475" s="173"/>
      <c r="BN475" s="173"/>
      <c r="BO475" s="173"/>
      <c r="BP475" s="173"/>
      <c r="BQ475" s="173"/>
      <c r="BR475" s="173"/>
      <c r="BS475" s="173"/>
      <c r="BT475" s="173"/>
      <c r="BU475" s="173"/>
      <c r="BV475" s="173"/>
      <c r="BW475" s="173"/>
      <c r="BX475" s="173"/>
      <c r="BY475" s="173"/>
      <c r="BZ475" s="173"/>
      <c r="CA475" s="173"/>
      <c r="CB475" s="173"/>
      <c r="CC475" s="173"/>
      <c r="CD475" s="173"/>
      <c r="CE475" s="173"/>
      <c r="CF475" s="173"/>
      <c r="CG475" s="173"/>
      <c r="CH475" s="173"/>
      <c r="CI475" s="173"/>
      <c r="CJ475" s="173"/>
      <c r="CK475" s="173"/>
      <c r="CL475" s="173"/>
      <c r="CM475" s="173"/>
      <c r="CN475" s="173"/>
      <c r="CO475" s="173"/>
      <c r="CP475" s="173"/>
      <c r="CQ475" s="173"/>
      <c r="CR475" s="173"/>
      <c r="CS475" s="173"/>
    </row>
    <row r="476" hidden="1">
      <c r="A476" s="173" t="str">
        <f t="shared" si="5"/>
        <v>water catchment area human population density unit</v>
      </c>
      <c r="B476" s="179" t="s">
        <v>2306</v>
      </c>
      <c r="C476" s="40" t="s">
        <v>2307</v>
      </c>
      <c r="D476" s="70" t="s">
        <v>2308</v>
      </c>
      <c r="E476" s="173"/>
      <c r="F476" s="168"/>
      <c r="G476" s="168"/>
      <c r="H476" s="168" t="s">
        <v>25</v>
      </c>
      <c r="I476" s="168" t="s">
        <v>25</v>
      </c>
      <c r="J476" s="168" t="s">
        <v>25</v>
      </c>
      <c r="K476" s="163" t="str">
        <f>VLOOKUP(C476,'Term Reference Guide'!$C:$C,1,false)</f>
        <v>GENEPIO:0100990</v>
      </c>
      <c r="L476" s="173"/>
      <c r="M476" s="173"/>
      <c r="N476" s="173"/>
      <c r="O476" s="173"/>
      <c r="P476" s="173"/>
      <c r="Q476" s="173"/>
      <c r="R476" s="173"/>
      <c r="S476" s="173"/>
      <c r="T476" s="173"/>
      <c r="U476" s="173"/>
      <c r="V476" s="173"/>
      <c r="W476" s="173"/>
      <c r="X476" s="173"/>
      <c r="Y476" s="173"/>
      <c r="Z476" s="173"/>
      <c r="AA476" s="173"/>
      <c r="AB476" s="173"/>
      <c r="AC476" s="173"/>
      <c r="AD476" s="173"/>
      <c r="AE476" s="173"/>
      <c r="AF476" s="173"/>
      <c r="AG476" s="173"/>
      <c r="AH476" s="173"/>
      <c r="AI476" s="173"/>
      <c r="AJ476" s="173"/>
      <c r="AK476" s="173"/>
      <c r="AL476" s="173"/>
      <c r="AM476" s="173"/>
      <c r="AN476" s="173"/>
      <c r="AO476" s="173"/>
      <c r="AP476" s="173"/>
      <c r="AQ476" s="173"/>
      <c r="AR476" s="173"/>
      <c r="AS476" s="173"/>
      <c r="AT476" s="173"/>
      <c r="AU476" s="173"/>
      <c r="AV476" s="173"/>
      <c r="AW476" s="173"/>
      <c r="AX476" s="173"/>
      <c r="AY476" s="173"/>
      <c r="AZ476" s="173"/>
      <c r="BA476" s="173"/>
      <c r="BB476" s="173"/>
      <c r="BC476" s="173"/>
      <c r="BD476" s="173"/>
      <c r="BE476" s="173"/>
      <c r="BF476" s="173"/>
      <c r="BG476" s="173"/>
      <c r="BH476" s="173"/>
      <c r="BI476" s="173"/>
      <c r="BJ476" s="173"/>
      <c r="BK476" s="173"/>
      <c r="BL476" s="173"/>
      <c r="BM476" s="173"/>
      <c r="BN476" s="173"/>
      <c r="BO476" s="173"/>
      <c r="BP476" s="173"/>
      <c r="BQ476" s="173"/>
      <c r="BR476" s="173"/>
      <c r="BS476" s="173"/>
      <c r="BT476" s="173"/>
      <c r="BU476" s="173"/>
      <c r="BV476" s="173"/>
      <c r="BW476" s="173"/>
      <c r="BX476" s="173"/>
      <c r="BY476" s="173"/>
      <c r="BZ476" s="173"/>
      <c r="CA476" s="173"/>
      <c r="CB476" s="173"/>
      <c r="CC476" s="173"/>
      <c r="CD476" s="173"/>
      <c r="CE476" s="173"/>
      <c r="CF476" s="173"/>
      <c r="CG476" s="173"/>
      <c r="CH476" s="173"/>
      <c r="CI476" s="173"/>
      <c r="CJ476" s="173"/>
      <c r="CK476" s="173"/>
      <c r="CL476" s="173"/>
      <c r="CM476" s="173"/>
      <c r="CN476" s="173"/>
      <c r="CO476" s="173"/>
      <c r="CP476" s="173"/>
      <c r="CQ476" s="173"/>
      <c r="CR476" s="173"/>
      <c r="CS476" s="173"/>
    </row>
    <row r="477" hidden="1">
      <c r="A477" s="173" t="str">
        <f t="shared" si="5"/>
        <v>water catchment area human population density unit</v>
      </c>
      <c r="B477" s="179" t="s">
        <v>2309</v>
      </c>
      <c r="C477" s="40" t="s">
        <v>2310</v>
      </c>
      <c r="D477" s="70" t="s">
        <v>2311</v>
      </c>
      <c r="E477" s="173"/>
      <c r="F477" s="168"/>
      <c r="G477" s="168"/>
      <c r="H477" s="168" t="s">
        <v>25</v>
      </c>
      <c r="I477" s="168" t="s">
        <v>25</v>
      </c>
      <c r="J477" s="168" t="s">
        <v>25</v>
      </c>
      <c r="K477" s="163" t="str">
        <f>VLOOKUP(C477,'Term Reference Guide'!$C:$C,1,false)</f>
        <v>GENEPIO:0100991</v>
      </c>
      <c r="L477" s="173"/>
      <c r="M477" s="173"/>
      <c r="N477" s="173"/>
      <c r="O477" s="173"/>
      <c r="P477" s="173"/>
      <c r="Q477" s="173"/>
      <c r="R477" s="173"/>
      <c r="S477" s="173"/>
      <c r="T477" s="173"/>
      <c r="U477" s="173"/>
      <c r="V477" s="173"/>
      <c r="W477" s="173"/>
      <c r="X477" s="173"/>
      <c r="Y477" s="173"/>
      <c r="Z477" s="173"/>
      <c r="AA477" s="173"/>
      <c r="AB477" s="173"/>
      <c r="AC477" s="173"/>
      <c r="AD477" s="173"/>
      <c r="AE477" s="173"/>
      <c r="AF477" s="173"/>
      <c r="AG477" s="173"/>
      <c r="AH477" s="173"/>
      <c r="AI477" s="173"/>
      <c r="AJ477" s="173"/>
      <c r="AK477" s="173"/>
      <c r="AL477" s="173"/>
      <c r="AM477" s="173"/>
      <c r="AN477" s="173"/>
      <c r="AO477" s="173"/>
      <c r="AP477" s="173"/>
      <c r="AQ477" s="173"/>
      <c r="AR477" s="173"/>
      <c r="AS477" s="173"/>
      <c r="AT477" s="173"/>
      <c r="AU477" s="173"/>
      <c r="AV477" s="173"/>
      <c r="AW477" s="173"/>
      <c r="AX477" s="173"/>
      <c r="AY477" s="173"/>
      <c r="AZ477" s="173"/>
      <c r="BA477" s="173"/>
      <c r="BB477" s="173"/>
      <c r="BC477" s="173"/>
      <c r="BD477" s="173"/>
      <c r="BE477" s="173"/>
      <c r="BF477" s="173"/>
      <c r="BG477" s="173"/>
      <c r="BH477" s="173"/>
      <c r="BI477" s="173"/>
      <c r="BJ477" s="173"/>
      <c r="BK477" s="173"/>
      <c r="BL477" s="173"/>
      <c r="BM477" s="173"/>
      <c r="BN477" s="173"/>
      <c r="BO477" s="173"/>
      <c r="BP477" s="173"/>
      <c r="BQ477" s="173"/>
      <c r="BR477" s="173"/>
      <c r="BS477" s="173"/>
      <c r="BT477" s="173"/>
      <c r="BU477" s="173"/>
      <c r="BV477" s="173"/>
      <c r="BW477" s="173"/>
      <c r="BX477" s="173"/>
      <c r="BY477" s="173"/>
      <c r="BZ477" s="173"/>
      <c r="CA477" s="173"/>
      <c r="CB477" s="173"/>
      <c r="CC477" s="173"/>
      <c r="CD477" s="173"/>
      <c r="CE477" s="173"/>
      <c r="CF477" s="173"/>
      <c r="CG477" s="173"/>
      <c r="CH477" s="173"/>
      <c r="CI477" s="173"/>
      <c r="CJ477" s="173"/>
      <c r="CK477" s="173"/>
      <c r="CL477" s="173"/>
      <c r="CM477" s="173"/>
      <c r="CN477" s="173"/>
      <c r="CO477" s="173"/>
      <c r="CP477" s="173"/>
      <c r="CQ477" s="173"/>
      <c r="CR477" s="173"/>
      <c r="CS477" s="173"/>
    </row>
    <row r="478" hidden="1">
      <c r="A478" s="173" t="str">
        <f t="shared" si="5"/>
        <v>water catchment area human population density unit</v>
      </c>
      <c r="B478" s="179" t="s">
        <v>2312</v>
      </c>
      <c r="C478" s="40" t="s">
        <v>2313</v>
      </c>
      <c r="D478" s="70" t="s">
        <v>2314</v>
      </c>
      <c r="E478" s="173"/>
      <c r="F478" s="168"/>
      <c r="G478" s="168"/>
      <c r="H478" s="168" t="s">
        <v>25</v>
      </c>
      <c r="I478" s="168" t="s">
        <v>25</v>
      </c>
      <c r="J478" s="168" t="s">
        <v>25</v>
      </c>
      <c r="K478" s="163" t="str">
        <f>VLOOKUP(C478,'Term Reference Guide'!$C:$C,1,false)</f>
        <v>GENEPIO:0100992</v>
      </c>
      <c r="L478" s="173"/>
      <c r="M478" s="173"/>
      <c r="N478" s="173"/>
      <c r="O478" s="173"/>
      <c r="P478" s="173"/>
      <c r="Q478" s="173"/>
      <c r="R478" s="173"/>
      <c r="S478" s="173"/>
      <c r="T478" s="173"/>
      <c r="U478" s="173"/>
      <c r="V478" s="173"/>
      <c r="W478" s="173"/>
      <c r="X478" s="173"/>
      <c r="Y478" s="173"/>
      <c r="Z478" s="173"/>
      <c r="AA478" s="173"/>
      <c r="AB478" s="173"/>
      <c r="AC478" s="173"/>
      <c r="AD478" s="173"/>
      <c r="AE478" s="173"/>
      <c r="AF478" s="173"/>
      <c r="AG478" s="173"/>
      <c r="AH478" s="173"/>
      <c r="AI478" s="173"/>
      <c r="AJ478" s="173"/>
      <c r="AK478" s="173"/>
      <c r="AL478" s="173"/>
      <c r="AM478" s="173"/>
      <c r="AN478" s="173"/>
      <c r="AO478" s="173"/>
      <c r="AP478" s="173"/>
      <c r="AQ478" s="173"/>
      <c r="AR478" s="173"/>
      <c r="AS478" s="173"/>
      <c r="AT478" s="173"/>
      <c r="AU478" s="173"/>
      <c r="AV478" s="173"/>
      <c r="AW478" s="173"/>
      <c r="AX478" s="173"/>
      <c r="AY478" s="173"/>
      <c r="AZ478" s="173"/>
      <c r="BA478" s="173"/>
      <c r="BB478" s="173"/>
      <c r="BC478" s="173"/>
      <c r="BD478" s="173"/>
      <c r="BE478" s="173"/>
      <c r="BF478" s="173"/>
      <c r="BG478" s="173"/>
      <c r="BH478" s="173"/>
      <c r="BI478" s="173"/>
      <c r="BJ478" s="173"/>
      <c r="BK478" s="173"/>
      <c r="BL478" s="173"/>
      <c r="BM478" s="173"/>
      <c r="BN478" s="173"/>
      <c r="BO478" s="173"/>
      <c r="BP478" s="173"/>
      <c r="BQ478" s="173"/>
      <c r="BR478" s="173"/>
      <c r="BS478" s="173"/>
      <c r="BT478" s="173"/>
      <c r="BU478" s="173"/>
      <c r="BV478" s="173"/>
      <c r="BW478" s="173"/>
      <c r="BX478" s="173"/>
      <c r="BY478" s="173"/>
      <c r="BZ478" s="173"/>
      <c r="CA478" s="173"/>
      <c r="CB478" s="173"/>
      <c r="CC478" s="173"/>
      <c r="CD478" s="173"/>
      <c r="CE478" s="173"/>
      <c r="CF478" s="173"/>
      <c r="CG478" s="173"/>
      <c r="CH478" s="173"/>
      <c r="CI478" s="173"/>
      <c r="CJ478" s="173"/>
      <c r="CK478" s="173"/>
      <c r="CL478" s="173"/>
      <c r="CM478" s="173"/>
      <c r="CN478" s="173"/>
      <c r="CO478" s="173"/>
      <c r="CP478" s="173"/>
      <c r="CQ478" s="173"/>
      <c r="CR478" s="173"/>
      <c r="CS478" s="173"/>
    </row>
    <row r="479">
      <c r="A479" s="173"/>
      <c r="B479" s="173"/>
      <c r="C479" s="173"/>
      <c r="D479" s="141"/>
      <c r="E479" s="173"/>
      <c r="F479" s="173"/>
      <c r="G479" s="173"/>
      <c r="H479" s="173"/>
      <c r="I479" s="173"/>
      <c r="J479" s="141"/>
      <c r="K479" s="163" t="str">
        <f>VLOOKUP(C479,'Term Reference Guide'!$C:$C,1,false)</f>
        <v>#N/A</v>
      </c>
      <c r="L479" s="173"/>
      <c r="M479" s="173"/>
      <c r="N479" s="173"/>
      <c r="O479" s="173"/>
      <c r="P479" s="173"/>
      <c r="Q479" s="173"/>
      <c r="R479" s="173"/>
      <c r="S479" s="173"/>
      <c r="T479" s="173"/>
      <c r="U479" s="173"/>
      <c r="V479" s="173"/>
      <c r="W479" s="173"/>
      <c r="X479" s="173"/>
      <c r="Y479" s="173"/>
      <c r="Z479" s="173"/>
      <c r="AA479" s="173"/>
      <c r="AB479" s="173"/>
      <c r="AC479" s="173"/>
      <c r="AD479" s="173"/>
      <c r="AE479" s="173"/>
      <c r="AF479" s="173"/>
      <c r="AG479" s="173"/>
      <c r="AH479" s="173"/>
      <c r="AI479" s="173"/>
      <c r="AJ479" s="173"/>
      <c r="AK479" s="173"/>
      <c r="AL479" s="173"/>
      <c r="AM479" s="173"/>
      <c r="AN479" s="173"/>
      <c r="AO479" s="173"/>
      <c r="AP479" s="173"/>
      <c r="AQ479" s="173"/>
      <c r="AR479" s="173"/>
      <c r="AS479" s="173"/>
      <c r="AT479" s="173"/>
      <c r="AU479" s="173"/>
      <c r="AV479" s="173"/>
      <c r="AW479" s="173"/>
      <c r="AX479" s="173"/>
      <c r="AY479" s="173"/>
      <c r="AZ479" s="173"/>
      <c r="BA479" s="173"/>
      <c r="BB479" s="173"/>
      <c r="BC479" s="173"/>
      <c r="BD479" s="173"/>
      <c r="BE479" s="173"/>
      <c r="BF479" s="173"/>
      <c r="BG479" s="173"/>
      <c r="BH479" s="173"/>
      <c r="BI479" s="173"/>
      <c r="BJ479" s="173"/>
      <c r="BK479" s="173"/>
      <c r="BL479" s="173"/>
      <c r="BM479" s="173"/>
      <c r="BN479" s="173"/>
      <c r="BO479" s="173"/>
      <c r="BP479" s="173"/>
      <c r="BQ479" s="173"/>
      <c r="BR479" s="173"/>
      <c r="BS479" s="173"/>
      <c r="BT479" s="173"/>
      <c r="BU479" s="173"/>
      <c r="BV479" s="173"/>
      <c r="BW479" s="173"/>
      <c r="BX479" s="173"/>
      <c r="BY479" s="173"/>
      <c r="BZ479" s="173"/>
      <c r="CA479" s="173"/>
      <c r="CB479" s="173"/>
      <c r="CC479" s="173"/>
      <c r="CD479" s="173"/>
      <c r="CE479" s="173"/>
      <c r="CF479" s="173"/>
      <c r="CG479" s="173"/>
      <c r="CH479" s="173"/>
      <c r="CI479" s="173"/>
      <c r="CJ479" s="173"/>
      <c r="CK479" s="173"/>
      <c r="CL479" s="173"/>
      <c r="CM479" s="173"/>
      <c r="CN479" s="173"/>
      <c r="CO479" s="173"/>
      <c r="CP479" s="173"/>
      <c r="CQ479" s="173"/>
      <c r="CR479" s="173"/>
      <c r="CS479" s="173"/>
    </row>
    <row r="480">
      <c r="A480" s="27" t="s">
        <v>346</v>
      </c>
      <c r="B480" s="174"/>
      <c r="C480" s="174"/>
      <c r="D480" s="175"/>
      <c r="E480" s="174"/>
      <c r="F480" s="174"/>
      <c r="G480" s="174"/>
      <c r="H480" s="176"/>
      <c r="I480" s="176"/>
      <c r="J480" s="177"/>
      <c r="K480" s="163" t="str">
        <f>VLOOKUP(C480,'Term Reference Guide'!$C:$C,1,false)</f>
        <v>#N/A</v>
      </c>
      <c r="L480" s="178"/>
      <c r="M480" s="178"/>
      <c r="N480" s="178"/>
      <c r="O480" s="178"/>
      <c r="P480" s="178"/>
      <c r="Q480" s="178"/>
      <c r="R480" s="178"/>
      <c r="S480" s="178"/>
      <c r="T480" s="178"/>
      <c r="U480" s="178"/>
      <c r="V480" s="178"/>
      <c r="W480" s="178"/>
      <c r="X480" s="178"/>
      <c r="Y480" s="178"/>
      <c r="Z480" s="178"/>
      <c r="AA480" s="178"/>
      <c r="AB480" s="178"/>
      <c r="AC480" s="178"/>
      <c r="AD480" s="178"/>
      <c r="AE480" s="178"/>
      <c r="AF480" s="178"/>
      <c r="AG480" s="178"/>
      <c r="AH480" s="178"/>
      <c r="AI480" s="178"/>
      <c r="AJ480" s="178"/>
      <c r="AK480" s="178"/>
      <c r="AL480" s="178"/>
      <c r="AM480" s="178"/>
      <c r="AN480" s="178"/>
      <c r="AO480" s="178"/>
      <c r="AP480" s="178"/>
      <c r="AQ480" s="178"/>
      <c r="AR480" s="178"/>
      <c r="AS480" s="178"/>
      <c r="AT480" s="178"/>
      <c r="AU480" s="178"/>
      <c r="AV480" s="178"/>
      <c r="AW480" s="178"/>
      <c r="AX480" s="178"/>
      <c r="AY480" s="178"/>
      <c r="AZ480" s="178"/>
      <c r="BA480" s="178"/>
      <c r="BB480" s="178"/>
      <c r="BC480" s="178"/>
      <c r="BD480" s="178"/>
      <c r="BE480" s="178"/>
      <c r="BF480" s="178"/>
      <c r="BG480" s="178"/>
      <c r="BH480" s="178"/>
      <c r="BI480" s="178"/>
      <c r="BJ480" s="178"/>
      <c r="BK480" s="178"/>
      <c r="BL480" s="178"/>
      <c r="BM480" s="178"/>
      <c r="BN480" s="178"/>
      <c r="BO480" s="178"/>
      <c r="BP480" s="178"/>
      <c r="BQ480" s="178"/>
      <c r="BR480" s="178"/>
      <c r="BS480" s="178"/>
      <c r="BT480" s="178"/>
      <c r="BU480" s="178"/>
      <c r="BV480" s="178"/>
      <c r="BW480" s="178"/>
      <c r="BX480" s="178"/>
      <c r="BY480" s="178"/>
      <c r="BZ480" s="178"/>
      <c r="CA480" s="178"/>
      <c r="CB480" s="178"/>
      <c r="CC480" s="178"/>
      <c r="CD480" s="178"/>
      <c r="CE480" s="178"/>
      <c r="CF480" s="178"/>
      <c r="CG480" s="178"/>
      <c r="CH480" s="178"/>
      <c r="CI480" s="178"/>
      <c r="CJ480" s="178"/>
      <c r="CK480" s="178"/>
      <c r="CL480" s="178"/>
      <c r="CM480" s="178"/>
      <c r="CN480" s="178"/>
      <c r="CO480" s="178"/>
      <c r="CP480" s="178"/>
      <c r="CQ480" s="178"/>
      <c r="CR480" s="178"/>
      <c r="CS480" s="178"/>
    </row>
    <row r="481" hidden="1">
      <c r="A481" s="173" t="str">
        <f t="shared" ref="A481:A483" si="6">A$480</f>
        <v>populated area type</v>
      </c>
      <c r="B481" s="74" t="s">
        <v>2315</v>
      </c>
      <c r="C481" s="179" t="s">
        <v>2316</v>
      </c>
      <c r="D481" s="70" t="s">
        <v>2317</v>
      </c>
      <c r="E481" s="173"/>
      <c r="F481" s="168"/>
      <c r="G481" s="168"/>
      <c r="H481" s="168" t="s">
        <v>25</v>
      </c>
      <c r="I481" s="168" t="s">
        <v>25</v>
      </c>
      <c r="J481" s="168" t="s">
        <v>25</v>
      </c>
      <c r="K481" s="163" t="str">
        <f>VLOOKUP(C481,'Term Reference Guide'!$C:$C,1,false)</f>
        <v>GSSO:011077</v>
      </c>
      <c r="L481" s="173"/>
      <c r="M481" s="173"/>
      <c r="N481" s="173"/>
      <c r="O481" s="173"/>
      <c r="P481" s="173"/>
      <c r="Q481" s="173"/>
      <c r="R481" s="173"/>
      <c r="S481" s="173"/>
      <c r="T481" s="173"/>
      <c r="U481" s="173"/>
      <c r="V481" s="173"/>
      <c r="W481" s="173"/>
      <c r="X481" s="173"/>
      <c r="Y481" s="173"/>
      <c r="Z481" s="173"/>
      <c r="AA481" s="173"/>
      <c r="AB481" s="173"/>
      <c r="AC481" s="173"/>
      <c r="AD481" s="173"/>
      <c r="AE481" s="173"/>
      <c r="AF481" s="173"/>
      <c r="AG481" s="173"/>
      <c r="AH481" s="173"/>
      <c r="AI481" s="173"/>
      <c r="AJ481" s="173"/>
      <c r="AK481" s="173"/>
      <c r="AL481" s="173"/>
      <c r="AM481" s="173"/>
      <c r="AN481" s="173"/>
      <c r="AO481" s="173"/>
      <c r="AP481" s="173"/>
      <c r="AQ481" s="173"/>
      <c r="AR481" s="173"/>
      <c r="AS481" s="173"/>
      <c r="AT481" s="173"/>
      <c r="AU481" s="173"/>
      <c r="AV481" s="173"/>
      <c r="AW481" s="173"/>
      <c r="AX481" s="173"/>
      <c r="AY481" s="173"/>
      <c r="AZ481" s="173"/>
      <c r="BA481" s="173"/>
      <c r="BB481" s="173"/>
      <c r="BC481" s="173"/>
      <c r="BD481" s="173"/>
      <c r="BE481" s="173"/>
      <c r="BF481" s="173"/>
      <c r="BG481" s="173"/>
      <c r="BH481" s="173"/>
      <c r="BI481" s="173"/>
      <c r="BJ481" s="173"/>
      <c r="BK481" s="173"/>
      <c r="BL481" s="173"/>
      <c r="BM481" s="173"/>
      <c r="BN481" s="173"/>
      <c r="BO481" s="173"/>
      <c r="BP481" s="173"/>
      <c r="BQ481" s="173"/>
      <c r="BR481" s="173"/>
      <c r="BS481" s="173"/>
      <c r="BT481" s="173"/>
      <c r="BU481" s="173"/>
      <c r="BV481" s="173"/>
      <c r="BW481" s="173"/>
      <c r="BX481" s="173"/>
      <c r="BY481" s="173"/>
      <c r="BZ481" s="173"/>
      <c r="CA481" s="173"/>
      <c r="CB481" s="173"/>
      <c r="CC481" s="173"/>
      <c r="CD481" s="173"/>
      <c r="CE481" s="173"/>
      <c r="CF481" s="173"/>
      <c r="CG481" s="173"/>
      <c r="CH481" s="173"/>
      <c r="CI481" s="173"/>
      <c r="CJ481" s="173"/>
      <c r="CK481" s="173"/>
      <c r="CL481" s="173"/>
      <c r="CM481" s="173"/>
      <c r="CN481" s="173"/>
      <c r="CO481" s="173"/>
      <c r="CP481" s="173"/>
      <c r="CQ481" s="173"/>
      <c r="CR481" s="173"/>
      <c r="CS481" s="173"/>
    </row>
    <row r="482" hidden="1">
      <c r="A482" s="173" t="str">
        <f t="shared" si="6"/>
        <v>populated area type</v>
      </c>
      <c r="B482" s="74" t="s">
        <v>2318</v>
      </c>
      <c r="C482" s="179" t="s">
        <v>2319</v>
      </c>
      <c r="D482" s="70" t="s">
        <v>2320</v>
      </c>
      <c r="E482" s="173"/>
      <c r="F482" s="168"/>
      <c r="G482" s="168"/>
      <c r="H482" s="168" t="s">
        <v>25</v>
      </c>
      <c r="I482" s="168" t="s">
        <v>25</v>
      </c>
      <c r="J482" s="168" t="s">
        <v>25</v>
      </c>
      <c r="K482" s="163" t="str">
        <f>VLOOKUP(C482,'Term Reference Guide'!$C:$C,1,false)</f>
        <v>GSSO:011078</v>
      </c>
      <c r="L482" s="173"/>
      <c r="M482" s="173"/>
      <c r="N482" s="173"/>
      <c r="O482" s="173"/>
      <c r="P482" s="173"/>
      <c r="Q482" s="173"/>
      <c r="R482" s="173"/>
      <c r="S482" s="173"/>
      <c r="T482" s="173"/>
      <c r="U482" s="173"/>
      <c r="V482" s="173"/>
      <c r="W482" s="173"/>
      <c r="X482" s="173"/>
      <c r="Y482" s="173"/>
      <c r="Z482" s="173"/>
      <c r="AA482" s="173"/>
      <c r="AB482" s="173"/>
      <c r="AC482" s="173"/>
      <c r="AD482" s="173"/>
      <c r="AE482" s="173"/>
      <c r="AF482" s="173"/>
      <c r="AG482" s="173"/>
      <c r="AH482" s="173"/>
      <c r="AI482" s="173"/>
      <c r="AJ482" s="173"/>
      <c r="AK482" s="173"/>
      <c r="AL482" s="173"/>
      <c r="AM482" s="173"/>
      <c r="AN482" s="173"/>
      <c r="AO482" s="173"/>
      <c r="AP482" s="173"/>
      <c r="AQ482" s="173"/>
      <c r="AR482" s="173"/>
      <c r="AS482" s="173"/>
      <c r="AT482" s="173"/>
      <c r="AU482" s="173"/>
      <c r="AV482" s="173"/>
      <c r="AW482" s="173"/>
      <c r="AX482" s="173"/>
      <c r="AY482" s="173"/>
      <c r="AZ482" s="173"/>
      <c r="BA482" s="173"/>
      <c r="BB482" s="173"/>
      <c r="BC482" s="173"/>
      <c r="BD482" s="173"/>
      <c r="BE482" s="173"/>
      <c r="BF482" s="173"/>
      <c r="BG482" s="173"/>
      <c r="BH482" s="173"/>
      <c r="BI482" s="173"/>
      <c r="BJ482" s="173"/>
      <c r="BK482" s="173"/>
      <c r="BL482" s="173"/>
      <c r="BM482" s="173"/>
      <c r="BN482" s="173"/>
      <c r="BO482" s="173"/>
      <c r="BP482" s="173"/>
      <c r="BQ482" s="173"/>
      <c r="BR482" s="173"/>
      <c r="BS482" s="173"/>
      <c r="BT482" s="173"/>
      <c r="BU482" s="173"/>
      <c r="BV482" s="173"/>
      <c r="BW482" s="173"/>
      <c r="BX482" s="173"/>
      <c r="BY482" s="173"/>
      <c r="BZ482" s="173"/>
      <c r="CA482" s="173"/>
      <c r="CB482" s="173"/>
      <c r="CC482" s="173"/>
      <c r="CD482" s="173"/>
      <c r="CE482" s="173"/>
      <c r="CF482" s="173"/>
      <c r="CG482" s="173"/>
      <c r="CH482" s="173"/>
      <c r="CI482" s="173"/>
      <c r="CJ482" s="173"/>
      <c r="CK482" s="173"/>
      <c r="CL482" s="173"/>
      <c r="CM482" s="173"/>
      <c r="CN482" s="173"/>
      <c r="CO482" s="173"/>
      <c r="CP482" s="173"/>
      <c r="CQ482" s="173"/>
      <c r="CR482" s="173"/>
      <c r="CS482" s="173"/>
    </row>
    <row r="483" hidden="1">
      <c r="A483" s="173" t="str">
        <f t="shared" si="6"/>
        <v>populated area type</v>
      </c>
      <c r="B483" s="74" t="s">
        <v>2321</v>
      </c>
      <c r="C483" s="179" t="s">
        <v>2322</v>
      </c>
      <c r="D483" s="70" t="s">
        <v>2323</v>
      </c>
      <c r="E483" s="173"/>
      <c r="F483" s="168"/>
      <c r="G483" s="168"/>
      <c r="H483" s="168" t="s">
        <v>25</v>
      </c>
      <c r="I483" s="168" t="s">
        <v>25</v>
      </c>
      <c r="J483" s="168" t="s">
        <v>25</v>
      </c>
      <c r="K483" s="163" t="str">
        <f>VLOOKUP(C483,'Term Reference Guide'!$C:$C,1,false)</f>
        <v>GSSO:011080</v>
      </c>
      <c r="L483" s="173"/>
      <c r="M483" s="173"/>
      <c r="N483" s="173"/>
      <c r="O483" s="173"/>
      <c r="P483" s="173"/>
      <c r="Q483" s="173"/>
      <c r="R483" s="173"/>
      <c r="S483" s="173"/>
      <c r="T483" s="173"/>
      <c r="U483" s="173"/>
      <c r="V483" s="173"/>
      <c r="W483" s="173"/>
      <c r="X483" s="173"/>
      <c r="Y483" s="173"/>
      <c r="Z483" s="173"/>
      <c r="AA483" s="173"/>
      <c r="AB483" s="173"/>
      <c r="AC483" s="173"/>
      <c r="AD483" s="173"/>
      <c r="AE483" s="173"/>
      <c r="AF483" s="173"/>
      <c r="AG483" s="173"/>
      <c r="AH483" s="173"/>
      <c r="AI483" s="173"/>
      <c r="AJ483" s="173"/>
      <c r="AK483" s="173"/>
      <c r="AL483" s="173"/>
      <c r="AM483" s="173"/>
      <c r="AN483" s="173"/>
      <c r="AO483" s="173"/>
      <c r="AP483" s="173"/>
      <c r="AQ483" s="173"/>
      <c r="AR483" s="173"/>
      <c r="AS483" s="173"/>
      <c r="AT483" s="173"/>
      <c r="AU483" s="173"/>
      <c r="AV483" s="173"/>
      <c r="AW483" s="173"/>
      <c r="AX483" s="173"/>
      <c r="AY483" s="173"/>
      <c r="AZ483" s="173"/>
      <c r="BA483" s="173"/>
      <c r="BB483" s="173"/>
      <c r="BC483" s="173"/>
      <c r="BD483" s="173"/>
      <c r="BE483" s="173"/>
      <c r="BF483" s="173"/>
      <c r="BG483" s="173"/>
      <c r="BH483" s="173"/>
      <c r="BI483" s="173"/>
      <c r="BJ483" s="173"/>
      <c r="BK483" s="173"/>
      <c r="BL483" s="173"/>
      <c r="BM483" s="173"/>
      <c r="BN483" s="173"/>
      <c r="BO483" s="173"/>
      <c r="BP483" s="173"/>
      <c r="BQ483" s="173"/>
      <c r="BR483" s="173"/>
      <c r="BS483" s="173"/>
      <c r="BT483" s="173"/>
      <c r="BU483" s="173"/>
      <c r="BV483" s="173"/>
      <c r="BW483" s="173"/>
      <c r="BX483" s="173"/>
      <c r="BY483" s="173"/>
      <c r="BZ483" s="173"/>
      <c r="CA483" s="173"/>
      <c r="CB483" s="173"/>
      <c r="CC483" s="173"/>
      <c r="CD483" s="173"/>
      <c r="CE483" s="173"/>
      <c r="CF483" s="173"/>
      <c r="CG483" s="173"/>
      <c r="CH483" s="173"/>
      <c r="CI483" s="173"/>
      <c r="CJ483" s="173"/>
      <c r="CK483" s="173"/>
      <c r="CL483" s="173"/>
      <c r="CM483" s="173"/>
      <c r="CN483" s="173"/>
      <c r="CO483" s="173"/>
      <c r="CP483" s="173"/>
      <c r="CQ483" s="173"/>
      <c r="CR483" s="173"/>
      <c r="CS483" s="173"/>
    </row>
    <row r="484">
      <c r="A484" s="173"/>
      <c r="B484" s="173"/>
      <c r="C484" s="173"/>
      <c r="D484" s="141"/>
      <c r="E484" s="173"/>
      <c r="F484" s="173"/>
      <c r="G484" s="173"/>
      <c r="H484" s="173"/>
      <c r="I484" s="173"/>
      <c r="J484" s="141"/>
      <c r="K484" s="163" t="str">
        <f>VLOOKUP(C484,'Term Reference Guide'!$C:$C,1,false)</f>
        <v>#N/A</v>
      </c>
      <c r="L484" s="173"/>
      <c r="M484" s="173"/>
      <c r="N484" s="173"/>
      <c r="O484" s="173"/>
      <c r="P484" s="173"/>
      <c r="Q484" s="173"/>
      <c r="R484" s="173"/>
      <c r="S484" s="173"/>
      <c r="T484" s="173"/>
      <c r="U484" s="173"/>
      <c r="V484" s="173"/>
      <c r="W484" s="173"/>
      <c r="X484" s="173"/>
      <c r="Y484" s="173"/>
      <c r="Z484" s="173"/>
      <c r="AA484" s="173"/>
      <c r="AB484" s="173"/>
      <c r="AC484" s="173"/>
      <c r="AD484" s="173"/>
      <c r="AE484" s="173"/>
      <c r="AF484" s="173"/>
      <c r="AG484" s="173"/>
      <c r="AH484" s="173"/>
      <c r="AI484" s="173"/>
      <c r="AJ484" s="173"/>
      <c r="AK484" s="173"/>
      <c r="AL484" s="173"/>
      <c r="AM484" s="173"/>
      <c r="AN484" s="173"/>
      <c r="AO484" s="173"/>
      <c r="AP484" s="173"/>
      <c r="AQ484" s="173"/>
      <c r="AR484" s="173"/>
      <c r="AS484" s="173"/>
      <c r="AT484" s="173"/>
      <c r="AU484" s="173"/>
      <c r="AV484" s="173"/>
      <c r="AW484" s="173"/>
      <c r="AX484" s="173"/>
      <c r="AY484" s="173"/>
      <c r="AZ484" s="173"/>
      <c r="BA484" s="173"/>
      <c r="BB484" s="173"/>
      <c r="BC484" s="173"/>
      <c r="BD484" s="173"/>
      <c r="BE484" s="173"/>
      <c r="BF484" s="173"/>
      <c r="BG484" s="173"/>
      <c r="BH484" s="173"/>
      <c r="BI484" s="173"/>
      <c r="BJ484" s="173"/>
      <c r="BK484" s="173"/>
      <c r="BL484" s="173"/>
      <c r="BM484" s="173"/>
      <c r="BN484" s="173"/>
      <c r="BO484" s="173"/>
      <c r="BP484" s="173"/>
      <c r="BQ484" s="173"/>
      <c r="BR484" s="173"/>
      <c r="BS484" s="173"/>
      <c r="BT484" s="173"/>
      <c r="BU484" s="173"/>
      <c r="BV484" s="173"/>
      <c r="BW484" s="173"/>
      <c r="BX484" s="173"/>
      <c r="BY484" s="173"/>
      <c r="BZ484" s="173"/>
      <c r="CA484" s="173"/>
      <c r="CB484" s="173"/>
      <c r="CC484" s="173"/>
      <c r="CD484" s="173"/>
      <c r="CE484" s="173"/>
      <c r="CF484" s="173"/>
      <c r="CG484" s="173"/>
      <c r="CH484" s="173"/>
      <c r="CI484" s="173"/>
      <c r="CJ484" s="173"/>
      <c r="CK484" s="173"/>
      <c r="CL484" s="173"/>
      <c r="CM484" s="173"/>
      <c r="CN484" s="173"/>
      <c r="CO484" s="173"/>
      <c r="CP484" s="173"/>
      <c r="CQ484" s="173"/>
      <c r="CR484" s="173"/>
      <c r="CS484" s="173"/>
    </row>
    <row r="485">
      <c r="A485" s="170" t="s">
        <v>351</v>
      </c>
      <c r="B485" s="156"/>
      <c r="C485" s="156"/>
      <c r="D485" s="139"/>
      <c r="E485" s="156"/>
      <c r="F485" s="156"/>
      <c r="G485" s="156"/>
      <c r="H485" s="164"/>
      <c r="I485" s="164"/>
      <c r="J485" s="171"/>
      <c r="K485" s="163" t="str">
        <f>VLOOKUP(C485,'Term Reference Guide'!$C:$C,1,false)</f>
        <v>#N/A</v>
      </c>
      <c r="L485" s="163"/>
      <c r="M485" s="163"/>
      <c r="N485" s="163"/>
      <c r="O485" s="163"/>
      <c r="P485" s="163"/>
      <c r="Q485" s="163"/>
      <c r="R485" s="163"/>
      <c r="S485" s="163"/>
      <c r="T485" s="163"/>
      <c r="U485" s="163"/>
      <c r="V485" s="163"/>
      <c r="W485" s="163"/>
      <c r="X485" s="163"/>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c r="BP485" s="41"/>
      <c r="BQ485" s="41"/>
      <c r="BR485" s="41"/>
      <c r="BS485" s="41"/>
      <c r="BT485" s="41"/>
      <c r="BU485" s="41"/>
      <c r="BV485" s="41"/>
      <c r="BW485" s="41"/>
      <c r="BX485" s="41"/>
      <c r="BY485" s="41"/>
      <c r="BZ485" s="41"/>
      <c r="CA485" s="41"/>
      <c r="CB485" s="41"/>
      <c r="CC485" s="41"/>
      <c r="CD485" s="41"/>
      <c r="CE485" s="41"/>
      <c r="CF485" s="41"/>
      <c r="CG485" s="41"/>
      <c r="CH485" s="41"/>
      <c r="CI485" s="41"/>
      <c r="CJ485" s="41"/>
      <c r="CK485" s="41"/>
      <c r="CL485" s="41"/>
      <c r="CM485" s="41"/>
      <c r="CN485" s="41"/>
      <c r="CO485" s="41"/>
      <c r="CP485" s="41"/>
      <c r="CQ485" s="41"/>
      <c r="CR485" s="41"/>
      <c r="CS485" s="41"/>
    </row>
    <row r="486" hidden="1">
      <c r="A486" s="59" t="str">
        <f t="shared" ref="A486:A493" si="7">A$485</f>
        <v>sampling weather conditions</v>
      </c>
      <c r="B486" s="41" t="s">
        <v>2324</v>
      </c>
      <c r="C486" s="41" t="s">
        <v>2325</v>
      </c>
      <c r="D486" s="45" t="s">
        <v>2326</v>
      </c>
      <c r="E486" s="41"/>
      <c r="F486" s="168"/>
      <c r="G486" s="168"/>
      <c r="H486" s="168" t="s">
        <v>25</v>
      </c>
      <c r="I486" s="168" t="s">
        <v>25</v>
      </c>
      <c r="J486" s="168" t="s">
        <v>25</v>
      </c>
      <c r="K486" s="163" t="str">
        <f>VLOOKUP(C486,'Term Reference Guide'!$C:$C,1,false)</f>
        <v>ENVO:03501418</v>
      </c>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c r="BP486" s="41"/>
      <c r="BQ486" s="41"/>
      <c r="BR486" s="41"/>
      <c r="BS486" s="41"/>
      <c r="BT486" s="41"/>
      <c r="BU486" s="41"/>
      <c r="BV486" s="41"/>
      <c r="BW486" s="41"/>
      <c r="BX486" s="41"/>
      <c r="BY486" s="41"/>
      <c r="BZ486" s="41"/>
      <c r="CA486" s="41"/>
      <c r="CB486" s="41"/>
      <c r="CC486" s="41"/>
      <c r="CD486" s="41"/>
      <c r="CE486" s="41"/>
      <c r="CF486" s="41"/>
      <c r="CG486" s="41"/>
      <c r="CH486" s="41"/>
      <c r="CI486" s="41"/>
      <c r="CJ486" s="41"/>
      <c r="CK486" s="41"/>
      <c r="CL486" s="41"/>
      <c r="CM486" s="41"/>
      <c r="CN486" s="41"/>
      <c r="CO486" s="41"/>
      <c r="CP486" s="41"/>
      <c r="CQ486" s="41"/>
      <c r="CR486" s="41"/>
      <c r="CS486" s="41"/>
    </row>
    <row r="487" hidden="1">
      <c r="A487" s="59" t="str">
        <f t="shared" si="7"/>
        <v>sampling weather conditions</v>
      </c>
      <c r="B487" s="192" t="s">
        <v>2327</v>
      </c>
      <c r="C487" s="41" t="s">
        <v>2328</v>
      </c>
      <c r="D487" s="45" t="s">
        <v>2329</v>
      </c>
      <c r="E487" s="41"/>
      <c r="F487" s="168"/>
      <c r="G487" s="168"/>
      <c r="H487" s="168" t="s">
        <v>25</v>
      </c>
      <c r="I487" s="168" t="s">
        <v>25</v>
      </c>
      <c r="J487" s="168" t="s">
        <v>25</v>
      </c>
      <c r="K487" s="163" t="str">
        <f>VLOOKUP(C487,'Term Reference Guide'!$C:$C,1,false)</f>
        <v>ENVO:03501419</v>
      </c>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c r="BP487" s="41"/>
      <c r="BQ487" s="41"/>
      <c r="BR487" s="41"/>
      <c r="BS487" s="41"/>
      <c r="BT487" s="41"/>
      <c r="BU487" s="41"/>
      <c r="BV487" s="41"/>
      <c r="BW487" s="41"/>
      <c r="BX487" s="41"/>
      <c r="BY487" s="41"/>
      <c r="BZ487" s="41"/>
      <c r="CA487" s="41"/>
      <c r="CB487" s="41"/>
      <c r="CC487" s="41"/>
      <c r="CD487" s="41"/>
      <c r="CE487" s="41"/>
      <c r="CF487" s="41"/>
      <c r="CG487" s="41"/>
      <c r="CH487" s="41"/>
      <c r="CI487" s="41"/>
      <c r="CJ487" s="41"/>
      <c r="CK487" s="41"/>
      <c r="CL487" s="41"/>
      <c r="CM487" s="41"/>
      <c r="CN487" s="41"/>
      <c r="CO487" s="41"/>
      <c r="CP487" s="41"/>
      <c r="CQ487" s="41"/>
      <c r="CR487" s="41"/>
      <c r="CS487" s="41"/>
    </row>
    <row r="488" hidden="1">
      <c r="A488" s="59" t="str">
        <f t="shared" si="7"/>
        <v>sampling weather conditions</v>
      </c>
      <c r="B488" s="41" t="s">
        <v>360</v>
      </c>
      <c r="C488" s="41" t="s">
        <v>2330</v>
      </c>
      <c r="D488" s="45" t="s">
        <v>2331</v>
      </c>
      <c r="E488" s="41"/>
      <c r="F488" s="168"/>
      <c r="G488" s="168"/>
      <c r="H488" s="168" t="s">
        <v>25</v>
      </c>
      <c r="I488" s="168" t="s">
        <v>25</v>
      </c>
      <c r="J488" s="168" t="s">
        <v>25</v>
      </c>
      <c r="K488" s="163" t="str">
        <f>VLOOKUP(C488,'Term Reference Guide'!$C:$C,1,false)</f>
        <v>ENVO:03501420</v>
      </c>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c r="BP488" s="41"/>
      <c r="BQ488" s="41"/>
      <c r="BR488" s="41"/>
      <c r="BS488" s="41"/>
      <c r="BT488" s="41"/>
      <c r="BU488" s="41"/>
      <c r="BV488" s="41"/>
      <c r="BW488" s="41"/>
      <c r="BX488" s="41"/>
      <c r="BY488" s="41"/>
      <c r="BZ488" s="41"/>
      <c r="CA488" s="41"/>
      <c r="CB488" s="41"/>
      <c r="CC488" s="41"/>
      <c r="CD488" s="41"/>
      <c r="CE488" s="41"/>
      <c r="CF488" s="41"/>
      <c r="CG488" s="41"/>
      <c r="CH488" s="41"/>
      <c r="CI488" s="41"/>
      <c r="CJ488" s="41"/>
      <c r="CK488" s="41"/>
      <c r="CL488" s="41"/>
      <c r="CM488" s="41"/>
      <c r="CN488" s="41"/>
      <c r="CO488" s="41"/>
      <c r="CP488" s="41"/>
      <c r="CQ488" s="41"/>
      <c r="CR488" s="41"/>
      <c r="CS488" s="41"/>
    </row>
    <row r="489" hidden="1">
      <c r="A489" s="59" t="str">
        <f t="shared" si="7"/>
        <v>sampling weather conditions</v>
      </c>
      <c r="B489" s="192" t="s">
        <v>2332</v>
      </c>
      <c r="C489" s="41" t="s">
        <v>2333</v>
      </c>
      <c r="D489" s="45" t="s">
        <v>2334</v>
      </c>
      <c r="E489" s="41"/>
      <c r="F489" s="168"/>
      <c r="G489" s="168"/>
      <c r="H489" s="168" t="s">
        <v>25</v>
      </c>
      <c r="I489" s="168" t="s">
        <v>25</v>
      </c>
      <c r="J489" s="168" t="s">
        <v>25</v>
      </c>
      <c r="K489" s="163" t="str">
        <f>VLOOKUP(C489,'Term Reference Guide'!$C:$C,1,false)</f>
        <v>ENVO:01000844</v>
      </c>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c r="BP489" s="41"/>
      <c r="BQ489" s="41"/>
      <c r="BR489" s="41"/>
      <c r="BS489" s="41"/>
      <c r="BT489" s="41"/>
      <c r="BU489" s="41"/>
      <c r="BV489" s="41"/>
      <c r="BW489" s="41"/>
      <c r="BX489" s="41"/>
      <c r="BY489" s="41"/>
      <c r="BZ489" s="41"/>
      <c r="CA489" s="41"/>
      <c r="CB489" s="41"/>
      <c r="CC489" s="41"/>
      <c r="CD489" s="41"/>
      <c r="CE489" s="41"/>
      <c r="CF489" s="41"/>
      <c r="CG489" s="41"/>
      <c r="CH489" s="41"/>
      <c r="CI489" s="41"/>
      <c r="CJ489" s="41"/>
      <c r="CK489" s="41"/>
      <c r="CL489" s="41"/>
      <c r="CM489" s="41"/>
      <c r="CN489" s="41"/>
      <c r="CO489" s="41"/>
      <c r="CP489" s="41"/>
      <c r="CQ489" s="41"/>
      <c r="CR489" s="41"/>
      <c r="CS489" s="41"/>
    </row>
    <row r="490" hidden="1">
      <c r="A490" s="59" t="str">
        <f t="shared" si="7"/>
        <v>sampling weather conditions</v>
      </c>
      <c r="B490" s="41" t="s">
        <v>2335</v>
      </c>
      <c r="C490" s="41" t="s">
        <v>2336</v>
      </c>
      <c r="D490" s="45" t="s">
        <v>2337</v>
      </c>
      <c r="E490" s="41"/>
      <c r="F490" s="168"/>
      <c r="G490" s="168"/>
      <c r="H490" s="168" t="s">
        <v>25</v>
      </c>
      <c r="I490" s="168" t="s">
        <v>25</v>
      </c>
      <c r="J490" s="168" t="s">
        <v>25</v>
      </c>
      <c r="K490" s="163" t="str">
        <f>VLOOKUP(C490,'Term Reference Guide'!$C:$C,1,false)</f>
        <v>ENVO:01001564</v>
      </c>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c r="BP490" s="41"/>
      <c r="BQ490" s="41"/>
      <c r="BR490" s="41"/>
      <c r="BS490" s="41"/>
      <c r="BT490" s="41"/>
      <c r="BU490" s="41"/>
      <c r="BV490" s="41"/>
      <c r="BW490" s="41"/>
      <c r="BX490" s="41"/>
      <c r="BY490" s="41"/>
      <c r="BZ490" s="41"/>
      <c r="CA490" s="41"/>
      <c r="CB490" s="41"/>
      <c r="CC490" s="41"/>
      <c r="CD490" s="41"/>
      <c r="CE490" s="41"/>
      <c r="CF490" s="41"/>
      <c r="CG490" s="41"/>
      <c r="CH490" s="41"/>
      <c r="CI490" s="41"/>
      <c r="CJ490" s="41"/>
      <c r="CK490" s="41"/>
      <c r="CL490" s="41"/>
      <c r="CM490" s="41"/>
      <c r="CN490" s="41"/>
      <c r="CO490" s="41"/>
      <c r="CP490" s="41"/>
      <c r="CQ490" s="41"/>
      <c r="CR490" s="41"/>
      <c r="CS490" s="41"/>
    </row>
    <row r="491" hidden="1">
      <c r="A491" s="59" t="str">
        <f t="shared" si="7"/>
        <v>sampling weather conditions</v>
      </c>
      <c r="B491" s="41" t="s">
        <v>2338</v>
      </c>
      <c r="C491" s="41" t="s">
        <v>2339</v>
      </c>
      <c r="D491" s="45" t="s">
        <v>2340</v>
      </c>
      <c r="E491" s="41"/>
      <c r="F491" s="168"/>
      <c r="G491" s="168"/>
      <c r="H491" s="168" t="s">
        <v>25</v>
      </c>
      <c r="I491" s="168" t="s">
        <v>25</v>
      </c>
      <c r="J491" s="168" t="s">
        <v>25</v>
      </c>
      <c r="K491" s="163" t="str">
        <f>VLOOKUP(C491,'Term Reference Guide'!$C:$C,1,false)</f>
        <v>ENVO:01000406</v>
      </c>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c r="BP491" s="41"/>
      <c r="BQ491" s="41"/>
      <c r="BR491" s="41"/>
      <c r="BS491" s="41"/>
      <c r="BT491" s="41"/>
      <c r="BU491" s="41"/>
      <c r="BV491" s="41"/>
      <c r="BW491" s="41"/>
      <c r="BX491" s="41"/>
      <c r="BY491" s="41"/>
      <c r="BZ491" s="41"/>
      <c r="CA491" s="41"/>
      <c r="CB491" s="41"/>
      <c r="CC491" s="41"/>
      <c r="CD491" s="41"/>
      <c r="CE491" s="41"/>
      <c r="CF491" s="41"/>
      <c r="CG491" s="41"/>
      <c r="CH491" s="41"/>
      <c r="CI491" s="41"/>
      <c r="CJ491" s="41"/>
      <c r="CK491" s="41"/>
      <c r="CL491" s="41"/>
      <c r="CM491" s="41"/>
      <c r="CN491" s="41"/>
      <c r="CO491" s="41"/>
      <c r="CP491" s="41"/>
      <c r="CQ491" s="41"/>
      <c r="CR491" s="41"/>
      <c r="CS491" s="41"/>
    </row>
    <row r="492" hidden="1">
      <c r="A492" s="59" t="str">
        <f t="shared" si="7"/>
        <v>sampling weather conditions</v>
      </c>
      <c r="B492" s="41" t="s">
        <v>2341</v>
      </c>
      <c r="C492" s="41" t="s">
        <v>2342</v>
      </c>
      <c r="D492" s="45" t="s">
        <v>2343</v>
      </c>
      <c r="E492" s="41"/>
      <c r="F492" s="168"/>
      <c r="G492" s="168"/>
      <c r="H492" s="168" t="s">
        <v>25</v>
      </c>
      <c r="I492" s="168" t="s">
        <v>25</v>
      </c>
      <c r="J492" s="168" t="s">
        <v>25</v>
      </c>
      <c r="K492" s="163" t="str">
        <f>VLOOKUP(C492,'Term Reference Guide'!$C:$C,1,false)</f>
        <v>ENVO:01000876</v>
      </c>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c r="BP492" s="41"/>
      <c r="BQ492" s="41"/>
      <c r="BR492" s="41"/>
      <c r="BS492" s="41"/>
      <c r="BT492" s="41"/>
      <c r="BU492" s="41"/>
      <c r="BV492" s="41"/>
      <c r="BW492" s="41"/>
      <c r="BX492" s="41"/>
      <c r="BY492" s="41"/>
      <c r="BZ492" s="41"/>
      <c r="CA492" s="41"/>
      <c r="CB492" s="41"/>
      <c r="CC492" s="41"/>
      <c r="CD492" s="41"/>
      <c r="CE492" s="41"/>
      <c r="CF492" s="41"/>
      <c r="CG492" s="41"/>
      <c r="CH492" s="41"/>
      <c r="CI492" s="41"/>
      <c r="CJ492" s="41"/>
      <c r="CK492" s="41"/>
      <c r="CL492" s="41"/>
      <c r="CM492" s="41"/>
      <c r="CN492" s="41"/>
      <c r="CO492" s="41"/>
      <c r="CP492" s="41"/>
      <c r="CQ492" s="41"/>
      <c r="CR492" s="41"/>
      <c r="CS492" s="41"/>
    </row>
    <row r="493" hidden="1">
      <c r="A493" s="59" t="str">
        <f t="shared" si="7"/>
        <v>sampling weather conditions</v>
      </c>
      <c r="B493" s="41" t="s">
        <v>2344</v>
      </c>
      <c r="C493" s="41" t="s">
        <v>2345</v>
      </c>
      <c r="D493" s="193" t="s">
        <v>2346</v>
      </c>
      <c r="E493" s="41"/>
      <c r="F493" s="168"/>
      <c r="G493" s="168"/>
      <c r="H493" s="168" t="s">
        <v>25</v>
      </c>
      <c r="I493" s="168" t="s">
        <v>25</v>
      </c>
      <c r="J493" s="168" t="s">
        <v>25</v>
      </c>
      <c r="K493" s="163" t="str">
        <f>VLOOKUP(C493,'Term Reference Guide'!$C:$C,1,false)</f>
        <v>ENVO:03501421</v>
      </c>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c r="BP493" s="41"/>
      <c r="BQ493" s="41"/>
      <c r="BR493" s="41"/>
      <c r="BS493" s="41"/>
      <c r="BT493" s="41"/>
      <c r="BU493" s="41"/>
      <c r="BV493" s="41"/>
      <c r="BW493" s="41"/>
      <c r="BX493" s="41"/>
      <c r="BY493" s="41"/>
      <c r="BZ493" s="41"/>
      <c r="CA493" s="41"/>
      <c r="CB493" s="41"/>
      <c r="CC493" s="41"/>
      <c r="CD493" s="41"/>
      <c r="CE493" s="41"/>
      <c r="CF493" s="41"/>
      <c r="CG493" s="41"/>
      <c r="CH493" s="41"/>
      <c r="CI493" s="41"/>
      <c r="CJ493" s="41"/>
      <c r="CK493" s="41"/>
      <c r="CL493" s="41"/>
      <c r="CM493" s="41"/>
      <c r="CN493" s="41"/>
      <c r="CO493" s="41"/>
      <c r="CP493" s="41"/>
      <c r="CQ493" s="41"/>
      <c r="CR493" s="41"/>
      <c r="CS493" s="41"/>
    </row>
    <row r="494">
      <c r="A494" s="173"/>
      <c r="B494" s="173"/>
      <c r="C494" s="173"/>
      <c r="D494" s="141"/>
      <c r="E494" s="173"/>
      <c r="F494" s="173"/>
      <c r="G494" s="173"/>
      <c r="H494" s="173"/>
      <c r="I494" s="173"/>
      <c r="J494" s="141"/>
      <c r="K494" s="163" t="str">
        <f>VLOOKUP(C494,'Term Reference Guide'!$C:$C,1,false)</f>
        <v>#N/A</v>
      </c>
      <c r="L494" s="173"/>
      <c r="M494" s="173"/>
      <c r="N494" s="173"/>
      <c r="O494" s="173"/>
      <c r="P494" s="173"/>
      <c r="Q494" s="173"/>
      <c r="R494" s="173"/>
      <c r="S494" s="173"/>
      <c r="T494" s="173"/>
      <c r="U494" s="173"/>
      <c r="V494" s="173"/>
      <c r="W494" s="173"/>
      <c r="X494" s="173"/>
      <c r="Y494" s="173"/>
      <c r="Z494" s="173"/>
      <c r="AA494" s="173"/>
      <c r="AB494" s="173"/>
      <c r="AC494" s="173"/>
      <c r="AD494" s="173"/>
      <c r="AE494" s="173"/>
      <c r="AF494" s="173"/>
      <c r="AG494" s="173"/>
      <c r="AH494" s="173"/>
      <c r="AI494" s="173"/>
      <c r="AJ494" s="173"/>
      <c r="AK494" s="173"/>
      <c r="AL494" s="173"/>
      <c r="AM494" s="173"/>
      <c r="AN494" s="173"/>
      <c r="AO494" s="173"/>
      <c r="AP494" s="173"/>
      <c r="AQ494" s="173"/>
      <c r="AR494" s="173"/>
      <c r="AS494" s="173"/>
      <c r="AT494" s="173"/>
      <c r="AU494" s="173"/>
      <c r="AV494" s="173"/>
      <c r="AW494" s="173"/>
      <c r="AX494" s="173"/>
      <c r="AY494" s="173"/>
      <c r="AZ494" s="173"/>
      <c r="BA494" s="173"/>
      <c r="BB494" s="173"/>
      <c r="BC494" s="173"/>
      <c r="BD494" s="173"/>
      <c r="BE494" s="173"/>
      <c r="BF494" s="173"/>
      <c r="BG494" s="173"/>
      <c r="BH494" s="173"/>
      <c r="BI494" s="173"/>
      <c r="BJ494" s="173"/>
      <c r="BK494" s="173"/>
      <c r="BL494" s="173"/>
      <c r="BM494" s="173"/>
      <c r="BN494" s="173"/>
      <c r="BO494" s="173"/>
      <c r="BP494" s="173"/>
      <c r="BQ494" s="173"/>
      <c r="BR494" s="173"/>
      <c r="BS494" s="173"/>
      <c r="BT494" s="173"/>
      <c r="BU494" s="173"/>
      <c r="BV494" s="173"/>
      <c r="BW494" s="173"/>
      <c r="BX494" s="173"/>
      <c r="BY494" s="173"/>
      <c r="BZ494" s="173"/>
      <c r="CA494" s="173"/>
      <c r="CB494" s="173"/>
      <c r="CC494" s="173"/>
      <c r="CD494" s="173"/>
      <c r="CE494" s="173"/>
      <c r="CF494" s="173"/>
      <c r="CG494" s="173"/>
      <c r="CH494" s="173"/>
      <c r="CI494" s="173"/>
      <c r="CJ494" s="173"/>
      <c r="CK494" s="173"/>
      <c r="CL494" s="173"/>
      <c r="CM494" s="173"/>
      <c r="CN494" s="173"/>
      <c r="CO494" s="173"/>
      <c r="CP494" s="173"/>
      <c r="CQ494" s="173"/>
      <c r="CR494" s="173"/>
      <c r="CS494" s="173"/>
    </row>
    <row r="495">
      <c r="A495" s="170" t="s">
        <v>356</v>
      </c>
      <c r="B495" s="156"/>
      <c r="C495" s="156"/>
      <c r="D495" s="139"/>
      <c r="E495" s="156"/>
      <c r="F495" s="156"/>
      <c r="G495" s="156"/>
      <c r="H495" s="164"/>
      <c r="I495" s="164"/>
      <c r="J495" s="171"/>
      <c r="K495" s="163" t="str">
        <f>VLOOKUP(C495,'Term Reference Guide'!$C:$C,1,false)</f>
        <v>#N/A</v>
      </c>
      <c r="L495" s="163"/>
      <c r="M495" s="163"/>
      <c r="N495" s="163"/>
      <c r="O495" s="163"/>
      <c r="P495" s="163"/>
      <c r="Q495" s="163"/>
      <c r="R495" s="163"/>
      <c r="S495" s="163"/>
      <c r="T495" s="163"/>
      <c r="U495" s="163"/>
      <c r="V495" s="163"/>
      <c r="W495" s="163"/>
      <c r="X495" s="163"/>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c r="BP495" s="41"/>
      <c r="BQ495" s="41"/>
      <c r="BR495" s="41"/>
      <c r="BS495" s="41"/>
      <c r="BT495" s="41"/>
      <c r="BU495" s="41"/>
      <c r="BV495" s="41"/>
      <c r="BW495" s="41"/>
      <c r="BX495" s="41"/>
      <c r="BY495" s="41"/>
      <c r="BZ495" s="41"/>
      <c r="CA495" s="41"/>
      <c r="CB495" s="41"/>
      <c r="CC495" s="41"/>
      <c r="CD495" s="41"/>
      <c r="CE495" s="41"/>
      <c r="CF495" s="41"/>
      <c r="CG495" s="41"/>
      <c r="CH495" s="41"/>
      <c r="CI495" s="41"/>
      <c r="CJ495" s="41"/>
      <c r="CK495" s="41"/>
      <c r="CL495" s="41"/>
      <c r="CM495" s="41"/>
      <c r="CN495" s="41"/>
      <c r="CO495" s="41"/>
      <c r="CP495" s="41"/>
      <c r="CQ495" s="41"/>
      <c r="CR495" s="41"/>
      <c r="CS495" s="41"/>
    </row>
    <row r="496" hidden="1">
      <c r="A496" s="59" t="str">
        <f t="shared" ref="A496:A503" si="8">A$495</f>
        <v>presampling weather conditions</v>
      </c>
      <c r="B496" s="41" t="s">
        <v>2324</v>
      </c>
      <c r="C496" s="41" t="s">
        <v>2325</v>
      </c>
      <c r="D496" s="45" t="s">
        <v>2326</v>
      </c>
      <c r="E496" s="41"/>
      <c r="F496" s="168"/>
      <c r="G496" s="168"/>
      <c r="H496" s="168" t="s">
        <v>25</v>
      </c>
      <c r="I496" s="168" t="s">
        <v>25</v>
      </c>
      <c r="J496" s="168" t="s">
        <v>25</v>
      </c>
      <c r="K496" s="163" t="str">
        <f>VLOOKUP(C496,'Term Reference Guide'!$C:$C,1,false)</f>
        <v>ENVO:03501418</v>
      </c>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c r="BP496" s="41"/>
      <c r="BQ496" s="41"/>
      <c r="BR496" s="41"/>
      <c r="BS496" s="41"/>
      <c r="BT496" s="41"/>
      <c r="BU496" s="41"/>
      <c r="BV496" s="41"/>
      <c r="BW496" s="41"/>
      <c r="BX496" s="41"/>
      <c r="BY496" s="41"/>
      <c r="BZ496" s="41"/>
      <c r="CA496" s="41"/>
      <c r="CB496" s="41"/>
      <c r="CC496" s="41"/>
      <c r="CD496" s="41"/>
      <c r="CE496" s="41"/>
      <c r="CF496" s="41"/>
      <c r="CG496" s="41"/>
      <c r="CH496" s="41"/>
      <c r="CI496" s="41"/>
      <c r="CJ496" s="41"/>
      <c r="CK496" s="41"/>
      <c r="CL496" s="41"/>
      <c r="CM496" s="41"/>
      <c r="CN496" s="41"/>
      <c r="CO496" s="41"/>
      <c r="CP496" s="41"/>
      <c r="CQ496" s="41"/>
      <c r="CR496" s="41"/>
      <c r="CS496" s="41"/>
    </row>
    <row r="497" hidden="1">
      <c r="A497" s="59" t="str">
        <f t="shared" si="8"/>
        <v>presampling weather conditions</v>
      </c>
      <c r="B497" s="192" t="s">
        <v>2327</v>
      </c>
      <c r="C497" s="41" t="s">
        <v>2328</v>
      </c>
      <c r="D497" s="45" t="s">
        <v>2329</v>
      </c>
      <c r="E497" s="41"/>
      <c r="F497" s="168"/>
      <c r="G497" s="168"/>
      <c r="H497" s="168" t="s">
        <v>25</v>
      </c>
      <c r="I497" s="168" t="s">
        <v>25</v>
      </c>
      <c r="J497" s="168" t="s">
        <v>25</v>
      </c>
      <c r="K497" s="163" t="str">
        <f>VLOOKUP(C497,'Term Reference Guide'!$C:$C,1,false)</f>
        <v>ENVO:03501419</v>
      </c>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c r="BP497" s="41"/>
      <c r="BQ497" s="41"/>
      <c r="BR497" s="41"/>
      <c r="BS497" s="41"/>
      <c r="BT497" s="41"/>
      <c r="BU497" s="41"/>
      <c r="BV497" s="41"/>
      <c r="BW497" s="41"/>
      <c r="BX497" s="41"/>
      <c r="BY497" s="41"/>
      <c r="BZ497" s="41"/>
      <c r="CA497" s="41"/>
      <c r="CB497" s="41"/>
      <c r="CC497" s="41"/>
      <c r="CD497" s="41"/>
      <c r="CE497" s="41"/>
      <c r="CF497" s="41"/>
      <c r="CG497" s="41"/>
      <c r="CH497" s="41"/>
      <c r="CI497" s="41"/>
      <c r="CJ497" s="41"/>
      <c r="CK497" s="41"/>
      <c r="CL497" s="41"/>
      <c r="CM497" s="41"/>
      <c r="CN497" s="41"/>
      <c r="CO497" s="41"/>
      <c r="CP497" s="41"/>
      <c r="CQ497" s="41"/>
      <c r="CR497" s="41"/>
      <c r="CS497" s="41"/>
    </row>
    <row r="498" hidden="1">
      <c r="A498" s="59" t="str">
        <f t="shared" si="8"/>
        <v>presampling weather conditions</v>
      </c>
      <c r="B498" s="41" t="s">
        <v>360</v>
      </c>
      <c r="C498" s="41" t="s">
        <v>2330</v>
      </c>
      <c r="D498" s="45" t="s">
        <v>2331</v>
      </c>
      <c r="E498" s="41"/>
      <c r="F498" s="168"/>
      <c r="G498" s="168"/>
      <c r="H498" s="168" t="s">
        <v>25</v>
      </c>
      <c r="I498" s="168" t="s">
        <v>25</v>
      </c>
      <c r="J498" s="168" t="s">
        <v>25</v>
      </c>
      <c r="K498" s="163" t="str">
        <f>VLOOKUP(C498,'Term Reference Guide'!$C:$C,1,false)</f>
        <v>ENVO:03501420</v>
      </c>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c r="BP498" s="41"/>
      <c r="BQ498" s="41"/>
      <c r="BR498" s="41"/>
      <c r="BS498" s="41"/>
      <c r="BT498" s="41"/>
      <c r="BU498" s="41"/>
      <c r="BV498" s="41"/>
      <c r="BW498" s="41"/>
      <c r="BX498" s="41"/>
      <c r="BY498" s="41"/>
      <c r="BZ498" s="41"/>
      <c r="CA498" s="41"/>
      <c r="CB498" s="41"/>
      <c r="CC498" s="41"/>
      <c r="CD498" s="41"/>
      <c r="CE498" s="41"/>
      <c r="CF498" s="41"/>
      <c r="CG498" s="41"/>
      <c r="CH498" s="41"/>
      <c r="CI498" s="41"/>
      <c r="CJ498" s="41"/>
      <c r="CK498" s="41"/>
      <c r="CL498" s="41"/>
      <c r="CM498" s="41"/>
      <c r="CN498" s="41"/>
      <c r="CO498" s="41"/>
      <c r="CP498" s="41"/>
      <c r="CQ498" s="41"/>
      <c r="CR498" s="41"/>
      <c r="CS498" s="41"/>
    </row>
    <row r="499" hidden="1">
      <c r="A499" s="59" t="str">
        <f t="shared" si="8"/>
        <v>presampling weather conditions</v>
      </c>
      <c r="B499" s="192" t="s">
        <v>2332</v>
      </c>
      <c r="C499" s="41" t="s">
        <v>2333</v>
      </c>
      <c r="D499" s="45" t="s">
        <v>2334</v>
      </c>
      <c r="E499" s="41"/>
      <c r="F499" s="168"/>
      <c r="G499" s="168"/>
      <c r="H499" s="168" t="s">
        <v>25</v>
      </c>
      <c r="I499" s="168" t="s">
        <v>25</v>
      </c>
      <c r="J499" s="168" t="s">
        <v>25</v>
      </c>
      <c r="K499" s="163" t="str">
        <f>VLOOKUP(C499,'Term Reference Guide'!$C:$C,1,false)</f>
        <v>ENVO:01000844</v>
      </c>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c r="BP499" s="41"/>
      <c r="BQ499" s="41"/>
      <c r="BR499" s="41"/>
      <c r="BS499" s="41"/>
      <c r="BT499" s="41"/>
      <c r="BU499" s="41"/>
      <c r="BV499" s="41"/>
      <c r="BW499" s="41"/>
      <c r="BX499" s="41"/>
      <c r="BY499" s="41"/>
      <c r="BZ499" s="41"/>
      <c r="CA499" s="41"/>
      <c r="CB499" s="41"/>
      <c r="CC499" s="41"/>
      <c r="CD499" s="41"/>
      <c r="CE499" s="41"/>
      <c r="CF499" s="41"/>
      <c r="CG499" s="41"/>
      <c r="CH499" s="41"/>
      <c r="CI499" s="41"/>
      <c r="CJ499" s="41"/>
      <c r="CK499" s="41"/>
      <c r="CL499" s="41"/>
      <c r="CM499" s="41"/>
      <c r="CN499" s="41"/>
      <c r="CO499" s="41"/>
      <c r="CP499" s="41"/>
      <c r="CQ499" s="41"/>
      <c r="CR499" s="41"/>
      <c r="CS499" s="41"/>
    </row>
    <row r="500" hidden="1">
      <c r="A500" s="59" t="str">
        <f t="shared" si="8"/>
        <v>presampling weather conditions</v>
      </c>
      <c r="B500" s="41" t="s">
        <v>2335</v>
      </c>
      <c r="C500" s="41" t="s">
        <v>2336</v>
      </c>
      <c r="D500" s="45" t="s">
        <v>2337</v>
      </c>
      <c r="E500" s="41"/>
      <c r="F500" s="168"/>
      <c r="G500" s="168"/>
      <c r="H500" s="168" t="s">
        <v>25</v>
      </c>
      <c r="I500" s="168" t="s">
        <v>25</v>
      </c>
      <c r="J500" s="168" t="s">
        <v>25</v>
      </c>
      <c r="K500" s="163" t="str">
        <f>VLOOKUP(C500,'Term Reference Guide'!$C:$C,1,false)</f>
        <v>ENVO:01001564</v>
      </c>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c r="BP500" s="41"/>
      <c r="BQ500" s="41"/>
      <c r="BR500" s="41"/>
      <c r="BS500" s="41"/>
      <c r="BT500" s="41"/>
      <c r="BU500" s="41"/>
      <c r="BV500" s="41"/>
      <c r="BW500" s="41"/>
      <c r="BX500" s="41"/>
      <c r="BY500" s="41"/>
      <c r="BZ500" s="41"/>
      <c r="CA500" s="41"/>
      <c r="CB500" s="41"/>
      <c r="CC500" s="41"/>
      <c r="CD500" s="41"/>
      <c r="CE500" s="41"/>
      <c r="CF500" s="41"/>
      <c r="CG500" s="41"/>
      <c r="CH500" s="41"/>
      <c r="CI500" s="41"/>
      <c r="CJ500" s="41"/>
      <c r="CK500" s="41"/>
      <c r="CL500" s="41"/>
      <c r="CM500" s="41"/>
      <c r="CN500" s="41"/>
      <c r="CO500" s="41"/>
      <c r="CP500" s="41"/>
      <c r="CQ500" s="41"/>
      <c r="CR500" s="41"/>
      <c r="CS500" s="41"/>
    </row>
    <row r="501" hidden="1">
      <c r="A501" s="59" t="str">
        <f t="shared" si="8"/>
        <v>presampling weather conditions</v>
      </c>
      <c r="B501" s="41" t="s">
        <v>2338</v>
      </c>
      <c r="C501" s="41" t="s">
        <v>2339</v>
      </c>
      <c r="D501" s="45" t="s">
        <v>2340</v>
      </c>
      <c r="E501" s="41"/>
      <c r="F501" s="168"/>
      <c r="G501" s="168"/>
      <c r="H501" s="168" t="s">
        <v>25</v>
      </c>
      <c r="I501" s="168" t="s">
        <v>25</v>
      </c>
      <c r="J501" s="168" t="s">
        <v>25</v>
      </c>
      <c r="K501" s="163" t="str">
        <f>VLOOKUP(C501,'Term Reference Guide'!$C:$C,1,false)</f>
        <v>ENVO:01000406</v>
      </c>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c r="BP501" s="41"/>
      <c r="BQ501" s="41"/>
      <c r="BR501" s="41"/>
      <c r="BS501" s="41"/>
      <c r="BT501" s="41"/>
      <c r="BU501" s="41"/>
      <c r="BV501" s="41"/>
      <c r="BW501" s="41"/>
      <c r="BX501" s="41"/>
      <c r="BY501" s="41"/>
      <c r="BZ501" s="41"/>
      <c r="CA501" s="41"/>
      <c r="CB501" s="41"/>
      <c r="CC501" s="41"/>
      <c r="CD501" s="41"/>
      <c r="CE501" s="41"/>
      <c r="CF501" s="41"/>
      <c r="CG501" s="41"/>
      <c r="CH501" s="41"/>
      <c r="CI501" s="41"/>
      <c r="CJ501" s="41"/>
      <c r="CK501" s="41"/>
      <c r="CL501" s="41"/>
      <c r="CM501" s="41"/>
      <c r="CN501" s="41"/>
      <c r="CO501" s="41"/>
      <c r="CP501" s="41"/>
      <c r="CQ501" s="41"/>
      <c r="CR501" s="41"/>
      <c r="CS501" s="41"/>
    </row>
    <row r="502" hidden="1">
      <c r="A502" s="59" t="str">
        <f t="shared" si="8"/>
        <v>presampling weather conditions</v>
      </c>
      <c r="B502" s="41" t="s">
        <v>2341</v>
      </c>
      <c r="C502" s="41" t="s">
        <v>2342</v>
      </c>
      <c r="D502" s="45" t="s">
        <v>2343</v>
      </c>
      <c r="E502" s="41"/>
      <c r="F502" s="168"/>
      <c r="G502" s="168"/>
      <c r="H502" s="168" t="s">
        <v>25</v>
      </c>
      <c r="I502" s="168" t="s">
        <v>25</v>
      </c>
      <c r="J502" s="168" t="s">
        <v>25</v>
      </c>
      <c r="K502" s="163" t="str">
        <f>VLOOKUP(C502,'Term Reference Guide'!$C:$C,1,false)</f>
        <v>ENVO:01000876</v>
      </c>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c r="BP502" s="41"/>
      <c r="BQ502" s="41"/>
      <c r="BR502" s="41"/>
      <c r="BS502" s="41"/>
      <c r="BT502" s="41"/>
      <c r="BU502" s="41"/>
      <c r="BV502" s="41"/>
      <c r="BW502" s="41"/>
      <c r="BX502" s="41"/>
      <c r="BY502" s="41"/>
      <c r="BZ502" s="41"/>
      <c r="CA502" s="41"/>
      <c r="CB502" s="41"/>
      <c r="CC502" s="41"/>
      <c r="CD502" s="41"/>
      <c r="CE502" s="41"/>
      <c r="CF502" s="41"/>
      <c r="CG502" s="41"/>
      <c r="CH502" s="41"/>
      <c r="CI502" s="41"/>
      <c r="CJ502" s="41"/>
      <c r="CK502" s="41"/>
      <c r="CL502" s="41"/>
      <c r="CM502" s="41"/>
      <c r="CN502" s="41"/>
      <c r="CO502" s="41"/>
      <c r="CP502" s="41"/>
      <c r="CQ502" s="41"/>
      <c r="CR502" s="41"/>
      <c r="CS502" s="41"/>
    </row>
    <row r="503" hidden="1">
      <c r="A503" s="59" t="str">
        <f t="shared" si="8"/>
        <v>presampling weather conditions</v>
      </c>
      <c r="B503" s="41" t="s">
        <v>2344</v>
      </c>
      <c r="C503" s="41" t="s">
        <v>2345</v>
      </c>
      <c r="D503" s="193" t="s">
        <v>2346</v>
      </c>
      <c r="E503" s="41"/>
      <c r="F503" s="168"/>
      <c r="G503" s="168"/>
      <c r="H503" s="168" t="s">
        <v>25</v>
      </c>
      <c r="I503" s="168" t="s">
        <v>25</v>
      </c>
      <c r="J503" s="168" t="s">
        <v>25</v>
      </c>
      <c r="K503" s="163" t="str">
        <f>VLOOKUP(C503,'Term Reference Guide'!$C:$C,1,false)</f>
        <v>ENVO:03501421</v>
      </c>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c r="BP503" s="41"/>
      <c r="BQ503" s="41"/>
      <c r="BR503" s="41"/>
      <c r="BS503" s="41"/>
      <c r="BT503" s="41"/>
      <c r="BU503" s="41"/>
      <c r="BV503" s="41"/>
      <c r="BW503" s="41"/>
      <c r="BX503" s="41"/>
      <c r="BY503" s="41"/>
      <c r="BZ503" s="41"/>
      <c r="CA503" s="41"/>
      <c r="CB503" s="41"/>
      <c r="CC503" s="41"/>
      <c r="CD503" s="41"/>
      <c r="CE503" s="41"/>
      <c r="CF503" s="41"/>
      <c r="CG503" s="41"/>
      <c r="CH503" s="41"/>
      <c r="CI503" s="41"/>
      <c r="CJ503" s="41"/>
      <c r="CK503" s="41"/>
      <c r="CL503" s="41"/>
      <c r="CM503" s="41"/>
      <c r="CN503" s="41"/>
      <c r="CO503" s="41"/>
      <c r="CP503" s="41"/>
      <c r="CQ503" s="41"/>
      <c r="CR503" s="41"/>
      <c r="CS503" s="41"/>
    </row>
    <row r="504">
      <c r="A504" s="173"/>
      <c r="B504" s="173"/>
      <c r="C504" s="173"/>
      <c r="D504" s="141"/>
      <c r="E504" s="173"/>
      <c r="F504" s="173"/>
      <c r="G504" s="173"/>
      <c r="H504" s="173"/>
      <c r="I504" s="173"/>
      <c r="J504" s="141"/>
      <c r="K504" s="163" t="str">
        <f>VLOOKUP(C504,'Term Reference Guide'!$C:$C,1,false)</f>
        <v>#N/A</v>
      </c>
      <c r="L504" s="173"/>
      <c r="M504" s="173"/>
      <c r="N504" s="173"/>
      <c r="O504" s="173"/>
      <c r="P504" s="173"/>
      <c r="Q504" s="173"/>
      <c r="R504" s="173"/>
      <c r="S504" s="173"/>
      <c r="T504" s="173"/>
      <c r="U504" s="173"/>
      <c r="V504" s="173"/>
      <c r="W504" s="173"/>
      <c r="X504" s="173"/>
      <c r="Y504" s="173"/>
      <c r="Z504" s="173"/>
      <c r="AA504" s="173"/>
      <c r="AB504" s="173"/>
      <c r="AC504" s="173"/>
      <c r="AD504" s="173"/>
      <c r="AE504" s="173"/>
      <c r="AF504" s="173"/>
      <c r="AG504" s="173"/>
      <c r="AH504" s="173"/>
      <c r="AI504" s="173"/>
      <c r="AJ504" s="173"/>
      <c r="AK504" s="173"/>
      <c r="AL504" s="173"/>
      <c r="AM504" s="173"/>
      <c r="AN504" s="173"/>
      <c r="AO504" s="173"/>
      <c r="AP504" s="173"/>
      <c r="AQ504" s="173"/>
      <c r="AR504" s="173"/>
      <c r="AS504" s="173"/>
      <c r="AT504" s="173"/>
      <c r="AU504" s="173"/>
      <c r="AV504" s="173"/>
      <c r="AW504" s="173"/>
      <c r="AX504" s="173"/>
      <c r="AY504" s="173"/>
      <c r="AZ504" s="173"/>
      <c r="BA504" s="173"/>
      <c r="BB504" s="173"/>
      <c r="BC504" s="173"/>
      <c r="BD504" s="173"/>
      <c r="BE504" s="173"/>
      <c r="BF504" s="173"/>
      <c r="BG504" s="173"/>
      <c r="BH504" s="173"/>
      <c r="BI504" s="173"/>
      <c r="BJ504" s="173"/>
      <c r="BK504" s="173"/>
      <c r="BL504" s="173"/>
      <c r="BM504" s="173"/>
      <c r="BN504" s="173"/>
      <c r="BO504" s="173"/>
      <c r="BP504" s="173"/>
      <c r="BQ504" s="173"/>
      <c r="BR504" s="173"/>
      <c r="BS504" s="173"/>
      <c r="BT504" s="173"/>
      <c r="BU504" s="173"/>
      <c r="BV504" s="173"/>
      <c r="BW504" s="173"/>
      <c r="BX504" s="173"/>
      <c r="BY504" s="173"/>
      <c r="BZ504" s="173"/>
      <c r="CA504" s="173"/>
      <c r="CB504" s="173"/>
      <c r="CC504" s="173"/>
      <c r="CD504" s="173"/>
      <c r="CE504" s="173"/>
      <c r="CF504" s="173"/>
      <c r="CG504" s="173"/>
      <c r="CH504" s="173"/>
      <c r="CI504" s="173"/>
      <c r="CJ504" s="173"/>
      <c r="CK504" s="173"/>
      <c r="CL504" s="173"/>
      <c r="CM504" s="173"/>
      <c r="CN504" s="173"/>
      <c r="CO504" s="173"/>
      <c r="CP504" s="173"/>
      <c r="CQ504" s="173"/>
      <c r="CR504" s="173"/>
      <c r="CS504" s="173"/>
    </row>
    <row r="505">
      <c r="A505" s="170" t="s">
        <v>365</v>
      </c>
      <c r="B505" s="156"/>
      <c r="C505" s="156"/>
      <c r="D505" s="139"/>
      <c r="E505" s="156"/>
      <c r="F505" s="156"/>
      <c r="G505" s="156"/>
      <c r="H505" s="164"/>
      <c r="I505" s="164"/>
      <c r="J505" s="171"/>
      <c r="K505" s="163" t="str">
        <f>VLOOKUP(C505,'Term Reference Guide'!$C:$C,1,false)</f>
        <v>#N/A</v>
      </c>
      <c r="L505" s="163"/>
      <c r="M505" s="163"/>
      <c r="N505" s="163"/>
      <c r="O505" s="163"/>
      <c r="P505" s="163"/>
      <c r="Q505" s="163"/>
      <c r="R505" s="163"/>
      <c r="S505" s="163"/>
      <c r="T505" s="163"/>
      <c r="U505" s="163"/>
      <c r="V505" s="163"/>
      <c r="W505" s="163"/>
      <c r="X505" s="163"/>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c r="BP505" s="41"/>
      <c r="BQ505" s="41"/>
      <c r="BR505" s="41"/>
      <c r="BS505" s="41"/>
      <c r="BT505" s="41"/>
      <c r="BU505" s="41"/>
      <c r="BV505" s="41"/>
      <c r="BW505" s="41"/>
      <c r="BX505" s="41"/>
      <c r="BY505" s="41"/>
      <c r="BZ505" s="41"/>
      <c r="CA505" s="41"/>
      <c r="CB505" s="41"/>
      <c r="CC505" s="41"/>
      <c r="CD505" s="41"/>
      <c r="CE505" s="41"/>
      <c r="CF505" s="41"/>
      <c r="CG505" s="41"/>
      <c r="CH505" s="41"/>
      <c r="CI505" s="41"/>
      <c r="CJ505" s="41"/>
      <c r="CK505" s="41"/>
      <c r="CL505" s="41"/>
      <c r="CM505" s="41"/>
      <c r="CN505" s="41"/>
      <c r="CO505" s="41"/>
      <c r="CP505" s="41"/>
      <c r="CQ505" s="41"/>
      <c r="CR505" s="41"/>
      <c r="CS505" s="41"/>
    </row>
    <row r="506" hidden="1">
      <c r="A506" s="179" t="str">
        <f t="shared" ref="A506:A510" si="9">A$505</f>
        <v>precipitation measurement unit</v>
      </c>
      <c r="B506" s="179" t="s">
        <v>2347</v>
      </c>
      <c r="C506" s="179" t="s">
        <v>2348</v>
      </c>
      <c r="D506" s="70" t="s">
        <v>2349</v>
      </c>
      <c r="E506" s="173"/>
      <c r="F506" s="168"/>
      <c r="G506" s="168"/>
      <c r="H506" s="168" t="s">
        <v>25</v>
      </c>
      <c r="I506" s="168" t="s">
        <v>25</v>
      </c>
      <c r="J506" s="168" t="s">
        <v>25</v>
      </c>
      <c r="K506" s="163" t="str">
        <f>VLOOKUP(C506,'Term Reference Guide'!$C:$C,1,false)</f>
        <v>UO:0000016</v>
      </c>
      <c r="L506" s="173"/>
      <c r="M506" s="173"/>
      <c r="N506" s="173"/>
      <c r="O506" s="173"/>
      <c r="P506" s="173"/>
      <c r="Q506" s="173"/>
      <c r="R506" s="173"/>
      <c r="S506" s="173"/>
      <c r="T506" s="173"/>
      <c r="U506" s="173"/>
      <c r="V506" s="173"/>
      <c r="W506" s="173"/>
      <c r="X506" s="173"/>
      <c r="Y506" s="173"/>
      <c r="Z506" s="173"/>
      <c r="AA506" s="173"/>
      <c r="AB506" s="173"/>
      <c r="AC506" s="173"/>
      <c r="AD506" s="173"/>
      <c r="AE506" s="173"/>
      <c r="AF506" s="173"/>
      <c r="AG506" s="173"/>
      <c r="AH506" s="173"/>
      <c r="AI506" s="173"/>
      <c r="AJ506" s="173"/>
      <c r="AK506" s="173"/>
      <c r="AL506" s="173"/>
      <c r="AM506" s="173"/>
      <c r="AN506" s="173"/>
      <c r="AO506" s="173"/>
      <c r="AP506" s="173"/>
      <c r="AQ506" s="173"/>
      <c r="AR506" s="173"/>
      <c r="AS506" s="173"/>
      <c r="AT506" s="173"/>
      <c r="AU506" s="173"/>
      <c r="AV506" s="173"/>
      <c r="AW506" s="173"/>
      <c r="AX506" s="173"/>
      <c r="AY506" s="173"/>
      <c r="AZ506" s="173"/>
      <c r="BA506" s="173"/>
      <c r="BB506" s="173"/>
      <c r="BC506" s="173"/>
      <c r="BD506" s="173"/>
      <c r="BE506" s="173"/>
      <c r="BF506" s="173"/>
      <c r="BG506" s="173"/>
      <c r="BH506" s="173"/>
      <c r="BI506" s="173"/>
      <c r="BJ506" s="173"/>
      <c r="BK506" s="173"/>
      <c r="BL506" s="173"/>
      <c r="BM506" s="173"/>
      <c r="BN506" s="173"/>
      <c r="BO506" s="173"/>
      <c r="BP506" s="173"/>
      <c r="BQ506" s="173"/>
      <c r="BR506" s="173"/>
      <c r="BS506" s="173"/>
      <c r="BT506" s="173"/>
      <c r="BU506" s="173"/>
      <c r="BV506" s="173"/>
      <c r="BW506" s="173"/>
      <c r="BX506" s="173"/>
      <c r="BY506" s="173"/>
      <c r="BZ506" s="173"/>
      <c r="CA506" s="173"/>
      <c r="CB506" s="173"/>
      <c r="CC506" s="173"/>
      <c r="CD506" s="173"/>
      <c r="CE506" s="173"/>
      <c r="CF506" s="173"/>
      <c r="CG506" s="173"/>
      <c r="CH506" s="173"/>
      <c r="CI506" s="173"/>
      <c r="CJ506" s="173"/>
      <c r="CK506" s="173"/>
      <c r="CL506" s="173"/>
      <c r="CM506" s="173"/>
      <c r="CN506" s="173"/>
      <c r="CO506" s="173"/>
      <c r="CP506" s="173"/>
      <c r="CQ506" s="173"/>
      <c r="CR506" s="173"/>
      <c r="CS506" s="173"/>
    </row>
    <row r="507" hidden="1">
      <c r="A507" s="179" t="str">
        <f t="shared" si="9"/>
        <v>precipitation measurement unit</v>
      </c>
      <c r="B507" s="46" t="s">
        <v>2350</v>
      </c>
      <c r="C507" s="46" t="s">
        <v>2351</v>
      </c>
      <c r="D507" s="70" t="s">
        <v>2352</v>
      </c>
      <c r="E507" s="173"/>
      <c r="F507" s="168"/>
      <c r="G507" s="168"/>
      <c r="H507" s="168" t="s">
        <v>25</v>
      </c>
      <c r="I507" s="168" t="s">
        <v>25</v>
      </c>
      <c r="J507" s="168" t="s">
        <v>25</v>
      </c>
      <c r="K507" s="163" t="str">
        <f>VLOOKUP(C507,'Term Reference Guide'!$C:$C,1,false)</f>
        <v>UO:0000015</v>
      </c>
      <c r="L507" s="173"/>
      <c r="M507" s="173"/>
      <c r="N507" s="173"/>
      <c r="O507" s="173"/>
      <c r="P507" s="173"/>
      <c r="Q507" s="173"/>
      <c r="R507" s="173"/>
      <c r="S507" s="173"/>
      <c r="T507" s="173"/>
      <c r="U507" s="173"/>
      <c r="V507" s="173"/>
      <c r="W507" s="173"/>
      <c r="X507" s="173"/>
      <c r="Y507" s="173"/>
      <c r="Z507" s="173"/>
      <c r="AA507" s="173"/>
      <c r="AB507" s="173"/>
      <c r="AC507" s="173"/>
      <c r="AD507" s="173"/>
      <c r="AE507" s="173"/>
      <c r="AF507" s="173"/>
      <c r="AG507" s="173"/>
      <c r="AH507" s="173"/>
      <c r="AI507" s="173"/>
      <c r="AJ507" s="173"/>
      <c r="AK507" s="173"/>
      <c r="AL507" s="173"/>
      <c r="AM507" s="173"/>
      <c r="AN507" s="173"/>
      <c r="AO507" s="173"/>
      <c r="AP507" s="173"/>
      <c r="AQ507" s="173"/>
      <c r="AR507" s="173"/>
      <c r="AS507" s="173"/>
      <c r="AT507" s="173"/>
      <c r="AU507" s="173"/>
      <c r="AV507" s="173"/>
      <c r="AW507" s="173"/>
      <c r="AX507" s="173"/>
      <c r="AY507" s="173"/>
      <c r="AZ507" s="173"/>
      <c r="BA507" s="173"/>
      <c r="BB507" s="173"/>
      <c r="BC507" s="173"/>
      <c r="BD507" s="173"/>
      <c r="BE507" s="173"/>
      <c r="BF507" s="173"/>
      <c r="BG507" s="173"/>
      <c r="BH507" s="173"/>
      <c r="BI507" s="173"/>
      <c r="BJ507" s="173"/>
      <c r="BK507" s="173"/>
      <c r="BL507" s="173"/>
      <c r="BM507" s="173"/>
      <c r="BN507" s="173"/>
      <c r="BO507" s="173"/>
      <c r="BP507" s="173"/>
      <c r="BQ507" s="173"/>
      <c r="BR507" s="173"/>
      <c r="BS507" s="173"/>
      <c r="BT507" s="173"/>
      <c r="BU507" s="173"/>
      <c r="BV507" s="173"/>
      <c r="BW507" s="173"/>
      <c r="BX507" s="173"/>
      <c r="BY507" s="173"/>
      <c r="BZ507" s="173"/>
      <c r="CA507" s="173"/>
      <c r="CB507" s="173"/>
      <c r="CC507" s="173"/>
      <c r="CD507" s="173"/>
      <c r="CE507" s="173"/>
      <c r="CF507" s="173"/>
      <c r="CG507" s="173"/>
      <c r="CH507" s="173"/>
      <c r="CI507" s="173"/>
      <c r="CJ507" s="173"/>
      <c r="CK507" s="173"/>
      <c r="CL507" s="173"/>
      <c r="CM507" s="173"/>
      <c r="CN507" s="173"/>
      <c r="CO507" s="173"/>
      <c r="CP507" s="173"/>
      <c r="CQ507" s="173"/>
      <c r="CR507" s="173"/>
      <c r="CS507" s="173"/>
    </row>
    <row r="508" hidden="1">
      <c r="A508" s="179" t="str">
        <f t="shared" si="9"/>
        <v>precipitation measurement unit</v>
      </c>
      <c r="B508" s="179" t="s">
        <v>2353</v>
      </c>
      <c r="C508" s="179" t="s">
        <v>2354</v>
      </c>
      <c r="D508" s="70" t="s">
        <v>2355</v>
      </c>
      <c r="E508" s="173"/>
      <c r="F508" s="168"/>
      <c r="G508" s="168"/>
      <c r="H508" s="168" t="s">
        <v>25</v>
      </c>
      <c r="I508" s="168" t="s">
        <v>25</v>
      </c>
      <c r="J508" s="168" t="s">
        <v>25</v>
      </c>
      <c r="K508" s="163" t="str">
        <f>VLOOKUP(C508,'Term Reference Guide'!$C:$C,1,false)</f>
        <v>UO:0000008</v>
      </c>
      <c r="L508" s="173"/>
      <c r="M508" s="173"/>
      <c r="N508" s="173"/>
      <c r="O508" s="173"/>
      <c r="P508" s="173"/>
      <c r="Q508" s="173"/>
      <c r="R508" s="173"/>
      <c r="S508" s="173"/>
      <c r="T508" s="173"/>
      <c r="U508" s="173"/>
      <c r="V508" s="173"/>
      <c r="W508" s="173"/>
      <c r="X508" s="173"/>
      <c r="Y508" s="173"/>
      <c r="Z508" s="173"/>
      <c r="AA508" s="173"/>
      <c r="AB508" s="173"/>
      <c r="AC508" s="173"/>
      <c r="AD508" s="173"/>
      <c r="AE508" s="173"/>
      <c r="AF508" s="173"/>
      <c r="AG508" s="173"/>
      <c r="AH508" s="173"/>
      <c r="AI508" s="173"/>
      <c r="AJ508" s="173"/>
      <c r="AK508" s="173"/>
      <c r="AL508" s="173"/>
      <c r="AM508" s="173"/>
      <c r="AN508" s="173"/>
      <c r="AO508" s="173"/>
      <c r="AP508" s="173"/>
      <c r="AQ508" s="173"/>
      <c r="AR508" s="173"/>
      <c r="AS508" s="173"/>
      <c r="AT508" s="173"/>
      <c r="AU508" s="173"/>
      <c r="AV508" s="173"/>
      <c r="AW508" s="173"/>
      <c r="AX508" s="173"/>
      <c r="AY508" s="173"/>
      <c r="AZ508" s="173"/>
      <c r="BA508" s="173"/>
      <c r="BB508" s="173"/>
      <c r="BC508" s="173"/>
      <c r="BD508" s="173"/>
      <c r="BE508" s="173"/>
      <c r="BF508" s="173"/>
      <c r="BG508" s="173"/>
      <c r="BH508" s="173"/>
      <c r="BI508" s="173"/>
      <c r="BJ508" s="173"/>
      <c r="BK508" s="173"/>
      <c r="BL508" s="173"/>
      <c r="BM508" s="173"/>
      <c r="BN508" s="173"/>
      <c r="BO508" s="173"/>
      <c r="BP508" s="173"/>
      <c r="BQ508" s="173"/>
      <c r="BR508" s="173"/>
      <c r="BS508" s="173"/>
      <c r="BT508" s="173"/>
      <c r="BU508" s="173"/>
      <c r="BV508" s="173"/>
      <c r="BW508" s="173"/>
      <c r="BX508" s="173"/>
      <c r="BY508" s="173"/>
      <c r="BZ508" s="173"/>
      <c r="CA508" s="173"/>
      <c r="CB508" s="173"/>
      <c r="CC508" s="173"/>
      <c r="CD508" s="173"/>
      <c r="CE508" s="173"/>
      <c r="CF508" s="173"/>
      <c r="CG508" s="173"/>
      <c r="CH508" s="173"/>
      <c r="CI508" s="173"/>
      <c r="CJ508" s="173"/>
      <c r="CK508" s="173"/>
      <c r="CL508" s="173"/>
      <c r="CM508" s="173"/>
      <c r="CN508" s="173"/>
      <c r="CO508" s="173"/>
      <c r="CP508" s="173"/>
      <c r="CQ508" s="173"/>
      <c r="CR508" s="173"/>
      <c r="CS508" s="173"/>
    </row>
    <row r="509" hidden="1">
      <c r="A509" s="179" t="str">
        <f t="shared" si="9"/>
        <v>precipitation measurement unit</v>
      </c>
      <c r="B509" s="179" t="s">
        <v>2356</v>
      </c>
      <c r="C509" s="179" t="s">
        <v>2357</v>
      </c>
      <c r="D509" s="70" t="s">
        <v>2358</v>
      </c>
      <c r="E509" s="173"/>
      <c r="F509" s="168"/>
      <c r="G509" s="168"/>
      <c r="H509" s="168" t="s">
        <v>25</v>
      </c>
      <c r="I509" s="168" t="s">
        <v>25</v>
      </c>
      <c r="J509" s="168" t="s">
        <v>25</v>
      </c>
      <c r="K509" s="163" t="str">
        <f>VLOOKUP(C509,'Term Reference Guide'!$C:$C,1,false)</f>
        <v>UO:0010011</v>
      </c>
      <c r="L509" s="173"/>
      <c r="M509" s="173"/>
      <c r="N509" s="173"/>
      <c r="O509" s="173"/>
      <c r="P509" s="173"/>
      <c r="Q509" s="173"/>
      <c r="R509" s="173"/>
      <c r="S509" s="173"/>
      <c r="T509" s="173"/>
      <c r="U509" s="173"/>
      <c r="V509" s="173"/>
      <c r="W509" s="173"/>
      <c r="X509" s="173"/>
      <c r="Y509" s="173"/>
      <c r="Z509" s="173"/>
      <c r="AA509" s="173"/>
      <c r="AB509" s="173"/>
      <c r="AC509" s="173"/>
      <c r="AD509" s="173"/>
      <c r="AE509" s="173"/>
      <c r="AF509" s="173"/>
      <c r="AG509" s="173"/>
      <c r="AH509" s="173"/>
      <c r="AI509" s="173"/>
      <c r="AJ509" s="173"/>
      <c r="AK509" s="173"/>
      <c r="AL509" s="173"/>
      <c r="AM509" s="173"/>
      <c r="AN509" s="173"/>
      <c r="AO509" s="173"/>
      <c r="AP509" s="173"/>
      <c r="AQ509" s="173"/>
      <c r="AR509" s="173"/>
      <c r="AS509" s="173"/>
      <c r="AT509" s="173"/>
      <c r="AU509" s="173"/>
      <c r="AV509" s="173"/>
      <c r="AW509" s="173"/>
      <c r="AX509" s="173"/>
      <c r="AY509" s="173"/>
      <c r="AZ509" s="173"/>
      <c r="BA509" s="173"/>
      <c r="BB509" s="173"/>
      <c r="BC509" s="173"/>
      <c r="BD509" s="173"/>
      <c r="BE509" s="173"/>
      <c r="BF509" s="173"/>
      <c r="BG509" s="173"/>
      <c r="BH509" s="173"/>
      <c r="BI509" s="173"/>
      <c r="BJ509" s="173"/>
      <c r="BK509" s="173"/>
      <c r="BL509" s="173"/>
      <c r="BM509" s="173"/>
      <c r="BN509" s="173"/>
      <c r="BO509" s="173"/>
      <c r="BP509" s="173"/>
      <c r="BQ509" s="173"/>
      <c r="BR509" s="173"/>
      <c r="BS509" s="173"/>
      <c r="BT509" s="173"/>
      <c r="BU509" s="173"/>
      <c r="BV509" s="173"/>
      <c r="BW509" s="173"/>
      <c r="BX509" s="173"/>
      <c r="BY509" s="173"/>
      <c r="BZ509" s="173"/>
      <c r="CA509" s="173"/>
      <c r="CB509" s="173"/>
      <c r="CC509" s="173"/>
      <c r="CD509" s="173"/>
      <c r="CE509" s="173"/>
      <c r="CF509" s="173"/>
      <c r="CG509" s="173"/>
      <c r="CH509" s="173"/>
      <c r="CI509" s="173"/>
      <c r="CJ509" s="173"/>
      <c r="CK509" s="173"/>
      <c r="CL509" s="173"/>
      <c r="CM509" s="173"/>
      <c r="CN509" s="173"/>
      <c r="CO509" s="173"/>
      <c r="CP509" s="173"/>
      <c r="CQ509" s="173"/>
      <c r="CR509" s="173"/>
      <c r="CS509" s="173"/>
    </row>
    <row r="510" hidden="1">
      <c r="A510" s="179" t="str">
        <f t="shared" si="9"/>
        <v>precipitation measurement unit</v>
      </c>
      <c r="B510" s="179" t="s">
        <v>2359</v>
      </c>
      <c r="C510" s="179" t="s">
        <v>2360</v>
      </c>
      <c r="D510" s="70" t="s">
        <v>2361</v>
      </c>
      <c r="E510" s="173"/>
      <c r="F510" s="168"/>
      <c r="G510" s="168"/>
      <c r="H510" s="168" t="s">
        <v>25</v>
      </c>
      <c r="I510" s="168" t="s">
        <v>25</v>
      </c>
      <c r="J510" s="168" t="s">
        <v>25</v>
      </c>
      <c r="K510" s="163" t="str">
        <f>VLOOKUP(C510,'Term Reference Guide'!$C:$C,1,false)</f>
        <v>UO:0010013</v>
      </c>
      <c r="L510" s="173"/>
      <c r="M510" s="173"/>
      <c r="N510" s="173"/>
      <c r="O510" s="173"/>
      <c r="P510" s="173"/>
      <c r="Q510" s="173"/>
      <c r="R510" s="173"/>
      <c r="S510" s="173"/>
      <c r="T510" s="173"/>
      <c r="U510" s="173"/>
      <c r="V510" s="173"/>
      <c r="W510" s="173"/>
      <c r="X510" s="173"/>
      <c r="Y510" s="173"/>
      <c r="Z510" s="173"/>
      <c r="AA510" s="173"/>
      <c r="AB510" s="173"/>
      <c r="AC510" s="173"/>
      <c r="AD510" s="173"/>
      <c r="AE510" s="173"/>
      <c r="AF510" s="173"/>
      <c r="AG510" s="173"/>
      <c r="AH510" s="173"/>
      <c r="AI510" s="173"/>
      <c r="AJ510" s="173"/>
      <c r="AK510" s="173"/>
      <c r="AL510" s="173"/>
      <c r="AM510" s="173"/>
      <c r="AN510" s="173"/>
      <c r="AO510" s="173"/>
      <c r="AP510" s="173"/>
      <c r="AQ510" s="173"/>
      <c r="AR510" s="173"/>
      <c r="AS510" s="173"/>
      <c r="AT510" s="173"/>
      <c r="AU510" s="173"/>
      <c r="AV510" s="173"/>
      <c r="AW510" s="173"/>
      <c r="AX510" s="173"/>
      <c r="AY510" s="173"/>
      <c r="AZ510" s="173"/>
      <c r="BA510" s="173"/>
      <c r="BB510" s="173"/>
      <c r="BC510" s="173"/>
      <c r="BD510" s="173"/>
      <c r="BE510" s="173"/>
      <c r="BF510" s="173"/>
      <c r="BG510" s="173"/>
      <c r="BH510" s="173"/>
      <c r="BI510" s="173"/>
      <c r="BJ510" s="173"/>
      <c r="BK510" s="173"/>
      <c r="BL510" s="173"/>
      <c r="BM510" s="173"/>
      <c r="BN510" s="173"/>
      <c r="BO510" s="173"/>
      <c r="BP510" s="173"/>
      <c r="BQ510" s="173"/>
      <c r="BR510" s="173"/>
      <c r="BS510" s="173"/>
      <c r="BT510" s="173"/>
      <c r="BU510" s="173"/>
      <c r="BV510" s="173"/>
      <c r="BW510" s="173"/>
      <c r="BX510" s="173"/>
      <c r="BY510" s="173"/>
      <c r="BZ510" s="173"/>
      <c r="CA510" s="173"/>
      <c r="CB510" s="173"/>
      <c r="CC510" s="173"/>
      <c r="CD510" s="173"/>
      <c r="CE510" s="173"/>
      <c r="CF510" s="173"/>
      <c r="CG510" s="173"/>
      <c r="CH510" s="173"/>
      <c r="CI510" s="173"/>
      <c r="CJ510" s="173"/>
      <c r="CK510" s="173"/>
      <c r="CL510" s="173"/>
      <c r="CM510" s="173"/>
      <c r="CN510" s="173"/>
      <c r="CO510" s="173"/>
      <c r="CP510" s="173"/>
      <c r="CQ510" s="173"/>
      <c r="CR510" s="173"/>
      <c r="CS510" s="173"/>
    </row>
    <row r="511">
      <c r="A511" s="173"/>
      <c r="B511" s="173"/>
      <c r="C511" s="173"/>
      <c r="D511" s="141"/>
      <c r="E511" s="173"/>
      <c r="F511" s="173"/>
      <c r="G511" s="173"/>
      <c r="H511" s="173"/>
      <c r="I511" s="173"/>
      <c r="J511" s="141"/>
      <c r="K511" s="163" t="str">
        <f>VLOOKUP(C511,'Term Reference Guide'!$C:$C,1,false)</f>
        <v>#N/A</v>
      </c>
      <c r="L511" s="173"/>
      <c r="M511" s="173"/>
      <c r="N511" s="173"/>
      <c r="O511" s="173"/>
      <c r="P511" s="173"/>
      <c r="Q511" s="173"/>
      <c r="R511" s="173"/>
      <c r="S511" s="173"/>
      <c r="T511" s="173"/>
      <c r="U511" s="173"/>
      <c r="V511" s="173"/>
      <c r="W511" s="173"/>
      <c r="X511" s="173"/>
      <c r="Y511" s="173"/>
      <c r="Z511" s="173"/>
      <c r="AA511" s="173"/>
      <c r="AB511" s="173"/>
      <c r="AC511" s="173"/>
      <c r="AD511" s="173"/>
      <c r="AE511" s="173"/>
      <c r="AF511" s="173"/>
      <c r="AG511" s="173"/>
      <c r="AH511" s="173"/>
      <c r="AI511" s="173"/>
      <c r="AJ511" s="173"/>
      <c r="AK511" s="173"/>
      <c r="AL511" s="173"/>
      <c r="AM511" s="173"/>
      <c r="AN511" s="173"/>
      <c r="AO511" s="173"/>
      <c r="AP511" s="173"/>
      <c r="AQ511" s="173"/>
      <c r="AR511" s="173"/>
      <c r="AS511" s="173"/>
      <c r="AT511" s="173"/>
      <c r="AU511" s="173"/>
      <c r="AV511" s="173"/>
      <c r="AW511" s="173"/>
      <c r="AX511" s="173"/>
      <c r="AY511" s="173"/>
      <c r="AZ511" s="173"/>
      <c r="BA511" s="173"/>
      <c r="BB511" s="173"/>
      <c r="BC511" s="173"/>
      <c r="BD511" s="173"/>
      <c r="BE511" s="173"/>
      <c r="BF511" s="173"/>
      <c r="BG511" s="173"/>
      <c r="BH511" s="173"/>
      <c r="BI511" s="173"/>
      <c r="BJ511" s="173"/>
      <c r="BK511" s="173"/>
      <c r="BL511" s="173"/>
      <c r="BM511" s="173"/>
      <c r="BN511" s="173"/>
      <c r="BO511" s="173"/>
      <c r="BP511" s="173"/>
      <c r="BQ511" s="173"/>
      <c r="BR511" s="173"/>
      <c r="BS511" s="173"/>
      <c r="BT511" s="173"/>
      <c r="BU511" s="173"/>
      <c r="BV511" s="173"/>
      <c r="BW511" s="173"/>
      <c r="BX511" s="173"/>
      <c r="BY511" s="173"/>
      <c r="BZ511" s="173"/>
      <c r="CA511" s="173"/>
      <c r="CB511" s="173"/>
      <c r="CC511" s="173"/>
      <c r="CD511" s="173"/>
      <c r="CE511" s="173"/>
      <c r="CF511" s="173"/>
      <c r="CG511" s="173"/>
      <c r="CH511" s="173"/>
      <c r="CI511" s="173"/>
      <c r="CJ511" s="173"/>
      <c r="CK511" s="173"/>
      <c r="CL511" s="173"/>
      <c r="CM511" s="173"/>
      <c r="CN511" s="173"/>
      <c r="CO511" s="173"/>
      <c r="CP511" s="173"/>
      <c r="CQ511" s="173"/>
      <c r="CR511" s="173"/>
      <c r="CS511" s="173"/>
    </row>
    <row r="512">
      <c r="A512" s="194" t="s">
        <v>2362</v>
      </c>
      <c r="B512" s="174"/>
      <c r="C512" s="174"/>
      <c r="D512" s="175"/>
      <c r="E512" s="174"/>
      <c r="F512" s="174"/>
      <c r="G512" s="174"/>
      <c r="H512" s="176"/>
      <c r="I512" s="176"/>
      <c r="J512" s="177"/>
      <c r="K512" s="163" t="str">
        <f>VLOOKUP(C512,'Term Reference Guide'!$C:$C,1,false)</f>
        <v>#N/A</v>
      </c>
      <c r="L512" s="178"/>
      <c r="M512" s="178"/>
      <c r="N512" s="178"/>
      <c r="O512" s="178"/>
      <c r="P512" s="178"/>
      <c r="Q512" s="178"/>
      <c r="R512" s="178"/>
      <c r="S512" s="178"/>
      <c r="T512" s="178"/>
      <c r="U512" s="178"/>
      <c r="V512" s="178"/>
      <c r="W512" s="178"/>
      <c r="X512" s="178"/>
      <c r="Y512" s="178"/>
      <c r="Z512" s="178"/>
      <c r="AA512" s="178"/>
      <c r="AB512" s="178"/>
      <c r="AC512" s="178"/>
      <c r="AD512" s="178"/>
      <c r="AE512" s="178"/>
      <c r="AF512" s="178"/>
      <c r="AG512" s="178"/>
      <c r="AH512" s="178"/>
      <c r="AI512" s="178"/>
      <c r="AJ512" s="178"/>
      <c r="AK512" s="178"/>
      <c r="AL512" s="178"/>
      <c r="AM512" s="178"/>
      <c r="AN512" s="178"/>
      <c r="AO512" s="178"/>
      <c r="AP512" s="178"/>
      <c r="AQ512" s="178"/>
      <c r="AR512" s="178"/>
      <c r="AS512" s="178"/>
      <c r="AT512" s="178"/>
      <c r="AU512" s="178"/>
      <c r="AV512" s="178"/>
      <c r="AW512" s="178"/>
      <c r="AX512" s="178"/>
      <c r="AY512" s="178"/>
      <c r="AZ512" s="178"/>
      <c r="BA512" s="178"/>
      <c r="BB512" s="178"/>
      <c r="BC512" s="178"/>
      <c r="BD512" s="178"/>
      <c r="BE512" s="178"/>
      <c r="BF512" s="178"/>
      <c r="BG512" s="178"/>
      <c r="BH512" s="178"/>
      <c r="BI512" s="178"/>
      <c r="BJ512" s="178"/>
      <c r="BK512" s="178"/>
      <c r="BL512" s="178"/>
      <c r="BM512" s="178"/>
      <c r="BN512" s="178"/>
      <c r="BO512" s="178"/>
      <c r="BP512" s="178"/>
      <c r="BQ512" s="178"/>
      <c r="BR512" s="178"/>
      <c r="BS512" s="178"/>
      <c r="BT512" s="178"/>
      <c r="BU512" s="178"/>
      <c r="BV512" s="178"/>
      <c r="BW512" s="178"/>
      <c r="BX512" s="178"/>
      <c r="BY512" s="178"/>
      <c r="BZ512" s="178"/>
      <c r="CA512" s="178"/>
      <c r="CB512" s="178"/>
      <c r="CC512" s="178"/>
      <c r="CD512" s="178"/>
      <c r="CE512" s="178"/>
      <c r="CF512" s="178"/>
      <c r="CG512" s="178"/>
      <c r="CH512" s="178"/>
      <c r="CI512" s="178"/>
      <c r="CJ512" s="178"/>
      <c r="CK512" s="178"/>
      <c r="CL512" s="178"/>
      <c r="CM512" s="178"/>
      <c r="CN512" s="178"/>
      <c r="CO512" s="178"/>
      <c r="CP512" s="178"/>
      <c r="CQ512" s="178"/>
      <c r="CR512" s="178"/>
      <c r="CS512" s="178"/>
    </row>
    <row r="513" hidden="1">
      <c r="A513" s="173" t="str">
        <f t="shared" ref="A513:A515" si="10">A$512</f>
        <v>air pressure measurement unit</v>
      </c>
      <c r="B513" s="179" t="s">
        <v>2363</v>
      </c>
      <c r="C513" s="179" t="s">
        <v>2364</v>
      </c>
      <c r="D513" s="70" t="s">
        <v>2365</v>
      </c>
      <c r="E513" s="173"/>
      <c r="F513" s="168"/>
      <c r="G513" s="168"/>
      <c r="H513" s="168" t="s">
        <v>25</v>
      </c>
      <c r="I513" s="168" t="s">
        <v>25</v>
      </c>
      <c r="J513" s="168" t="s">
        <v>25</v>
      </c>
      <c r="K513" s="163" t="str">
        <f>VLOOKUP(C513,'Term Reference Guide'!$C:$C,1,false)</f>
        <v>EFO:0005212</v>
      </c>
      <c r="L513" s="173"/>
      <c r="M513" s="173"/>
      <c r="N513" s="173"/>
      <c r="O513" s="173"/>
      <c r="P513" s="173"/>
      <c r="Q513" s="173"/>
      <c r="R513" s="173"/>
      <c r="S513" s="173"/>
      <c r="T513" s="173"/>
      <c r="U513" s="173"/>
      <c r="V513" s="173"/>
      <c r="W513" s="173"/>
      <c r="X513" s="173"/>
      <c r="Y513" s="173"/>
      <c r="Z513" s="173"/>
      <c r="AA513" s="173"/>
      <c r="AB513" s="173"/>
      <c r="AC513" s="173"/>
      <c r="AD513" s="173"/>
      <c r="AE513" s="173"/>
      <c r="AF513" s="173"/>
      <c r="AG513" s="173"/>
      <c r="AH513" s="173"/>
      <c r="AI513" s="173"/>
      <c r="AJ513" s="173"/>
      <c r="AK513" s="173"/>
      <c r="AL513" s="173"/>
      <c r="AM513" s="173"/>
      <c r="AN513" s="173"/>
      <c r="AO513" s="173"/>
      <c r="AP513" s="173"/>
      <c r="AQ513" s="173"/>
      <c r="AR513" s="173"/>
      <c r="AS513" s="173"/>
      <c r="AT513" s="173"/>
      <c r="AU513" s="173"/>
      <c r="AV513" s="173"/>
      <c r="AW513" s="173"/>
      <c r="AX513" s="173"/>
      <c r="AY513" s="173"/>
      <c r="AZ513" s="173"/>
      <c r="BA513" s="173"/>
      <c r="BB513" s="173"/>
      <c r="BC513" s="173"/>
      <c r="BD513" s="173"/>
      <c r="BE513" s="173"/>
      <c r="BF513" s="173"/>
      <c r="BG513" s="173"/>
      <c r="BH513" s="173"/>
      <c r="BI513" s="173"/>
      <c r="BJ513" s="173"/>
      <c r="BK513" s="173"/>
      <c r="BL513" s="173"/>
      <c r="BM513" s="173"/>
      <c r="BN513" s="173"/>
      <c r="BO513" s="173"/>
      <c r="BP513" s="173"/>
      <c r="BQ513" s="173"/>
      <c r="BR513" s="173"/>
      <c r="BS513" s="173"/>
      <c r="BT513" s="173"/>
      <c r="BU513" s="173"/>
      <c r="BV513" s="173"/>
      <c r="BW513" s="173"/>
      <c r="BX513" s="173"/>
      <c r="BY513" s="173"/>
      <c r="BZ513" s="173"/>
      <c r="CA513" s="173"/>
      <c r="CB513" s="173"/>
      <c r="CC513" s="173"/>
      <c r="CD513" s="173"/>
      <c r="CE513" s="173"/>
      <c r="CF513" s="173"/>
      <c r="CG513" s="173"/>
      <c r="CH513" s="173"/>
      <c r="CI513" s="173"/>
      <c r="CJ513" s="173"/>
      <c r="CK513" s="173"/>
      <c r="CL513" s="173"/>
      <c r="CM513" s="173"/>
      <c r="CN513" s="173"/>
      <c r="CO513" s="173"/>
      <c r="CP513" s="173"/>
      <c r="CQ513" s="173"/>
      <c r="CR513" s="173"/>
      <c r="CS513" s="173"/>
    </row>
    <row r="514">
      <c r="A514" s="173" t="str">
        <f t="shared" si="10"/>
        <v>air pressure measurement unit</v>
      </c>
      <c r="B514" s="179" t="s">
        <v>2366</v>
      </c>
      <c r="C514" s="179" t="s">
        <v>2367</v>
      </c>
      <c r="D514" s="70" t="s">
        <v>2368</v>
      </c>
      <c r="E514" s="173"/>
      <c r="F514" s="168"/>
      <c r="G514" s="168"/>
      <c r="H514" s="168" t="s">
        <v>25</v>
      </c>
      <c r="I514" s="168" t="s">
        <v>25</v>
      </c>
      <c r="J514" s="168" t="s">
        <v>25</v>
      </c>
      <c r="K514" s="163" t="str">
        <f>VLOOKUP(C514,'Term Reference Guide'!$C:$C,1,false)</f>
        <v>#N/A</v>
      </c>
      <c r="L514" s="173"/>
      <c r="M514" s="173"/>
      <c r="N514" s="173"/>
      <c r="O514" s="173"/>
      <c r="P514" s="173"/>
      <c r="Q514" s="173"/>
      <c r="R514" s="173"/>
      <c r="S514" s="173"/>
      <c r="T514" s="173"/>
      <c r="U514" s="173"/>
      <c r="V514" s="173"/>
      <c r="W514" s="173"/>
      <c r="X514" s="173"/>
      <c r="Y514" s="173"/>
      <c r="Z514" s="173"/>
      <c r="AA514" s="173"/>
      <c r="AB514" s="173"/>
      <c r="AC514" s="173"/>
      <c r="AD514" s="173"/>
      <c r="AE514" s="173"/>
      <c r="AF514" s="173"/>
      <c r="AG514" s="173"/>
      <c r="AH514" s="173"/>
      <c r="AI514" s="173"/>
      <c r="AJ514" s="173"/>
      <c r="AK514" s="173"/>
      <c r="AL514" s="173"/>
      <c r="AM514" s="173"/>
      <c r="AN514" s="173"/>
      <c r="AO514" s="173"/>
      <c r="AP514" s="173"/>
      <c r="AQ514" s="173"/>
      <c r="AR514" s="173"/>
      <c r="AS514" s="173"/>
      <c r="AT514" s="173"/>
      <c r="AU514" s="173"/>
      <c r="AV514" s="173"/>
      <c r="AW514" s="173"/>
      <c r="AX514" s="173"/>
      <c r="AY514" s="173"/>
      <c r="AZ514" s="173"/>
      <c r="BA514" s="173"/>
      <c r="BB514" s="173"/>
      <c r="BC514" s="173"/>
      <c r="BD514" s="173"/>
      <c r="BE514" s="173"/>
      <c r="BF514" s="173"/>
      <c r="BG514" s="173"/>
      <c r="BH514" s="173"/>
      <c r="BI514" s="173"/>
      <c r="BJ514" s="173"/>
      <c r="BK514" s="173"/>
      <c r="BL514" s="173"/>
      <c r="BM514" s="173"/>
      <c r="BN514" s="173"/>
      <c r="BO514" s="173"/>
      <c r="BP514" s="173"/>
      <c r="BQ514" s="173"/>
      <c r="BR514" s="173"/>
      <c r="BS514" s="173"/>
      <c r="BT514" s="173"/>
      <c r="BU514" s="173"/>
      <c r="BV514" s="173"/>
      <c r="BW514" s="173"/>
      <c r="BX514" s="173"/>
      <c r="BY514" s="173"/>
      <c r="BZ514" s="173"/>
      <c r="CA514" s="173"/>
      <c r="CB514" s="173"/>
      <c r="CC514" s="173"/>
      <c r="CD514" s="173"/>
      <c r="CE514" s="173"/>
      <c r="CF514" s="173"/>
      <c r="CG514" s="173"/>
      <c r="CH514" s="173"/>
      <c r="CI514" s="173"/>
      <c r="CJ514" s="173"/>
      <c r="CK514" s="173"/>
      <c r="CL514" s="173"/>
      <c r="CM514" s="173"/>
      <c r="CN514" s="173"/>
      <c r="CO514" s="173"/>
      <c r="CP514" s="173"/>
      <c r="CQ514" s="173"/>
      <c r="CR514" s="173"/>
      <c r="CS514" s="173"/>
    </row>
    <row r="515" hidden="1">
      <c r="A515" s="173" t="str">
        <f t="shared" si="10"/>
        <v>air pressure measurement unit</v>
      </c>
      <c r="B515" s="179" t="s">
        <v>2369</v>
      </c>
      <c r="C515" s="179" t="s">
        <v>2370</v>
      </c>
      <c r="D515" s="70" t="s">
        <v>2371</v>
      </c>
      <c r="E515" s="173"/>
      <c r="F515" s="168"/>
      <c r="G515" s="168"/>
      <c r="H515" s="168" t="s">
        <v>25</v>
      </c>
      <c r="I515" s="168" t="s">
        <v>25</v>
      </c>
      <c r="J515" s="168" t="s">
        <v>25</v>
      </c>
      <c r="K515" s="163" t="str">
        <f>VLOOKUP(C515,'Term Reference Guide'!$C:$C,1,false)</f>
        <v>UO:0000110</v>
      </c>
      <c r="L515" s="173"/>
      <c r="M515" s="173"/>
      <c r="N515" s="173"/>
      <c r="O515" s="173"/>
      <c r="P515" s="173"/>
      <c r="Q515" s="173"/>
      <c r="R515" s="173"/>
      <c r="S515" s="173"/>
      <c r="T515" s="173"/>
      <c r="U515" s="173"/>
      <c r="V515" s="173"/>
      <c r="W515" s="173"/>
      <c r="X515" s="173"/>
      <c r="Y515" s="173"/>
      <c r="Z515" s="173"/>
      <c r="AA515" s="173"/>
      <c r="AB515" s="173"/>
      <c r="AC515" s="173"/>
      <c r="AD515" s="173"/>
      <c r="AE515" s="173"/>
      <c r="AF515" s="173"/>
      <c r="AG515" s="173"/>
      <c r="AH515" s="173"/>
      <c r="AI515" s="173"/>
      <c r="AJ515" s="173"/>
      <c r="AK515" s="173"/>
      <c r="AL515" s="173"/>
      <c r="AM515" s="173"/>
      <c r="AN515" s="173"/>
      <c r="AO515" s="173"/>
      <c r="AP515" s="173"/>
      <c r="AQ515" s="173"/>
      <c r="AR515" s="173"/>
      <c r="AS515" s="173"/>
      <c r="AT515" s="173"/>
      <c r="AU515" s="173"/>
      <c r="AV515" s="173"/>
      <c r="AW515" s="173"/>
      <c r="AX515" s="173"/>
      <c r="AY515" s="173"/>
      <c r="AZ515" s="173"/>
      <c r="BA515" s="173"/>
      <c r="BB515" s="173"/>
      <c r="BC515" s="173"/>
      <c r="BD515" s="173"/>
      <c r="BE515" s="173"/>
      <c r="BF515" s="173"/>
      <c r="BG515" s="173"/>
      <c r="BH515" s="173"/>
      <c r="BI515" s="173"/>
      <c r="BJ515" s="173"/>
      <c r="BK515" s="173"/>
      <c r="BL515" s="173"/>
      <c r="BM515" s="173"/>
      <c r="BN515" s="173"/>
      <c r="BO515" s="173"/>
      <c r="BP515" s="173"/>
      <c r="BQ515" s="173"/>
      <c r="BR515" s="173"/>
      <c r="BS515" s="173"/>
      <c r="BT515" s="173"/>
      <c r="BU515" s="173"/>
      <c r="BV515" s="173"/>
      <c r="BW515" s="173"/>
      <c r="BX515" s="173"/>
      <c r="BY515" s="173"/>
      <c r="BZ515" s="173"/>
      <c r="CA515" s="173"/>
      <c r="CB515" s="173"/>
      <c r="CC515" s="173"/>
      <c r="CD515" s="173"/>
      <c r="CE515" s="173"/>
      <c r="CF515" s="173"/>
      <c r="CG515" s="173"/>
      <c r="CH515" s="173"/>
      <c r="CI515" s="173"/>
      <c r="CJ515" s="173"/>
      <c r="CK515" s="173"/>
      <c r="CL515" s="173"/>
      <c r="CM515" s="173"/>
      <c r="CN515" s="173"/>
      <c r="CO515" s="173"/>
      <c r="CP515" s="173"/>
      <c r="CQ515" s="173"/>
      <c r="CR515" s="173"/>
      <c r="CS515" s="173"/>
    </row>
    <row r="516">
      <c r="A516" s="173"/>
      <c r="B516" s="173"/>
      <c r="C516" s="173"/>
      <c r="D516" s="141"/>
      <c r="E516" s="173"/>
      <c r="F516" s="173"/>
      <c r="G516" s="173"/>
      <c r="H516" s="173"/>
      <c r="I516" s="173"/>
      <c r="J516" s="141"/>
      <c r="K516" s="163" t="str">
        <f>VLOOKUP(C516,'Term Reference Guide'!$C:$C,1,false)</f>
        <v>#N/A</v>
      </c>
      <c r="L516" s="173"/>
      <c r="M516" s="173"/>
      <c r="N516" s="173"/>
      <c r="O516" s="173"/>
      <c r="P516" s="173"/>
      <c r="Q516" s="173"/>
      <c r="R516" s="173"/>
      <c r="S516" s="173"/>
      <c r="T516" s="173"/>
      <c r="U516" s="173"/>
      <c r="V516" s="173"/>
      <c r="W516" s="173"/>
      <c r="X516" s="173"/>
      <c r="Y516" s="173"/>
      <c r="Z516" s="173"/>
      <c r="AA516" s="173"/>
      <c r="AB516" s="173"/>
      <c r="AC516" s="173"/>
      <c r="AD516" s="173"/>
      <c r="AE516" s="173"/>
      <c r="AF516" s="173"/>
      <c r="AG516" s="173"/>
      <c r="AH516" s="173"/>
      <c r="AI516" s="173"/>
      <c r="AJ516" s="173"/>
      <c r="AK516" s="173"/>
      <c r="AL516" s="173"/>
      <c r="AM516" s="173"/>
      <c r="AN516" s="173"/>
      <c r="AO516" s="173"/>
      <c r="AP516" s="173"/>
      <c r="AQ516" s="173"/>
      <c r="AR516" s="173"/>
      <c r="AS516" s="173"/>
      <c r="AT516" s="173"/>
      <c r="AU516" s="173"/>
      <c r="AV516" s="173"/>
      <c r="AW516" s="173"/>
      <c r="AX516" s="173"/>
      <c r="AY516" s="173"/>
      <c r="AZ516" s="173"/>
      <c r="BA516" s="173"/>
      <c r="BB516" s="173"/>
      <c r="BC516" s="173"/>
      <c r="BD516" s="173"/>
      <c r="BE516" s="173"/>
      <c r="BF516" s="173"/>
      <c r="BG516" s="173"/>
      <c r="BH516" s="173"/>
      <c r="BI516" s="173"/>
      <c r="BJ516" s="173"/>
      <c r="BK516" s="173"/>
      <c r="BL516" s="173"/>
      <c r="BM516" s="173"/>
      <c r="BN516" s="173"/>
      <c r="BO516" s="173"/>
      <c r="BP516" s="173"/>
      <c r="BQ516" s="173"/>
      <c r="BR516" s="173"/>
      <c r="BS516" s="173"/>
      <c r="BT516" s="173"/>
      <c r="BU516" s="173"/>
      <c r="BV516" s="173"/>
      <c r="BW516" s="173"/>
      <c r="BX516" s="173"/>
      <c r="BY516" s="173"/>
      <c r="BZ516" s="173"/>
      <c r="CA516" s="173"/>
      <c r="CB516" s="173"/>
      <c r="CC516" s="173"/>
      <c r="CD516" s="173"/>
      <c r="CE516" s="173"/>
      <c r="CF516" s="173"/>
      <c r="CG516" s="173"/>
      <c r="CH516" s="173"/>
      <c r="CI516" s="173"/>
      <c r="CJ516" s="173"/>
      <c r="CK516" s="173"/>
      <c r="CL516" s="173"/>
      <c r="CM516" s="173"/>
      <c r="CN516" s="173"/>
      <c r="CO516" s="173"/>
      <c r="CP516" s="173"/>
      <c r="CQ516" s="173"/>
      <c r="CR516" s="173"/>
      <c r="CS516" s="173"/>
    </row>
    <row r="517">
      <c r="A517" s="194" t="s">
        <v>379</v>
      </c>
      <c r="B517" s="174"/>
      <c r="C517" s="174"/>
      <c r="D517" s="175"/>
      <c r="E517" s="174"/>
      <c r="F517" s="174"/>
      <c r="G517" s="174"/>
      <c r="H517" s="176"/>
      <c r="I517" s="176"/>
      <c r="J517" s="177"/>
      <c r="K517" s="163" t="str">
        <f>VLOOKUP(C517,'Term Reference Guide'!$C:$C,1,false)</f>
        <v>#N/A</v>
      </c>
      <c r="L517" s="178"/>
      <c r="M517" s="178"/>
      <c r="N517" s="178"/>
      <c r="O517" s="178"/>
      <c r="P517" s="178"/>
      <c r="Q517" s="178"/>
      <c r="R517" s="178"/>
      <c r="S517" s="178"/>
      <c r="T517" s="178"/>
      <c r="U517" s="178"/>
      <c r="V517" s="178"/>
      <c r="W517" s="178"/>
      <c r="X517" s="178"/>
      <c r="Y517" s="178"/>
      <c r="Z517" s="178"/>
      <c r="AA517" s="178"/>
      <c r="AB517" s="178"/>
      <c r="AC517" s="178"/>
      <c r="AD517" s="178"/>
      <c r="AE517" s="178"/>
      <c r="AF517" s="178"/>
      <c r="AG517" s="178"/>
      <c r="AH517" s="178"/>
      <c r="AI517" s="178"/>
      <c r="AJ517" s="178"/>
      <c r="AK517" s="178"/>
      <c r="AL517" s="178"/>
      <c r="AM517" s="178"/>
      <c r="AN517" s="178"/>
      <c r="AO517" s="178"/>
      <c r="AP517" s="178"/>
      <c r="AQ517" s="178"/>
      <c r="AR517" s="178"/>
      <c r="AS517" s="178"/>
      <c r="AT517" s="178"/>
      <c r="AU517" s="178"/>
      <c r="AV517" s="178"/>
      <c r="AW517" s="178"/>
      <c r="AX517" s="178"/>
      <c r="AY517" s="178"/>
      <c r="AZ517" s="178"/>
      <c r="BA517" s="178"/>
      <c r="BB517" s="178"/>
      <c r="BC517" s="178"/>
      <c r="BD517" s="178"/>
      <c r="BE517" s="178"/>
      <c r="BF517" s="178"/>
      <c r="BG517" s="178"/>
      <c r="BH517" s="178"/>
      <c r="BI517" s="178"/>
      <c r="BJ517" s="178"/>
      <c r="BK517" s="178"/>
      <c r="BL517" s="178"/>
      <c r="BM517" s="178"/>
      <c r="BN517" s="178"/>
      <c r="BO517" s="178"/>
      <c r="BP517" s="178"/>
      <c r="BQ517" s="178"/>
      <c r="BR517" s="178"/>
      <c r="BS517" s="178"/>
      <c r="BT517" s="178"/>
      <c r="BU517" s="178"/>
      <c r="BV517" s="178"/>
      <c r="BW517" s="178"/>
      <c r="BX517" s="178"/>
      <c r="BY517" s="178"/>
      <c r="BZ517" s="178"/>
      <c r="CA517" s="178"/>
      <c r="CB517" s="178"/>
      <c r="CC517" s="178"/>
      <c r="CD517" s="178"/>
      <c r="CE517" s="178"/>
      <c r="CF517" s="178"/>
      <c r="CG517" s="178"/>
      <c r="CH517" s="178"/>
      <c r="CI517" s="178"/>
      <c r="CJ517" s="178"/>
      <c r="CK517" s="178"/>
      <c r="CL517" s="178"/>
      <c r="CM517" s="178"/>
      <c r="CN517" s="178"/>
      <c r="CO517" s="178"/>
      <c r="CP517" s="178"/>
      <c r="CQ517" s="178"/>
      <c r="CR517" s="178"/>
      <c r="CS517" s="178"/>
    </row>
    <row r="518" hidden="1">
      <c r="A518" s="173" t="str">
        <f t="shared" ref="A518:A519" si="11">A$517</f>
        <v>ambient temperature measurement unit</v>
      </c>
      <c r="B518" s="179" t="s">
        <v>2372</v>
      </c>
      <c r="C518" s="179" t="s">
        <v>2373</v>
      </c>
      <c r="D518" s="70" t="s">
        <v>2374</v>
      </c>
      <c r="E518" s="173"/>
      <c r="F518" s="168"/>
      <c r="G518" s="168"/>
      <c r="H518" s="168" t="s">
        <v>25</v>
      </c>
      <c r="I518" s="168" t="s">
        <v>25</v>
      </c>
      <c r="J518" s="168" t="s">
        <v>25</v>
      </c>
      <c r="K518" s="163" t="str">
        <f>VLOOKUP(C518,'Term Reference Guide'!$C:$C,1,false)</f>
        <v>UO:0000195</v>
      </c>
      <c r="L518" s="173"/>
      <c r="M518" s="173"/>
      <c r="N518" s="173"/>
      <c r="O518" s="173"/>
      <c r="P518" s="173"/>
      <c r="Q518" s="173"/>
      <c r="R518" s="173"/>
      <c r="S518" s="173"/>
      <c r="T518" s="173"/>
      <c r="U518" s="173"/>
      <c r="V518" s="173"/>
      <c r="W518" s="173"/>
      <c r="X518" s="173"/>
      <c r="Y518" s="173"/>
      <c r="Z518" s="173"/>
      <c r="AA518" s="173"/>
      <c r="AB518" s="173"/>
      <c r="AC518" s="173"/>
      <c r="AD518" s="173"/>
      <c r="AE518" s="173"/>
      <c r="AF518" s="173"/>
      <c r="AG518" s="173"/>
      <c r="AH518" s="173"/>
      <c r="AI518" s="173"/>
      <c r="AJ518" s="173"/>
      <c r="AK518" s="173"/>
      <c r="AL518" s="173"/>
      <c r="AM518" s="173"/>
      <c r="AN518" s="173"/>
      <c r="AO518" s="173"/>
      <c r="AP518" s="173"/>
      <c r="AQ518" s="173"/>
      <c r="AR518" s="173"/>
      <c r="AS518" s="173"/>
      <c r="AT518" s="173"/>
      <c r="AU518" s="173"/>
      <c r="AV518" s="173"/>
      <c r="AW518" s="173"/>
      <c r="AX518" s="173"/>
      <c r="AY518" s="173"/>
      <c r="AZ518" s="173"/>
      <c r="BA518" s="173"/>
      <c r="BB518" s="173"/>
      <c r="BC518" s="173"/>
      <c r="BD518" s="173"/>
      <c r="BE518" s="173"/>
      <c r="BF518" s="173"/>
      <c r="BG518" s="173"/>
      <c r="BH518" s="173"/>
      <c r="BI518" s="173"/>
      <c r="BJ518" s="173"/>
      <c r="BK518" s="173"/>
      <c r="BL518" s="173"/>
      <c r="BM518" s="173"/>
      <c r="BN518" s="173"/>
      <c r="BO518" s="173"/>
      <c r="BP518" s="173"/>
      <c r="BQ518" s="173"/>
      <c r="BR518" s="173"/>
      <c r="BS518" s="173"/>
      <c r="BT518" s="173"/>
      <c r="BU518" s="173"/>
      <c r="BV518" s="173"/>
      <c r="BW518" s="173"/>
      <c r="BX518" s="173"/>
      <c r="BY518" s="173"/>
      <c r="BZ518" s="173"/>
      <c r="CA518" s="173"/>
      <c r="CB518" s="173"/>
      <c r="CC518" s="173"/>
      <c r="CD518" s="173"/>
      <c r="CE518" s="173"/>
      <c r="CF518" s="173"/>
      <c r="CG518" s="173"/>
      <c r="CH518" s="173"/>
      <c r="CI518" s="173"/>
      <c r="CJ518" s="173"/>
      <c r="CK518" s="173"/>
      <c r="CL518" s="173"/>
      <c r="CM518" s="173"/>
      <c r="CN518" s="173"/>
      <c r="CO518" s="173"/>
      <c r="CP518" s="173"/>
      <c r="CQ518" s="173"/>
      <c r="CR518" s="173"/>
      <c r="CS518" s="173"/>
    </row>
    <row r="519" hidden="1">
      <c r="A519" s="173" t="str">
        <f t="shared" si="11"/>
        <v>ambient temperature measurement unit</v>
      </c>
      <c r="B519" s="179" t="s">
        <v>383</v>
      </c>
      <c r="C519" s="179" t="s">
        <v>2375</v>
      </c>
      <c r="D519" s="70" t="s">
        <v>2376</v>
      </c>
      <c r="E519" s="173"/>
      <c r="F519" s="168"/>
      <c r="G519" s="168"/>
      <c r="H519" s="168" t="s">
        <v>25</v>
      </c>
      <c r="I519" s="168" t="s">
        <v>25</v>
      </c>
      <c r="J519" s="168" t="s">
        <v>25</v>
      </c>
      <c r="K519" s="163" t="str">
        <f>VLOOKUP(C519,'Term Reference Guide'!$C:$C,1,false)</f>
        <v>UO:0000027</v>
      </c>
      <c r="L519" s="173"/>
      <c r="M519" s="173"/>
      <c r="N519" s="173"/>
      <c r="O519" s="173"/>
      <c r="P519" s="173"/>
      <c r="Q519" s="173"/>
      <c r="R519" s="173"/>
      <c r="S519" s="173"/>
      <c r="T519" s="173"/>
      <c r="U519" s="173"/>
      <c r="V519" s="173"/>
      <c r="W519" s="173"/>
      <c r="X519" s="173"/>
      <c r="Y519" s="173"/>
      <c r="Z519" s="173"/>
      <c r="AA519" s="173"/>
      <c r="AB519" s="173"/>
      <c r="AC519" s="173"/>
      <c r="AD519" s="173"/>
      <c r="AE519" s="173"/>
      <c r="AF519" s="173"/>
      <c r="AG519" s="173"/>
      <c r="AH519" s="173"/>
      <c r="AI519" s="173"/>
      <c r="AJ519" s="173"/>
      <c r="AK519" s="173"/>
      <c r="AL519" s="173"/>
      <c r="AM519" s="173"/>
      <c r="AN519" s="173"/>
      <c r="AO519" s="173"/>
      <c r="AP519" s="173"/>
      <c r="AQ519" s="173"/>
      <c r="AR519" s="173"/>
      <c r="AS519" s="173"/>
      <c r="AT519" s="173"/>
      <c r="AU519" s="173"/>
      <c r="AV519" s="173"/>
      <c r="AW519" s="173"/>
      <c r="AX519" s="173"/>
      <c r="AY519" s="173"/>
      <c r="AZ519" s="173"/>
      <c r="BA519" s="173"/>
      <c r="BB519" s="173"/>
      <c r="BC519" s="173"/>
      <c r="BD519" s="173"/>
      <c r="BE519" s="173"/>
      <c r="BF519" s="173"/>
      <c r="BG519" s="173"/>
      <c r="BH519" s="173"/>
      <c r="BI519" s="173"/>
      <c r="BJ519" s="173"/>
      <c r="BK519" s="173"/>
      <c r="BL519" s="173"/>
      <c r="BM519" s="173"/>
      <c r="BN519" s="173"/>
      <c r="BO519" s="173"/>
      <c r="BP519" s="173"/>
      <c r="BQ519" s="173"/>
      <c r="BR519" s="173"/>
      <c r="BS519" s="173"/>
      <c r="BT519" s="173"/>
      <c r="BU519" s="173"/>
      <c r="BV519" s="173"/>
      <c r="BW519" s="173"/>
      <c r="BX519" s="173"/>
      <c r="BY519" s="173"/>
      <c r="BZ519" s="173"/>
      <c r="CA519" s="173"/>
      <c r="CB519" s="173"/>
      <c r="CC519" s="173"/>
      <c r="CD519" s="173"/>
      <c r="CE519" s="173"/>
      <c r="CF519" s="173"/>
      <c r="CG519" s="173"/>
      <c r="CH519" s="173"/>
      <c r="CI519" s="173"/>
      <c r="CJ519" s="173"/>
      <c r="CK519" s="173"/>
      <c r="CL519" s="173"/>
      <c r="CM519" s="173"/>
      <c r="CN519" s="173"/>
      <c r="CO519" s="173"/>
      <c r="CP519" s="173"/>
      <c r="CQ519" s="173"/>
      <c r="CR519" s="173"/>
      <c r="CS519" s="173"/>
    </row>
    <row r="520">
      <c r="A520" s="168"/>
      <c r="B520" s="163"/>
      <c r="C520" s="163"/>
      <c r="D520" s="167"/>
      <c r="E520" s="163"/>
      <c r="F520" s="163"/>
      <c r="G520" s="163"/>
      <c r="H520" s="163"/>
      <c r="I520" s="163"/>
      <c r="J520" s="167"/>
      <c r="K520" s="163" t="str">
        <f>VLOOKUP(C520,'Term Reference Guide'!$C:$C,1,false)</f>
        <v>#N/A</v>
      </c>
      <c r="L520" s="163"/>
      <c r="M520" s="163"/>
      <c r="N520" s="163"/>
      <c r="O520" s="163"/>
      <c r="P520" s="163"/>
      <c r="Q520" s="163"/>
      <c r="R520" s="163"/>
      <c r="S520" s="163"/>
      <c r="T520" s="163"/>
      <c r="U520" s="163"/>
      <c r="V520" s="163"/>
      <c r="W520" s="163"/>
      <c r="X520" s="163"/>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c r="BP520" s="41"/>
      <c r="BQ520" s="41"/>
      <c r="BR520" s="41"/>
      <c r="BS520" s="41"/>
      <c r="BT520" s="41"/>
      <c r="BU520" s="41"/>
      <c r="BV520" s="41"/>
      <c r="BW520" s="41"/>
      <c r="BX520" s="41"/>
      <c r="BY520" s="41"/>
      <c r="BZ520" s="41"/>
      <c r="CA520" s="41"/>
      <c r="CB520" s="41"/>
      <c r="CC520" s="41"/>
      <c r="CD520" s="41"/>
      <c r="CE520" s="41"/>
      <c r="CF520" s="41"/>
      <c r="CG520" s="41"/>
      <c r="CH520" s="41"/>
      <c r="CI520" s="41"/>
      <c r="CJ520" s="41"/>
      <c r="CK520" s="41"/>
      <c r="CL520" s="41"/>
      <c r="CM520" s="41"/>
      <c r="CN520" s="41"/>
      <c r="CO520" s="41"/>
      <c r="CP520" s="41"/>
      <c r="CQ520" s="41"/>
      <c r="CR520" s="41"/>
      <c r="CS520" s="41"/>
    </row>
    <row r="521">
      <c r="A521" s="170" t="s">
        <v>397</v>
      </c>
      <c r="B521" s="156"/>
      <c r="C521" s="156"/>
      <c r="D521" s="139"/>
      <c r="E521" s="156"/>
      <c r="F521" s="156"/>
      <c r="G521" s="156"/>
      <c r="H521" s="164"/>
      <c r="I521" s="164"/>
      <c r="J521" s="171"/>
      <c r="K521" s="163" t="str">
        <f>VLOOKUP(C521,'Term Reference Guide'!$C:$C,1,false)</f>
        <v>#N/A</v>
      </c>
      <c r="L521" s="163"/>
      <c r="M521" s="163"/>
      <c r="N521" s="163"/>
      <c r="O521" s="163"/>
      <c r="P521" s="163"/>
      <c r="Q521" s="163"/>
      <c r="R521" s="163"/>
      <c r="S521" s="163"/>
      <c r="T521" s="163"/>
      <c r="U521" s="163"/>
      <c r="V521" s="163"/>
      <c r="W521" s="163"/>
      <c r="X521" s="163"/>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c r="BP521" s="41"/>
      <c r="BQ521" s="41"/>
      <c r="BR521" s="41"/>
      <c r="BS521" s="41"/>
      <c r="BT521" s="41"/>
      <c r="BU521" s="41"/>
      <c r="BV521" s="41"/>
      <c r="BW521" s="41"/>
      <c r="BX521" s="41"/>
      <c r="BY521" s="41"/>
      <c r="BZ521" s="41"/>
      <c r="CA521" s="41"/>
      <c r="CB521" s="41"/>
      <c r="CC521" s="41"/>
      <c r="CD521" s="41"/>
      <c r="CE521" s="41"/>
      <c r="CF521" s="41"/>
      <c r="CG521" s="41"/>
      <c r="CH521" s="41"/>
      <c r="CI521" s="41"/>
      <c r="CJ521" s="41"/>
      <c r="CK521" s="41"/>
      <c r="CL521" s="41"/>
      <c r="CM521" s="41"/>
      <c r="CN521" s="41"/>
      <c r="CO521" s="41"/>
      <c r="CP521" s="41"/>
      <c r="CQ521" s="41"/>
      <c r="CR521" s="41"/>
      <c r="CS521" s="41"/>
    </row>
    <row r="522">
      <c r="A522" s="173" t="str">
        <f t="shared" ref="A522:A529" si="12">A$521</f>
        <v>total daily flow rate measurement unit</v>
      </c>
      <c r="B522" s="179" t="s">
        <v>2377</v>
      </c>
      <c r="C522" s="179" t="s">
        <v>2367</v>
      </c>
      <c r="D522" s="70" t="s">
        <v>2378</v>
      </c>
      <c r="E522" s="173"/>
      <c r="F522" s="168"/>
      <c r="G522" s="168"/>
      <c r="H522" s="168" t="s">
        <v>25</v>
      </c>
      <c r="I522" s="168" t="s">
        <v>25</v>
      </c>
      <c r="J522" s="168" t="s">
        <v>25</v>
      </c>
      <c r="K522" s="163" t="str">
        <f>VLOOKUP(C522,'Term Reference Guide'!$C:$C,1,false)</f>
        <v>#N/A</v>
      </c>
      <c r="L522" s="173"/>
      <c r="M522" s="173"/>
      <c r="N522" s="173"/>
      <c r="O522" s="173"/>
      <c r="P522" s="173"/>
      <c r="Q522" s="173"/>
      <c r="R522" s="173"/>
      <c r="S522" s="173"/>
      <c r="T522" s="173"/>
      <c r="U522" s="173"/>
      <c r="V522" s="173"/>
      <c r="W522" s="173"/>
      <c r="X522" s="173"/>
      <c r="Y522" s="173"/>
      <c r="Z522" s="173"/>
      <c r="AA522" s="173"/>
      <c r="AB522" s="173"/>
      <c r="AC522" s="173"/>
      <c r="AD522" s="173"/>
      <c r="AE522" s="173"/>
      <c r="AF522" s="173"/>
      <c r="AG522" s="173"/>
      <c r="AH522" s="173"/>
      <c r="AI522" s="173"/>
      <c r="AJ522" s="173"/>
      <c r="AK522" s="173"/>
      <c r="AL522" s="173"/>
      <c r="AM522" s="173"/>
      <c r="AN522" s="173"/>
      <c r="AO522" s="173"/>
      <c r="AP522" s="173"/>
      <c r="AQ522" s="173"/>
      <c r="AR522" s="173"/>
      <c r="AS522" s="173"/>
      <c r="AT522" s="173"/>
      <c r="AU522" s="173"/>
      <c r="AV522" s="173"/>
      <c r="AW522" s="173"/>
      <c r="AX522" s="173"/>
      <c r="AY522" s="173"/>
      <c r="AZ522" s="173"/>
      <c r="BA522" s="173"/>
      <c r="BB522" s="173"/>
      <c r="BC522" s="173"/>
      <c r="BD522" s="173"/>
      <c r="BE522" s="173"/>
      <c r="BF522" s="173"/>
      <c r="BG522" s="173"/>
      <c r="BH522" s="173"/>
      <c r="BI522" s="173"/>
      <c r="BJ522" s="173"/>
      <c r="BK522" s="173"/>
      <c r="BL522" s="173"/>
      <c r="BM522" s="173"/>
      <c r="BN522" s="173"/>
      <c r="BO522" s="173"/>
      <c r="BP522" s="173"/>
      <c r="BQ522" s="173"/>
      <c r="BR522" s="173"/>
      <c r="BS522" s="173"/>
      <c r="BT522" s="173"/>
      <c r="BU522" s="173"/>
      <c r="BV522" s="173"/>
      <c r="BW522" s="173"/>
      <c r="BX522" s="173"/>
      <c r="BY522" s="173"/>
      <c r="BZ522" s="173"/>
      <c r="CA522" s="173"/>
      <c r="CB522" s="173"/>
      <c r="CC522" s="173"/>
      <c r="CD522" s="173"/>
      <c r="CE522" s="173"/>
      <c r="CF522" s="173"/>
      <c r="CG522" s="173"/>
      <c r="CH522" s="173"/>
      <c r="CI522" s="173"/>
      <c r="CJ522" s="173"/>
      <c r="CK522" s="173"/>
      <c r="CL522" s="173"/>
      <c r="CM522" s="173"/>
      <c r="CN522" s="173"/>
      <c r="CO522" s="173"/>
      <c r="CP522" s="173"/>
      <c r="CQ522" s="173"/>
      <c r="CR522" s="173"/>
      <c r="CS522" s="173"/>
    </row>
    <row r="523">
      <c r="A523" s="173" t="str">
        <f t="shared" si="12"/>
        <v>total daily flow rate measurement unit</v>
      </c>
      <c r="B523" s="179" t="s">
        <v>2379</v>
      </c>
      <c r="C523" s="179" t="s">
        <v>2367</v>
      </c>
      <c r="D523" s="70" t="s">
        <v>2380</v>
      </c>
      <c r="E523" s="173"/>
      <c r="F523" s="168"/>
      <c r="G523" s="168"/>
      <c r="H523" s="168" t="s">
        <v>25</v>
      </c>
      <c r="I523" s="168" t="s">
        <v>25</v>
      </c>
      <c r="J523" s="168" t="s">
        <v>25</v>
      </c>
      <c r="K523" s="163" t="str">
        <f>VLOOKUP(C523,'Term Reference Guide'!$C:$C,1,false)</f>
        <v>#N/A</v>
      </c>
      <c r="L523" s="173"/>
      <c r="M523" s="173"/>
      <c r="N523" s="173"/>
      <c r="O523" s="173"/>
      <c r="P523" s="173"/>
      <c r="Q523" s="173"/>
      <c r="R523" s="173"/>
      <c r="S523" s="173"/>
      <c r="T523" s="173"/>
      <c r="U523" s="173"/>
      <c r="V523" s="173"/>
      <c r="W523" s="173"/>
      <c r="X523" s="173"/>
      <c r="Y523" s="173"/>
      <c r="Z523" s="173"/>
      <c r="AA523" s="173"/>
      <c r="AB523" s="173"/>
      <c r="AC523" s="173"/>
      <c r="AD523" s="173"/>
      <c r="AE523" s="173"/>
      <c r="AF523" s="173"/>
      <c r="AG523" s="173"/>
      <c r="AH523" s="173"/>
      <c r="AI523" s="173"/>
      <c r="AJ523" s="173"/>
      <c r="AK523" s="173"/>
      <c r="AL523" s="173"/>
      <c r="AM523" s="173"/>
      <c r="AN523" s="173"/>
      <c r="AO523" s="173"/>
      <c r="AP523" s="173"/>
      <c r="AQ523" s="173"/>
      <c r="AR523" s="173"/>
      <c r="AS523" s="173"/>
      <c r="AT523" s="173"/>
      <c r="AU523" s="173"/>
      <c r="AV523" s="173"/>
      <c r="AW523" s="173"/>
      <c r="AX523" s="173"/>
      <c r="AY523" s="173"/>
      <c r="AZ523" s="173"/>
      <c r="BA523" s="173"/>
      <c r="BB523" s="173"/>
      <c r="BC523" s="173"/>
      <c r="BD523" s="173"/>
      <c r="BE523" s="173"/>
      <c r="BF523" s="173"/>
      <c r="BG523" s="173"/>
      <c r="BH523" s="173"/>
      <c r="BI523" s="173"/>
      <c r="BJ523" s="173"/>
      <c r="BK523" s="173"/>
      <c r="BL523" s="173"/>
      <c r="BM523" s="173"/>
      <c r="BN523" s="173"/>
      <c r="BO523" s="173"/>
      <c r="BP523" s="173"/>
      <c r="BQ523" s="173"/>
      <c r="BR523" s="173"/>
      <c r="BS523" s="173"/>
      <c r="BT523" s="173"/>
      <c r="BU523" s="173"/>
      <c r="BV523" s="173"/>
      <c r="BW523" s="173"/>
      <c r="BX523" s="173"/>
      <c r="BY523" s="173"/>
      <c r="BZ523" s="173"/>
      <c r="CA523" s="173"/>
      <c r="CB523" s="173"/>
      <c r="CC523" s="173"/>
      <c r="CD523" s="173"/>
      <c r="CE523" s="173"/>
      <c r="CF523" s="173"/>
      <c r="CG523" s="173"/>
      <c r="CH523" s="173"/>
      <c r="CI523" s="173"/>
      <c r="CJ523" s="173"/>
      <c r="CK523" s="173"/>
      <c r="CL523" s="173"/>
      <c r="CM523" s="173"/>
      <c r="CN523" s="173"/>
      <c r="CO523" s="173"/>
      <c r="CP523" s="173"/>
      <c r="CQ523" s="173"/>
      <c r="CR523" s="173"/>
      <c r="CS523" s="173"/>
    </row>
    <row r="524">
      <c r="A524" s="173" t="str">
        <f t="shared" si="12"/>
        <v>total daily flow rate measurement unit</v>
      </c>
      <c r="B524" s="179" t="s">
        <v>413</v>
      </c>
      <c r="C524" s="179" t="s">
        <v>2367</v>
      </c>
      <c r="D524" s="70" t="s">
        <v>2381</v>
      </c>
      <c r="E524" s="173"/>
      <c r="F524" s="168"/>
      <c r="G524" s="168"/>
      <c r="H524" s="168" t="s">
        <v>25</v>
      </c>
      <c r="I524" s="168" t="s">
        <v>25</v>
      </c>
      <c r="J524" s="168" t="s">
        <v>25</v>
      </c>
      <c r="K524" s="163" t="str">
        <f>VLOOKUP(C524,'Term Reference Guide'!$C:$C,1,false)</f>
        <v>#N/A</v>
      </c>
      <c r="L524" s="173"/>
      <c r="M524" s="173"/>
      <c r="N524" s="173"/>
      <c r="O524" s="173"/>
      <c r="P524" s="173"/>
      <c r="Q524" s="173"/>
      <c r="R524" s="173"/>
      <c r="S524" s="173"/>
      <c r="T524" s="173"/>
      <c r="U524" s="173"/>
      <c r="V524" s="173"/>
      <c r="W524" s="173"/>
      <c r="X524" s="173"/>
      <c r="Y524" s="173"/>
      <c r="Z524" s="173"/>
      <c r="AA524" s="173"/>
      <c r="AB524" s="173"/>
      <c r="AC524" s="173"/>
      <c r="AD524" s="173"/>
      <c r="AE524" s="173"/>
      <c r="AF524" s="173"/>
      <c r="AG524" s="173"/>
      <c r="AH524" s="173"/>
      <c r="AI524" s="173"/>
      <c r="AJ524" s="173"/>
      <c r="AK524" s="173"/>
      <c r="AL524" s="173"/>
      <c r="AM524" s="173"/>
      <c r="AN524" s="173"/>
      <c r="AO524" s="173"/>
      <c r="AP524" s="173"/>
      <c r="AQ524" s="173"/>
      <c r="AR524" s="173"/>
      <c r="AS524" s="173"/>
      <c r="AT524" s="173"/>
      <c r="AU524" s="173"/>
      <c r="AV524" s="173"/>
      <c r="AW524" s="173"/>
      <c r="AX524" s="173"/>
      <c r="AY524" s="173"/>
      <c r="AZ524" s="173"/>
      <c r="BA524" s="173"/>
      <c r="BB524" s="173"/>
      <c r="BC524" s="173"/>
      <c r="BD524" s="173"/>
      <c r="BE524" s="173"/>
      <c r="BF524" s="173"/>
      <c r="BG524" s="173"/>
      <c r="BH524" s="173"/>
      <c r="BI524" s="173"/>
      <c r="BJ524" s="173"/>
      <c r="BK524" s="173"/>
      <c r="BL524" s="173"/>
      <c r="BM524" s="173"/>
      <c r="BN524" s="173"/>
      <c r="BO524" s="173"/>
      <c r="BP524" s="173"/>
      <c r="BQ524" s="173"/>
      <c r="BR524" s="173"/>
      <c r="BS524" s="173"/>
      <c r="BT524" s="173"/>
      <c r="BU524" s="173"/>
      <c r="BV524" s="173"/>
      <c r="BW524" s="173"/>
      <c r="BX524" s="173"/>
      <c r="BY524" s="173"/>
      <c r="BZ524" s="173"/>
      <c r="CA524" s="173"/>
      <c r="CB524" s="173"/>
      <c r="CC524" s="173"/>
      <c r="CD524" s="173"/>
      <c r="CE524" s="173"/>
      <c r="CF524" s="173"/>
      <c r="CG524" s="173"/>
      <c r="CH524" s="173"/>
      <c r="CI524" s="173"/>
      <c r="CJ524" s="173"/>
      <c r="CK524" s="173"/>
      <c r="CL524" s="173"/>
      <c r="CM524" s="173"/>
      <c r="CN524" s="173"/>
      <c r="CO524" s="173"/>
      <c r="CP524" s="173"/>
      <c r="CQ524" s="173"/>
      <c r="CR524" s="173"/>
      <c r="CS524" s="173"/>
    </row>
    <row r="525">
      <c r="A525" s="173" t="str">
        <f t="shared" si="12"/>
        <v>total daily flow rate measurement unit</v>
      </c>
      <c r="B525" s="179" t="s">
        <v>2382</v>
      </c>
      <c r="C525" s="179" t="s">
        <v>2367</v>
      </c>
      <c r="D525" s="70" t="s">
        <v>2383</v>
      </c>
      <c r="E525" s="173"/>
      <c r="F525" s="168"/>
      <c r="G525" s="168"/>
      <c r="H525" s="168" t="s">
        <v>25</v>
      </c>
      <c r="I525" s="168" t="s">
        <v>25</v>
      </c>
      <c r="J525" s="168" t="s">
        <v>25</v>
      </c>
      <c r="K525" s="163" t="str">
        <f>VLOOKUP(C525,'Term Reference Guide'!$C:$C,1,false)</f>
        <v>#N/A</v>
      </c>
      <c r="L525" s="173"/>
      <c r="M525" s="173"/>
      <c r="N525" s="173"/>
      <c r="O525" s="173"/>
      <c r="P525" s="173"/>
      <c r="Q525" s="173"/>
      <c r="R525" s="173"/>
      <c r="S525" s="173"/>
      <c r="T525" s="173"/>
      <c r="U525" s="173"/>
      <c r="V525" s="173"/>
      <c r="W525" s="173"/>
      <c r="X525" s="173"/>
      <c r="Y525" s="173"/>
      <c r="Z525" s="173"/>
      <c r="AA525" s="173"/>
      <c r="AB525" s="173"/>
      <c r="AC525" s="173"/>
      <c r="AD525" s="173"/>
      <c r="AE525" s="173"/>
      <c r="AF525" s="173"/>
      <c r="AG525" s="173"/>
      <c r="AH525" s="173"/>
      <c r="AI525" s="173"/>
      <c r="AJ525" s="173"/>
      <c r="AK525" s="173"/>
      <c r="AL525" s="173"/>
      <c r="AM525" s="173"/>
      <c r="AN525" s="173"/>
      <c r="AO525" s="173"/>
      <c r="AP525" s="173"/>
      <c r="AQ525" s="173"/>
      <c r="AR525" s="173"/>
      <c r="AS525" s="173"/>
      <c r="AT525" s="173"/>
      <c r="AU525" s="173"/>
      <c r="AV525" s="173"/>
      <c r="AW525" s="173"/>
      <c r="AX525" s="173"/>
      <c r="AY525" s="173"/>
      <c r="AZ525" s="173"/>
      <c r="BA525" s="173"/>
      <c r="BB525" s="173"/>
      <c r="BC525" s="173"/>
      <c r="BD525" s="173"/>
      <c r="BE525" s="173"/>
      <c r="BF525" s="173"/>
      <c r="BG525" s="173"/>
      <c r="BH525" s="173"/>
      <c r="BI525" s="173"/>
      <c r="BJ525" s="173"/>
      <c r="BK525" s="173"/>
      <c r="BL525" s="173"/>
      <c r="BM525" s="173"/>
      <c r="BN525" s="173"/>
      <c r="BO525" s="173"/>
      <c r="BP525" s="173"/>
      <c r="BQ525" s="173"/>
      <c r="BR525" s="173"/>
      <c r="BS525" s="173"/>
      <c r="BT525" s="173"/>
      <c r="BU525" s="173"/>
      <c r="BV525" s="173"/>
      <c r="BW525" s="173"/>
      <c r="BX525" s="173"/>
      <c r="BY525" s="173"/>
      <c r="BZ525" s="173"/>
      <c r="CA525" s="173"/>
      <c r="CB525" s="173"/>
      <c r="CC525" s="173"/>
      <c r="CD525" s="173"/>
      <c r="CE525" s="173"/>
      <c r="CF525" s="173"/>
      <c r="CG525" s="173"/>
      <c r="CH525" s="173"/>
      <c r="CI525" s="173"/>
      <c r="CJ525" s="173"/>
      <c r="CK525" s="173"/>
      <c r="CL525" s="173"/>
      <c r="CM525" s="173"/>
      <c r="CN525" s="173"/>
      <c r="CO525" s="173"/>
      <c r="CP525" s="173"/>
      <c r="CQ525" s="173"/>
      <c r="CR525" s="173"/>
      <c r="CS525" s="173"/>
    </row>
    <row r="526">
      <c r="A526" s="173" t="str">
        <f t="shared" si="12"/>
        <v>total daily flow rate measurement unit</v>
      </c>
      <c r="B526" s="179" t="s">
        <v>2384</v>
      </c>
      <c r="C526" s="179" t="s">
        <v>2367</v>
      </c>
      <c r="D526" s="70" t="s">
        <v>2385</v>
      </c>
      <c r="E526" s="173"/>
      <c r="F526" s="168"/>
      <c r="G526" s="168"/>
      <c r="H526" s="168" t="s">
        <v>25</v>
      </c>
      <c r="I526" s="168" t="s">
        <v>25</v>
      </c>
      <c r="J526" s="168" t="s">
        <v>25</v>
      </c>
      <c r="K526" s="163" t="str">
        <f>VLOOKUP(C526,'Term Reference Guide'!$C:$C,1,false)</f>
        <v>#N/A</v>
      </c>
      <c r="L526" s="173"/>
      <c r="M526" s="173"/>
      <c r="N526" s="173"/>
      <c r="O526" s="173"/>
      <c r="P526" s="173"/>
      <c r="Q526" s="173"/>
      <c r="R526" s="173"/>
      <c r="S526" s="173"/>
      <c r="T526" s="173"/>
      <c r="U526" s="173"/>
      <c r="V526" s="173"/>
      <c r="W526" s="173"/>
      <c r="X526" s="173"/>
      <c r="Y526" s="173"/>
      <c r="Z526" s="173"/>
      <c r="AA526" s="173"/>
      <c r="AB526" s="173"/>
      <c r="AC526" s="173"/>
      <c r="AD526" s="173"/>
      <c r="AE526" s="173"/>
      <c r="AF526" s="173"/>
      <c r="AG526" s="173"/>
      <c r="AH526" s="173"/>
      <c r="AI526" s="173"/>
      <c r="AJ526" s="173"/>
      <c r="AK526" s="173"/>
      <c r="AL526" s="173"/>
      <c r="AM526" s="173"/>
      <c r="AN526" s="173"/>
      <c r="AO526" s="173"/>
      <c r="AP526" s="173"/>
      <c r="AQ526" s="173"/>
      <c r="AR526" s="173"/>
      <c r="AS526" s="173"/>
      <c r="AT526" s="173"/>
      <c r="AU526" s="173"/>
      <c r="AV526" s="173"/>
      <c r="AW526" s="173"/>
      <c r="AX526" s="173"/>
      <c r="AY526" s="173"/>
      <c r="AZ526" s="173"/>
      <c r="BA526" s="173"/>
      <c r="BB526" s="173"/>
      <c r="BC526" s="173"/>
      <c r="BD526" s="173"/>
      <c r="BE526" s="173"/>
      <c r="BF526" s="173"/>
      <c r="BG526" s="173"/>
      <c r="BH526" s="173"/>
      <c r="BI526" s="173"/>
      <c r="BJ526" s="173"/>
      <c r="BK526" s="173"/>
      <c r="BL526" s="173"/>
      <c r="BM526" s="173"/>
      <c r="BN526" s="173"/>
      <c r="BO526" s="173"/>
      <c r="BP526" s="173"/>
      <c r="BQ526" s="173"/>
      <c r="BR526" s="173"/>
      <c r="BS526" s="173"/>
      <c r="BT526" s="173"/>
      <c r="BU526" s="173"/>
      <c r="BV526" s="173"/>
      <c r="BW526" s="173"/>
      <c r="BX526" s="173"/>
      <c r="BY526" s="173"/>
      <c r="BZ526" s="173"/>
      <c r="CA526" s="173"/>
      <c r="CB526" s="173"/>
      <c r="CC526" s="173"/>
      <c r="CD526" s="173"/>
      <c r="CE526" s="173"/>
      <c r="CF526" s="173"/>
      <c r="CG526" s="173"/>
      <c r="CH526" s="173"/>
      <c r="CI526" s="173"/>
      <c r="CJ526" s="173"/>
      <c r="CK526" s="173"/>
      <c r="CL526" s="173"/>
      <c r="CM526" s="173"/>
      <c r="CN526" s="173"/>
      <c r="CO526" s="173"/>
      <c r="CP526" s="173"/>
      <c r="CQ526" s="173"/>
      <c r="CR526" s="173"/>
      <c r="CS526" s="173"/>
    </row>
    <row r="527">
      <c r="A527" s="173" t="str">
        <f t="shared" si="12"/>
        <v>total daily flow rate measurement unit</v>
      </c>
      <c r="B527" s="179" t="s">
        <v>2386</v>
      </c>
      <c r="C527" s="179" t="s">
        <v>2367</v>
      </c>
      <c r="D527" s="70" t="s">
        <v>2387</v>
      </c>
      <c r="E527" s="173"/>
      <c r="F527" s="168"/>
      <c r="G527" s="168"/>
      <c r="H527" s="168" t="s">
        <v>25</v>
      </c>
      <c r="I527" s="168" t="s">
        <v>25</v>
      </c>
      <c r="J527" s="168" t="s">
        <v>25</v>
      </c>
      <c r="K527" s="163" t="str">
        <f>VLOOKUP(C527,'Term Reference Guide'!$C:$C,1,false)</f>
        <v>#N/A</v>
      </c>
      <c r="L527" s="173"/>
      <c r="M527" s="173"/>
      <c r="N527" s="173"/>
      <c r="O527" s="173"/>
      <c r="P527" s="173"/>
      <c r="Q527" s="173"/>
      <c r="R527" s="173"/>
      <c r="S527" s="173"/>
      <c r="T527" s="173"/>
      <c r="U527" s="173"/>
      <c r="V527" s="173"/>
      <c r="W527" s="173"/>
      <c r="X527" s="173"/>
      <c r="Y527" s="173"/>
      <c r="Z527" s="173"/>
      <c r="AA527" s="173"/>
      <c r="AB527" s="173"/>
      <c r="AC527" s="173"/>
      <c r="AD527" s="173"/>
      <c r="AE527" s="173"/>
      <c r="AF527" s="173"/>
      <c r="AG527" s="173"/>
      <c r="AH527" s="173"/>
      <c r="AI527" s="173"/>
      <c r="AJ527" s="173"/>
      <c r="AK527" s="173"/>
      <c r="AL527" s="173"/>
      <c r="AM527" s="173"/>
      <c r="AN527" s="173"/>
      <c r="AO527" s="173"/>
      <c r="AP527" s="173"/>
      <c r="AQ527" s="173"/>
      <c r="AR527" s="173"/>
      <c r="AS527" s="173"/>
      <c r="AT527" s="173"/>
      <c r="AU527" s="173"/>
      <c r="AV527" s="173"/>
      <c r="AW527" s="173"/>
      <c r="AX527" s="173"/>
      <c r="AY527" s="173"/>
      <c r="AZ527" s="173"/>
      <c r="BA527" s="173"/>
      <c r="BB527" s="173"/>
      <c r="BC527" s="173"/>
      <c r="BD527" s="173"/>
      <c r="BE527" s="173"/>
      <c r="BF527" s="173"/>
      <c r="BG527" s="173"/>
      <c r="BH527" s="173"/>
      <c r="BI527" s="173"/>
      <c r="BJ527" s="173"/>
      <c r="BK527" s="173"/>
      <c r="BL527" s="173"/>
      <c r="BM527" s="173"/>
      <c r="BN527" s="173"/>
      <c r="BO527" s="173"/>
      <c r="BP527" s="173"/>
      <c r="BQ527" s="173"/>
      <c r="BR527" s="173"/>
      <c r="BS527" s="173"/>
      <c r="BT527" s="173"/>
      <c r="BU527" s="173"/>
      <c r="BV527" s="173"/>
      <c r="BW527" s="173"/>
      <c r="BX527" s="173"/>
      <c r="BY527" s="173"/>
      <c r="BZ527" s="173"/>
      <c r="CA527" s="173"/>
      <c r="CB527" s="173"/>
      <c r="CC527" s="173"/>
      <c r="CD527" s="173"/>
      <c r="CE527" s="173"/>
      <c r="CF527" s="173"/>
      <c r="CG527" s="173"/>
      <c r="CH527" s="173"/>
      <c r="CI527" s="173"/>
      <c r="CJ527" s="173"/>
      <c r="CK527" s="173"/>
      <c r="CL527" s="173"/>
      <c r="CM527" s="173"/>
      <c r="CN527" s="173"/>
      <c r="CO527" s="173"/>
      <c r="CP527" s="173"/>
      <c r="CQ527" s="173"/>
      <c r="CR527" s="173"/>
      <c r="CS527" s="173"/>
    </row>
    <row r="528">
      <c r="A528" s="173" t="str">
        <f t="shared" si="12"/>
        <v>total daily flow rate measurement unit</v>
      </c>
      <c r="B528" s="179" t="s">
        <v>2388</v>
      </c>
      <c r="C528" s="179" t="s">
        <v>2367</v>
      </c>
      <c r="D528" s="70" t="s">
        <v>2389</v>
      </c>
      <c r="E528" s="173"/>
      <c r="F528" s="168"/>
      <c r="G528" s="168"/>
      <c r="H528" s="168" t="s">
        <v>25</v>
      </c>
      <c r="I528" s="168" t="s">
        <v>25</v>
      </c>
      <c r="J528" s="168" t="s">
        <v>25</v>
      </c>
      <c r="K528" s="163" t="str">
        <f>VLOOKUP(C528,'Term Reference Guide'!$C:$C,1,false)</f>
        <v>#N/A</v>
      </c>
      <c r="L528" s="173"/>
      <c r="M528" s="173"/>
      <c r="N528" s="173"/>
      <c r="O528" s="173"/>
      <c r="P528" s="173"/>
      <c r="Q528" s="173"/>
      <c r="R528" s="173"/>
      <c r="S528" s="173"/>
      <c r="T528" s="173"/>
      <c r="U528" s="173"/>
      <c r="V528" s="173"/>
      <c r="W528" s="173"/>
      <c r="X528" s="173"/>
      <c r="Y528" s="173"/>
      <c r="Z528" s="173"/>
      <c r="AA528" s="173"/>
      <c r="AB528" s="173"/>
      <c r="AC528" s="173"/>
      <c r="AD528" s="173"/>
      <c r="AE528" s="173"/>
      <c r="AF528" s="173"/>
      <c r="AG528" s="173"/>
      <c r="AH528" s="173"/>
      <c r="AI528" s="173"/>
      <c r="AJ528" s="173"/>
      <c r="AK528" s="173"/>
      <c r="AL528" s="173"/>
      <c r="AM528" s="173"/>
      <c r="AN528" s="173"/>
      <c r="AO528" s="173"/>
      <c r="AP528" s="173"/>
      <c r="AQ528" s="173"/>
      <c r="AR528" s="173"/>
      <c r="AS528" s="173"/>
      <c r="AT528" s="173"/>
      <c r="AU528" s="173"/>
      <c r="AV528" s="173"/>
      <c r="AW528" s="173"/>
      <c r="AX528" s="173"/>
      <c r="AY528" s="173"/>
      <c r="AZ528" s="173"/>
      <c r="BA528" s="173"/>
      <c r="BB528" s="173"/>
      <c r="BC528" s="173"/>
      <c r="BD528" s="173"/>
      <c r="BE528" s="173"/>
      <c r="BF528" s="173"/>
      <c r="BG528" s="173"/>
      <c r="BH528" s="173"/>
      <c r="BI528" s="173"/>
      <c r="BJ528" s="173"/>
      <c r="BK528" s="173"/>
      <c r="BL528" s="173"/>
      <c r="BM528" s="173"/>
      <c r="BN528" s="173"/>
      <c r="BO528" s="173"/>
      <c r="BP528" s="173"/>
      <c r="BQ528" s="173"/>
      <c r="BR528" s="173"/>
      <c r="BS528" s="173"/>
      <c r="BT528" s="173"/>
      <c r="BU528" s="173"/>
      <c r="BV528" s="173"/>
      <c r="BW528" s="173"/>
      <c r="BX528" s="173"/>
      <c r="BY528" s="173"/>
      <c r="BZ528" s="173"/>
      <c r="CA528" s="173"/>
      <c r="CB528" s="173"/>
      <c r="CC528" s="173"/>
      <c r="CD528" s="173"/>
      <c r="CE528" s="173"/>
      <c r="CF528" s="173"/>
      <c r="CG528" s="173"/>
      <c r="CH528" s="173"/>
      <c r="CI528" s="173"/>
      <c r="CJ528" s="173"/>
      <c r="CK528" s="173"/>
      <c r="CL528" s="173"/>
      <c r="CM528" s="173"/>
      <c r="CN528" s="173"/>
      <c r="CO528" s="173"/>
      <c r="CP528" s="173"/>
      <c r="CQ528" s="173"/>
      <c r="CR528" s="173"/>
      <c r="CS528" s="173"/>
    </row>
    <row r="529">
      <c r="A529" s="173" t="str">
        <f t="shared" si="12"/>
        <v>total daily flow rate measurement unit</v>
      </c>
      <c r="B529" s="179" t="s">
        <v>401</v>
      </c>
      <c r="C529" s="179" t="s">
        <v>2367</v>
      </c>
      <c r="D529" s="70" t="s">
        <v>2390</v>
      </c>
      <c r="E529" s="173"/>
      <c r="F529" s="168"/>
      <c r="G529" s="168"/>
      <c r="H529" s="168" t="s">
        <v>25</v>
      </c>
      <c r="I529" s="168" t="s">
        <v>25</v>
      </c>
      <c r="J529" s="168" t="s">
        <v>25</v>
      </c>
      <c r="K529" s="163" t="str">
        <f>VLOOKUP(C529,'Term Reference Guide'!$C:$C,1,false)</f>
        <v>#N/A</v>
      </c>
      <c r="L529" s="173"/>
      <c r="M529" s="173"/>
      <c r="N529" s="173"/>
      <c r="O529" s="173"/>
      <c r="P529" s="173"/>
      <c r="Q529" s="173"/>
      <c r="R529" s="173"/>
      <c r="S529" s="173"/>
      <c r="T529" s="173"/>
      <c r="U529" s="173"/>
      <c r="V529" s="173"/>
      <c r="W529" s="173"/>
      <c r="X529" s="173"/>
      <c r="Y529" s="173"/>
      <c r="Z529" s="173"/>
      <c r="AA529" s="173"/>
      <c r="AB529" s="173"/>
      <c r="AC529" s="173"/>
      <c r="AD529" s="173"/>
      <c r="AE529" s="173"/>
      <c r="AF529" s="173"/>
      <c r="AG529" s="173"/>
      <c r="AH529" s="173"/>
      <c r="AI529" s="173"/>
      <c r="AJ529" s="173"/>
      <c r="AK529" s="173"/>
      <c r="AL529" s="173"/>
      <c r="AM529" s="173"/>
      <c r="AN529" s="173"/>
      <c r="AO529" s="173"/>
      <c r="AP529" s="173"/>
      <c r="AQ529" s="173"/>
      <c r="AR529" s="173"/>
      <c r="AS529" s="173"/>
      <c r="AT529" s="173"/>
      <c r="AU529" s="173"/>
      <c r="AV529" s="173"/>
      <c r="AW529" s="173"/>
      <c r="AX529" s="173"/>
      <c r="AY529" s="173"/>
      <c r="AZ529" s="173"/>
      <c r="BA529" s="173"/>
      <c r="BB529" s="173"/>
      <c r="BC529" s="173"/>
      <c r="BD529" s="173"/>
      <c r="BE529" s="173"/>
      <c r="BF529" s="173"/>
      <c r="BG529" s="173"/>
      <c r="BH529" s="173"/>
      <c r="BI529" s="173"/>
      <c r="BJ529" s="173"/>
      <c r="BK529" s="173"/>
      <c r="BL529" s="173"/>
      <c r="BM529" s="173"/>
      <c r="BN529" s="173"/>
      <c r="BO529" s="173"/>
      <c r="BP529" s="173"/>
      <c r="BQ529" s="173"/>
      <c r="BR529" s="173"/>
      <c r="BS529" s="173"/>
      <c r="BT529" s="173"/>
      <c r="BU529" s="173"/>
      <c r="BV529" s="173"/>
      <c r="BW529" s="173"/>
      <c r="BX529" s="173"/>
      <c r="BY529" s="173"/>
      <c r="BZ529" s="173"/>
      <c r="CA529" s="173"/>
      <c r="CB529" s="173"/>
      <c r="CC529" s="173"/>
      <c r="CD529" s="173"/>
      <c r="CE529" s="173"/>
      <c r="CF529" s="173"/>
      <c r="CG529" s="173"/>
      <c r="CH529" s="173"/>
      <c r="CI529" s="173"/>
      <c r="CJ529" s="173"/>
      <c r="CK529" s="173"/>
      <c r="CL529" s="173"/>
      <c r="CM529" s="173"/>
      <c r="CN529" s="173"/>
      <c r="CO529" s="173"/>
      <c r="CP529" s="173"/>
      <c r="CQ529" s="173"/>
      <c r="CR529" s="173"/>
      <c r="CS529" s="173"/>
    </row>
    <row r="530">
      <c r="A530" s="173"/>
      <c r="B530" s="173"/>
      <c r="C530" s="173"/>
      <c r="D530" s="141"/>
      <c r="E530" s="173"/>
      <c r="F530" s="173"/>
      <c r="G530" s="173"/>
      <c r="H530" s="173"/>
      <c r="I530" s="173"/>
      <c r="J530" s="141"/>
      <c r="K530" s="163" t="str">
        <f>VLOOKUP(C530,'Term Reference Guide'!$C:$C,1,false)</f>
        <v>#N/A</v>
      </c>
      <c r="L530" s="173"/>
      <c r="M530" s="173"/>
      <c r="N530" s="173"/>
      <c r="O530" s="173"/>
      <c r="P530" s="173"/>
      <c r="Q530" s="173"/>
      <c r="R530" s="173"/>
      <c r="S530" s="173"/>
      <c r="T530" s="173"/>
      <c r="U530" s="173"/>
      <c r="V530" s="173"/>
      <c r="W530" s="173"/>
      <c r="X530" s="173"/>
      <c r="Y530" s="173"/>
      <c r="Z530" s="173"/>
      <c r="AA530" s="173"/>
      <c r="AB530" s="173"/>
      <c r="AC530" s="173"/>
      <c r="AD530" s="173"/>
      <c r="AE530" s="173"/>
      <c r="AF530" s="173"/>
      <c r="AG530" s="173"/>
      <c r="AH530" s="173"/>
      <c r="AI530" s="173"/>
      <c r="AJ530" s="173"/>
      <c r="AK530" s="173"/>
      <c r="AL530" s="173"/>
      <c r="AM530" s="173"/>
      <c r="AN530" s="173"/>
      <c r="AO530" s="173"/>
      <c r="AP530" s="173"/>
      <c r="AQ530" s="173"/>
      <c r="AR530" s="173"/>
      <c r="AS530" s="173"/>
      <c r="AT530" s="173"/>
      <c r="AU530" s="173"/>
      <c r="AV530" s="173"/>
      <c r="AW530" s="173"/>
      <c r="AX530" s="173"/>
      <c r="AY530" s="173"/>
      <c r="AZ530" s="173"/>
      <c r="BA530" s="173"/>
      <c r="BB530" s="173"/>
      <c r="BC530" s="173"/>
      <c r="BD530" s="173"/>
      <c r="BE530" s="173"/>
      <c r="BF530" s="173"/>
      <c r="BG530" s="173"/>
      <c r="BH530" s="173"/>
      <c r="BI530" s="173"/>
      <c r="BJ530" s="173"/>
      <c r="BK530" s="173"/>
      <c r="BL530" s="173"/>
      <c r="BM530" s="173"/>
      <c r="BN530" s="173"/>
      <c r="BO530" s="173"/>
      <c r="BP530" s="173"/>
      <c r="BQ530" s="173"/>
      <c r="BR530" s="173"/>
      <c r="BS530" s="173"/>
      <c r="BT530" s="173"/>
      <c r="BU530" s="173"/>
      <c r="BV530" s="173"/>
      <c r="BW530" s="173"/>
      <c r="BX530" s="173"/>
      <c r="BY530" s="173"/>
      <c r="BZ530" s="173"/>
      <c r="CA530" s="173"/>
      <c r="CB530" s="173"/>
      <c r="CC530" s="173"/>
      <c r="CD530" s="173"/>
      <c r="CE530" s="173"/>
      <c r="CF530" s="173"/>
      <c r="CG530" s="173"/>
      <c r="CH530" s="173"/>
      <c r="CI530" s="173"/>
      <c r="CJ530" s="173"/>
      <c r="CK530" s="173"/>
      <c r="CL530" s="173"/>
      <c r="CM530" s="173"/>
      <c r="CN530" s="173"/>
      <c r="CO530" s="173"/>
      <c r="CP530" s="173"/>
      <c r="CQ530" s="173"/>
      <c r="CR530" s="173"/>
      <c r="CS530" s="173"/>
    </row>
    <row r="531">
      <c r="A531" s="27" t="s">
        <v>410</v>
      </c>
      <c r="B531" s="174"/>
      <c r="C531" s="174"/>
      <c r="D531" s="175"/>
      <c r="E531" s="174"/>
      <c r="F531" s="174"/>
      <c r="G531" s="174"/>
      <c r="H531" s="176"/>
      <c r="I531" s="176"/>
      <c r="J531" s="177"/>
      <c r="K531" s="163" t="str">
        <f>VLOOKUP(C531,'Term Reference Guide'!$C:$C,1,false)</f>
        <v>#N/A</v>
      </c>
      <c r="L531" s="178"/>
      <c r="M531" s="178"/>
      <c r="N531" s="178"/>
      <c r="O531" s="178"/>
      <c r="P531" s="178"/>
      <c r="Q531" s="178"/>
      <c r="R531" s="178"/>
      <c r="S531" s="178"/>
      <c r="T531" s="178"/>
      <c r="U531" s="178"/>
      <c r="V531" s="178"/>
      <c r="W531" s="178"/>
      <c r="X531" s="178"/>
      <c r="Y531" s="178"/>
      <c r="Z531" s="178"/>
      <c r="AA531" s="178"/>
      <c r="AB531" s="178"/>
      <c r="AC531" s="178"/>
      <c r="AD531" s="178"/>
      <c r="AE531" s="178"/>
      <c r="AF531" s="178"/>
      <c r="AG531" s="178"/>
      <c r="AH531" s="178"/>
      <c r="AI531" s="178"/>
      <c r="AJ531" s="178"/>
      <c r="AK531" s="178"/>
      <c r="AL531" s="178"/>
      <c r="AM531" s="178"/>
      <c r="AN531" s="178"/>
      <c r="AO531" s="178"/>
      <c r="AP531" s="178"/>
      <c r="AQ531" s="178"/>
      <c r="AR531" s="178"/>
      <c r="AS531" s="178"/>
      <c r="AT531" s="178"/>
      <c r="AU531" s="178"/>
      <c r="AV531" s="178"/>
      <c r="AW531" s="178"/>
      <c r="AX531" s="178"/>
      <c r="AY531" s="178"/>
      <c r="AZ531" s="178"/>
      <c r="BA531" s="178"/>
      <c r="BB531" s="178"/>
      <c r="BC531" s="178"/>
      <c r="BD531" s="178"/>
      <c r="BE531" s="178"/>
      <c r="BF531" s="178"/>
      <c r="BG531" s="178"/>
      <c r="BH531" s="178"/>
      <c r="BI531" s="178"/>
      <c r="BJ531" s="178"/>
      <c r="BK531" s="178"/>
      <c r="BL531" s="178"/>
      <c r="BM531" s="178"/>
      <c r="BN531" s="178"/>
      <c r="BO531" s="178"/>
      <c r="BP531" s="178"/>
      <c r="BQ531" s="178"/>
      <c r="BR531" s="178"/>
      <c r="BS531" s="178"/>
      <c r="BT531" s="178"/>
      <c r="BU531" s="178"/>
      <c r="BV531" s="178"/>
      <c r="BW531" s="178"/>
      <c r="BX531" s="178"/>
      <c r="BY531" s="178"/>
      <c r="BZ531" s="178"/>
      <c r="CA531" s="178"/>
      <c r="CB531" s="178"/>
      <c r="CC531" s="178"/>
      <c r="CD531" s="178"/>
      <c r="CE531" s="178"/>
      <c r="CF531" s="178"/>
      <c r="CG531" s="178"/>
      <c r="CH531" s="178"/>
      <c r="CI531" s="178"/>
      <c r="CJ531" s="178"/>
      <c r="CK531" s="178"/>
      <c r="CL531" s="178"/>
      <c r="CM531" s="178"/>
      <c r="CN531" s="178"/>
      <c r="CO531" s="178"/>
      <c r="CP531" s="178"/>
      <c r="CQ531" s="178"/>
      <c r="CR531" s="178"/>
      <c r="CS531" s="178"/>
    </row>
    <row r="532">
      <c r="A532" s="179" t="str">
        <f t="shared" ref="A532:A539" si="13">A531</f>
        <v>instantaneous flow rate measurement unit</v>
      </c>
      <c r="B532" s="179" t="s">
        <v>2377</v>
      </c>
      <c r="C532" s="179" t="s">
        <v>2367</v>
      </c>
      <c r="D532" s="70" t="s">
        <v>2378</v>
      </c>
      <c r="E532" s="173"/>
      <c r="F532" s="168"/>
      <c r="G532" s="168"/>
      <c r="H532" s="168" t="s">
        <v>25</v>
      </c>
      <c r="I532" s="168" t="s">
        <v>25</v>
      </c>
      <c r="J532" s="168" t="s">
        <v>25</v>
      </c>
      <c r="K532" s="163" t="str">
        <f>VLOOKUP(C532,'Term Reference Guide'!$C:$C,1,false)</f>
        <v>#N/A</v>
      </c>
      <c r="L532" s="173"/>
      <c r="M532" s="173"/>
      <c r="N532" s="173"/>
      <c r="O532" s="173"/>
      <c r="P532" s="173"/>
      <c r="Q532" s="173"/>
      <c r="R532" s="173"/>
      <c r="S532" s="173"/>
      <c r="T532" s="173"/>
      <c r="U532" s="173"/>
      <c r="V532" s="173"/>
      <c r="W532" s="173"/>
      <c r="X532" s="173"/>
      <c r="Y532" s="173"/>
      <c r="Z532" s="173"/>
      <c r="AA532" s="173"/>
      <c r="AB532" s="173"/>
      <c r="AC532" s="173"/>
      <c r="AD532" s="173"/>
      <c r="AE532" s="173"/>
      <c r="AF532" s="173"/>
      <c r="AG532" s="173"/>
      <c r="AH532" s="173"/>
      <c r="AI532" s="173"/>
      <c r="AJ532" s="173"/>
      <c r="AK532" s="173"/>
      <c r="AL532" s="173"/>
      <c r="AM532" s="173"/>
      <c r="AN532" s="173"/>
      <c r="AO532" s="173"/>
      <c r="AP532" s="173"/>
      <c r="AQ532" s="173"/>
      <c r="AR532" s="173"/>
      <c r="AS532" s="173"/>
      <c r="AT532" s="173"/>
      <c r="AU532" s="173"/>
      <c r="AV532" s="173"/>
      <c r="AW532" s="173"/>
      <c r="AX532" s="173"/>
      <c r="AY532" s="173"/>
      <c r="AZ532" s="173"/>
      <c r="BA532" s="173"/>
      <c r="BB532" s="173"/>
      <c r="BC532" s="173"/>
      <c r="BD532" s="173"/>
      <c r="BE532" s="173"/>
      <c r="BF532" s="173"/>
      <c r="BG532" s="173"/>
      <c r="BH532" s="173"/>
      <c r="BI532" s="173"/>
      <c r="BJ532" s="173"/>
      <c r="BK532" s="173"/>
      <c r="BL532" s="173"/>
      <c r="BM532" s="173"/>
      <c r="BN532" s="173"/>
      <c r="BO532" s="173"/>
      <c r="BP532" s="173"/>
      <c r="BQ532" s="173"/>
      <c r="BR532" s="173"/>
      <c r="BS532" s="173"/>
      <c r="BT532" s="173"/>
      <c r="BU532" s="173"/>
      <c r="BV532" s="173"/>
      <c r="BW532" s="173"/>
      <c r="BX532" s="173"/>
      <c r="BY532" s="173"/>
      <c r="BZ532" s="173"/>
      <c r="CA532" s="173"/>
      <c r="CB532" s="173"/>
      <c r="CC532" s="173"/>
      <c r="CD532" s="173"/>
      <c r="CE532" s="173"/>
      <c r="CF532" s="173"/>
      <c r="CG532" s="173"/>
      <c r="CH532" s="173"/>
      <c r="CI532" s="173"/>
      <c r="CJ532" s="173"/>
      <c r="CK532" s="173"/>
      <c r="CL532" s="173"/>
      <c r="CM532" s="173"/>
      <c r="CN532" s="173"/>
      <c r="CO532" s="173"/>
      <c r="CP532" s="173"/>
      <c r="CQ532" s="173"/>
      <c r="CR532" s="173"/>
      <c r="CS532" s="173"/>
    </row>
    <row r="533">
      <c r="A533" s="179" t="str">
        <f t="shared" si="13"/>
        <v>instantaneous flow rate measurement unit</v>
      </c>
      <c r="B533" s="179" t="s">
        <v>2379</v>
      </c>
      <c r="C533" s="179" t="s">
        <v>2367</v>
      </c>
      <c r="D533" s="70" t="s">
        <v>2380</v>
      </c>
      <c r="E533" s="173"/>
      <c r="F533" s="168"/>
      <c r="G533" s="168"/>
      <c r="H533" s="168" t="s">
        <v>25</v>
      </c>
      <c r="I533" s="168" t="s">
        <v>25</v>
      </c>
      <c r="J533" s="168" t="s">
        <v>25</v>
      </c>
      <c r="K533" s="163" t="str">
        <f>VLOOKUP(C533,'Term Reference Guide'!$C:$C,1,false)</f>
        <v>#N/A</v>
      </c>
      <c r="L533" s="173"/>
      <c r="M533" s="173"/>
      <c r="N533" s="173"/>
      <c r="O533" s="173"/>
      <c r="P533" s="173"/>
      <c r="Q533" s="173"/>
      <c r="R533" s="173"/>
      <c r="S533" s="173"/>
      <c r="T533" s="173"/>
      <c r="U533" s="173"/>
      <c r="V533" s="173"/>
      <c r="W533" s="173"/>
      <c r="X533" s="173"/>
      <c r="Y533" s="173"/>
      <c r="Z533" s="173"/>
      <c r="AA533" s="173"/>
      <c r="AB533" s="173"/>
      <c r="AC533" s="173"/>
      <c r="AD533" s="173"/>
      <c r="AE533" s="173"/>
      <c r="AF533" s="173"/>
      <c r="AG533" s="173"/>
      <c r="AH533" s="173"/>
      <c r="AI533" s="173"/>
      <c r="AJ533" s="173"/>
      <c r="AK533" s="173"/>
      <c r="AL533" s="173"/>
      <c r="AM533" s="173"/>
      <c r="AN533" s="173"/>
      <c r="AO533" s="173"/>
      <c r="AP533" s="173"/>
      <c r="AQ533" s="173"/>
      <c r="AR533" s="173"/>
      <c r="AS533" s="173"/>
      <c r="AT533" s="173"/>
      <c r="AU533" s="173"/>
      <c r="AV533" s="173"/>
      <c r="AW533" s="173"/>
      <c r="AX533" s="173"/>
      <c r="AY533" s="173"/>
      <c r="AZ533" s="173"/>
      <c r="BA533" s="173"/>
      <c r="BB533" s="173"/>
      <c r="BC533" s="173"/>
      <c r="BD533" s="173"/>
      <c r="BE533" s="173"/>
      <c r="BF533" s="173"/>
      <c r="BG533" s="173"/>
      <c r="BH533" s="173"/>
      <c r="BI533" s="173"/>
      <c r="BJ533" s="173"/>
      <c r="BK533" s="173"/>
      <c r="BL533" s="173"/>
      <c r="BM533" s="173"/>
      <c r="BN533" s="173"/>
      <c r="BO533" s="173"/>
      <c r="BP533" s="173"/>
      <c r="BQ533" s="173"/>
      <c r="BR533" s="173"/>
      <c r="BS533" s="173"/>
      <c r="BT533" s="173"/>
      <c r="BU533" s="173"/>
      <c r="BV533" s="173"/>
      <c r="BW533" s="173"/>
      <c r="BX533" s="173"/>
      <c r="BY533" s="173"/>
      <c r="BZ533" s="173"/>
      <c r="CA533" s="173"/>
      <c r="CB533" s="173"/>
      <c r="CC533" s="173"/>
      <c r="CD533" s="173"/>
      <c r="CE533" s="173"/>
      <c r="CF533" s="173"/>
      <c r="CG533" s="173"/>
      <c r="CH533" s="173"/>
      <c r="CI533" s="173"/>
      <c r="CJ533" s="173"/>
      <c r="CK533" s="173"/>
      <c r="CL533" s="173"/>
      <c r="CM533" s="173"/>
      <c r="CN533" s="173"/>
      <c r="CO533" s="173"/>
      <c r="CP533" s="173"/>
      <c r="CQ533" s="173"/>
      <c r="CR533" s="173"/>
      <c r="CS533" s="173"/>
    </row>
    <row r="534">
      <c r="A534" s="179" t="str">
        <f t="shared" si="13"/>
        <v>instantaneous flow rate measurement unit</v>
      </c>
      <c r="B534" s="179" t="s">
        <v>413</v>
      </c>
      <c r="C534" s="179" t="s">
        <v>2367</v>
      </c>
      <c r="D534" s="70" t="s">
        <v>2381</v>
      </c>
      <c r="E534" s="173"/>
      <c r="F534" s="168"/>
      <c r="G534" s="168"/>
      <c r="H534" s="168" t="s">
        <v>25</v>
      </c>
      <c r="I534" s="168" t="s">
        <v>25</v>
      </c>
      <c r="J534" s="168" t="s">
        <v>25</v>
      </c>
      <c r="K534" s="163" t="str">
        <f>VLOOKUP(C534,'Term Reference Guide'!$C:$C,1,false)</f>
        <v>#N/A</v>
      </c>
      <c r="L534" s="173"/>
      <c r="M534" s="173"/>
      <c r="N534" s="173"/>
      <c r="O534" s="173"/>
      <c r="P534" s="173"/>
      <c r="Q534" s="173"/>
      <c r="R534" s="173"/>
      <c r="S534" s="173"/>
      <c r="T534" s="173"/>
      <c r="U534" s="173"/>
      <c r="V534" s="173"/>
      <c r="W534" s="173"/>
      <c r="X534" s="173"/>
      <c r="Y534" s="173"/>
      <c r="Z534" s="173"/>
      <c r="AA534" s="173"/>
      <c r="AB534" s="173"/>
      <c r="AC534" s="173"/>
      <c r="AD534" s="173"/>
      <c r="AE534" s="173"/>
      <c r="AF534" s="173"/>
      <c r="AG534" s="173"/>
      <c r="AH534" s="173"/>
      <c r="AI534" s="173"/>
      <c r="AJ534" s="173"/>
      <c r="AK534" s="173"/>
      <c r="AL534" s="173"/>
      <c r="AM534" s="173"/>
      <c r="AN534" s="173"/>
      <c r="AO534" s="173"/>
      <c r="AP534" s="173"/>
      <c r="AQ534" s="173"/>
      <c r="AR534" s="173"/>
      <c r="AS534" s="173"/>
      <c r="AT534" s="173"/>
      <c r="AU534" s="173"/>
      <c r="AV534" s="173"/>
      <c r="AW534" s="173"/>
      <c r="AX534" s="173"/>
      <c r="AY534" s="173"/>
      <c r="AZ534" s="173"/>
      <c r="BA534" s="173"/>
      <c r="BB534" s="173"/>
      <c r="BC534" s="173"/>
      <c r="BD534" s="173"/>
      <c r="BE534" s="173"/>
      <c r="BF534" s="173"/>
      <c r="BG534" s="173"/>
      <c r="BH534" s="173"/>
      <c r="BI534" s="173"/>
      <c r="BJ534" s="173"/>
      <c r="BK534" s="173"/>
      <c r="BL534" s="173"/>
      <c r="BM534" s="173"/>
      <c r="BN534" s="173"/>
      <c r="BO534" s="173"/>
      <c r="BP534" s="173"/>
      <c r="BQ534" s="173"/>
      <c r="BR534" s="173"/>
      <c r="BS534" s="173"/>
      <c r="BT534" s="173"/>
      <c r="BU534" s="173"/>
      <c r="BV534" s="173"/>
      <c r="BW534" s="173"/>
      <c r="BX534" s="173"/>
      <c r="BY534" s="173"/>
      <c r="BZ534" s="173"/>
      <c r="CA534" s="173"/>
      <c r="CB534" s="173"/>
      <c r="CC534" s="173"/>
      <c r="CD534" s="173"/>
      <c r="CE534" s="173"/>
      <c r="CF534" s="173"/>
      <c r="CG534" s="173"/>
      <c r="CH534" s="173"/>
      <c r="CI534" s="173"/>
      <c r="CJ534" s="173"/>
      <c r="CK534" s="173"/>
      <c r="CL534" s="173"/>
      <c r="CM534" s="173"/>
      <c r="CN534" s="173"/>
      <c r="CO534" s="173"/>
      <c r="CP534" s="173"/>
      <c r="CQ534" s="173"/>
      <c r="CR534" s="173"/>
      <c r="CS534" s="173"/>
    </row>
    <row r="535">
      <c r="A535" s="179" t="str">
        <f t="shared" si="13"/>
        <v>instantaneous flow rate measurement unit</v>
      </c>
      <c r="B535" s="179" t="s">
        <v>2382</v>
      </c>
      <c r="C535" s="179" t="s">
        <v>2367</v>
      </c>
      <c r="D535" s="70" t="s">
        <v>2383</v>
      </c>
      <c r="E535" s="173"/>
      <c r="F535" s="168"/>
      <c r="G535" s="168"/>
      <c r="H535" s="168" t="s">
        <v>25</v>
      </c>
      <c r="I535" s="168" t="s">
        <v>25</v>
      </c>
      <c r="J535" s="168" t="s">
        <v>25</v>
      </c>
      <c r="K535" s="163" t="str">
        <f>VLOOKUP(C535,'Term Reference Guide'!$C:$C,1,false)</f>
        <v>#N/A</v>
      </c>
      <c r="L535" s="173"/>
      <c r="M535" s="173"/>
      <c r="N535" s="173"/>
      <c r="O535" s="173"/>
      <c r="P535" s="173"/>
      <c r="Q535" s="173"/>
      <c r="R535" s="173"/>
      <c r="S535" s="173"/>
      <c r="T535" s="173"/>
      <c r="U535" s="173"/>
      <c r="V535" s="173"/>
      <c r="W535" s="173"/>
      <c r="X535" s="173"/>
      <c r="Y535" s="173"/>
      <c r="Z535" s="173"/>
      <c r="AA535" s="173"/>
      <c r="AB535" s="173"/>
      <c r="AC535" s="173"/>
      <c r="AD535" s="173"/>
      <c r="AE535" s="173"/>
      <c r="AF535" s="173"/>
      <c r="AG535" s="173"/>
      <c r="AH535" s="173"/>
      <c r="AI535" s="173"/>
      <c r="AJ535" s="173"/>
      <c r="AK535" s="173"/>
      <c r="AL535" s="173"/>
      <c r="AM535" s="173"/>
      <c r="AN535" s="173"/>
      <c r="AO535" s="173"/>
      <c r="AP535" s="173"/>
      <c r="AQ535" s="173"/>
      <c r="AR535" s="173"/>
      <c r="AS535" s="173"/>
      <c r="AT535" s="173"/>
      <c r="AU535" s="173"/>
      <c r="AV535" s="173"/>
      <c r="AW535" s="173"/>
      <c r="AX535" s="173"/>
      <c r="AY535" s="173"/>
      <c r="AZ535" s="173"/>
      <c r="BA535" s="173"/>
      <c r="BB535" s="173"/>
      <c r="BC535" s="173"/>
      <c r="BD535" s="173"/>
      <c r="BE535" s="173"/>
      <c r="BF535" s="173"/>
      <c r="BG535" s="173"/>
      <c r="BH535" s="173"/>
      <c r="BI535" s="173"/>
      <c r="BJ535" s="173"/>
      <c r="BK535" s="173"/>
      <c r="BL535" s="173"/>
      <c r="BM535" s="173"/>
      <c r="BN535" s="173"/>
      <c r="BO535" s="173"/>
      <c r="BP535" s="173"/>
      <c r="BQ535" s="173"/>
      <c r="BR535" s="173"/>
      <c r="BS535" s="173"/>
      <c r="BT535" s="173"/>
      <c r="BU535" s="173"/>
      <c r="BV535" s="173"/>
      <c r="BW535" s="173"/>
      <c r="BX535" s="173"/>
      <c r="BY535" s="173"/>
      <c r="BZ535" s="173"/>
      <c r="CA535" s="173"/>
      <c r="CB535" s="173"/>
      <c r="CC535" s="173"/>
      <c r="CD535" s="173"/>
      <c r="CE535" s="173"/>
      <c r="CF535" s="173"/>
      <c r="CG535" s="173"/>
      <c r="CH535" s="173"/>
      <c r="CI535" s="173"/>
      <c r="CJ535" s="173"/>
      <c r="CK535" s="173"/>
      <c r="CL535" s="173"/>
      <c r="CM535" s="173"/>
      <c r="CN535" s="173"/>
      <c r="CO535" s="173"/>
      <c r="CP535" s="173"/>
      <c r="CQ535" s="173"/>
      <c r="CR535" s="173"/>
      <c r="CS535" s="173"/>
    </row>
    <row r="536">
      <c r="A536" s="179" t="str">
        <f t="shared" si="13"/>
        <v>instantaneous flow rate measurement unit</v>
      </c>
      <c r="B536" s="179" t="s">
        <v>2384</v>
      </c>
      <c r="C536" s="179" t="s">
        <v>2367</v>
      </c>
      <c r="D536" s="70" t="s">
        <v>2385</v>
      </c>
      <c r="E536" s="173"/>
      <c r="F536" s="168"/>
      <c r="G536" s="168"/>
      <c r="H536" s="168" t="s">
        <v>25</v>
      </c>
      <c r="I536" s="168" t="s">
        <v>25</v>
      </c>
      <c r="J536" s="168" t="s">
        <v>25</v>
      </c>
      <c r="K536" s="163" t="str">
        <f>VLOOKUP(C536,'Term Reference Guide'!$C:$C,1,false)</f>
        <v>#N/A</v>
      </c>
      <c r="L536" s="173"/>
      <c r="M536" s="173"/>
      <c r="N536" s="173"/>
      <c r="O536" s="173"/>
      <c r="P536" s="173"/>
      <c r="Q536" s="173"/>
      <c r="R536" s="173"/>
      <c r="S536" s="173"/>
      <c r="T536" s="173"/>
      <c r="U536" s="173"/>
      <c r="V536" s="173"/>
      <c r="W536" s="173"/>
      <c r="X536" s="173"/>
      <c r="Y536" s="173"/>
      <c r="Z536" s="173"/>
      <c r="AA536" s="173"/>
      <c r="AB536" s="173"/>
      <c r="AC536" s="173"/>
      <c r="AD536" s="173"/>
      <c r="AE536" s="173"/>
      <c r="AF536" s="173"/>
      <c r="AG536" s="173"/>
      <c r="AH536" s="173"/>
      <c r="AI536" s="173"/>
      <c r="AJ536" s="173"/>
      <c r="AK536" s="173"/>
      <c r="AL536" s="173"/>
      <c r="AM536" s="173"/>
      <c r="AN536" s="173"/>
      <c r="AO536" s="173"/>
      <c r="AP536" s="173"/>
      <c r="AQ536" s="173"/>
      <c r="AR536" s="173"/>
      <c r="AS536" s="173"/>
      <c r="AT536" s="173"/>
      <c r="AU536" s="173"/>
      <c r="AV536" s="173"/>
      <c r="AW536" s="173"/>
      <c r="AX536" s="173"/>
      <c r="AY536" s="173"/>
      <c r="AZ536" s="173"/>
      <c r="BA536" s="173"/>
      <c r="BB536" s="173"/>
      <c r="BC536" s="173"/>
      <c r="BD536" s="173"/>
      <c r="BE536" s="173"/>
      <c r="BF536" s="173"/>
      <c r="BG536" s="173"/>
      <c r="BH536" s="173"/>
      <c r="BI536" s="173"/>
      <c r="BJ536" s="173"/>
      <c r="BK536" s="173"/>
      <c r="BL536" s="173"/>
      <c r="BM536" s="173"/>
      <c r="BN536" s="173"/>
      <c r="BO536" s="173"/>
      <c r="BP536" s="173"/>
      <c r="BQ536" s="173"/>
      <c r="BR536" s="173"/>
      <c r="BS536" s="173"/>
      <c r="BT536" s="173"/>
      <c r="BU536" s="173"/>
      <c r="BV536" s="173"/>
      <c r="BW536" s="173"/>
      <c r="BX536" s="173"/>
      <c r="BY536" s="173"/>
      <c r="BZ536" s="173"/>
      <c r="CA536" s="173"/>
      <c r="CB536" s="173"/>
      <c r="CC536" s="173"/>
      <c r="CD536" s="173"/>
      <c r="CE536" s="173"/>
      <c r="CF536" s="173"/>
      <c r="CG536" s="173"/>
      <c r="CH536" s="173"/>
      <c r="CI536" s="173"/>
      <c r="CJ536" s="173"/>
      <c r="CK536" s="173"/>
      <c r="CL536" s="173"/>
      <c r="CM536" s="173"/>
      <c r="CN536" s="173"/>
      <c r="CO536" s="173"/>
      <c r="CP536" s="173"/>
      <c r="CQ536" s="173"/>
      <c r="CR536" s="173"/>
      <c r="CS536" s="173"/>
    </row>
    <row r="537">
      <c r="A537" s="179" t="str">
        <f t="shared" si="13"/>
        <v>instantaneous flow rate measurement unit</v>
      </c>
      <c r="B537" s="179" t="s">
        <v>2386</v>
      </c>
      <c r="C537" s="179" t="s">
        <v>2367</v>
      </c>
      <c r="D537" s="70" t="s">
        <v>2387</v>
      </c>
      <c r="E537" s="173"/>
      <c r="F537" s="168"/>
      <c r="G537" s="168"/>
      <c r="H537" s="168" t="s">
        <v>25</v>
      </c>
      <c r="I537" s="168" t="s">
        <v>25</v>
      </c>
      <c r="J537" s="168" t="s">
        <v>25</v>
      </c>
      <c r="K537" s="163" t="str">
        <f>VLOOKUP(C537,'Term Reference Guide'!$C:$C,1,false)</f>
        <v>#N/A</v>
      </c>
      <c r="L537" s="173"/>
      <c r="M537" s="173"/>
      <c r="N537" s="173"/>
      <c r="O537" s="173"/>
      <c r="P537" s="173"/>
      <c r="Q537" s="173"/>
      <c r="R537" s="173"/>
      <c r="S537" s="173"/>
      <c r="T537" s="173"/>
      <c r="U537" s="173"/>
      <c r="V537" s="173"/>
      <c r="W537" s="173"/>
      <c r="X537" s="173"/>
      <c r="Y537" s="173"/>
      <c r="Z537" s="173"/>
      <c r="AA537" s="173"/>
      <c r="AB537" s="173"/>
      <c r="AC537" s="173"/>
      <c r="AD537" s="173"/>
      <c r="AE537" s="173"/>
      <c r="AF537" s="173"/>
      <c r="AG537" s="173"/>
      <c r="AH537" s="173"/>
      <c r="AI537" s="173"/>
      <c r="AJ537" s="173"/>
      <c r="AK537" s="173"/>
      <c r="AL537" s="173"/>
      <c r="AM537" s="173"/>
      <c r="AN537" s="173"/>
      <c r="AO537" s="173"/>
      <c r="AP537" s="173"/>
      <c r="AQ537" s="173"/>
      <c r="AR537" s="173"/>
      <c r="AS537" s="173"/>
      <c r="AT537" s="173"/>
      <c r="AU537" s="173"/>
      <c r="AV537" s="173"/>
      <c r="AW537" s="173"/>
      <c r="AX537" s="173"/>
      <c r="AY537" s="173"/>
      <c r="AZ537" s="173"/>
      <c r="BA537" s="173"/>
      <c r="BB537" s="173"/>
      <c r="BC537" s="173"/>
      <c r="BD537" s="173"/>
      <c r="BE537" s="173"/>
      <c r="BF537" s="173"/>
      <c r="BG537" s="173"/>
      <c r="BH537" s="173"/>
      <c r="BI537" s="173"/>
      <c r="BJ537" s="173"/>
      <c r="BK537" s="173"/>
      <c r="BL537" s="173"/>
      <c r="BM537" s="173"/>
      <c r="BN537" s="173"/>
      <c r="BO537" s="173"/>
      <c r="BP537" s="173"/>
      <c r="BQ537" s="173"/>
      <c r="BR537" s="173"/>
      <c r="BS537" s="173"/>
      <c r="BT537" s="173"/>
      <c r="BU537" s="173"/>
      <c r="BV537" s="173"/>
      <c r="BW537" s="173"/>
      <c r="BX537" s="173"/>
      <c r="BY537" s="173"/>
      <c r="BZ537" s="173"/>
      <c r="CA537" s="173"/>
      <c r="CB537" s="173"/>
      <c r="CC537" s="173"/>
      <c r="CD537" s="173"/>
      <c r="CE537" s="173"/>
      <c r="CF537" s="173"/>
      <c r="CG537" s="173"/>
      <c r="CH537" s="173"/>
      <c r="CI537" s="173"/>
      <c r="CJ537" s="173"/>
      <c r="CK537" s="173"/>
      <c r="CL537" s="173"/>
      <c r="CM537" s="173"/>
      <c r="CN537" s="173"/>
      <c r="CO537" s="173"/>
      <c r="CP537" s="173"/>
      <c r="CQ537" s="173"/>
      <c r="CR537" s="173"/>
      <c r="CS537" s="173"/>
    </row>
    <row r="538">
      <c r="A538" s="179" t="str">
        <f t="shared" si="13"/>
        <v>instantaneous flow rate measurement unit</v>
      </c>
      <c r="B538" s="179" t="s">
        <v>2388</v>
      </c>
      <c r="C538" s="179" t="s">
        <v>2367</v>
      </c>
      <c r="D538" s="70" t="s">
        <v>2389</v>
      </c>
      <c r="E538" s="173"/>
      <c r="F538" s="168"/>
      <c r="G538" s="168"/>
      <c r="H538" s="168" t="s">
        <v>25</v>
      </c>
      <c r="I538" s="168" t="s">
        <v>25</v>
      </c>
      <c r="J538" s="168" t="s">
        <v>25</v>
      </c>
      <c r="K538" s="163" t="str">
        <f>VLOOKUP(C538,'Term Reference Guide'!$C:$C,1,false)</f>
        <v>#N/A</v>
      </c>
      <c r="L538" s="173"/>
      <c r="M538" s="173"/>
      <c r="N538" s="173"/>
      <c r="O538" s="173"/>
      <c r="P538" s="173"/>
      <c r="Q538" s="173"/>
      <c r="R538" s="173"/>
      <c r="S538" s="173"/>
      <c r="T538" s="173"/>
      <c r="U538" s="173"/>
      <c r="V538" s="173"/>
      <c r="W538" s="173"/>
      <c r="X538" s="173"/>
      <c r="Y538" s="173"/>
      <c r="Z538" s="173"/>
      <c r="AA538" s="173"/>
      <c r="AB538" s="173"/>
      <c r="AC538" s="173"/>
      <c r="AD538" s="173"/>
      <c r="AE538" s="173"/>
      <c r="AF538" s="173"/>
      <c r="AG538" s="173"/>
      <c r="AH538" s="173"/>
      <c r="AI538" s="173"/>
      <c r="AJ538" s="173"/>
      <c r="AK538" s="173"/>
      <c r="AL538" s="173"/>
      <c r="AM538" s="173"/>
      <c r="AN538" s="173"/>
      <c r="AO538" s="173"/>
      <c r="AP538" s="173"/>
      <c r="AQ538" s="173"/>
      <c r="AR538" s="173"/>
      <c r="AS538" s="173"/>
      <c r="AT538" s="173"/>
      <c r="AU538" s="173"/>
      <c r="AV538" s="173"/>
      <c r="AW538" s="173"/>
      <c r="AX538" s="173"/>
      <c r="AY538" s="173"/>
      <c r="AZ538" s="173"/>
      <c r="BA538" s="173"/>
      <c r="BB538" s="173"/>
      <c r="BC538" s="173"/>
      <c r="BD538" s="173"/>
      <c r="BE538" s="173"/>
      <c r="BF538" s="173"/>
      <c r="BG538" s="173"/>
      <c r="BH538" s="173"/>
      <c r="BI538" s="173"/>
      <c r="BJ538" s="173"/>
      <c r="BK538" s="173"/>
      <c r="BL538" s="173"/>
      <c r="BM538" s="173"/>
      <c r="BN538" s="173"/>
      <c r="BO538" s="173"/>
      <c r="BP538" s="173"/>
      <c r="BQ538" s="173"/>
      <c r="BR538" s="173"/>
      <c r="BS538" s="173"/>
      <c r="BT538" s="173"/>
      <c r="BU538" s="173"/>
      <c r="BV538" s="173"/>
      <c r="BW538" s="173"/>
      <c r="BX538" s="173"/>
      <c r="BY538" s="173"/>
      <c r="BZ538" s="173"/>
      <c r="CA538" s="173"/>
      <c r="CB538" s="173"/>
      <c r="CC538" s="173"/>
      <c r="CD538" s="173"/>
      <c r="CE538" s="173"/>
      <c r="CF538" s="173"/>
      <c r="CG538" s="173"/>
      <c r="CH538" s="173"/>
      <c r="CI538" s="173"/>
      <c r="CJ538" s="173"/>
      <c r="CK538" s="173"/>
      <c r="CL538" s="173"/>
      <c r="CM538" s="173"/>
      <c r="CN538" s="173"/>
      <c r="CO538" s="173"/>
      <c r="CP538" s="173"/>
      <c r="CQ538" s="173"/>
      <c r="CR538" s="173"/>
      <c r="CS538" s="173"/>
    </row>
    <row r="539">
      <c r="A539" s="179" t="str">
        <f t="shared" si="13"/>
        <v>instantaneous flow rate measurement unit</v>
      </c>
      <c r="B539" s="179" t="s">
        <v>401</v>
      </c>
      <c r="C539" s="179" t="s">
        <v>2367</v>
      </c>
      <c r="D539" s="70" t="s">
        <v>2390</v>
      </c>
      <c r="E539" s="173"/>
      <c r="F539" s="168"/>
      <c r="G539" s="168"/>
      <c r="H539" s="168" t="s">
        <v>25</v>
      </c>
      <c r="I539" s="168" t="s">
        <v>25</v>
      </c>
      <c r="J539" s="168" t="s">
        <v>25</v>
      </c>
      <c r="K539" s="163" t="str">
        <f>VLOOKUP(C539,'Term Reference Guide'!$C:$C,1,false)</f>
        <v>#N/A</v>
      </c>
      <c r="L539" s="173"/>
      <c r="M539" s="173"/>
      <c r="N539" s="173"/>
      <c r="O539" s="173"/>
      <c r="P539" s="173"/>
      <c r="Q539" s="173"/>
      <c r="R539" s="173"/>
      <c r="S539" s="173"/>
      <c r="T539" s="173"/>
      <c r="U539" s="173"/>
      <c r="V539" s="173"/>
      <c r="W539" s="173"/>
      <c r="X539" s="173"/>
      <c r="Y539" s="173"/>
      <c r="Z539" s="173"/>
      <c r="AA539" s="173"/>
      <c r="AB539" s="173"/>
      <c r="AC539" s="173"/>
      <c r="AD539" s="173"/>
      <c r="AE539" s="173"/>
      <c r="AF539" s="173"/>
      <c r="AG539" s="173"/>
      <c r="AH539" s="173"/>
      <c r="AI539" s="173"/>
      <c r="AJ539" s="173"/>
      <c r="AK539" s="173"/>
      <c r="AL539" s="173"/>
      <c r="AM539" s="173"/>
      <c r="AN539" s="173"/>
      <c r="AO539" s="173"/>
      <c r="AP539" s="173"/>
      <c r="AQ539" s="173"/>
      <c r="AR539" s="173"/>
      <c r="AS539" s="173"/>
      <c r="AT539" s="173"/>
      <c r="AU539" s="173"/>
      <c r="AV539" s="173"/>
      <c r="AW539" s="173"/>
      <c r="AX539" s="173"/>
      <c r="AY539" s="173"/>
      <c r="AZ539" s="173"/>
      <c r="BA539" s="173"/>
      <c r="BB539" s="173"/>
      <c r="BC539" s="173"/>
      <c r="BD539" s="173"/>
      <c r="BE539" s="173"/>
      <c r="BF539" s="173"/>
      <c r="BG539" s="173"/>
      <c r="BH539" s="173"/>
      <c r="BI539" s="173"/>
      <c r="BJ539" s="173"/>
      <c r="BK539" s="173"/>
      <c r="BL539" s="173"/>
      <c r="BM539" s="173"/>
      <c r="BN539" s="173"/>
      <c r="BO539" s="173"/>
      <c r="BP539" s="173"/>
      <c r="BQ539" s="173"/>
      <c r="BR539" s="173"/>
      <c r="BS539" s="173"/>
      <c r="BT539" s="173"/>
      <c r="BU539" s="173"/>
      <c r="BV539" s="173"/>
      <c r="BW539" s="173"/>
      <c r="BX539" s="173"/>
      <c r="BY539" s="173"/>
      <c r="BZ539" s="173"/>
      <c r="CA539" s="173"/>
      <c r="CB539" s="173"/>
      <c r="CC539" s="173"/>
      <c r="CD539" s="173"/>
      <c r="CE539" s="173"/>
      <c r="CF539" s="173"/>
      <c r="CG539" s="173"/>
      <c r="CH539" s="173"/>
      <c r="CI539" s="173"/>
      <c r="CJ539" s="173"/>
      <c r="CK539" s="173"/>
      <c r="CL539" s="173"/>
      <c r="CM539" s="173"/>
      <c r="CN539" s="173"/>
      <c r="CO539" s="173"/>
      <c r="CP539" s="173"/>
      <c r="CQ539" s="173"/>
      <c r="CR539" s="173"/>
      <c r="CS539" s="173"/>
    </row>
    <row r="540">
      <c r="A540" s="173"/>
      <c r="B540" s="173"/>
      <c r="C540" s="173"/>
      <c r="D540" s="141"/>
      <c r="E540" s="173"/>
      <c r="F540" s="173"/>
      <c r="G540" s="173"/>
      <c r="H540" s="173"/>
      <c r="I540" s="173"/>
      <c r="J540" s="141"/>
      <c r="K540" s="163" t="str">
        <f>VLOOKUP(C540,'Term Reference Guide'!$C:$C,1,false)</f>
        <v>#N/A</v>
      </c>
      <c r="L540" s="173"/>
      <c r="M540" s="173"/>
      <c r="N540" s="173"/>
      <c r="O540" s="173"/>
      <c r="P540" s="173"/>
      <c r="Q540" s="173"/>
      <c r="R540" s="173"/>
      <c r="S540" s="173"/>
      <c r="T540" s="173"/>
      <c r="U540" s="173"/>
      <c r="V540" s="173"/>
      <c r="W540" s="173"/>
      <c r="X540" s="173"/>
      <c r="Y540" s="173"/>
      <c r="Z540" s="173"/>
      <c r="AA540" s="173"/>
      <c r="AB540" s="173"/>
      <c r="AC540" s="173"/>
      <c r="AD540" s="173"/>
      <c r="AE540" s="173"/>
      <c r="AF540" s="173"/>
      <c r="AG540" s="173"/>
      <c r="AH540" s="173"/>
      <c r="AI540" s="173"/>
      <c r="AJ540" s="173"/>
      <c r="AK540" s="173"/>
      <c r="AL540" s="173"/>
      <c r="AM540" s="173"/>
      <c r="AN540" s="173"/>
      <c r="AO540" s="173"/>
      <c r="AP540" s="173"/>
      <c r="AQ540" s="173"/>
      <c r="AR540" s="173"/>
      <c r="AS540" s="173"/>
      <c r="AT540" s="173"/>
      <c r="AU540" s="173"/>
      <c r="AV540" s="173"/>
      <c r="AW540" s="173"/>
      <c r="AX540" s="173"/>
      <c r="AY540" s="173"/>
      <c r="AZ540" s="173"/>
      <c r="BA540" s="173"/>
      <c r="BB540" s="173"/>
      <c r="BC540" s="173"/>
      <c r="BD540" s="173"/>
      <c r="BE540" s="173"/>
      <c r="BF540" s="173"/>
      <c r="BG540" s="173"/>
      <c r="BH540" s="173"/>
      <c r="BI540" s="173"/>
      <c r="BJ540" s="173"/>
      <c r="BK540" s="173"/>
      <c r="BL540" s="173"/>
      <c r="BM540" s="173"/>
      <c r="BN540" s="173"/>
      <c r="BO540" s="173"/>
      <c r="BP540" s="173"/>
      <c r="BQ540" s="173"/>
      <c r="BR540" s="173"/>
      <c r="BS540" s="173"/>
      <c r="BT540" s="173"/>
      <c r="BU540" s="173"/>
      <c r="BV540" s="173"/>
      <c r="BW540" s="173"/>
      <c r="BX540" s="173"/>
      <c r="BY540" s="173"/>
      <c r="BZ540" s="173"/>
      <c r="CA540" s="173"/>
      <c r="CB540" s="173"/>
      <c r="CC540" s="173"/>
      <c r="CD540" s="173"/>
      <c r="CE540" s="173"/>
      <c r="CF540" s="173"/>
      <c r="CG540" s="173"/>
      <c r="CH540" s="173"/>
      <c r="CI540" s="173"/>
      <c r="CJ540" s="173"/>
      <c r="CK540" s="173"/>
      <c r="CL540" s="173"/>
      <c r="CM540" s="173"/>
      <c r="CN540" s="173"/>
      <c r="CO540" s="173"/>
      <c r="CP540" s="173"/>
      <c r="CQ540" s="173"/>
      <c r="CR540" s="173"/>
      <c r="CS540" s="173"/>
    </row>
    <row r="541">
      <c r="A541" s="170" t="s">
        <v>421</v>
      </c>
      <c r="B541" s="156"/>
      <c r="C541" s="156"/>
      <c r="D541" s="139"/>
      <c r="E541" s="156"/>
      <c r="F541" s="156"/>
      <c r="G541" s="156"/>
      <c r="H541" s="164"/>
      <c r="I541" s="164"/>
      <c r="J541" s="171"/>
      <c r="K541" s="163" t="str">
        <f>VLOOKUP(C541,'Term Reference Guide'!$C:$C,1,false)</f>
        <v>#N/A</v>
      </c>
      <c r="L541" s="163"/>
      <c r="M541" s="163"/>
      <c r="N541" s="163"/>
      <c r="O541" s="163"/>
      <c r="P541" s="163"/>
      <c r="Q541" s="163"/>
      <c r="R541" s="163"/>
      <c r="S541" s="163"/>
      <c r="T541" s="163"/>
      <c r="U541" s="163"/>
      <c r="V541" s="163"/>
      <c r="W541" s="163"/>
      <c r="X541" s="163"/>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c r="BP541" s="41"/>
      <c r="BQ541" s="41"/>
      <c r="BR541" s="41"/>
      <c r="BS541" s="41"/>
      <c r="BT541" s="41"/>
      <c r="BU541" s="41"/>
      <c r="BV541" s="41"/>
      <c r="BW541" s="41"/>
      <c r="BX541" s="41"/>
      <c r="BY541" s="41"/>
      <c r="BZ541" s="41"/>
      <c r="CA541" s="41"/>
      <c r="CB541" s="41"/>
      <c r="CC541" s="41"/>
      <c r="CD541" s="41"/>
      <c r="CE541" s="41"/>
      <c r="CF541" s="41"/>
      <c r="CG541" s="41"/>
      <c r="CH541" s="41"/>
      <c r="CI541" s="41"/>
      <c r="CJ541" s="41"/>
      <c r="CK541" s="41"/>
      <c r="CL541" s="41"/>
      <c r="CM541" s="41"/>
      <c r="CN541" s="41"/>
      <c r="CO541" s="41"/>
      <c r="CP541" s="41"/>
      <c r="CQ541" s="41"/>
      <c r="CR541" s="41"/>
      <c r="CS541" s="41"/>
    </row>
    <row r="542">
      <c r="A542" s="173" t="str">
        <f t="shared" ref="A542:A543" si="14">A$541</f>
        <v>turbidity measurement unit</v>
      </c>
      <c r="B542" s="179" t="s">
        <v>425</v>
      </c>
      <c r="C542" s="179" t="s">
        <v>2367</v>
      </c>
      <c r="D542" s="70" t="s">
        <v>2391</v>
      </c>
      <c r="E542" s="173"/>
      <c r="F542" s="168"/>
      <c r="G542" s="168"/>
      <c r="H542" s="168" t="s">
        <v>25</v>
      </c>
      <c r="I542" s="168" t="s">
        <v>25</v>
      </c>
      <c r="J542" s="168" t="s">
        <v>25</v>
      </c>
      <c r="K542" s="163" t="str">
        <f>VLOOKUP(C542,'Term Reference Guide'!$C:$C,1,false)</f>
        <v>#N/A</v>
      </c>
      <c r="L542" s="173"/>
      <c r="M542" s="173"/>
      <c r="N542" s="173"/>
      <c r="O542" s="173"/>
      <c r="P542" s="173"/>
      <c r="Q542" s="173"/>
      <c r="R542" s="173"/>
      <c r="S542" s="173"/>
      <c r="T542" s="173"/>
      <c r="U542" s="173"/>
      <c r="V542" s="173"/>
      <c r="W542" s="173"/>
      <c r="X542" s="173"/>
      <c r="Y542" s="173"/>
      <c r="Z542" s="173"/>
      <c r="AA542" s="173"/>
      <c r="AB542" s="173"/>
      <c r="AC542" s="173"/>
      <c r="AD542" s="173"/>
      <c r="AE542" s="173"/>
      <c r="AF542" s="173"/>
      <c r="AG542" s="173"/>
      <c r="AH542" s="173"/>
      <c r="AI542" s="173"/>
      <c r="AJ542" s="173"/>
      <c r="AK542" s="173"/>
      <c r="AL542" s="173"/>
      <c r="AM542" s="173"/>
      <c r="AN542" s="173"/>
      <c r="AO542" s="173"/>
      <c r="AP542" s="173"/>
      <c r="AQ542" s="173"/>
      <c r="AR542" s="173"/>
      <c r="AS542" s="173"/>
      <c r="AT542" s="173"/>
      <c r="AU542" s="173"/>
      <c r="AV542" s="173"/>
      <c r="AW542" s="173"/>
      <c r="AX542" s="173"/>
      <c r="AY542" s="173"/>
      <c r="AZ542" s="173"/>
      <c r="BA542" s="173"/>
      <c r="BB542" s="173"/>
      <c r="BC542" s="173"/>
      <c r="BD542" s="173"/>
      <c r="BE542" s="173"/>
      <c r="BF542" s="173"/>
      <c r="BG542" s="173"/>
      <c r="BH542" s="173"/>
      <c r="BI542" s="173"/>
      <c r="BJ542" s="173"/>
      <c r="BK542" s="173"/>
      <c r="BL542" s="173"/>
      <c r="BM542" s="173"/>
      <c r="BN542" s="173"/>
      <c r="BO542" s="173"/>
      <c r="BP542" s="173"/>
      <c r="BQ542" s="173"/>
      <c r="BR542" s="173"/>
      <c r="BS542" s="173"/>
      <c r="BT542" s="173"/>
      <c r="BU542" s="173"/>
      <c r="BV542" s="173"/>
      <c r="BW542" s="173"/>
      <c r="BX542" s="173"/>
      <c r="BY542" s="173"/>
      <c r="BZ542" s="173"/>
      <c r="CA542" s="173"/>
      <c r="CB542" s="173"/>
      <c r="CC542" s="173"/>
      <c r="CD542" s="173"/>
      <c r="CE542" s="173"/>
      <c r="CF542" s="173"/>
      <c r="CG542" s="173"/>
      <c r="CH542" s="173"/>
      <c r="CI542" s="173"/>
      <c r="CJ542" s="173"/>
      <c r="CK542" s="173"/>
      <c r="CL542" s="173"/>
      <c r="CM542" s="173"/>
      <c r="CN542" s="173"/>
      <c r="CO542" s="173"/>
      <c r="CP542" s="173"/>
      <c r="CQ542" s="173"/>
      <c r="CR542" s="173"/>
      <c r="CS542" s="173"/>
    </row>
    <row r="543" hidden="1">
      <c r="A543" s="173" t="str">
        <f t="shared" si="14"/>
        <v>turbidity measurement unit</v>
      </c>
      <c r="B543" s="179" t="s">
        <v>2392</v>
      </c>
      <c r="C543" s="179" t="s">
        <v>2393</v>
      </c>
      <c r="D543" s="70" t="s">
        <v>2394</v>
      </c>
      <c r="E543" s="173"/>
      <c r="F543" s="168"/>
      <c r="G543" s="168"/>
      <c r="H543" s="168" t="s">
        <v>25</v>
      </c>
      <c r="I543" s="168" t="s">
        <v>25</v>
      </c>
      <c r="J543" s="168" t="s">
        <v>25</v>
      </c>
      <c r="K543" s="163" t="str">
        <f>VLOOKUP(C543,'Term Reference Guide'!$C:$C,1,false)</f>
        <v>UO:0000318</v>
      </c>
      <c r="L543" s="173"/>
      <c r="M543" s="173"/>
      <c r="N543" s="173"/>
      <c r="O543" s="173"/>
      <c r="P543" s="173"/>
      <c r="Q543" s="173"/>
      <c r="R543" s="173"/>
      <c r="S543" s="173"/>
      <c r="T543" s="173"/>
      <c r="U543" s="173"/>
      <c r="V543" s="173"/>
      <c r="W543" s="173"/>
      <c r="X543" s="173"/>
      <c r="Y543" s="173"/>
      <c r="Z543" s="173"/>
      <c r="AA543" s="173"/>
      <c r="AB543" s="173"/>
      <c r="AC543" s="173"/>
      <c r="AD543" s="173"/>
      <c r="AE543" s="173"/>
      <c r="AF543" s="173"/>
      <c r="AG543" s="173"/>
      <c r="AH543" s="173"/>
      <c r="AI543" s="173"/>
      <c r="AJ543" s="173"/>
      <c r="AK543" s="173"/>
      <c r="AL543" s="173"/>
      <c r="AM543" s="173"/>
      <c r="AN543" s="173"/>
      <c r="AO543" s="173"/>
      <c r="AP543" s="173"/>
      <c r="AQ543" s="173"/>
      <c r="AR543" s="173"/>
      <c r="AS543" s="173"/>
      <c r="AT543" s="173"/>
      <c r="AU543" s="173"/>
      <c r="AV543" s="173"/>
      <c r="AW543" s="173"/>
      <c r="AX543" s="173"/>
      <c r="AY543" s="173"/>
      <c r="AZ543" s="173"/>
      <c r="BA543" s="173"/>
      <c r="BB543" s="173"/>
      <c r="BC543" s="173"/>
      <c r="BD543" s="173"/>
      <c r="BE543" s="173"/>
      <c r="BF543" s="173"/>
      <c r="BG543" s="173"/>
      <c r="BH543" s="173"/>
      <c r="BI543" s="173"/>
      <c r="BJ543" s="173"/>
      <c r="BK543" s="173"/>
      <c r="BL543" s="173"/>
      <c r="BM543" s="173"/>
      <c r="BN543" s="173"/>
      <c r="BO543" s="173"/>
      <c r="BP543" s="173"/>
      <c r="BQ543" s="173"/>
      <c r="BR543" s="173"/>
      <c r="BS543" s="173"/>
      <c r="BT543" s="173"/>
      <c r="BU543" s="173"/>
      <c r="BV543" s="173"/>
      <c r="BW543" s="173"/>
      <c r="BX543" s="173"/>
      <c r="BY543" s="173"/>
      <c r="BZ543" s="173"/>
      <c r="CA543" s="173"/>
      <c r="CB543" s="173"/>
      <c r="CC543" s="173"/>
      <c r="CD543" s="173"/>
      <c r="CE543" s="173"/>
      <c r="CF543" s="173"/>
      <c r="CG543" s="173"/>
      <c r="CH543" s="173"/>
      <c r="CI543" s="173"/>
      <c r="CJ543" s="173"/>
      <c r="CK543" s="173"/>
      <c r="CL543" s="173"/>
      <c r="CM543" s="173"/>
      <c r="CN543" s="173"/>
      <c r="CO543" s="173"/>
      <c r="CP543" s="173"/>
      <c r="CQ543" s="173"/>
      <c r="CR543" s="173"/>
      <c r="CS543" s="173"/>
    </row>
    <row r="544">
      <c r="A544" s="173"/>
      <c r="B544" s="173"/>
      <c r="C544" s="173"/>
      <c r="D544" s="141"/>
      <c r="E544" s="173"/>
      <c r="F544" s="173"/>
      <c r="G544" s="173"/>
      <c r="H544" s="173"/>
      <c r="I544" s="173"/>
      <c r="J544" s="141"/>
      <c r="K544" s="163" t="str">
        <f>VLOOKUP(C544,'Term Reference Guide'!$C:$C,1,false)</f>
        <v>#N/A</v>
      </c>
      <c r="L544" s="173"/>
      <c r="M544" s="173"/>
      <c r="N544" s="173"/>
      <c r="O544" s="173"/>
      <c r="P544" s="173"/>
      <c r="Q544" s="173"/>
      <c r="R544" s="173"/>
      <c r="S544" s="173"/>
      <c r="T544" s="173"/>
      <c r="U544" s="173"/>
      <c r="V544" s="173"/>
      <c r="W544" s="173"/>
      <c r="X544" s="173"/>
      <c r="Y544" s="173"/>
      <c r="Z544" s="173"/>
      <c r="AA544" s="173"/>
      <c r="AB544" s="173"/>
      <c r="AC544" s="173"/>
      <c r="AD544" s="173"/>
      <c r="AE544" s="173"/>
      <c r="AF544" s="173"/>
      <c r="AG544" s="173"/>
      <c r="AH544" s="173"/>
      <c r="AI544" s="173"/>
      <c r="AJ544" s="173"/>
      <c r="AK544" s="173"/>
      <c r="AL544" s="173"/>
      <c r="AM544" s="173"/>
      <c r="AN544" s="173"/>
      <c r="AO544" s="173"/>
      <c r="AP544" s="173"/>
      <c r="AQ544" s="173"/>
      <c r="AR544" s="173"/>
      <c r="AS544" s="173"/>
      <c r="AT544" s="173"/>
      <c r="AU544" s="173"/>
      <c r="AV544" s="173"/>
      <c r="AW544" s="173"/>
      <c r="AX544" s="173"/>
      <c r="AY544" s="173"/>
      <c r="AZ544" s="173"/>
      <c r="BA544" s="173"/>
      <c r="BB544" s="173"/>
      <c r="BC544" s="173"/>
      <c r="BD544" s="173"/>
      <c r="BE544" s="173"/>
      <c r="BF544" s="173"/>
      <c r="BG544" s="173"/>
      <c r="BH544" s="173"/>
      <c r="BI544" s="173"/>
      <c r="BJ544" s="173"/>
      <c r="BK544" s="173"/>
      <c r="BL544" s="173"/>
      <c r="BM544" s="173"/>
      <c r="BN544" s="173"/>
      <c r="BO544" s="173"/>
      <c r="BP544" s="173"/>
      <c r="BQ544" s="173"/>
      <c r="BR544" s="173"/>
      <c r="BS544" s="173"/>
      <c r="BT544" s="173"/>
      <c r="BU544" s="173"/>
      <c r="BV544" s="173"/>
      <c r="BW544" s="173"/>
      <c r="BX544" s="173"/>
      <c r="BY544" s="173"/>
      <c r="BZ544" s="173"/>
      <c r="CA544" s="173"/>
      <c r="CB544" s="173"/>
      <c r="CC544" s="173"/>
      <c r="CD544" s="173"/>
      <c r="CE544" s="173"/>
      <c r="CF544" s="173"/>
      <c r="CG544" s="173"/>
      <c r="CH544" s="173"/>
      <c r="CI544" s="173"/>
      <c r="CJ544" s="173"/>
      <c r="CK544" s="173"/>
      <c r="CL544" s="173"/>
      <c r="CM544" s="173"/>
      <c r="CN544" s="173"/>
      <c r="CO544" s="173"/>
      <c r="CP544" s="173"/>
      <c r="CQ544" s="173"/>
      <c r="CR544" s="173"/>
      <c r="CS544" s="173"/>
    </row>
    <row r="545">
      <c r="A545" s="170" t="s">
        <v>435</v>
      </c>
      <c r="B545" s="156"/>
      <c r="C545" s="156"/>
      <c r="D545" s="139"/>
      <c r="E545" s="156"/>
      <c r="F545" s="156"/>
      <c r="G545" s="156"/>
      <c r="H545" s="164"/>
      <c r="I545" s="164"/>
      <c r="J545" s="171"/>
      <c r="K545" s="163" t="str">
        <f>VLOOKUP(C545,'Term Reference Guide'!$C:$C,1,false)</f>
        <v>#N/A</v>
      </c>
      <c r="L545" s="163"/>
      <c r="M545" s="163"/>
      <c r="N545" s="163"/>
      <c r="O545" s="163"/>
      <c r="P545" s="163"/>
      <c r="Q545" s="163"/>
      <c r="R545" s="163"/>
      <c r="S545" s="163"/>
      <c r="T545" s="163"/>
      <c r="U545" s="163"/>
      <c r="V545" s="163"/>
      <c r="W545" s="163"/>
      <c r="X545" s="163"/>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c r="BP545" s="41"/>
      <c r="BQ545" s="41"/>
      <c r="BR545" s="41"/>
      <c r="BS545" s="41"/>
      <c r="BT545" s="41"/>
      <c r="BU545" s="41"/>
      <c r="BV545" s="41"/>
      <c r="BW545" s="41"/>
      <c r="BX545" s="41"/>
      <c r="BY545" s="41"/>
      <c r="BZ545" s="41"/>
      <c r="CA545" s="41"/>
      <c r="CB545" s="41"/>
      <c r="CC545" s="41"/>
      <c r="CD545" s="41"/>
      <c r="CE545" s="41"/>
      <c r="CF545" s="41"/>
      <c r="CG545" s="41"/>
      <c r="CH545" s="41"/>
      <c r="CI545" s="41"/>
      <c r="CJ545" s="41"/>
      <c r="CK545" s="41"/>
      <c r="CL545" s="41"/>
      <c r="CM545" s="41"/>
      <c r="CN545" s="41"/>
      <c r="CO545" s="41"/>
      <c r="CP545" s="41"/>
      <c r="CQ545" s="41"/>
      <c r="CR545" s="41"/>
      <c r="CS545" s="41"/>
    </row>
    <row r="546" hidden="1">
      <c r="A546" s="173" t="str">
        <f t="shared" ref="A546:A548" si="15">A$545</f>
        <v>dissolved oxygen measurement unit</v>
      </c>
      <c r="B546" s="179" t="s">
        <v>467</v>
      </c>
      <c r="C546" s="179" t="s">
        <v>2395</v>
      </c>
      <c r="D546" s="70" t="s">
        <v>2396</v>
      </c>
      <c r="E546" s="173"/>
      <c r="F546" s="168"/>
      <c r="G546" s="168"/>
      <c r="H546" s="168" t="s">
        <v>25</v>
      </c>
      <c r="I546" s="168" t="s">
        <v>25</v>
      </c>
      <c r="J546" s="168" t="s">
        <v>25</v>
      </c>
      <c r="K546" s="163" t="str">
        <f>VLOOKUP(C546,'Term Reference Guide'!$C:$C,1,false)</f>
        <v>UO:0000273</v>
      </c>
      <c r="L546" s="173"/>
      <c r="M546" s="173"/>
      <c r="N546" s="173"/>
      <c r="O546" s="173"/>
      <c r="P546" s="173"/>
      <c r="Q546" s="173"/>
      <c r="R546" s="173"/>
      <c r="S546" s="173"/>
      <c r="T546" s="173"/>
      <c r="U546" s="173"/>
      <c r="V546" s="173"/>
      <c r="W546" s="173"/>
      <c r="X546" s="173"/>
      <c r="Y546" s="173"/>
      <c r="Z546" s="173"/>
      <c r="AA546" s="173"/>
      <c r="AB546" s="173"/>
      <c r="AC546" s="173"/>
      <c r="AD546" s="173"/>
      <c r="AE546" s="173"/>
      <c r="AF546" s="173"/>
      <c r="AG546" s="173"/>
      <c r="AH546" s="173"/>
      <c r="AI546" s="173"/>
      <c r="AJ546" s="173"/>
      <c r="AK546" s="173"/>
      <c r="AL546" s="173"/>
      <c r="AM546" s="173"/>
      <c r="AN546" s="173"/>
      <c r="AO546" s="173"/>
      <c r="AP546" s="173"/>
      <c r="AQ546" s="173"/>
      <c r="AR546" s="173"/>
      <c r="AS546" s="173"/>
      <c r="AT546" s="173"/>
      <c r="AU546" s="173"/>
      <c r="AV546" s="173"/>
      <c r="AW546" s="173"/>
      <c r="AX546" s="173"/>
      <c r="AY546" s="173"/>
      <c r="AZ546" s="173"/>
      <c r="BA546" s="173"/>
      <c r="BB546" s="173"/>
      <c r="BC546" s="173"/>
      <c r="BD546" s="173"/>
      <c r="BE546" s="173"/>
      <c r="BF546" s="173"/>
      <c r="BG546" s="173"/>
      <c r="BH546" s="173"/>
      <c r="BI546" s="173"/>
      <c r="BJ546" s="173"/>
      <c r="BK546" s="173"/>
      <c r="BL546" s="173"/>
      <c r="BM546" s="173"/>
      <c r="BN546" s="173"/>
      <c r="BO546" s="173"/>
      <c r="BP546" s="173"/>
      <c r="BQ546" s="173"/>
      <c r="BR546" s="173"/>
      <c r="BS546" s="173"/>
      <c r="BT546" s="173"/>
      <c r="BU546" s="173"/>
      <c r="BV546" s="173"/>
      <c r="BW546" s="173"/>
      <c r="BX546" s="173"/>
      <c r="BY546" s="173"/>
      <c r="BZ546" s="173"/>
      <c r="CA546" s="173"/>
      <c r="CB546" s="173"/>
      <c r="CC546" s="173"/>
      <c r="CD546" s="173"/>
      <c r="CE546" s="173"/>
      <c r="CF546" s="173"/>
      <c r="CG546" s="173"/>
      <c r="CH546" s="173"/>
      <c r="CI546" s="173"/>
      <c r="CJ546" s="173"/>
      <c r="CK546" s="173"/>
      <c r="CL546" s="173"/>
      <c r="CM546" s="173"/>
      <c r="CN546" s="173"/>
      <c r="CO546" s="173"/>
      <c r="CP546" s="173"/>
      <c r="CQ546" s="173"/>
      <c r="CR546" s="173"/>
      <c r="CS546" s="173"/>
    </row>
    <row r="547" hidden="1">
      <c r="A547" s="173" t="str">
        <f t="shared" si="15"/>
        <v>dissolved oxygen measurement unit</v>
      </c>
      <c r="B547" s="179" t="s">
        <v>2397</v>
      </c>
      <c r="C547" s="179" t="s">
        <v>2398</v>
      </c>
      <c r="D547" s="70" t="s">
        <v>2399</v>
      </c>
      <c r="E547" s="173"/>
      <c r="F547" s="168"/>
      <c r="G547" s="168"/>
      <c r="H547" s="168" t="s">
        <v>25</v>
      </c>
      <c r="I547" s="168" t="s">
        <v>25</v>
      </c>
      <c r="J547" s="168" t="s">
        <v>25</v>
      </c>
      <c r="K547" s="163" t="str">
        <f>VLOOKUP(C547,'Term Reference Guide'!$C:$C,1,false)</f>
        <v>UO:0000083</v>
      </c>
      <c r="L547" s="173"/>
      <c r="M547" s="173"/>
      <c r="N547" s="173"/>
      <c r="O547" s="173"/>
      <c r="P547" s="173"/>
      <c r="Q547" s="173"/>
      <c r="R547" s="173"/>
      <c r="S547" s="173"/>
      <c r="T547" s="173"/>
      <c r="U547" s="173"/>
      <c r="V547" s="173"/>
      <c r="W547" s="173"/>
      <c r="X547" s="173"/>
      <c r="Y547" s="173"/>
      <c r="Z547" s="173"/>
      <c r="AA547" s="173"/>
      <c r="AB547" s="173"/>
      <c r="AC547" s="173"/>
      <c r="AD547" s="173"/>
      <c r="AE547" s="173"/>
      <c r="AF547" s="173"/>
      <c r="AG547" s="173"/>
      <c r="AH547" s="173"/>
      <c r="AI547" s="173"/>
      <c r="AJ547" s="173"/>
      <c r="AK547" s="173"/>
      <c r="AL547" s="173"/>
      <c r="AM547" s="173"/>
      <c r="AN547" s="173"/>
      <c r="AO547" s="173"/>
      <c r="AP547" s="173"/>
      <c r="AQ547" s="173"/>
      <c r="AR547" s="173"/>
      <c r="AS547" s="173"/>
      <c r="AT547" s="173"/>
      <c r="AU547" s="173"/>
      <c r="AV547" s="173"/>
      <c r="AW547" s="173"/>
      <c r="AX547" s="173"/>
      <c r="AY547" s="173"/>
      <c r="AZ547" s="173"/>
      <c r="BA547" s="173"/>
      <c r="BB547" s="173"/>
      <c r="BC547" s="173"/>
      <c r="BD547" s="173"/>
      <c r="BE547" s="173"/>
      <c r="BF547" s="173"/>
      <c r="BG547" s="173"/>
      <c r="BH547" s="173"/>
      <c r="BI547" s="173"/>
      <c r="BJ547" s="173"/>
      <c r="BK547" s="173"/>
      <c r="BL547" s="173"/>
      <c r="BM547" s="173"/>
      <c r="BN547" s="173"/>
      <c r="BO547" s="173"/>
      <c r="BP547" s="173"/>
      <c r="BQ547" s="173"/>
      <c r="BR547" s="173"/>
      <c r="BS547" s="173"/>
      <c r="BT547" s="173"/>
      <c r="BU547" s="173"/>
      <c r="BV547" s="173"/>
      <c r="BW547" s="173"/>
      <c r="BX547" s="173"/>
      <c r="BY547" s="173"/>
      <c r="BZ547" s="173"/>
      <c r="CA547" s="173"/>
      <c r="CB547" s="173"/>
      <c r="CC547" s="173"/>
      <c r="CD547" s="173"/>
      <c r="CE547" s="173"/>
      <c r="CF547" s="173"/>
      <c r="CG547" s="173"/>
      <c r="CH547" s="173"/>
      <c r="CI547" s="173"/>
      <c r="CJ547" s="173"/>
      <c r="CK547" s="173"/>
      <c r="CL547" s="173"/>
      <c r="CM547" s="173"/>
      <c r="CN547" s="173"/>
      <c r="CO547" s="173"/>
      <c r="CP547" s="173"/>
      <c r="CQ547" s="173"/>
      <c r="CR547" s="173"/>
      <c r="CS547" s="173"/>
    </row>
    <row r="548" hidden="1">
      <c r="A548" s="173" t="str">
        <f t="shared" si="15"/>
        <v>dissolved oxygen measurement unit</v>
      </c>
      <c r="B548" s="179" t="s">
        <v>439</v>
      </c>
      <c r="C548" s="179" t="s">
        <v>2400</v>
      </c>
      <c r="D548" s="70" t="s">
        <v>2401</v>
      </c>
      <c r="E548" s="173"/>
      <c r="F548" s="168"/>
      <c r="G548" s="168"/>
      <c r="H548" s="168" t="s">
        <v>25</v>
      </c>
      <c r="I548" s="168" t="s">
        <v>25</v>
      </c>
      <c r="J548" s="168" t="s">
        <v>25</v>
      </c>
      <c r="K548" s="163" t="str">
        <f>VLOOKUP(C548,'Term Reference Guide'!$C:$C,1,false)</f>
        <v>UO:0000169</v>
      </c>
      <c r="L548" s="173"/>
      <c r="M548" s="173"/>
      <c r="N548" s="173"/>
      <c r="O548" s="173"/>
      <c r="P548" s="173"/>
      <c r="Q548" s="173"/>
      <c r="R548" s="173"/>
      <c r="S548" s="173"/>
      <c r="T548" s="173"/>
      <c r="U548" s="173"/>
      <c r="V548" s="173"/>
      <c r="W548" s="173"/>
      <c r="X548" s="173"/>
      <c r="Y548" s="173"/>
      <c r="Z548" s="173"/>
      <c r="AA548" s="173"/>
      <c r="AB548" s="173"/>
      <c r="AC548" s="173"/>
      <c r="AD548" s="173"/>
      <c r="AE548" s="173"/>
      <c r="AF548" s="173"/>
      <c r="AG548" s="173"/>
      <c r="AH548" s="173"/>
      <c r="AI548" s="173"/>
      <c r="AJ548" s="173"/>
      <c r="AK548" s="173"/>
      <c r="AL548" s="173"/>
      <c r="AM548" s="173"/>
      <c r="AN548" s="173"/>
      <c r="AO548" s="173"/>
      <c r="AP548" s="173"/>
      <c r="AQ548" s="173"/>
      <c r="AR548" s="173"/>
      <c r="AS548" s="173"/>
      <c r="AT548" s="173"/>
      <c r="AU548" s="173"/>
      <c r="AV548" s="173"/>
      <c r="AW548" s="173"/>
      <c r="AX548" s="173"/>
      <c r="AY548" s="173"/>
      <c r="AZ548" s="173"/>
      <c r="BA548" s="173"/>
      <c r="BB548" s="173"/>
      <c r="BC548" s="173"/>
      <c r="BD548" s="173"/>
      <c r="BE548" s="173"/>
      <c r="BF548" s="173"/>
      <c r="BG548" s="173"/>
      <c r="BH548" s="173"/>
      <c r="BI548" s="173"/>
      <c r="BJ548" s="173"/>
      <c r="BK548" s="173"/>
      <c r="BL548" s="173"/>
      <c r="BM548" s="173"/>
      <c r="BN548" s="173"/>
      <c r="BO548" s="173"/>
      <c r="BP548" s="173"/>
      <c r="BQ548" s="173"/>
      <c r="BR548" s="173"/>
      <c r="BS548" s="173"/>
      <c r="BT548" s="173"/>
      <c r="BU548" s="173"/>
      <c r="BV548" s="173"/>
      <c r="BW548" s="173"/>
      <c r="BX548" s="173"/>
      <c r="BY548" s="173"/>
      <c r="BZ548" s="173"/>
      <c r="CA548" s="173"/>
      <c r="CB548" s="173"/>
      <c r="CC548" s="173"/>
      <c r="CD548" s="173"/>
      <c r="CE548" s="173"/>
      <c r="CF548" s="173"/>
      <c r="CG548" s="173"/>
      <c r="CH548" s="173"/>
      <c r="CI548" s="173"/>
      <c r="CJ548" s="173"/>
      <c r="CK548" s="173"/>
      <c r="CL548" s="173"/>
      <c r="CM548" s="173"/>
      <c r="CN548" s="173"/>
      <c r="CO548" s="173"/>
      <c r="CP548" s="173"/>
      <c r="CQ548" s="173"/>
      <c r="CR548" s="173"/>
      <c r="CS548" s="173"/>
    </row>
    <row r="549">
      <c r="A549" s="173"/>
      <c r="B549" s="179"/>
      <c r="C549" s="173"/>
      <c r="D549" s="141"/>
      <c r="E549" s="173"/>
      <c r="F549" s="173"/>
      <c r="G549" s="173"/>
      <c r="H549" s="173"/>
      <c r="I549" s="173"/>
      <c r="J549" s="141"/>
      <c r="K549" s="163" t="str">
        <f>VLOOKUP(C549,'Term Reference Guide'!$C:$C,1,false)</f>
        <v>#N/A</v>
      </c>
      <c r="L549" s="173"/>
      <c r="M549" s="173"/>
      <c r="N549" s="173"/>
      <c r="O549" s="173"/>
      <c r="P549" s="173"/>
      <c r="Q549" s="173"/>
      <c r="R549" s="173"/>
      <c r="S549" s="173"/>
      <c r="T549" s="173"/>
      <c r="U549" s="173"/>
      <c r="V549" s="173"/>
      <c r="W549" s="173"/>
      <c r="X549" s="173"/>
      <c r="Y549" s="173"/>
      <c r="Z549" s="173"/>
      <c r="AA549" s="173"/>
      <c r="AB549" s="173"/>
      <c r="AC549" s="173"/>
      <c r="AD549" s="173"/>
      <c r="AE549" s="173"/>
      <c r="AF549" s="173"/>
      <c r="AG549" s="173"/>
      <c r="AH549" s="173"/>
      <c r="AI549" s="173"/>
      <c r="AJ549" s="173"/>
      <c r="AK549" s="173"/>
      <c r="AL549" s="173"/>
      <c r="AM549" s="173"/>
      <c r="AN549" s="173"/>
      <c r="AO549" s="173"/>
      <c r="AP549" s="173"/>
      <c r="AQ549" s="173"/>
      <c r="AR549" s="173"/>
      <c r="AS549" s="173"/>
      <c r="AT549" s="173"/>
      <c r="AU549" s="173"/>
      <c r="AV549" s="173"/>
      <c r="AW549" s="173"/>
      <c r="AX549" s="173"/>
      <c r="AY549" s="173"/>
      <c r="AZ549" s="173"/>
      <c r="BA549" s="173"/>
      <c r="BB549" s="173"/>
      <c r="BC549" s="173"/>
      <c r="BD549" s="173"/>
      <c r="BE549" s="173"/>
      <c r="BF549" s="173"/>
      <c r="BG549" s="173"/>
      <c r="BH549" s="173"/>
      <c r="BI549" s="173"/>
      <c r="BJ549" s="173"/>
      <c r="BK549" s="173"/>
      <c r="BL549" s="173"/>
      <c r="BM549" s="173"/>
      <c r="BN549" s="173"/>
      <c r="BO549" s="173"/>
      <c r="BP549" s="173"/>
      <c r="BQ549" s="173"/>
      <c r="BR549" s="173"/>
      <c r="BS549" s="173"/>
      <c r="BT549" s="173"/>
      <c r="BU549" s="173"/>
      <c r="BV549" s="173"/>
      <c r="BW549" s="173"/>
      <c r="BX549" s="173"/>
      <c r="BY549" s="173"/>
      <c r="BZ549" s="173"/>
      <c r="CA549" s="173"/>
      <c r="CB549" s="173"/>
      <c r="CC549" s="173"/>
      <c r="CD549" s="173"/>
      <c r="CE549" s="173"/>
      <c r="CF549" s="173"/>
      <c r="CG549" s="173"/>
      <c r="CH549" s="173"/>
      <c r="CI549" s="173"/>
      <c r="CJ549" s="173"/>
      <c r="CK549" s="173"/>
      <c r="CL549" s="173"/>
      <c r="CM549" s="173"/>
      <c r="CN549" s="173"/>
      <c r="CO549" s="173"/>
      <c r="CP549" s="173"/>
      <c r="CQ549" s="173"/>
      <c r="CR549" s="173"/>
      <c r="CS549" s="173"/>
    </row>
    <row r="550">
      <c r="A550" s="170" t="s">
        <v>449</v>
      </c>
      <c r="B550" s="156"/>
      <c r="C550" s="156"/>
      <c r="D550" s="139"/>
      <c r="E550" s="156"/>
      <c r="F550" s="156"/>
      <c r="G550" s="156"/>
      <c r="H550" s="164"/>
      <c r="I550" s="164"/>
      <c r="J550" s="171"/>
      <c r="K550" s="163" t="str">
        <f>VLOOKUP(C550,'Term Reference Guide'!$C:$C,1,false)</f>
        <v>#N/A</v>
      </c>
      <c r="L550" s="163"/>
      <c r="M550" s="163"/>
      <c r="N550" s="163"/>
      <c r="O550" s="163"/>
      <c r="P550" s="163"/>
      <c r="Q550" s="163"/>
      <c r="R550" s="163"/>
      <c r="S550" s="163"/>
      <c r="T550" s="163"/>
      <c r="U550" s="163"/>
      <c r="V550" s="163"/>
      <c r="W550" s="163"/>
      <c r="X550" s="163"/>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c r="BP550" s="41"/>
      <c r="BQ550" s="41"/>
      <c r="BR550" s="41"/>
      <c r="BS550" s="41"/>
      <c r="BT550" s="41"/>
      <c r="BU550" s="41"/>
      <c r="BV550" s="41"/>
      <c r="BW550" s="41"/>
      <c r="BX550" s="41"/>
      <c r="BY550" s="41"/>
      <c r="BZ550" s="41"/>
      <c r="CA550" s="41"/>
      <c r="CB550" s="41"/>
      <c r="CC550" s="41"/>
      <c r="CD550" s="41"/>
      <c r="CE550" s="41"/>
      <c r="CF550" s="41"/>
      <c r="CG550" s="41"/>
      <c r="CH550" s="41"/>
      <c r="CI550" s="41"/>
      <c r="CJ550" s="41"/>
      <c r="CK550" s="41"/>
      <c r="CL550" s="41"/>
      <c r="CM550" s="41"/>
      <c r="CN550" s="41"/>
      <c r="CO550" s="41"/>
      <c r="CP550" s="41"/>
      <c r="CQ550" s="41"/>
      <c r="CR550" s="41"/>
      <c r="CS550" s="41"/>
    </row>
    <row r="551" hidden="1">
      <c r="A551" s="173" t="str">
        <f>A$550</f>
        <v>oxygen reduction potential (ORP) measurement unit</v>
      </c>
      <c r="B551" s="179" t="s">
        <v>453</v>
      </c>
      <c r="C551" s="179" t="s">
        <v>2402</v>
      </c>
      <c r="D551" s="70" t="s">
        <v>2403</v>
      </c>
      <c r="E551" s="173"/>
      <c r="F551" s="168"/>
      <c r="G551" s="168"/>
      <c r="H551" s="168" t="s">
        <v>25</v>
      </c>
      <c r="I551" s="168" t="s">
        <v>25</v>
      </c>
      <c r="J551" s="168" t="s">
        <v>25</v>
      </c>
      <c r="K551" s="163" t="str">
        <f>VLOOKUP(C551,'Term Reference Guide'!$C:$C,1,false)</f>
        <v>UO:0000247</v>
      </c>
      <c r="L551" s="173"/>
      <c r="M551" s="173"/>
      <c r="N551" s="173"/>
      <c r="O551" s="173"/>
      <c r="P551" s="173"/>
      <c r="Q551" s="173"/>
      <c r="R551" s="173"/>
      <c r="S551" s="173"/>
      <c r="T551" s="173"/>
      <c r="U551" s="173"/>
      <c r="V551" s="173"/>
      <c r="W551" s="173"/>
      <c r="X551" s="173"/>
      <c r="Y551" s="173"/>
      <c r="Z551" s="173"/>
      <c r="AA551" s="173"/>
      <c r="AB551" s="173"/>
      <c r="AC551" s="173"/>
      <c r="AD551" s="173"/>
      <c r="AE551" s="173"/>
      <c r="AF551" s="173"/>
      <c r="AG551" s="173"/>
      <c r="AH551" s="173"/>
      <c r="AI551" s="173"/>
      <c r="AJ551" s="173"/>
      <c r="AK551" s="173"/>
      <c r="AL551" s="173"/>
      <c r="AM551" s="173"/>
      <c r="AN551" s="173"/>
      <c r="AO551" s="173"/>
      <c r="AP551" s="173"/>
      <c r="AQ551" s="173"/>
      <c r="AR551" s="173"/>
      <c r="AS551" s="173"/>
      <c r="AT551" s="173"/>
      <c r="AU551" s="173"/>
      <c r="AV551" s="173"/>
      <c r="AW551" s="173"/>
      <c r="AX551" s="173"/>
      <c r="AY551" s="173"/>
      <c r="AZ551" s="173"/>
      <c r="BA551" s="173"/>
      <c r="BB551" s="173"/>
      <c r="BC551" s="173"/>
      <c r="BD551" s="173"/>
      <c r="BE551" s="173"/>
      <c r="BF551" s="173"/>
      <c r="BG551" s="173"/>
      <c r="BH551" s="173"/>
      <c r="BI551" s="173"/>
      <c r="BJ551" s="173"/>
      <c r="BK551" s="173"/>
      <c r="BL551" s="173"/>
      <c r="BM551" s="173"/>
      <c r="BN551" s="173"/>
      <c r="BO551" s="173"/>
      <c r="BP551" s="173"/>
      <c r="BQ551" s="173"/>
      <c r="BR551" s="173"/>
      <c r="BS551" s="173"/>
      <c r="BT551" s="173"/>
      <c r="BU551" s="173"/>
      <c r="BV551" s="173"/>
      <c r="BW551" s="173"/>
      <c r="BX551" s="173"/>
      <c r="BY551" s="173"/>
      <c r="BZ551" s="173"/>
      <c r="CA551" s="173"/>
      <c r="CB551" s="173"/>
      <c r="CC551" s="173"/>
      <c r="CD551" s="173"/>
      <c r="CE551" s="173"/>
      <c r="CF551" s="173"/>
      <c r="CG551" s="173"/>
      <c r="CH551" s="173"/>
      <c r="CI551" s="173"/>
      <c r="CJ551" s="173"/>
      <c r="CK551" s="173"/>
      <c r="CL551" s="173"/>
      <c r="CM551" s="173"/>
      <c r="CN551" s="173"/>
      <c r="CO551" s="173"/>
      <c r="CP551" s="173"/>
      <c r="CQ551" s="173"/>
      <c r="CR551" s="173"/>
      <c r="CS551" s="173"/>
    </row>
    <row r="552">
      <c r="A552" s="173"/>
      <c r="B552" s="173"/>
      <c r="C552" s="173"/>
      <c r="D552" s="141"/>
      <c r="E552" s="173"/>
      <c r="F552" s="173"/>
      <c r="G552" s="173"/>
      <c r="H552" s="173"/>
      <c r="I552" s="173"/>
      <c r="J552" s="141"/>
      <c r="K552" s="163" t="str">
        <f>VLOOKUP(C552,'Term Reference Guide'!$C:$C,1,false)</f>
        <v>#N/A</v>
      </c>
      <c r="L552" s="173"/>
      <c r="M552" s="173"/>
      <c r="N552" s="173"/>
      <c r="O552" s="173"/>
      <c r="P552" s="173"/>
      <c r="Q552" s="173"/>
      <c r="R552" s="173"/>
      <c r="S552" s="173"/>
      <c r="T552" s="173"/>
      <c r="U552" s="173"/>
      <c r="V552" s="173"/>
      <c r="W552" s="173"/>
      <c r="X552" s="173"/>
      <c r="Y552" s="173"/>
      <c r="Z552" s="173"/>
      <c r="AA552" s="173"/>
      <c r="AB552" s="173"/>
      <c r="AC552" s="173"/>
      <c r="AD552" s="173"/>
      <c r="AE552" s="173"/>
      <c r="AF552" s="173"/>
      <c r="AG552" s="173"/>
      <c r="AH552" s="173"/>
      <c r="AI552" s="173"/>
      <c r="AJ552" s="173"/>
      <c r="AK552" s="173"/>
      <c r="AL552" s="173"/>
      <c r="AM552" s="173"/>
      <c r="AN552" s="173"/>
      <c r="AO552" s="173"/>
      <c r="AP552" s="173"/>
      <c r="AQ552" s="173"/>
      <c r="AR552" s="173"/>
      <c r="AS552" s="173"/>
      <c r="AT552" s="173"/>
      <c r="AU552" s="173"/>
      <c r="AV552" s="173"/>
      <c r="AW552" s="173"/>
      <c r="AX552" s="173"/>
      <c r="AY552" s="173"/>
      <c r="AZ552" s="173"/>
      <c r="BA552" s="173"/>
      <c r="BB552" s="173"/>
      <c r="BC552" s="173"/>
      <c r="BD552" s="173"/>
      <c r="BE552" s="173"/>
      <c r="BF552" s="173"/>
      <c r="BG552" s="173"/>
      <c r="BH552" s="173"/>
      <c r="BI552" s="173"/>
      <c r="BJ552" s="173"/>
      <c r="BK552" s="173"/>
      <c r="BL552" s="173"/>
      <c r="BM552" s="173"/>
      <c r="BN552" s="173"/>
      <c r="BO552" s="173"/>
      <c r="BP552" s="173"/>
      <c r="BQ552" s="173"/>
      <c r="BR552" s="173"/>
      <c r="BS552" s="173"/>
      <c r="BT552" s="173"/>
      <c r="BU552" s="173"/>
      <c r="BV552" s="173"/>
      <c r="BW552" s="173"/>
      <c r="BX552" s="173"/>
      <c r="BY552" s="173"/>
      <c r="BZ552" s="173"/>
      <c r="CA552" s="173"/>
      <c r="CB552" s="173"/>
      <c r="CC552" s="173"/>
      <c r="CD552" s="173"/>
      <c r="CE552" s="173"/>
      <c r="CF552" s="173"/>
      <c r="CG552" s="173"/>
      <c r="CH552" s="173"/>
      <c r="CI552" s="173"/>
      <c r="CJ552" s="173"/>
      <c r="CK552" s="173"/>
      <c r="CL552" s="173"/>
      <c r="CM552" s="173"/>
      <c r="CN552" s="173"/>
      <c r="CO552" s="173"/>
      <c r="CP552" s="173"/>
      <c r="CQ552" s="173"/>
      <c r="CR552" s="173"/>
      <c r="CS552" s="173"/>
    </row>
    <row r="553">
      <c r="A553" s="170" t="s">
        <v>463</v>
      </c>
      <c r="B553" s="156"/>
      <c r="C553" s="156"/>
      <c r="D553" s="139"/>
      <c r="E553" s="156"/>
      <c r="F553" s="156"/>
      <c r="G553" s="156"/>
      <c r="H553" s="164"/>
      <c r="I553" s="164"/>
      <c r="J553" s="171"/>
      <c r="K553" s="163" t="str">
        <f>VLOOKUP(C553,'Term Reference Guide'!$C:$C,1,false)</f>
        <v>#N/A</v>
      </c>
      <c r="L553" s="163"/>
      <c r="M553" s="163"/>
      <c r="N553" s="163"/>
      <c r="O553" s="163"/>
      <c r="P553" s="163"/>
      <c r="Q553" s="163"/>
      <c r="R553" s="163"/>
      <c r="S553" s="163"/>
      <c r="T553" s="163"/>
      <c r="U553" s="163"/>
      <c r="V553" s="163"/>
      <c r="W553" s="163"/>
      <c r="X553" s="163"/>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c r="BP553" s="41"/>
      <c r="BQ553" s="41"/>
      <c r="BR553" s="41"/>
      <c r="BS553" s="41"/>
      <c r="BT553" s="41"/>
      <c r="BU553" s="41"/>
      <c r="BV553" s="41"/>
      <c r="BW553" s="41"/>
      <c r="BX553" s="41"/>
      <c r="BY553" s="41"/>
      <c r="BZ553" s="41"/>
      <c r="CA553" s="41"/>
      <c r="CB553" s="41"/>
      <c r="CC553" s="41"/>
      <c r="CD553" s="41"/>
      <c r="CE553" s="41"/>
      <c r="CF553" s="41"/>
      <c r="CG553" s="41"/>
      <c r="CH553" s="41"/>
      <c r="CI553" s="41"/>
      <c r="CJ553" s="41"/>
      <c r="CK553" s="41"/>
      <c r="CL553" s="41"/>
      <c r="CM553" s="41"/>
      <c r="CN553" s="41"/>
      <c r="CO553" s="41"/>
      <c r="CP553" s="41"/>
      <c r="CQ553" s="41"/>
      <c r="CR553" s="41"/>
      <c r="CS553" s="41"/>
    </row>
    <row r="554" hidden="1">
      <c r="A554" s="173" t="str">
        <f>A$553</f>
        <v>chemical oxygen demand (COD) measurement unit</v>
      </c>
      <c r="B554" s="179" t="s">
        <v>467</v>
      </c>
      <c r="C554" s="179" t="s">
        <v>2395</v>
      </c>
      <c r="D554" s="70" t="s">
        <v>2396</v>
      </c>
      <c r="E554" s="173"/>
      <c r="F554" s="168"/>
      <c r="G554" s="168"/>
      <c r="H554" s="168" t="s">
        <v>25</v>
      </c>
      <c r="I554" s="168" t="s">
        <v>25</v>
      </c>
      <c r="J554" s="168" t="s">
        <v>25</v>
      </c>
      <c r="K554" s="163" t="str">
        <f>VLOOKUP(C554,'Term Reference Guide'!$C:$C,1,false)</f>
        <v>UO:0000273</v>
      </c>
      <c r="L554" s="173"/>
      <c r="M554" s="173"/>
      <c r="N554" s="173"/>
      <c r="O554" s="173"/>
      <c r="P554" s="173"/>
      <c r="Q554" s="173"/>
      <c r="R554" s="173"/>
      <c r="S554" s="173"/>
      <c r="T554" s="173"/>
      <c r="U554" s="173"/>
      <c r="V554" s="173"/>
      <c r="W554" s="173"/>
      <c r="X554" s="173"/>
      <c r="Y554" s="173"/>
      <c r="Z554" s="173"/>
      <c r="AA554" s="173"/>
      <c r="AB554" s="173"/>
      <c r="AC554" s="173"/>
      <c r="AD554" s="173"/>
      <c r="AE554" s="173"/>
      <c r="AF554" s="173"/>
      <c r="AG554" s="173"/>
      <c r="AH554" s="173"/>
      <c r="AI554" s="173"/>
      <c r="AJ554" s="173"/>
      <c r="AK554" s="173"/>
      <c r="AL554" s="173"/>
      <c r="AM554" s="173"/>
      <c r="AN554" s="173"/>
      <c r="AO554" s="173"/>
      <c r="AP554" s="173"/>
      <c r="AQ554" s="173"/>
      <c r="AR554" s="173"/>
      <c r="AS554" s="173"/>
      <c r="AT554" s="173"/>
      <c r="AU554" s="173"/>
      <c r="AV554" s="173"/>
      <c r="AW554" s="173"/>
      <c r="AX554" s="173"/>
      <c r="AY554" s="173"/>
      <c r="AZ554" s="173"/>
      <c r="BA554" s="173"/>
      <c r="BB554" s="173"/>
      <c r="BC554" s="173"/>
      <c r="BD554" s="173"/>
      <c r="BE554" s="173"/>
      <c r="BF554" s="173"/>
      <c r="BG554" s="173"/>
      <c r="BH554" s="173"/>
      <c r="BI554" s="173"/>
      <c r="BJ554" s="173"/>
      <c r="BK554" s="173"/>
      <c r="BL554" s="173"/>
      <c r="BM554" s="173"/>
      <c r="BN554" s="173"/>
      <c r="BO554" s="173"/>
      <c r="BP554" s="173"/>
      <c r="BQ554" s="173"/>
      <c r="BR554" s="173"/>
      <c r="BS554" s="173"/>
      <c r="BT554" s="173"/>
      <c r="BU554" s="173"/>
      <c r="BV554" s="173"/>
      <c r="BW554" s="173"/>
      <c r="BX554" s="173"/>
      <c r="BY554" s="173"/>
      <c r="BZ554" s="173"/>
      <c r="CA554" s="173"/>
      <c r="CB554" s="173"/>
      <c r="CC554" s="173"/>
      <c r="CD554" s="173"/>
      <c r="CE554" s="173"/>
      <c r="CF554" s="173"/>
      <c r="CG554" s="173"/>
      <c r="CH554" s="173"/>
      <c r="CI554" s="173"/>
      <c r="CJ554" s="173"/>
      <c r="CK554" s="173"/>
      <c r="CL554" s="173"/>
      <c r="CM554" s="173"/>
      <c r="CN554" s="173"/>
      <c r="CO554" s="173"/>
      <c r="CP554" s="173"/>
      <c r="CQ554" s="173"/>
      <c r="CR554" s="173"/>
      <c r="CS554" s="173"/>
    </row>
    <row r="555">
      <c r="A555" s="173"/>
      <c r="B555" s="179"/>
      <c r="C555" s="173"/>
      <c r="D555" s="141"/>
      <c r="E555" s="173"/>
      <c r="F555" s="173"/>
      <c r="G555" s="173"/>
      <c r="H555" s="173"/>
      <c r="I555" s="173"/>
      <c r="J555" s="141"/>
      <c r="K555" s="163" t="str">
        <f>VLOOKUP(C555,'Term Reference Guide'!$C:$C,1,false)</f>
        <v>#N/A</v>
      </c>
      <c r="L555" s="173"/>
      <c r="M555" s="173"/>
      <c r="N555" s="173"/>
      <c r="O555" s="173"/>
      <c r="P555" s="173"/>
      <c r="Q555" s="173"/>
      <c r="R555" s="173"/>
      <c r="S555" s="173"/>
      <c r="T555" s="173"/>
      <c r="U555" s="173"/>
      <c r="V555" s="173"/>
      <c r="W555" s="173"/>
      <c r="X555" s="173"/>
      <c r="Y555" s="173"/>
      <c r="Z555" s="173"/>
      <c r="AA555" s="173"/>
      <c r="AB555" s="173"/>
      <c r="AC555" s="173"/>
      <c r="AD555" s="173"/>
      <c r="AE555" s="173"/>
      <c r="AF555" s="173"/>
      <c r="AG555" s="173"/>
      <c r="AH555" s="173"/>
      <c r="AI555" s="173"/>
      <c r="AJ555" s="173"/>
      <c r="AK555" s="173"/>
      <c r="AL555" s="173"/>
      <c r="AM555" s="173"/>
      <c r="AN555" s="173"/>
      <c r="AO555" s="173"/>
      <c r="AP555" s="173"/>
      <c r="AQ555" s="173"/>
      <c r="AR555" s="173"/>
      <c r="AS555" s="173"/>
      <c r="AT555" s="173"/>
      <c r="AU555" s="173"/>
      <c r="AV555" s="173"/>
      <c r="AW555" s="173"/>
      <c r="AX555" s="173"/>
      <c r="AY555" s="173"/>
      <c r="AZ555" s="173"/>
      <c r="BA555" s="173"/>
      <c r="BB555" s="173"/>
      <c r="BC555" s="173"/>
      <c r="BD555" s="173"/>
      <c r="BE555" s="173"/>
      <c r="BF555" s="173"/>
      <c r="BG555" s="173"/>
      <c r="BH555" s="173"/>
      <c r="BI555" s="173"/>
      <c r="BJ555" s="173"/>
      <c r="BK555" s="173"/>
      <c r="BL555" s="173"/>
      <c r="BM555" s="173"/>
      <c r="BN555" s="173"/>
      <c r="BO555" s="173"/>
      <c r="BP555" s="173"/>
      <c r="BQ555" s="173"/>
      <c r="BR555" s="173"/>
      <c r="BS555" s="173"/>
      <c r="BT555" s="173"/>
      <c r="BU555" s="173"/>
      <c r="BV555" s="173"/>
      <c r="BW555" s="173"/>
      <c r="BX555" s="173"/>
      <c r="BY555" s="173"/>
      <c r="BZ555" s="173"/>
      <c r="CA555" s="173"/>
      <c r="CB555" s="173"/>
      <c r="CC555" s="173"/>
      <c r="CD555" s="173"/>
      <c r="CE555" s="173"/>
      <c r="CF555" s="173"/>
      <c r="CG555" s="173"/>
      <c r="CH555" s="173"/>
      <c r="CI555" s="173"/>
      <c r="CJ555" s="173"/>
      <c r="CK555" s="173"/>
      <c r="CL555" s="173"/>
      <c r="CM555" s="173"/>
      <c r="CN555" s="173"/>
      <c r="CO555" s="173"/>
      <c r="CP555" s="173"/>
      <c r="CQ555" s="173"/>
      <c r="CR555" s="173"/>
      <c r="CS555" s="173"/>
    </row>
    <row r="556">
      <c r="A556" s="170" t="s">
        <v>477</v>
      </c>
      <c r="B556" s="156"/>
      <c r="C556" s="156"/>
      <c r="D556" s="139"/>
      <c r="E556" s="156"/>
      <c r="F556" s="156"/>
      <c r="G556" s="156"/>
      <c r="H556" s="164"/>
      <c r="I556" s="164"/>
      <c r="J556" s="171"/>
      <c r="K556" s="163" t="str">
        <f>VLOOKUP(C556,'Term Reference Guide'!$C:$C,1,false)</f>
        <v>#N/A</v>
      </c>
      <c r="L556" s="163"/>
      <c r="M556" s="163"/>
      <c r="N556" s="163"/>
      <c r="O556" s="163"/>
      <c r="P556" s="163"/>
      <c r="Q556" s="163"/>
      <c r="R556" s="163"/>
      <c r="S556" s="163"/>
      <c r="T556" s="163"/>
      <c r="U556" s="163"/>
      <c r="V556" s="163"/>
      <c r="W556" s="163"/>
      <c r="X556" s="163"/>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c r="BP556" s="41"/>
      <c r="BQ556" s="41"/>
      <c r="BR556" s="41"/>
      <c r="BS556" s="41"/>
      <c r="BT556" s="41"/>
      <c r="BU556" s="41"/>
      <c r="BV556" s="41"/>
      <c r="BW556" s="41"/>
      <c r="BX556" s="41"/>
      <c r="BY556" s="41"/>
      <c r="BZ556" s="41"/>
      <c r="CA556" s="41"/>
      <c r="CB556" s="41"/>
      <c r="CC556" s="41"/>
      <c r="CD556" s="41"/>
      <c r="CE556" s="41"/>
      <c r="CF556" s="41"/>
      <c r="CG556" s="41"/>
      <c r="CH556" s="41"/>
      <c r="CI556" s="41"/>
      <c r="CJ556" s="41"/>
      <c r="CK556" s="41"/>
      <c r="CL556" s="41"/>
      <c r="CM556" s="41"/>
      <c r="CN556" s="41"/>
      <c r="CO556" s="41"/>
      <c r="CP556" s="41"/>
      <c r="CQ556" s="41"/>
      <c r="CR556" s="41"/>
      <c r="CS556" s="41"/>
    </row>
    <row r="557" hidden="1">
      <c r="A557" s="195" t="str">
        <f>A$556</f>
        <v>carbonaceous biochemical oxygen demand (CBOD) measurement unit</v>
      </c>
      <c r="B557" s="179" t="s">
        <v>467</v>
      </c>
      <c r="C557" s="179" t="s">
        <v>2395</v>
      </c>
      <c r="D557" s="70" t="s">
        <v>2396</v>
      </c>
      <c r="E557" s="163"/>
      <c r="F557" s="168"/>
      <c r="G557" s="168"/>
      <c r="H557" s="168" t="s">
        <v>25</v>
      </c>
      <c r="I557" s="168" t="s">
        <v>25</v>
      </c>
      <c r="J557" s="168" t="s">
        <v>25</v>
      </c>
      <c r="K557" s="163" t="str">
        <f>VLOOKUP(C557,'Term Reference Guide'!$C:$C,1,false)</f>
        <v>UO:0000273</v>
      </c>
      <c r="L557" s="163"/>
      <c r="M557" s="163"/>
      <c r="N557" s="163"/>
      <c r="O557" s="163"/>
      <c r="P557" s="163"/>
      <c r="Q557" s="163"/>
      <c r="R557" s="163"/>
      <c r="S557" s="163"/>
      <c r="T557" s="163"/>
      <c r="U557" s="163"/>
      <c r="V557" s="163"/>
      <c r="W557" s="163"/>
      <c r="X557" s="163"/>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c r="BP557" s="41"/>
      <c r="BQ557" s="41"/>
      <c r="BR557" s="41"/>
      <c r="BS557" s="41"/>
      <c r="BT557" s="41"/>
      <c r="BU557" s="41"/>
      <c r="BV557" s="41"/>
      <c r="BW557" s="41"/>
      <c r="BX557" s="41"/>
      <c r="BY557" s="41"/>
      <c r="BZ557" s="41"/>
      <c r="CA557" s="41"/>
      <c r="CB557" s="41"/>
      <c r="CC557" s="41"/>
      <c r="CD557" s="41"/>
      <c r="CE557" s="41"/>
      <c r="CF557" s="41"/>
      <c r="CG557" s="41"/>
      <c r="CH557" s="41"/>
      <c r="CI557" s="41"/>
      <c r="CJ557" s="41"/>
      <c r="CK557" s="41"/>
      <c r="CL557" s="41"/>
      <c r="CM557" s="41"/>
      <c r="CN557" s="41"/>
      <c r="CO557" s="41"/>
      <c r="CP557" s="41"/>
      <c r="CQ557" s="41"/>
      <c r="CR557" s="41"/>
      <c r="CS557" s="41"/>
    </row>
    <row r="558">
      <c r="A558" s="196"/>
      <c r="B558" s="163"/>
      <c r="C558" s="163"/>
      <c r="D558" s="167"/>
      <c r="E558" s="163"/>
      <c r="F558" s="163"/>
      <c r="G558" s="163"/>
      <c r="H558" s="163"/>
      <c r="I558" s="163"/>
      <c r="J558" s="167"/>
      <c r="K558" s="163" t="str">
        <f>VLOOKUP(C558,'Term Reference Guide'!$C:$C,1,false)</f>
        <v>#N/A</v>
      </c>
      <c r="L558" s="163"/>
      <c r="M558" s="163"/>
      <c r="N558" s="163"/>
      <c r="O558" s="163"/>
      <c r="P558" s="163"/>
      <c r="Q558" s="163"/>
      <c r="R558" s="163"/>
      <c r="S558" s="163"/>
      <c r="T558" s="163"/>
      <c r="U558" s="163"/>
      <c r="V558" s="163"/>
      <c r="W558" s="163"/>
      <c r="X558" s="163"/>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c r="BP558" s="41"/>
      <c r="BQ558" s="41"/>
      <c r="BR558" s="41"/>
      <c r="BS558" s="41"/>
      <c r="BT558" s="41"/>
      <c r="BU558" s="41"/>
      <c r="BV558" s="41"/>
      <c r="BW558" s="41"/>
      <c r="BX558" s="41"/>
      <c r="BY558" s="41"/>
      <c r="BZ558" s="41"/>
      <c r="CA558" s="41"/>
      <c r="CB558" s="41"/>
      <c r="CC558" s="41"/>
      <c r="CD558" s="41"/>
      <c r="CE558" s="41"/>
      <c r="CF558" s="41"/>
      <c r="CG558" s="41"/>
      <c r="CH558" s="41"/>
      <c r="CI558" s="41"/>
      <c r="CJ558" s="41"/>
      <c r="CK558" s="41"/>
      <c r="CL558" s="41"/>
      <c r="CM558" s="41"/>
      <c r="CN558" s="41"/>
      <c r="CO558" s="41"/>
      <c r="CP558" s="41"/>
      <c r="CQ558" s="41"/>
      <c r="CR558" s="41"/>
      <c r="CS558" s="41"/>
    </row>
    <row r="559">
      <c r="A559" s="170" t="s">
        <v>490</v>
      </c>
      <c r="B559" s="156"/>
      <c r="C559" s="156"/>
      <c r="D559" s="139"/>
      <c r="E559" s="156"/>
      <c r="F559" s="156"/>
      <c r="G559" s="156"/>
      <c r="H559" s="164"/>
      <c r="I559" s="164"/>
      <c r="J559" s="171"/>
      <c r="K559" s="163" t="str">
        <f>VLOOKUP(C559,'Term Reference Guide'!$C:$C,1,false)</f>
        <v>#N/A</v>
      </c>
      <c r="L559" s="163"/>
      <c r="M559" s="163"/>
      <c r="N559" s="163"/>
      <c r="O559" s="163"/>
      <c r="P559" s="163"/>
      <c r="Q559" s="163"/>
      <c r="R559" s="163"/>
      <c r="S559" s="163"/>
      <c r="T559" s="163"/>
      <c r="U559" s="163"/>
      <c r="V559" s="163"/>
      <c r="W559" s="163"/>
      <c r="X559" s="163"/>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c r="BP559" s="41"/>
      <c r="BQ559" s="41"/>
      <c r="BR559" s="41"/>
      <c r="BS559" s="41"/>
      <c r="BT559" s="41"/>
      <c r="BU559" s="41"/>
      <c r="BV559" s="41"/>
      <c r="BW559" s="41"/>
      <c r="BX559" s="41"/>
      <c r="BY559" s="41"/>
      <c r="BZ559" s="41"/>
      <c r="CA559" s="41"/>
      <c r="CB559" s="41"/>
      <c r="CC559" s="41"/>
      <c r="CD559" s="41"/>
      <c r="CE559" s="41"/>
      <c r="CF559" s="41"/>
      <c r="CG559" s="41"/>
      <c r="CH559" s="41"/>
      <c r="CI559" s="41"/>
      <c r="CJ559" s="41"/>
      <c r="CK559" s="41"/>
      <c r="CL559" s="41"/>
      <c r="CM559" s="41"/>
      <c r="CN559" s="41"/>
      <c r="CO559" s="41"/>
      <c r="CP559" s="41"/>
      <c r="CQ559" s="41"/>
      <c r="CR559" s="41"/>
      <c r="CS559" s="41"/>
    </row>
    <row r="560" hidden="1">
      <c r="A560" s="173" t="str">
        <f t="shared" ref="A560:A561" si="16">A$559</f>
        <v>total suspended solids (TSS) measurement unit</v>
      </c>
      <c r="B560" s="179" t="s">
        <v>494</v>
      </c>
      <c r="C560" s="179" t="s">
        <v>2404</v>
      </c>
      <c r="D560" s="70" t="s">
        <v>2405</v>
      </c>
      <c r="E560" s="173"/>
      <c r="F560" s="168"/>
      <c r="G560" s="168"/>
      <c r="H560" s="168" t="s">
        <v>25</v>
      </c>
      <c r="I560" s="168" t="s">
        <v>25</v>
      </c>
      <c r="J560" s="168" t="s">
        <v>25</v>
      </c>
      <c r="K560" s="163" t="str">
        <f>VLOOKUP(C560,'Term Reference Guide'!$C:$C,1,false)</f>
        <v>UO:0000187</v>
      </c>
      <c r="L560" s="173"/>
      <c r="M560" s="173"/>
      <c r="N560" s="173"/>
      <c r="O560" s="173"/>
      <c r="P560" s="173"/>
      <c r="Q560" s="173"/>
      <c r="R560" s="173"/>
      <c r="S560" s="173"/>
      <c r="T560" s="173"/>
      <c r="U560" s="173"/>
      <c r="V560" s="173"/>
      <c r="W560" s="173"/>
      <c r="X560" s="173"/>
      <c r="Y560" s="173"/>
      <c r="Z560" s="173"/>
      <c r="AA560" s="173"/>
      <c r="AB560" s="173"/>
      <c r="AC560" s="173"/>
      <c r="AD560" s="173"/>
      <c r="AE560" s="173"/>
      <c r="AF560" s="173"/>
      <c r="AG560" s="173"/>
      <c r="AH560" s="173"/>
      <c r="AI560" s="173"/>
      <c r="AJ560" s="173"/>
      <c r="AK560" s="173"/>
      <c r="AL560" s="173"/>
      <c r="AM560" s="173"/>
      <c r="AN560" s="173"/>
      <c r="AO560" s="173"/>
      <c r="AP560" s="173"/>
      <c r="AQ560" s="173"/>
      <c r="AR560" s="173"/>
      <c r="AS560" s="173"/>
      <c r="AT560" s="173"/>
      <c r="AU560" s="173"/>
      <c r="AV560" s="173"/>
      <c r="AW560" s="173"/>
      <c r="AX560" s="173"/>
      <c r="AY560" s="173"/>
      <c r="AZ560" s="173"/>
      <c r="BA560" s="173"/>
      <c r="BB560" s="173"/>
      <c r="BC560" s="173"/>
      <c r="BD560" s="173"/>
      <c r="BE560" s="173"/>
      <c r="BF560" s="173"/>
      <c r="BG560" s="173"/>
      <c r="BH560" s="173"/>
      <c r="BI560" s="173"/>
      <c r="BJ560" s="173"/>
      <c r="BK560" s="173"/>
      <c r="BL560" s="173"/>
      <c r="BM560" s="173"/>
      <c r="BN560" s="173"/>
      <c r="BO560" s="173"/>
      <c r="BP560" s="173"/>
      <c r="BQ560" s="173"/>
      <c r="BR560" s="173"/>
      <c r="BS560" s="173"/>
      <c r="BT560" s="173"/>
      <c r="BU560" s="173"/>
      <c r="BV560" s="173"/>
      <c r="BW560" s="173"/>
      <c r="BX560" s="173"/>
      <c r="BY560" s="173"/>
      <c r="BZ560" s="173"/>
      <c r="CA560" s="173"/>
      <c r="CB560" s="173"/>
      <c r="CC560" s="173"/>
      <c r="CD560" s="173"/>
      <c r="CE560" s="173"/>
      <c r="CF560" s="173"/>
      <c r="CG560" s="173"/>
      <c r="CH560" s="173"/>
      <c r="CI560" s="173"/>
      <c r="CJ560" s="173"/>
      <c r="CK560" s="173"/>
      <c r="CL560" s="173"/>
      <c r="CM560" s="173"/>
      <c r="CN560" s="173"/>
      <c r="CO560" s="173"/>
      <c r="CP560" s="173"/>
      <c r="CQ560" s="173"/>
      <c r="CR560" s="173"/>
      <c r="CS560" s="173"/>
    </row>
    <row r="561" hidden="1">
      <c r="A561" s="173" t="str">
        <f t="shared" si="16"/>
        <v>total suspended solids (TSS) measurement unit</v>
      </c>
      <c r="B561" s="179" t="s">
        <v>2406</v>
      </c>
      <c r="C561" s="179" t="s">
        <v>2407</v>
      </c>
      <c r="D561" s="70" t="s">
        <v>2408</v>
      </c>
      <c r="E561" s="173"/>
      <c r="F561" s="168"/>
      <c r="G561" s="168"/>
      <c r="H561" s="168" t="s">
        <v>25</v>
      </c>
      <c r="I561" s="168" t="s">
        <v>25</v>
      </c>
      <c r="J561" s="168" t="s">
        <v>25</v>
      </c>
      <c r="K561" s="163" t="str">
        <f>VLOOKUP(C561,'Term Reference Guide'!$C:$C,1,false)</f>
        <v>UO:0000175</v>
      </c>
      <c r="L561" s="173"/>
      <c r="M561" s="173"/>
      <c r="N561" s="173"/>
      <c r="O561" s="173"/>
      <c r="P561" s="173"/>
      <c r="Q561" s="173"/>
      <c r="R561" s="173"/>
      <c r="S561" s="173"/>
      <c r="T561" s="173"/>
      <c r="U561" s="173"/>
      <c r="V561" s="173"/>
      <c r="W561" s="173"/>
      <c r="X561" s="173"/>
      <c r="Y561" s="173"/>
      <c r="Z561" s="173"/>
      <c r="AA561" s="173"/>
      <c r="AB561" s="173"/>
      <c r="AC561" s="173"/>
      <c r="AD561" s="173"/>
      <c r="AE561" s="173"/>
      <c r="AF561" s="173"/>
      <c r="AG561" s="173"/>
      <c r="AH561" s="173"/>
      <c r="AI561" s="173"/>
      <c r="AJ561" s="173"/>
      <c r="AK561" s="173"/>
      <c r="AL561" s="173"/>
      <c r="AM561" s="173"/>
      <c r="AN561" s="173"/>
      <c r="AO561" s="173"/>
      <c r="AP561" s="173"/>
      <c r="AQ561" s="173"/>
      <c r="AR561" s="173"/>
      <c r="AS561" s="173"/>
      <c r="AT561" s="173"/>
      <c r="AU561" s="173"/>
      <c r="AV561" s="173"/>
      <c r="AW561" s="173"/>
      <c r="AX561" s="173"/>
      <c r="AY561" s="173"/>
      <c r="AZ561" s="173"/>
      <c r="BA561" s="173"/>
      <c r="BB561" s="173"/>
      <c r="BC561" s="173"/>
      <c r="BD561" s="173"/>
      <c r="BE561" s="173"/>
      <c r="BF561" s="173"/>
      <c r="BG561" s="173"/>
      <c r="BH561" s="173"/>
      <c r="BI561" s="173"/>
      <c r="BJ561" s="173"/>
      <c r="BK561" s="173"/>
      <c r="BL561" s="173"/>
      <c r="BM561" s="173"/>
      <c r="BN561" s="173"/>
      <c r="BO561" s="173"/>
      <c r="BP561" s="173"/>
      <c r="BQ561" s="173"/>
      <c r="BR561" s="173"/>
      <c r="BS561" s="173"/>
      <c r="BT561" s="173"/>
      <c r="BU561" s="173"/>
      <c r="BV561" s="173"/>
      <c r="BW561" s="173"/>
      <c r="BX561" s="173"/>
      <c r="BY561" s="173"/>
      <c r="BZ561" s="173"/>
      <c r="CA561" s="173"/>
      <c r="CB561" s="173"/>
      <c r="CC561" s="173"/>
      <c r="CD561" s="173"/>
      <c r="CE561" s="173"/>
      <c r="CF561" s="173"/>
      <c r="CG561" s="173"/>
      <c r="CH561" s="173"/>
      <c r="CI561" s="173"/>
      <c r="CJ561" s="173"/>
      <c r="CK561" s="173"/>
      <c r="CL561" s="173"/>
      <c r="CM561" s="173"/>
      <c r="CN561" s="173"/>
      <c r="CO561" s="173"/>
      <c r="CP561" s="173"/>
      <c r="CQ561" s="173"/>
      <c r="CR561" s="173"/>
      <c r="CS561" s="173"/>
    </row>
    <row r="562">
      <c r="A562" s="173"/>
      <c r="B562" s="173"/>
      <c r="C562" s="173"/>
      <c r="D562" s="141"/>
      <c r="E562" s="173"/>
      <c r="F562" s="173"/>
      <c r="G562" s="173"/>
      <c r="H562" s="173"/>
      <c r="I562" s="173"/>
      <c r="J562" s="141"/>
      <c r="K562" s="163" t="str">
        <f>VLOOKUP(C562,'Term Reference Guide'!$C:$C,1,false)</f>
        <v>#N/A</v>
      </c>
      <c r="L562" s="173"/>
      <c r="M562" s="173"/>
      <c r="N562" s="173"/>
      <c r="O562" s="173"/>
      <c r="P562" s="173"/>
      <c r="Q562" s="173"/>
      <c r="R562" s="173"/>
      <c r="S562" s="173"/>
      <c r="T562" s="173"/>
      <c r="U562" s="173"/>
      <c r="V562" s="173"/>
      <c r="W562" s="173"/>
      <c r="X562" s="173"/>
      <c r="Y562" s="173"/>
      <c r="Z562" s="173"/>
      <c r="AA562" s="173"/>
      <c r="AB562" s="173"/>
      <c r="AC562" s="173"/>
      <c r="AD562" s="173"/>
      <c r="AE562" s="173"/>
      <c r="AF562" s="173"/>
      <c r="AG562" s="173"/>
      <c r="AH562" s="173"/>
      <c r="AI562" s="173"/>
      <c r="AJ562" s="173"/>
      <c r="AK562" s="173"/>
      <c r="AL562" s="173"/>
      <c r="AM562" s="173"/>
      <c r="AN562" s="173"/>
      <c r="AO562" s="173"/>
      <c r="AP562" s="173"/>
      <c r="AQ562" s="173"/>
      <c r="AR562" s="173"/>
      <c r="AS562" s="173"/>
      <c r="AT562" s="173"/>
      <c r="AU562" s="173"/>
      <c r="AV562" s="173"/>
      <c r="AW562" s="173"/>
      <c r="AX562" s="173"/>
      <c r="AY562" s="173"/>
      <c r="AZ562" s="173"/>
      <c r="BA562" s="173"/>
      <c r="BB562" s="173"/>
      <c r="BC562" s="173"/>
      <c r="BD562" s="173"/>
      <c r="BE562" s="173"/>
      <c r="BF562" s="173"/>
      <c r="BG562" s="173"/>
      <c r="BH562" s="173"/>
      <c r="BI562" s="173"/>
      <c r="BJ562" s="173"/>
      <c r="BK562" s="173"/>
      <c r="BL562" s="173"/>
      <c r="BM562" s="173"/>
      <c r="BN562" s="173"/>
      <c r="BO562" s="173"/>
      <c r="BP562" s="173"/>
      <c r="BQ562" s="173"/>
      <c r="BR562" s="173"/>
      <c r="BS562" s="173"/>
      <c r="BT562" s="173"/>
      <c r="BU562" s="173"/>
      <c r="BV562" s="173"/>
      <c r="BW562" s="173"/>
      <c r="BX562" s="173"/>
      <c r="BY562" s="173"/>
      <c r="BZ562" s="173"/>
      <c r="CA562" s="173"/>
      <c r="CB562" s="173"/>
      <c r="CC562" s="173"/>
      <c r="CD562" s="173"/>
      <c r="CE562" s="173"/>
      <c r="CF562" s="173"/>
      <c r="CG562" s="173"/>
      <c r="CH562" s="173"/>
      <c r="CI562" s="173"/>
      <c r="CJ562" s="173"/>
      <c r="CK562" s="173"/>
      <c r="CL562" s="173"/>
      <c r="CM562" s="173"/>
      <c r="CN562" s="173"/>
      <c r="CO562" s="173"/>
      <c r="CP562" s="173"/>
      <c r="CQ562" s="173"/>
      <c r="CR562" s="173"/>
      <c r="CS562" s="173"/>
    </row>
    <row r="563">
      <c r="A563" s="170" t="s">
        <v>504</v>
      </c>
      <c r="B563" s="156"/>
      <c r="C563" s="156"/>
      <c r="D563" s="139"/>
      <c r="E563" s="156"/>
      <c r="F563" s="156"/>
      <c r="G563" s="156"/>
      <c r="H563" s="164"/>
      <c r="I563" s="164"/>
      <c r="J563" s="171"/>
      <c r="K563" s="163" t="str">
        <f>VLOOKUP(C563,'Term Reference Guide'!$C:$C,1,false)</f>
        <v>#N/A</v>
      </c>
      <c r="L563" s="163"/>
      <c r="M563" s="163"/>
      <c r="N563" s="163"/>
      <c r="O563" s="163"/>
      <c r="P563" s="163"/>
      <c r="Q563" s="163"/>
      <c r="R563" s="163"/>
      <c r="S563" s="163"/>
      <c r="T563" s="163"/>
      <c r="U563" s="163"/>
      <c r="V563" s="163"/>
      <c r="W563" s="163"/>
      <c r="X563" s="163"/>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c r="BP563" s="41"/>
      <c r="BQ563" s="41"/>
      <c r="BR563" s="41"/>
      <c r="BS563" s="41"/>
      <c r="BT563" s="41"/>
      <c r="BU563" s="41"/>
      <c r="BV563" s="41"/>
      <c r="BW563" s="41"/>
      <c r="BX563" s="41"/>
      <c r="BY563" s="41"/>
      <c r="BZ563" s="41"/>
      <c r="CA563" s="41"/>
      <c r="CB563" s="41"/>
      <c r="CC563" s="41"/>
      <c r="CD563" s="41"/>
      <c r="CE563" s="41"/>
      <c r="CF563" s="41"/>
      <c r="CG563" s="41"/>
      <c r="CH563" s="41"/>
      <c r="CI563" s="41"/>
      <c r="CJ563" s="41"/>
      <c r="CK563" s="41"/>
      <c r="CL563" s="41"/>
      <c r="CM563" s="41"/>
      <c r="CN563" s="41"/>
      <c r="CO563" s="41"/>
      <c r="CP563" s="41"/>
      <c r="CQ563" s="41"/>
      <c r="CR563" s="41"/>
      <c r="CS563" s="41"/>
    </row>
    <row r="564" hidden="1">
      <c r="A564" s="173" t="str">
        <f t="shared" ref="A564:A565" si="17">A$563</f>
        <v>total dissolved solids (TDS) measurement unit</v>
      </c>
      <c r="B564" s="179" t="s">
        <v>494</v>
      </c>
      <c r="C564" s="179" t="s">
        <v>2404</v>
      </c>
      <c r="D564" s="70" t="s">
        <v>2405</v>
      </c>
      <c r="E564" s="173"/>
      <c r="F564" s="168"/>
      <c r="G564" s="168"/>
      <c r="H564" s="168" t="s">
        <v>25</v>
      </c>
      <c r="I564" s="168" t="s">
        <v>25</v>
      </c>
      <c r="J564" s="168" t="s">
        <v>25</v>
      </c>
      <c r="K564" s="163" t="str">
        <f>VLOOKUP(C564,'Term Reference Guide'!$C:$C,1,false)</f>
        <v>UO:0000187</v>
      </c>
      <c r="L564" s="173"/>
      <c r="M564" s="173"/>
      <c r="N564" s="173"/>
      <c r="O564" s="173"/>
      <c r="P564" s="173"/>
      <c r="Q564" s="173"/>
      <c r="R564" s="173"/>
      <c r="S564" s="173"/>
      <c r="T564" s="173"/>
      <c r="U564" s="173"/>
      <c r="V564" s="173"/>
      <c r="W564" s="173"/>
      <c r="X564" s="173"/>
      <c r="Y564" s="173"/>
      <c r="Z564" s="173"/>
      <c r="AA564" s="173"/>
      <c r="AB564" s="173"/>
      <c r="AC564" s="173"/>
      <c r="AD564" s="173"/>
      <c r="AE564" s="173"/>
      <c r="AF564" s="173"/>
      <c r="AG564" s="173"/>
      <c r="AH564" s="173"/>
      <c r="AI564" s="173"/>
      <c r="AJ564" s="173"/>
      <c r="AK564" s="173"/>
      <c r="AL564" s="173"/>
      <c r="AM564" s="173"/>
      <c r="AN564" s="173"/>
      <c r="AO564" s="173"/>
      <c r="AP564" s="173"/>
      <c r="AQ564" s="173"/>
      <c r="AR564" s="173"/>
      <c r="AS564" s="173"/>
      <c r="AT564" s="173"/>
      <c r="AU564" s="173"/>
      <c r="AV564" s="173"/>
      <c r="AW564" s="173"/>
      <c r="AX564" s="173"/>
      <c r="AY564" s="173"/>
      <c r="AZ564" s="173"/>
      <c r="BA564" s="173"/>
      <c r="BB564" s="173"/>
      <c r="BC564" s="173"/>
      <c r="BD564" s="173"/>
      <c r="BE564" s="173"/>
      <c r="BF564" s="173"/>
      <c r="BG564" s="173"/>
      <c r="BH564" s="173"/>
      <c r="BI564" s="173"/>
      <c r="BJ564" s="173"/>
      <c r="BK564" s="173"/>
      <c r="BL564" s="173"/>
      <c r="BM564" s="173"/>
      <c r="BN564" s="173"/>
      <c r="BO564" s="173"/>
      <c r="BP564" s="173"/>
      <c r="BQ564" s="173"/>
      <c r="BR564" s="173"/>
      <c r="BS564" s="173"/>
      <c r="BT564" s="173"/>
      <c r="BU564" s="173"/>
      <c r="BV564" s="173"/>
      <c r="BW564" s="173"/>
      <c r="BX564" s="173"/>
      <c r="BY564" s="173"/>
      <c r="BZ564" s="173"/>
      <c r="CA564" s="173"/>
      <c r="CB564" s="173"/>
      <c r="CC564" s="173"/>
      <c r="CD564" s="173"/>
      <c r="CE564" s="173"/>
      <c r="CF564" s="173"/>
      <c r="CG564" s="173"/>
      <c r="CH564" s="173"/>
      <c r="CI564" s="173"/>
      <c r="CJ564" s="173"/>
      <c r="CK564" s="173"/>
      <c r="CL564" s="173"/>
      <c r="CM564" s="173"/>
      <c r="CN564" s="173"/>
      <c r="CO564" s="173"/>
      <c r="CP564" s="173"/>
      <c r="CQ564" s="173"/>
      <c r="CR564" s="173"/>
      <c r="CS564" s="173"/>
    </row>
    <row r="565" hidden="1">
      <c r="A565" s="173" t="str">
        <f t="shared" si="17"/>
        <v>total dissolved solids (TDS) measurement unit</v>
      </c>
      <c r="B565" s="179" t="s">
        <v>2406</v>
      </c>
      <c r="C565" s="179" t="s">
        <v>2407</v>
      </c>
      <c r="D565" s="70" t="s">
        <v>2408</v>
      </c>
      <c r="E565" s="173"/>
      <c r="F565" s="168"/>
      <c r="G565" s="168"/>
      <c r="H565" s="168" t="s">
        <v>25</v>
      </c>
      <c r="I565" s="168" t="s">
        <v>25</v>
      </c>
      <c r="J565" s="168" t="s">
        <v>25</v>
      </c>
      <c r="K565" s="163" t="str">
        <f>VLOOKUP(C565,'Term Reference Guide'!$C:$C,1,false)</f>
        <v>UO:0000175</v>
      </c>
      <c r="L565" s="173"/>
      <c r="M565" s="173"/>
      <c r="N565" s="173"/>
      <c r="O565" s="173"/>
      <c r="P565" s="173"/>
      <c r="Q565" s="173"/>
      <c r="R565" s="173"/>
      <c r="S565" s="173"/>
      <c r="T565" s="173"/>
      <c r="U565" s="173"/>
      <c r="V565" s="173"/>
      <c r="W565" s="173"/>
      <c r="X565" s="173"/>
      <c r="Y565" s="173"/>
      <c r="Z565" s="173"/>
      <c r="AA565" s="173"/>
      <c r="AB565" s="173"/>
      <c r="AC565" s="173"/>
      <c r="AD565" s="173"/>
      <c r="AE565" s="173"/>
      <c r="AF565" s="173"/>
      <c r="AG565" s="173"/>
      <c r="AH565" s="173"/>
      <c r="AI565" s="173"/>
      <c r="AJ565" s="173"/>
      <c r="AK565" s="173"/>
      <c r="AL565" s="173"/>
      <c r="AM565" s="173"/>
      <c r="AN565" s="173"/>
      <c r="AO565" s="173"/>
      <c r="AP565" s="173"/>
      <c r="AQ565" s="173"/>
      <c r="AR565" s="173"/>
      <c r="AS565" s="173"/>
      <c r="AT565" s="173"/>
      <c r="AU565" s="173"/>
      <c r="AV565" s="173"/>
      <c r="AW565" s="173"/>
      <c r="AX565" s="173"/>
      <c r="AY565" s="173"/>
      <c r="AZ565" s="173"/>
      <c r="BA565" s="173"/>
      <c r="BB565" s="173"/>
      <c r="BC565" s="173"/>
      <c r="BD565" s="173"/>
      <c r="BE565" s="173"/>
      <c r="BF565" s="173"/>
      <c r="BG565" s="173"/>
      <c r="BH565" s="173"/>
      <c r="BI565" s="173"/>
      <c r="BJ565" s="173"/>
      <c r="BK565" s="173"/>
      <c r="BL565" s="173"/>
      <c r="BM565" s="173"/>
      <c r="BN565" s="173"/>
      <c r="BO565" s="173"/>
      <c r="BP565" s="173"/>
      <c r="BQ565" s="173"/>
      <c r="BR565" s="173"/>
      <c r="BS565" s="173"/>
      <c r="BT565" s="173"/>
      <c r="BU565" s="173"/>
      <c r="BV565" s="173"/>
      <c r="BW565" s="173"/>
      <c r="BX565" s="173"/>
      <c r="BY565" s="173"/>
      <c r="BZ565" s="173"/>
      <c r="CA565" s="173"/>
      <c r="CB565" s="173"/>
      <c r="CC565" s="173"/>
      <c r="CD565" s="173"/>
      <c r="CE565" s="173"/>
      <c r="CF565" s="173"/>
      <c r="CG565" s="173"/>
      <c r="CH565" s="173"/>
      <c r="CI565" s="173"/>
      <c r="CJ565" s="173"/>
      <c r="CK565" s="173"/>
      <c r="CL565" s="173"/>
      <c r="CM565" s="173"/>
      <c r="CN565" s="173"/>
      <c r="CO565" s="173"/>
      <c r="CP565" s="173"/>
      <c r="CQ565" s="173"/>
      <c r="CR565" s="173"/>
      <c r="CS565" s="173"/>
    </row>
    <row r="566">
      <c r="A566" s="173"/>
      <c r="B566" s="173"/>
      <c r="C566" s="173"/>
      <c r="D566" s="141"/>
      <c r="E566" s="173"/>
      <c r="F566" s="173"/>
      <c r="G566" s="173"/>
      <c r="H566" s="173"/>
      <c r="I566" s="173"/>
      <c r="J566" s="141"/>
      <c r="K566" s="163" t="str">
        <f>VLOOKUP(C566,'Term Reference Guide'!$C:$C,1,false)</f>
        <v>#N/A</v>
      </c>
      <c r="L566" s="173"/>
      <c r="M566" s="173"/>
      <c r="N566" s="173"/>
      <c r="O566" s="173"/>
      <c r="P566" s="173"/>
      <c r="Q566" s="173"/>
      <c r="R566" s="173"/>
      <c r="S566" s="173"/>
      <c r="T566" s="173"/>
      <c r="U566" s="173"/>
      <c r="V566" s="173"/>
      <c r="W566" s="173"/>
      <c r="X566" s="173"/>
      <c r="Y566" s="173"/>
      <c r="Z566" s="173"/>
      <c r="AA566" s="173"/>
      <c r="AB566" s="173"/>
      <c r="AC566" s="173"/>
      <c r="AD566" s="173"/>
      <c r="AE566" s="173"/>
      <c r="AF566" s="173"/>
      <c r="AG566" s="173"/>
      <c r="AH566" s="173"/>
      <c r="AI566" s="173"/>
      <c r="AJ566" s="173"/>
      <c r="AK566" s="173"/>
      <c r="AL566" s="173"/>
      <c r="AM566" s="173"/>
      <c r="AN566" s="173"/>
      <c r="AO566" s="173"/>
      <c r="AP566" s="173"/>
      <c r="AQ566" s="173"/>
      <c r="AR566" s="173"/>
      <c r="AS566" s="173"/>
      <c r="AT566" s="173"/>
      <c r="AU566" s="173"/>
      <c r="AV566" s="173"/>
      <c r="AW566" s="173"/>
      <c r="AX566" s="173"/>
      <c r="AY566" s="173"/>
      <c r="AZ566" s="173"/>
      <c r="BA566" s="173"/>
      <c r="BB566" s="173"/>
      <c r="BC566" s="173"/>
      <c r="BD566" s="173"/>
      <c r="BE566" s="173"/>
      <c r="BF566" s="173"/>
      <c r="BG566" s="173"/>
      <c r="BH566" s="173"/>
      <c r="BI566" s="173"/>
      <c r="BJ566" s="173"/>
      <c r="BK566" s="173"/>
      <c r="BL566" s="173"/>
      <c r="BM566" s="173"/>
      <c r="BN566" s="173"/>
      <c r="BO566" s="173"/>
      <c r="BP566" s="173"/>
      <c r="BQ566" s="173"/>
      <c r="BR566" s="173"/>
      <c r="BS566" s="173"/>
      <c r="BT566" s="173"/>
      <c r="BU566" s="173"/>
      <c r="BV566" s="173"/>
      <c r="BW566" s="173"/>
      <c r="BX566" s="173"/>
      <c r="BY566" s="173"/>
      <c r="BZ566" s="173"/>
      <c r="CA566" s="173"/>
      <c r="CB566" s="173"/>
      <c r="CC566" s="173"/>
      <c r="CD566" s="173"/>
      <c r="CE566" s="173"/>
      <c r="CF566" s="173"/>
      <c r="CG566" s="173"/>
      <c r="CH566" s="173"/>
      <c r="CI566" s="173"/>
      <c r="CJ566" s="173"/>
      <c r="CK566" s="173"/>
      <c r="CL566" s="173"/>
      <c r="CM566" s="173"/>
      <c r="CN566" s="173"/>
      <c r="CO566" s="173"/>
      <c r="CP566" s="173"/>
      <c r="CQ566" s="173"/>
      <c r="CR566" s="173"/>
      <c r="CS566" s="173"/>
    </row>
    <row r="567">
      <c r="A567" s="170" t="s">
        <v>517</v>
      </c>
      <c r="B567" s="156"/>
      <c r="C567" s="156"/>
      <c r="D567" s="139"/>
      <c r="E567" s="156"/>
      <c r="F567" s="156"/>
      <c r="G567" s="156"/>
      <c r="H567" s="164"/>
      <c r="I567" s="164"/>
      <c r="J567" s="171"/>
      <c r="K567" s="163" t="str">
        <f>VLOOKUP(C567,'Term Reference Guide'!$C:$C,1,false)</f>
        <v>#N/A</v>
      </c>
      <c r="L567" s="163"/>
      <c r="M567" s="163"/>
      <c r="N567" s="163"/>
      <c r="O567" s="163"/>
      <c r="P567" s="163"/>
      <c r="Q567" s="163"/>
      <c r="R567" s="163"/>
      <c r="S567" s="163"/>
      <c r="T567" s="163"/>
      <c r="U567" s="163"/>
      <c r="V567" s="163"/>
      <c r="W567" s="163"/>
      <c r="X567" s="163"/>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c r="BP567" s="41"/>
      <c r="BQ567" s="41"/>
      <c r="BR567" s="41"/>
      <c r="BS567" s="41"/>
      <c r="BT567" s="41"/>
      <c r="BU567" s="41"/>
      <c r="BV567" s="41"/>
      <c r="BW567" s="41"/>
      <c r="BX567" s="41"/>
      <c r="BY567" s="41"/>
      <c r="BZ567" s="41"/>
      <c r="CA567" s="41"/>
      <c r="CB567" s="41"/>
      <c r="CC567" s="41"/>
      <c r="CD567" s="41"/>
      <c r="CE567" s="41"/>
      <c r="CF567" s="41"/>
      <c r="CG567" s="41"/>
      <c r="CH567" s="41"/>
      <c r="CI567" s="41"/>
      <c r="CJ567" s="41"/>
      <c r="CK567" s="41"/>
      <c r="CL567" s="41"/>
      <c r="CM567" s="41"/>
      <c r="CN567" s="41"/>
      <c r="CO567" s="41"/>
      <c r="CP567" s="41"/>
      <c r="CQ567" s="41"/>
      <c r="CR567" s="41"/>
      <c r="CS567" s="41"/>
    </row>
    <row r="568" hidden="1">
      <c r="A568" s="173" t="str">
        <f t="shared" ref="A568:A569" si="18">A$567</f>
        <v>total solids (TS) measurement unit</v>
      </c>
      <c r="B568" s="179" t="s">
        <v>494</v>
      </c>
      <c r="C568" s="179" t="s">
        <v>2404</v>
      </c>
      <c r="D568" s="70" t="s">
        <v>2405</v>
      </c>
      <c r="E568" s="173"/>
      <c r="F568" s="168"/>
      <c r="G568" s="168"/>
      <c r="H568" s="168" t="s">
        <v>25</v>
      </c>
      <c r="I568" s="168" t="s">
        <v>25</v>
      </c>
      <c r="J568" s="168" t="s">
        <v>25</v>
      </c>
      <c r="K568" s="163" t="str">
        <f>VLOOKUP(C568,'Term Reference Guide'!$C:$C,1,false)</f>
        <v>UO:0000187</v>
      </c>
      <c r="L568" s="173"/>
      <c r="M568" s="173"/>
      <c r="N568" s="173"/>
      <c r="O568" s="173"/>
      <c r="P568" s="173"/>
      <c r="Q568" s="173"/>
      <c r="R568" s="173"/>
      <c r="S568" s="173"/>
      <c r="T568" s="173"/>
      <c r="U568" s="173"/>
      <c r="V568" s="173"/>
      <c r="W568" s="173"/>
      <c r="X568" s="173"/>
      <c r="Y568" s="173"/>
      <c r="Z568" s="173"/>
      <c r="AA568" s="173"/>
      <c r="AB568" s="173"/>
      <c r="AC568" s="173"/>
      <c r="AD568" s="173"/>
      <c r="AE568" s="173"/>
      <c r="AF568" s="173"/>
      <c r="AG568" s="173"/>
      <c r="AH568" s="173"/>
      <c r="AI568" s="173"/>
      <c r="AJ568" s="173"/>
      <c r="AK568" s="173"/>
      <c r="AL568" s="173"/>
      <c r="AM568" s="173"/>
      <c r="AN568" s="173"/>
      <c r="AO568" s="173"/>
      <c r="AP568" s="173"/>
      <c r="AQ568" s="173"/>
      <c r="AR568" s="173"/>
      <c r="AS568" s="173"/>
      <c r="AT568" s="173"/>
      <c r="AU568" s="173"/>
      <c r="AV568" s="173"/>
      <c r="AW568" s="173"/>
      <c r="AX568" s="173"/>
      <c r="AY568" s="173"/>
      <c r="AZ568" s="173"/>
      <c r="BA568" s="173"/>
      <c r="BB568" s="173"/>
      <c r="BC568" s="173"/>
      <c r="BD568" s="173"/>
      <c r="BE568" s="173"/>
      <c r="BF568" s="173"/>
      <c r="BG568" s="173"/>
      <c r="BH568" s="173"/>
      <c r="BI568" s="173"/>
      <c r="BJ568" s="173"/>
      <c r="BK568" s="173"/>
      <c r="BL568" s="173"/>
      <c r="BM568" s="173"/>
      <c r="BN568" s="173"/>
      <c r="BO568" s="173"/>
      <c r="BP568" s="173"/>
      <c r="BQ568" s="173"/>
      <c r="BR568" s="173"/>
      <c r="BS568" s="173"/>
      <c r="BT568" s="173"/>
      <c r="BU568" s="173"/>
      <c r="BV568" s="173"/>
      <c r="BW568" s="173"/>
      <c r="BX568" s="173"/>
      <c r="BY568" s="173"/>
      <c r="BZ568" s="173"/>
      <c r="CA568" s="173"/>
      <c r="CB568" s="173"/>
      <c r="CC568" s="173"/>
      <c r="CD568" s="173"/>
      <c r="CE568" s="173"/>
      <c r="CF568" s="173"/>
      <c r="CG568" s="173"/>
      <c r="CH568" s="173"/>
      <c r="CI568" s="173"/>
      <c r="CJ568" s="173"/>
      <c r="CK568" s="173"/>
      <c r="CL568" s="173"/>
      <c r="CM568" s="173"/>
      <c r="CN568" s="173"/>
      <c r="CO568" s="173"/>
      <c r="CP568" s="173"/>
      <c r="CQ568" s="173"/>
      <c r="CR568" s="173"/>
      <c r="CS568" s="173"/>
    </row>
    <row r="569" hidden="1">
      <c r="A569" s="173" t="str">
        <f t="shared" si="18"/>
        <v>total solids (TS) measurement unit</v>
      </c>
      <c r="B569" s="179" t="s">
        <v>2406</v>
      </c>
      <c r="C569" s="179" t="s">
        <v>2407</v>
      </c>
      <c r="D569" s="70" t="s">
        <v>2408</v>
      </c>
      <c r="E569" s="173"/>
      <c r="F569" s="168"/>
      <c r="G569" s="168"/>
      <c r="H569" s="168" t="s">
        <v>25</v>
      </c>
      <c r="I569" s="168" t="s">
        <v>25</v>
      </c>
      <c r="J569" s="168" t="s">
        <v>25</v>
      </c>
      <c r="K569" s="163" t="str">
        <f>VLOOKUP(C569,'Term Reference Guide'!$C:$C,1,false)</f>
        <v>UO:0000175</v>
      </c>
      <c r="L569" s="173"/>
      <c r="M569" s="173"/>
      <c r="N569" s="173"/>
      <c r="O569" s="173"/>
      <c r="P569" s="173"/>
      <c r="Q569" s="173"/>
      <c r="R569" s="173"/>
      <c r="S569" s="173"/>
      <c r="T569" s="173"/>
      <c r="U569" s="173"/>
      <c r="V569" s="173"/>
      <c r="W569" s="173"/>
      <c r="X569" s="173"/>
      <c r="Y569" s="173"/>
      <c r="Z569" s="173"/>
      <c r="AA569" s="173"/>
      <c r="AB569" s="173"/>
      <c r="AC569" s="173"/>
      <c r="AD569" s="173"/>
      <c r="AE569" s="173"/>
      <c r="AF569" s="173"/>
      <c r="AG569" s="173"/>
      <c r="AH569" s="173"/>
      <c r="AI569" s="173"/>
      <c r="AJ569" s="173"/>
      <c r="AK569" s="173"/>
      <c r="AL569" s="173"/>
      <c r="AM569" s="173"/>
      <c r="AN569" s="173"/>
      <c r="AO569" s="173"/>
      <c r="AP569" s="173"/>
      <c r="AQ569" s="173"/>
      <c r="AR569" s="173"/>
      <c r="AS569" s="173"/>
      <c r="AT569" s="173"/>
      <c r="AU569" s="173"/>
      <c r="AV569" s="173"/>
      <c r="AW569" s="173"/>
      <c r="AX569" s="173"/>
      <c r="AY569" s="173"/>
      <c r="AZ569" s="173"/>
      <c r="BA569" s="173"/>
      <c r="BB569" s="173"/>
      <c r="BC569" s="173"/>
      <c r="BD569" s="173"/>
      <c r="BE569" s="173"/>
      <c r="BF569" s="173"/>
      <c r="BG569" s="173"/>
      <c r="BH569" s="173"/>
      <c r="BI569" s="173"/>
      <c r="BJ569" s="173"/>
      <c r="BK569" s="173"/>
      <c r="BL569" s="173"/>
      <c r="BM569" s="173"/>
      <c r="BN569" s="173"/>
      <c r="BO569" s="173"/>
      <c r="BP569" s="173"/>
      <c r="BQ569" s="173"/>
      <c r="BR569" s="173"/>
      <c r="BS569" s="173"/>
      <c r="BT569" s="173"/>
      <c r="BU569" s="173"/>
      <c r="BV569" s="173"/>
      <c r="BW569" s="173"/>
      <c r="BX569" s="173"/>
      <c r="BY569" s="173"/>
      <c r="BZ569" s="173"/>
      <c r="CA569" s="173"/>
      <c r="CB569" s="173"/>
      <c r="CC569" s="173"/>
      <c r="CD569" s="173"/>
      <c r="CE569" s="173"/>
      <c r="CF569" s="173"/>
      <c r="CG569" s="173"/>
      <c r="CH569" s="173"/>
      <c r="CI569" s="173"/>
      <c r="CJ569" s="173"/>
      <c r="CK569" s="173"/>
      <c r="CL569" s="173"/>
      <c r="CM569" s="173"/>
      <c r="CN569" s="173"/>
      <c r="CO569" s="173"/>
      <c r="CP569" s="173"/>
      <c r="CQ569" s="173"/>
      <c r="CR569" s="173"/>
      <c r="CS569" s="173"/>
    </row>
    <row r="570">
      <c r="A570" s="173"/>
      <c r="B570" s="173"/>
      <c r="C570" s="173"/>
      <c r="D570" s="141"/>
      <c r="E570" s="173"/>
      <c r="F570" s="173"/>
      <c r="G570" s="173"/>
      <c r="H570" s="173"/>
      <c r="I570" s="173"/>
      <c r="J570" s="141"/>
      <c r="K570" s="163" t="str">
        <f>VLOOKUP(C570,'Term Reference Guide'!$C:$C,1,false)</f>
        <v>#N/A</v>
      </c>
      <c r="L570" s="173"/>
      <c r="M570" s="173"/>
      <c r="N570" s="173"/>
      <c r="O570" s="173"/>
      <c r="P570" s="173"/>
      <c r="Q570" s="173"/>
      <c r="R570" s="173"/>
      <c r="S570" s="173"/>
      <c r="T570" s="173"/>
      <c r="U570" s="173"/>
      <c r="V570" s="173"/>
      <c r="W570" s="173"/>
      <c r="X570" s="173"/>
      <c r="Y570" s="173"/>
      <c r="Z570" s="173"/>
      <c r="AA570" s="173"/>
      <c r="AB570" s="173"/>
      <c r="AC570" s="173"/>
      <c r="AD570" s="173"/>
      <c r="AE570" s="173"/>
      <c r="AF570" s="173"/>
      <c r="AG570" s="173"/>
      <c r="AH570" s="173"/>
      <c r="AI570" s="173"/>
      <c r="AJ570" s="173"/>
      <c r="AK570" s="173"/>
      <c r="AL570" s="173"/>
      <c r="AM570" s="173"/>
      <c r="AN570" s="173"/>
      <c r="AO570" s="173"/>
      <c r="AP570" s="173"/>
      <c r="AQ570" s="173"/>
      <c r="AR570" s="173"/>
      <c r="AS570" s="173"/>
      <c r="AT570" s="173"/>
      <c r="AU570" s="173"/>
      <c r="AV570" s="173"/>
      <c r="AW570" s="173"/>
      <c r="AX570" s="173"/>
      <c r="AY570" s="173"/>
      <c r="AZ570" s="173"/>
      <c r="BA570" s="173"/>
      <c r="BB570" s="173"/>
      <c r="BC570" s="173"/>
      <c r="BD570" s="173"/>
      <c r="BE570" s="173"/>
      <c r="BF570" s="173"/>
      <c r="BG570" s="173"/>
      <c r="BH570" s="173"/>
      <c r="BI570" s="173"/>
      <c r="BJ570" s="173"/>
      <c r="BK570" s="173"/>
      <c r="BL570" s="173"/>
      <c r="BM570" s="173"/>
      <c r="BN570" s="173"/>
      <c r="BO570" s="173"/>
      <c r="BP570" s="173"/>
      <c r="BQ570" s="173"/>
      <c r="BR570" s="173"/>
      <c r="BS570" s="173"/>
      <c r="BT570" s="173"/>
      <c r="BU570" s="173"/>
      <c r="BV570" s="173"/>
      <c r="BW570" s="173"/>
      <c r="BX570" s="173"/>
      <c r="BY570" s="173"/>
      <c r="BZ570" s="173"/>
      <c r="CA570" s="173"/>
      <c r="CB570" s="173"/>
      <c r="CC570" s="173"/>
      <c r="CD570" s="173"/>
      <c r="CE570" s="173"/>
      <c r="CF570" s="173"/>
      <c r="CG570" s="173"/>
      <c r="CH570" s="173"/>
      <c r="CI570" s="173"/>
      <c r="CJ570" s="173"/>
      <c r="CK570" s="173"/>
      <c r="CL570" s="173"/>
      <c r="CM570" s="173"/>
      <c r="CN570" s="173"/>
      <c r="CO570" s="173"/>
      <c r="CP570" s="173"/>
      <c r="CQ570" s="173"/>
      <c r="CR570" s="173"/>
      <c r="CS570" s="173"/>
    </row>
    <row r="571">
      <c r="A571" s="170" t="s">
        <v>530</v>
      </c>
      <c r="B571" s="156"/>
      <c r="C571" s="156"/>
      <c r="D571" s="139"/>
      <c r="E571" s="156"/>
      <c r="F571" s="156"/>
      <c r="G571" s="156"/>
      <c r="H571" s="164"/>
      <c r="I571" s="164"/>
      <c r="J571" s="171"/>
      <c r="K571" s="163" t="str">
        <f>VLOOKUP(C571,'Term Reference Guide'!$C:$C,1,false)</f>
        <v>#N/A</v>
      </c>
      <c r="L571" s="163"/>
      <c r="M571" s="163"/>
      <c r="N571" s="163"/>
      <c r="O571" s="163"/>
      <c r="P571" s="163"/>
      <c r="Q571" s="163"/>
      <c r="R571" s="163"/>
      <c r="S571" s="163"/>
      <c r="T571" s="163"/>
      <c r="U571" s="163"/>
      <c r="V571" s="163"/>
      <c r="W571" s="163"/>
      <c r="X571" s="163"/>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c r="BP571" s="41"/>
      <c r="BQ571" s="41"/>
      <c r="BR571" s="41"/>
      <c r="BS571" s="41"/>
      <c r="BT571" s="41"/>
      <c r="BU571" s="41"/>
      <c r="BV571" s="41"/>
      <c r="BW571" s="41"/>
      <c r="BX571" s="41"/>
      <c r="BY571" s="41"/>
      <c r="BZ571" s="41"/>
      <c r="CA571" s="41"/>
      <c r="CB571" s="41"/>
      <c r="CC571" s="41"/>
      <c r="CD571" s="41"/>
      <c r="CE571" s="41"/>
      <c r="CF571" s="41"/>
      <c r="CG571" s="41"/>
      <c r="CH571" s="41"/>
      <c r="CI571" s="41"/>
      <c r="CJ571" s="41"/>
      <c r="CK571" s="41"/>
      <c r="CL571" s="41"/>
      <c r="CM571" s="41"/>
      <c r="CN571" s="41"/>
      <c r="CO571" s="41"/>
      <c r="CP571" s="41"/>
      <c r="CQ571" s="41"/>
      <c r="CR571" s="41"/>
      <c r="CS571" s="41"/>
    </row>
    <row r="572">
      <c r="A572" s="173" t="str">
        <f t="shared" ref="A572:A574" si="19">A$571</f>
        <v>alkalinity measurement unit</v>
      </c>
      <c r="B572" s="179" t="s">
        <v>2409</v>
      </c>
      <c r="C572" s="179" t="s">
        <v>2367</v>
      </c>
      <c r="D572" s="70" t="s">
        <v>2410</v>
      </c>
      <c r="E572" s="173"/>
      <c r="F572" s="168"/>
      <c r="G572" s="168"/>
      <c r="H572" s="168" t="s">
        <v>25</v>
      </c>
      <c r="I572" s="168" t="s">
        <v>25</v>
      </c>
      <c r="J572" s="168" t="s">
        <v>25</v>
      </c>
      <c r="K572" s="163" t="str">
        <f>VLOOKUP(C572,'Term Reference Guide'!$C:$C,1,false)</f>
        <v>#N/A</v>
      </c>
      <c r="L572" s="173"/>
      <c r="M572" s="173"/>
      <c r="N572" s="173"/>
      <c r="O572" s="173"/>
      <c r="P572" s="173"/>
      <c r="Q572" s="173"/>
      <c r="R572" s="173"/>
      <c r="S572" s="173"/>
      <c r="T572" s="173"/>
      <c r="U572" s="173"/>
      <c r="V572" s="173"/>
      <c r="W572" s="173"/>
      <c r="X572" s="173"/>
      <c r="Y572" s="173"/>
      <c r="Z572" s="173"/>
      <c r="AA572" s="173"/>
      <c r="AB572" s="173"/>
      <c r="AC572" s="173"/>
      <c r="AD572" s="173"/>
      <c r="AE572" s="173"/>
      <c r="AF572" s="173"/>
      <c r="AG572" s="173"/>
      <c r="AH572" s="173"/>
      <c r="AI572" s="173"/>
      <c r="AJ572" s="173"/>
      <c r="AK572" s="173"/>
      <c r="AL572" s="173"/>
      <c r="AM572" s="173"/>
      <c r="AN572" s="173"/>
      <c r="AO572" s="173"/>
      <c r="AP572" s="173"/>
      <c r="AQ572" s="173"/>
      <c r="AR572" s="173"/>
      <c r="AS572" s="173"/>
      <c r="AT572" s="173"/>
      <c r="AU572" s="173"/>
      <c r="AV572" s="173"/>
      <c r="AW572" s="173"/>
      <c r="AX572" s="173"/>
      <c r="AY572" s="173"/>
      <c r="AZ572" s="173"/>
      <c r="BA572" s="173"/>
      <c r="BB572" s="173"/>
      <c r="BC572" s="173"/>
      <c r="BD572" s="173"/>
      <c r="BE572" s="173"/>
      <c r="BF572" s="173"/>
      <c r="BG572" s="173"/>
      <c r="BH572" s="173"/>
      <c r="BI572" s="173"/>
      <c r="BJ572" s="173"/>
      <c r="BK572" s="173"/>
      <c r="BL572" s="173"/>
      <c r="BM572" s="173"/>
      <c r="BN572" s="173"/>
      <c r="BO572" s="173"/>
      <c r="BP572" s="173"/>
      <c r="BQ572" s="173"/>
      <c r="BR572" s="173"/>
      <c r="BS572" s="173"/>
      <c r="BT572" s="173"/>
      <c r="BU572" s="173"/>
      <c r="BV572" s="173"/>
      <c r="BW572" s="173"/>
      <c r="BX572" s="173"/>
      <c r="BY572" s="173"/>
      <c r="BZ572" s="173"/>
      <c r="CA572" s="173"/>
      <c r="CB572" s="173"/>
      <c r="CC572" s="173"/>
      <c r="CD572" s="173"/>
      <c r="CE572" s="173"/>
      <c r="CF572" s="173"/>
      <c r="CG572" s="173"/>
      <c r="CH572" s="173"/>
      <c r="CI572" s="173"/>
      <c r="CJ572" s="173"/>
      <c r="CK572" s="173"/>
      <c r="CL572" s="173"/>
      <c r="CM572" s="173"/>
      <c r="CN572" s="173"/>
      <c r="CO572" s="173"/>
      <c r="CP572" s="173"/>
      <c r="CQ572" s="173"/>
      <c r="CR572" s="173"/>
      <c r="CS572" s="173"/>
    </row>
    <row r="573" hidden="1">
      <c r="A573" s="173" t="str">
        <f t="shared" si="19"/>
        <v>alkalinity measurement unit</v>
      </c>
      <c r="B573" s="179" t="s">
        <v>467</v>
      </c>
      <c r="C573" s="179" t="s">
        <v>2395</v>
      </c>
      <c r="D573" s="70" t="s">
        <v>2411</v>
      </c>
      <c r="E573" s="173"/>
      <c r="F573" s="168"/>
      <c r="G573" s="168"/>
      <c r="H573" s="168" t="s">
        <v>25</v>
      </c>
      <c r="I573" s="168" t="s">
        <v>25</v>
      </c>
      <c r="J573" s="168" t="s">
        <v>25</v>
      </c>
      <c r="K573" s="163" t="str">
        <f>VLOOKUP(C573,'Term Reference Guide'!$C:$C,1,false)</f>
        <v>UO:0000273</v>
      </c>
      <c r="L573" s="173"/>
      <c r="M573" s="173"/>
      <c r="N573" s="173"/>
      <c r="O573" s="173"/>
      <c r="P573" s="173"/>
      <c r="Q573" s="173"/>
      <c r="R573" s="173"/>
      <c r="S573" s="173"/>
      <c r="T573" s="173"/>
      <c r="U573" s="173"/>
      <c r="V573" s="173"/>
      <c r="W573" s="173"/>
      <c r="X573" s="173"/>
      <c r="Y573" s="173"/>
      <c r="Z573" s="173"/>
      <c r="AA573" s="173"/>
      <c r="AB573" s="173"/>
      <c r="AC573" s="173"/>
      <c r="AD573" s="173"/>
      <c r="AE573" s="173"/>
      <c r="AF573" s="173"/>
      <c r="AG573" s="173"/>
      <c r="AH573" s="173"/>
      <c r="AI573" s="173"/>
      <c r="AJ573" s="173"/>
      <c r="AK573" s="173"/>
      <c r="AL573" s="173"/>
      <c r="AM573" s="173"/>
      <c r="AN573" s="173"/>
      <c r="AO573" s="173"/>
      <c r="AP573" s="173"/>
      <c r="AQ573" s="173"/>
      <c r="AR573" s="173"/>
      <c r="AS573" s="173"/>
      <c r="AT573" s="173"/>
      <c r="AU573" s="173"/>
      <c r="AV573" s="173"/>
      <c r="AW573" s="173"/>
      <c r="AX573" s="173"/>
      <c r="AY573" s="173"/>
      <c r="AZ573" s="173"/>
      <c r="BA573" s="173"/>
      <c r="BB573" s="173"/>
      <c r="BC573" s="173"/>
      <c r="BD573" s="173"/>
      <c r="BE573" s="173"/>
      <c r="BF573" s="173"/>
      <c r="BG573" s="173"/>
      <c r="BH573" s="173"/>
      <c r="BI573" s="173"/>
      <c r="BJ573" s="173"/>
      <c r="BK573" s="173"/>
      <c r="BL573" s="173"/>
      <c r="BM573" s="173"/>
      <c r="BN573" s="173"/>
      <c r="BO573" s="173"/>
      <c r="BP573" s="173"/>
      <c r="BQ573" s="173"/>
      <c r="BR573" s="173"/>
      <c r="BS573" s="173"/>
      <c r="BT573" s="173"/>
      <c r="BU573" s="173"/>
      <c r="BV573" s="173"/>
      <c r="BW573" s="173"/>
      <c r="BX573" s="173"/>
      <c r="BY573" s="173"/>
      <c r="BZ573" s="173"/>
      <c r="CA573" s="173"/>
      <c r="CB573" s="173"/>
      <c r="CC573" s="173"/>
      <c r="CD573" s="173"/>
      <c r="CE573" s="173"/>
      <c r="CF573" s="173"/>
      <c r="CG573" s="173"/>
      <c r="CH573" s="173"/>
      <c r="CI573" s="173"/>
      <c r="CJ573" s="173"/>
      <c r="CK573" s="173"/>
      <c r="CL573" s="173"/>
      <c r="CM573" s="173"/>
      <c r="CN573" s="173"/>
      <c r="CO573" s="173"/>
      <c r="CP573" s="173"/>
      <c r="CQ573" s="173"/>
      <c r="CR573" s="173"/>
      <c r="CS573" s="173"/>
    </row>
    <row r="574" hidden="1">
      <c r="A574" s="173" t="str">
        <f t="shared" si="19"/>
        <v>alkalinity measurement unit</v>
      </c>
      <c r="B574" s="179" t="s">
        <v>2412</v>
      </c>
      <c r="C574" s="179" t="s">
        <v>2400</v>
      </c>
      <c r="D574" s="70" t="s">
        <v>2413</v>
      </c>
      <c r="E574" s="173"/>
      <c r="F574" s="168"/>
      <c r="G574" s="168"/>
      <c r="H574" s="168" t="s">
        <v>25</v>
      </c>
      <c r="I574" s="168" t="s">
        <v>25</v>
      </c>
      <c r="J574" s="168" t="s">
        <v>25</v>
      </c>
      <c r="K574" s="163" t="str">
        <f>VLOOKUP(C574,'Term Reference Guide'!$C:$C,1,false)</f>
        <v>UO:0000169</v>
      </c>
      <c r="L574" s="173"/>
      <c r="M574" s="173"/>
      <c r="N574" s="173"/>
      <c r="O574" s="173"/>
      <c r="P574" s="173"/>
      <c r="Q574" s="173"/>
      <c r="R574" s="173"/>
      <c r="S574" s="173"/>
      <c r="T574" s="173"/>
      <c r="U574" s="173"/>
      <c r="V574" s="173"/>
      <c r="W574" s="173"/>
      <c r="X574" s="173"/>
      <c r="Y574" s="173"/>
      <c r="Z574" s="173"/>
      <c r="AA574" s="173"/>
      <c r="AB574" s="173"/>
      <c r="AC574" s="173"/>
      <c r="AD574" s="173"/>
      <c r="AE574" s="173"/>
      <c r="AF574" s="173"/>
      <c r="AG574" s="173"/>
      <c r="AH574" s="173"/>
      <c r="AI574" s="173"/>
      <c r="AJ574" s="173"/>
      <c r="AK574" s="173"/>
      <c r="AL574" s="173"/>
      <c r="AM574" s="173"/>
      <c r="AN574" s="173"/>
      <c r="AO574" s="173"/>
      <c r="AP574" s="173"/>
      <c r="AQ574" s="173"/>
      <c r="AR574" s="173"/>
      <c r="AS574" s="173"/>
      <c r="AT574" s="173"/>
      <c r="AU574" s="173"/>
      <c r="AV574" s="173"/>
      <c r="AW574" s="173"/>
      <c r="AX574" s="173"/>
      <c r="AY574" s="173"/>
      <c r="AZ574" s="173"/>
      <c r="BA574" s="173"/>
      <c r="BB574" s="173"/>
      <c r="BC574" s="173"/>
      <c r="BD574" s="173"/>
      <c r="BE574" s="173"/>
      <c r="BF574" s="173"/>
      <c r="BG574" s="173"/>
      <c r="BH574" s="173"/>
      <c r="BI574" s="173"/>
      <c r="BJ574" s="173"/>
      <c r="BK574" s="173"/>
      <c r="BL574" s="173"/>
      <c r="BM574" s="173"/>
      <c r="BN574" s="173"/>
      <c r="BO574" s="173"/>
      <c r="BP574" s="173"/>
      <c r="BQ574" s="173"/>
      <c r="BR574" s="173"/>
      <c r="BS574" s="173"/>
      <c r="BT574" s="173"/>
      <c r="BU574" s="173"/>
      <c r="BV574" s="173"/>
      <c r="BW574" s="173"/>
      <c r="BX574" s="173"/>
      <c r="BY574" s="173"/>
      <c r="BZ574" s="173"/>
      <c r="CA574" s="173"/>
      <c r="CB574" s="173"/>
      <c r="CC574" s="173"/>
      <c r="CD574" s="173"/>
      <c r="CE574" s="173"/>
      <c r="CF574" s="173"/>
      <c r="CG574" s="173"/>
      <c r="CH574" s="173"/>
      <c r="CI574" s="173"/>
      <c r="CJ574" s="173"/>
      <c r="CK574" s="173"/>
      <c r="CL574" s="173"/>
      <c r="CM574" s="173"/>
      <c r="CN574" s="173"/>
      <c r="CO574" s="173"/>
      <c r="CP574" s="173"/>
      <c r="CQ574" s="173"/>
      <c r="CR574" s="173"/>
      <c r="CS574" s="173"/>
    </row>
    <row r="575">
      <c r="A575" s="173"/>
      <c r="B575" s="179"/>
      <c r="C575" s="173"/>
      <c r="D575" s="141"/>
      <c r="E575" s="173"/>
      <c r="F575" s="173"/>
      <c r="G575" s="173"/>
      <c r="H575" s="173"/>
      <c r="I575" s="173"/>
      <c r="J575" s="141"/>
      <c r="K575" s="163" t="str">
        <f>VLOOKUP(C575,'Term Reference Guide'!$C:$C,1,false)</f>
        <v>#N/A</v>
      </c>
      <c r="L575" s="173"/>
      <c r="M575" s="173"/>
      <c r="N575" s="173"/>
      <c r="O575" s="173"/>
      <c r="P575" s="173"/>
      <c r="Q575" s="173"/>
      <c r="R575" s="173"/>
      <c r="S575" s="173"/>
      <c r="T575" s="173"/>
      <c r="U575" s="173"/>
      <c r="V575" s="173"/>
      <c r="W575" s="173"/>
      <c r="X575" s="173"/>
      <c r="Y575" s="173"/>
      <c r="Z575" s="173"/>
      <c r="AA575" s="173"/>
      <c r="AB575" s="173"/>
      <c r="AC575" s="173"/>
      <c r="AD575" s="173"/>
      <c r="AE575" s="173"/>
      <c r="AF575" s="173"/>
      <c r="AG575" s="173"/>
      <c r="AH575" s="173"/>
      <c r="AI575" s="173"/>
      <c r="AJ575" s="173"/>
      <c r="AK575" s="173"/>
      <c r="AL575" s="173"/>
      <c r="AM575" s="173"/>
      <c r="AN575" s="173"/>
      <c r="AO575" s="173"/>
      <c r="AP575" s="173"/>
      <c r="AQ575" s="173"/>
      <c r="AR575" s="173"/>
      <c r="AS575" s="173"/>
      <c r="AT575" s="173"/>
      <c r="AU575" s="173"/>
      <c r="AV575" s="173"/>
      <c r="AW575" s="173"/>
      <c r="AX575" s="173"/>
      <c r="AY575" s="173"/>
      <c r="AZ575" s="173"/>
      <c r="BA575" s="173"/>
      <c r="BB575" s="173"/>
      <c r="BC575" s="173"/>
      <c r="BD575" s="173"/>
      <c r="BE575" s="173"/>
      <c r="BF575" s="173"/>
      <c r="BG575" s="173"/>
      <c r="BH575" s="173"/>
      <c r="BI575" s="173"/>
      <c r="BJ575" s="173"/>
      <c r="BK575" s="173"/>
      <c r="BL575" s="173"/>
      <c r="BM575" s="173"/>
      <c r="BN575" s="173"/>
      <c r="BO575" s="173"/>
      <c r="BP575" s="173"/>
      <c r="BQ575" s="173"/>
      <c r="BR575" s="173"/>
      <c r="BS575" s="173"/>
      <c r="BT575" s="173"/>
      <c r="BU575" s="173"/>
      <c r="BV575" s="173"/>
      <c r="BW575" s="173"/>
      <c r="BX575" s="173"/>
      <c r="BY575" s="173"/>
      <c r="BZ575" s="173"/>
      <c r="CA575" s="173"/>
      <c r="CB575" s="173"/>
      <c r="CC575" s="173"/>
      <c r="CD575" s="173"/>
      <c r="CE575" s="173"/>
      <c r="CF575" s="173"/>
      <c r="CG575" s="173"/>
      <c r="CH575" s="173"/>
      <c r="CI575" s="173"/>
      <c r="CJ575" s="173"/>
      <c r="CK575" s="173"/>
      <c r="CL575" s="173"/>
      <c r="CM575" s="173"/>
      <c r="CN575" s="173"/>
      <c r="CO575" s="173"/>
      <c r="CP575" s="173"/>
      <c r="CQ575" s="173"/>
      <c r="CR575" s="173"/>
      <c r="CS575" s="173"/>
    </row>
    <row r="576">
      <c r="A576" s="170" t="s">
        <v>544</v>
      </c>
      <c r="B576" s="156"/>
      <c r="C576" s="156"/>
      <c r="D576" s="139"/>
      <c r="E576" s="156"/>
      <c r="F576" s="156"/>
      <c r="G576" s="156"/>
      <c r="H576" s="164"/>
      <c r="I576" s="164"/>
      <c r="J576" s="171"/>
      <c r="K576" s="163" t="str">
        <f>VLOOKUP(C576,'Term Reference Guide'!$C:$C,1,false)</f>
        <v>#N/A</v>
      </c>
      <c r="L576" s="163"/>
      <c r="M576" s="163"/>
      <c r="N576" s="163"/>
      <c r="O576" s="163"/>
      <c r="P576" s="163"/>
      <c r="Q576" s="163"/>
      <c r="R576" s="163"/>
      <c r="S576" s="163"/>
      <c r="T576" s="163"/>
      <c r="U576" s="163"/>
      <c r="V576" s="163"/>
      <c r="W576" s="163"/>
      <c r="X576" s="163"/>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c r="BP576" s="41"/>
      <c r="BQ576" s="41"/>
      <c r="BR576" s="41"/>
      <c r="BS576" s="41"/>
      <c r="BT576" s="41"/>
      <c r="BU576" s="41"/>
      <c r="BV576" s="41"/>
      <c r="BW576" s="41"/>
      <c r="BX576" s="41"/>
      <c r="BY576" s="41"/>
      <c r="BZ576" s="41"/>
      <c r="CA576" s="41"/>
      <c r="CB576" s="41"/>
      <c r="CC576" s="41"/>
      <c r="CD576" s="41"/>
      <c r="CE576" s="41"/>
      <c r="CF576" s="41"/>
      <c r="CG576" s="41"/>
      <c r="CH576" s="41"/>
      <c r="CI576" s="41"/>
      <c r="CJ576" s="41"/>
      <c r="CK576" s="41"/>
      <c r="CL576" s="41"/>
      <c r="CM576" s="41"/>
      <c r="CN576" s="41"/>
      <c r="CO576" s="41"/>
      <c r="CP576" s="41"/>
      <c r="CQ576" s="41"/>
      <c r="CR576" s="41"/>
      <c r="CS576" s="41"/>
    </row>
    <row r="577">
      <c r="A577" s="190" t="s">
        <v>544</v>
      </c>
      <c r="B577" s="179" t="s">
        <v>2414</v>
      </c>
      <c r="C577" s="179" t="s">
        <v>2367</v>
      </c>
      <c r="D577" s="70" t="s">
        <v>2415</v>
      </c>
      <c r="E577" s="173"/>
      <c r="F577" s="168"/>
      <c r="G577" s="168"/>
      <c r="H577" s="168" t="s">
        <v>25</v>
      </c>
      <c r="I577" s="168" t="s">
        <v>25</v>
      </c>
      <c r="J577" s="168" t="s">
        <v>25</v>
      </c>
      <c r="K577" s="163" t="str">
        <f>VLOOKUP(C577,'Term Reference Guide'!$C:$C,1,false)</f>
        <v>#N/A</v>
      </c>
      <c r="L577" s="173"/>
      <c r="M577" s="173"/>
      <c r="N577" s="173"/>
      <c r="O577" s="173"/>
      <c r="P577" s="173"/>
      <c r="Q577" s="173"/>
      <c r="R577" s="173"/>
      <c r="S577" s="173"/>
      <c r="T577" s="173"/>
      <c r="U577" s="173"/>
      <c r="V577" s="173"/>
      <c r="W577" s="173"/>
      <c r="X577" s="173"/>
      <c r="Y577" s="173"/>
      <c r="Z577" s="173"/>
      <c r="AA577" s="173"/>
      <c r="AB577" s="173"/>
      <c r="AC577" s="173"/>
      <c r="AD577" s="173"/>
      <c r="AE577" s="173"/>
      <c r="AF577" s="173"/>
      <c r="AG577" s="173"/>
      <c r="AH577" s="173"/>
      <c r="AI577" s="173"/>
      <c r="AJ577" s="173"/>
      <c r="AK577" s="173"/>
      <c r="AL577" s="173"/>
      <c r="AM577" s="173"/>
      <c r="AN577" s="173"/>
      <c r="AO577" s="173"/>
      <c r="AP577" s="173"/>
      <c r="AQ577" s="173"/>
      <c r="AR577" s="173"/>
      <c r="AS577" s="173"/>
      <c r="AT577" s="173"/>
      <c r="AU577" s="173"/>
      <c r="AV577" s="173"/>
      <c r="AW577" s="173"/>
      <c r="AX577" s="173"/>
      <c r="AY577" s="173"/>
      <c r="AZ577" s="173"/>
      <c r="BA577" s="173"/>
      <c r="BB577" s="173"/>
      <c r="BC577" s="173"/>
      <c r="BD577" s="173"/>
      <c r="BE577" s="173"/>
      <c r="BF577" s="173"/>
      <c r="BG577" s="173"/>
      <c r="BH577" s="173"/>
      <c r="BI577" s="173"/>
      <c r="BJ577" s="173"/>
      <c r="BK577" s="173"/>
      <c r="BL577" s="173"/>
      <c r="BM577" s="173"/>
      <c r="BN577" s="173"/>
      <c r="BO577" s="173"/>
      <c r="BP577" s="173"/>
      <c r="BQ577" s="173"/>
      <c r="BR577" s="173"/>
      <c r="BS577" s="173"/>
      <c r="BT577" s="173"/>
      <c r="BU577" s="173"/>
      <c r="BV577" s="173"/>
      <c r="BW577" s="173"/>
      <c r="BX577" s="173"/>
      <c r="BY577" s="173"/>
      <c r="BZ577" s="173"/>
      <c r="CA577" s="173"/>
      <c r="CB577" s="173"/>
      <c r="CC577" s="173"/>
      <c r="CD577" s="173"/>
      <c r="CE577" s="173"/>
      <c r="CF577" s="173"/>
      <c r="CG577" s="173"/>
      <c r="CH577" s="173"/>
      <c r="CI577" s="173"/>
      <c r="CJ577" s="173"/>
      <c r="CK577" s="173"/>
      <c r="CL577" s="173"/>
      <c r="CM577" s="173"/>
      <c r="CN577" s="173"/>
      <c r="CO577" s="173"/>
      <c r="CP577" s="173"/>
      <c r="CQ577" s="173"/>
      <c r="CR577" s="173"/>
      <c r="CS577" s="173"/>
    </row>
    <row r="578">
      <c r="A578" s="197" t="str">
        <f t="shared" ref="A578:A579" si="20">A$576</f>
        <v>conductivity measurement unit</v>
      </c>
      <c r="B578" s="179" t="s">
        <v>548</v>
      </c>
      <c r="C578" s="179" t="s">
        <v>2367</v>
      </c>
      <c r="D578" s="70" t="s">
        <v>2416</v>
      </c>
      <c r="E578" s="173"/>
      <c r="F578" s="168"/>
      <c r="G578" s="168"/>
      <c r="H578" s="168" t="s">
        <v>25</v>
      </c>
      <c r="I578" s="168" t="s">
        <v>25</v>
      </c>
      <c r="J578" s="168" t="s">
        <v>25</v>
      </c>
      <c r="K578" s="163" t="str">
        <f>VLOOKUP(C578,'Term Reference Guide'!$C:$C,1,false)</f>
        <v>#N/A</v>
      </c>
      <c r="L578" s="173"/>
      <c r="M578" s="173"/>
      <c r="N578" s="173"/>
      <c r="O578" s="173"/>
      <c r="P578" s="173"/>
      <c r="Q578" s="173"/>
      <c r="R578" s="173"/>
      <c r="S578" s="173"/>
      <c r="T578" s="173"/>
      <c r="U578" s="173"/>
      <c r="V578" s="173"/>
      <c r="W578" s="173"/>
      <c r="X578" s="173"/>
      <c r="Y578" s="173"/>
      <c r="Z578" s="173"/>
      <c r="AA578" s="173"/>
      <c r="AB578" s="173"/>
      <c r="AC578" s="173"/>
      <c r="AD578" s="173"/>
      <c r="AE578" s="173"/>
      <c r="AF578" s="173"/>
      <c r="AG578" s="173"/>
      <c r="AH578" s="173"/>
      <c r="AI578" s="173"/>
      <c r="AJ578" s="173"/>
      <c r="AK578" s="173"/>
      <c r="AL578" s="173"/>
      <c r="AM578" s="173"/>
      <c r="AN578" s="173"/>
      <c r="AO578" s="173"/>
      <c r="AP578" s="173"/>
      <c r="AQ578" s="173"/>
      <c r="AR578" s="173"/>
      <c r="AS578" s="173"/>
      <c r="AT578" s="173"/>
      <c r="AU578" s="173"/>
      <c r="AV578" s="173"/>
      <c r="AW578" s="173"/>
      <c r="AX578" s="173"/>
      <c r="AY578" s="173"/>
      <c r="AZ578" s="173"/>
      <c r="BA578" s="173"/>
      <c r="BB578" s="173"/>
      <c r="BC578" s="173"/>
      <c r="BD578" s="173"/>
      <c r="BE578" s="173"/>
      <c r="BF578" s="173"/>
      <c r="BG578" s="173"/>
      <c r="BH578" s="173"/>
      <c r="BI578" s="173"/>
      <c r="BJ578" s="173"/>
      <c r="BK578" s="173"/>
      <c r="BL578" s="173"/>
      <c r="BM578" s="173"/>
      <c r="BN578" s="173"/>
      <c r="BO578" s="173"/>
      <c r="BP578" s="173"/>
      <c r="BQ578" s="173"/>
      <c r="BR578" s="173"/>
      <c r="BS578" s="173"/>
      <c r="BT578" s="173"/>
      <c r="BU578" s="173"/>
      <c r="BV578" s="173"/>
      <c r="BW578" s="173"/>
      <c r="BX578" s="173"/>
      <c r="BY578" s="173"/>
      <c r="BZ578" s="173"/>
      <c r="CA578" s="173"/>
      <c r="CB578" s="173"/>
      <c r="CC578" s="173"/>
      <c r="CD578" s="173"/>
      <c r="CE578" s="173"/>
      <c r="CF578" s="173"/>
      <c r="CG578" s="173"/>
      <c r="CH578" s="173"/>
      <c r="CI578" s="173"/>
      <c r="CJ578" s="173"/>
      <c r="CK578" s="173"/>
      <c r="CL578" s="173"/>
      <c r="CM578" s="173"/>
      <c r="CN578" s="173"/>
      <c r="CO578" s="173"/>
      <c r="CP578" s="173"/>
      <c r="CQ578" s="173"/>
      <c r="CR578" s="173"/>
      <c r="CS578" s="173"/>
    </row>
    <row r="579">
      <c r="A579" s="197" t="str">
        <f t="shared" si="20"/>
        <v>conductivity measurement unit</v>
      </c>
      <c r="B579" s="179" t="s">
        <v>2417</v>
      </c>
      <c r="C579" s="179" t="s">
        <v>2367</v>
      </c>
      <c r="D579" s="70" t="s">
        <v>2418</v>
      </c>
      <c r="E579" s="173"/>
      <c r="F579" s="168"/>
      <c r="G579" s="168"/>
      <c r="H579" s="168" t="s">
        <v>25</v>
      </c>
      <c r="I579" s="168" t="s">
        <v>25</v>
      </c>
      <c r="J579" s="168" t="s">
        <v>25</v>
      </c>
      <c r="K579" s="163" t="str">
        <f>VLOOKUP(C579,'Term Reference Guide'!$C:$C,1,false)</f>
        <v>#N/A</v>
      </c>
      <c r="L579" s="173"/>
      <c r="M579" s="173"/>
      <c r="N579" s="173"/>
      <c r="O579" s="173"/>
      <c r="P579" s="173"/>
      <c r="Q579" s="173"/>
      <c r="R579" s="173"/>
      <c r="S579" s="173"/>
      <c r="T579" s="173"/>
      <c r="U579" s="173"/>
      <c r="V579" s="173"/>
      <c r="W579" s="173"/>
      <c r="X579" s="173"/>
      <c r="Y579" s="173"/>
      <c r="Z579" s="173"/>
      <c r="AA579" s="173"/>
      <c r="AB579" s="173"/>
      <c r="AC579" s="173"/>
      <c r="AD579" s="173"/>
      <c r="AE579" s="173"/>
      <c r="AF579" s="173"/>
      <c r="AG579" s="173"/>
      <c r="AH579" s="173"/>
      <c r="AI579" s="173"/>
      <c r="AJ579" s="173"/>
      <c r="AK579" s="173"/>
      <c r="AL579" s="173"/>
      <c r="AM579" s="173"/>
      <c r="AN579" s="173"/>
      <c r="AO579" s="173"/>
      <c r="AP579" s="173"/>
      <c r="AQ579" s="173"/>
      <c r="AR579" s="173"/>
      <c r="AS579" s="173"/>
      <c r="AT579" s="173"/>
      <c r="AU579" s="173"/>
      <c r="AV579" s="173"/>
      <c r="AW579" s="173"/>
      <c r="AX579" s="173"/>
      <c r="AY579" s="173"/>
      <c r="AZ579" s="173"/>
      <c r="BA579" s="173"/>
      <c r="BB579" s="173"/>
      <c r="BC579" s="173"/>
      <c r="BD579" s="173"/>
      <c r="BE579" s="173"/>
      <c r="BF579" s="173"/>
      <c r="BG579" s="173"/>
      <c r="BH579" s="173"/>
      <c r="BI579" s="173"/>
      <c r="BJ579" s="173"/>
      <c r="BK579" s="173"/>
      <c r="BL579" s="173"/>
      <c r="BM579" s="173"/>
      <c r="BN579" s="173"/>
      <c r="BO579" s="173"/>
      <c r="BP579" s="173"/>
      <c r="BQ579" s="173"/>
      <c r="BR579" s="173"/>
      <c r="BS579" s="173"/>
      <c r="BT579" s="173"/>
      <c r="BU579" s="173"/>
      <c r="BV579" s="173"/>
      <c r="BW579" s="173"/>
      <c r="BX579" s="173"/>
      <c r="BY579" s="173"/>
      <c r="BZ579" s="173"/>
      <c r="CA579" s="173"/>
      <c r="CB579" s="173"/>
      <c r="CC579" s="173"/>
      <c r="CD579" s="173"/>
      <c r="CE579" s="173"/>
      <c r="CF579" s="173"/>
      <c r="CG579" s="173"/>
      <c r="CH579" s="173"/>
      <c r="CI579" s="173"/>
      <c r="CJ579" s="173"/>
      <c r="CK579" s="173"/>
      <c r="CL579" s="173"/>
      <c r="CM579" s="173"/>
      <c r="CN579" s="173"/>
      <c r="CO579" s="173"/>
      <c r="CP579" s="173"/>
      <c r="CQ579" s="173"/>
      <c r="CR579" s="173"/>
      <c r="CS579" s="173"/>
    </row>
    <row r="580">
      <c r="A580" s="173"/>
      <c r="B580" s="173"/>
      <c r="C580" s="173"/>
      <c r="D580" s="141"/>
      <c r="E580" s="173"/>
      <c r="F580" s="173"/>
      <c r="G580" s="173"/>
      <c r="H580" s="173"/>
      <c r="I580" s="173"/>
      <c r="J580" s="141"/>
      <c r="K580" s="163" t="str">
        <f>VLOOKUP(C580,'Term Reference Guide'!$C:$C,1,false)</f>
        <v>#N/A</v>
      </c>
      <c r="L580" s="173"/>
      <c r="M580" s="173"/>
      <c r="N580" s="173"/>
      <c r="O580" s="173"/>
      <c r="P580" s="173"/>
      <c r="Q580" s="173"/>
      <c r="R580" s="173"/>
      <c r="S580" s="173"/>
      <c r="T580" s="173"/>
      <c r="U580" s="173"/>
      <c r="V580" s="173"/>
      <c r="W580" s="173"/>
      <c r="X580" s="173"/>
      <c r="Y580" s="173"/>
      <c r="Z580" s="173"/>
      <c r="AA580" s="173"/>
      <c r="AB580" s="173"/>
      <c r="AC580" s="173"/>
      <c r="AD580" s="173"/>
      <c r="AE580" s="173"/>
      <c r="AF580" s="173"/>
      <c r="AG580" s="173"/>
      <c r="AH580" s="173"/>
      <c r="AI580" s="173"/>
      <c r="AJ580" s="173"/>
      <c r="AK580" s="173"/>
      <c r="AL580" s="173"/>
      <c r="AM580" s="173"/>
      <c r="AN580" s="173"/>
      <c r="AO580" s="173"/>
      <c r="AP580" s="173"/>
      <c r="AQ580" s="173"/>
      <c r="AR580" s="173"/>
      <c r="AS580" s="173"/>
      <c r="AT580" s="173"/>
      <c r="AU580" s="173"/>
      <c r="AV580" s="173"/>
      <c r="AW580" s="173"/>
      <c r="AX580" s="173"/>
      <c r="AY580" s="173"/>
      <c r="AZ580" s="173"/>
      <c r="BA580" s="173"/>
      <c r="BB580" s="173"/>
      <c r="BC580" s="173"/>
      <c r="BD580" s="173"/>
      <c r="BE580" s="173"/>
      <c r="BF580" s="173"/>
      <c r="BG580" s="173"/>
      <c r="BH580" s="173"/>
      <c r="BI580" s="173"/>
      <c r="BJ580" s="173"/>
      <c r="BK580" s="173"/>
      <c r="BL580" s="173"/>
      <c r="BM580" s="173"/>
      <c r="BN580" s="173"/>
      <c r="BO580" s="173"/>
      <c r="BP580" s="173"/>
      <c r="BQ580" s="173"/>
      <c r="BR580" s="173"/>
      <c r="BS580" s="173"/>
      <c r="BT580" s="173"/>
      <c r="BU580" s="173"/>
      <c r="BV580" s="173"/>
      <c r="BW580" s="173"/>
      <c r="BX580" s="173"/>
      <c r="BY580" s="173"/>
      <c r="BZ580" s="173"/>
      <c r="CA580" s="173"/>
      <c r="CB580" s="173"/>
      <c r="CC580" s="173"/>
      <c r="CD580" s="173"/>
      <c r="CE580" s="173"/>
      <c r="CF580" s="173"/>
      <c r="CG580" s="173"/>
      <c r="CH580" s="173"/>
      <c r="CI580" s="173"/>
      <c r="CJ580" s="173"/>
      <c r="CK580" s="173"/>
      <c r="CL580" s="173"/>
      <c r="CM580" s="173"/>
      <c r="CN580" s="173"/>
      <c r="CO580" s="173"/>
      <c r="CP580" s="173"/>
      <c r="CQ580" s="173"/>
      <c r="CR580" s="173"/>
      <c r="CS580" s="173"/>
    </row>
    <row r="581">
      <c r="A581" s="170" t="s">
        <v>558</v>
      </c>
      <c r="B581" s="156"/>
      <c r="C581" s="156"/>
      <c r="D581" s="139"/>
      <c r="E581" s="156"/>
      <c r="F581" s="156"/>
      <c r="G581" s="156"/>
      <c r="H581" s="164"/>
      <c r="I581" s="164"/>
      <c r="J581" s="171"/>
      <c r="K581" s="163" t="str">
        <f>VLOOKUP(C581,'Term Reference Guide'!$C:$C,1,false)</f>
        <v>#N/A</v>
      </c>
      <c r="L581" s="163"/>
      <c r="M581" s="163"/>
      <c r="N581" s="163"/>
      <c r="O581" s="163"/>
      <c r="P581" s="163"/>
      <c r="Q581" s="163"/>
      <c r="R581" s="163"/>
      <c r="S581" s="163"/>
      <c r="T581" s="163"/>
      <c r="U581" s="163"/>
      <c r="V581" s="163"/>
      <c r="W581" s="163"/>
      <c r="X581" s="163"/>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c r="BP581" s="41"/>
      <c r="BQ581" s="41"/>
      <c r="BR581" s="41"/>
      <c r="BS581" s="41"/>
      <c r="BT581" s="41"/>
      <c r="BU581" s="41"/>
      <c r="BV581" s="41"/>
      <c r="BW581" s="41"/>
      <c r="BX581" s="41"/>
      <c r="BY581" s="41"/>
      <c r="BZ581" s="41"/>
      <c r="CA581" s="41"/>
      <c r="CB581" s="41"/>
      <c r="CC581" s="41"/>
      <c r="CD581" s="41"/>
      <c r="CE581" s="41"/>
      <c r="CF581" s="41"/>
      <c r="CG581" s="41"/>
      <c r="CH581" s="41"/>
      <c r="CI581" s="41"/>
      <c r="CJ581" s="41"/>
      <c r="CK581" s="41"/>
      <c r="CL581" s="41"/>
      <c r="CM581" s="41"/>
      <c r="CN581" s="41"/>
      <c r="CO581" s="41"/>
      <c r="CP581" s="41"/>
      <c r="CQ581" s="41"/>
      <c r="CR581" s="41"/>
      <c r="CS581" s="41"/>
    </row>
    <row r="582">
      <c r="A582" s="179" t="s">
        <v>558</v>
      </c>
      <c r="B582" s="179" t="s">
        <v>562</v>
      </c>
      <c r="C582" s="179" t="s">
        <v>2367</v>
      </c>
      <c r="D582" s="70" t="s">
        <v>2419</v>
      </c>
      <c r="E582" s="173"/>
      <c r="F582" s="168"/>
      <c r="G582" s="168"/>
      <c r="H582" s="168" t="s">
        <v>25</v>
      </c>
      <c r="I582" s="168" t="s">
        <v>25</v>
      </c>
      <c r="J582" s="168" t="s">
        <v>25</v>
      </c>
      <c r="K582" s="163" t="str">
        <f>VLOOKUP(C582,'Term Reference Guide'!$C:$C,1,false)</f>
        <v>#N/A</v>
      </c>
      <c r="L582" s="173"/>
      <c r="M582" s="173"/>
      <c r="N582" s="173"/>
      <c r="O582" s="173"/>
      <c r="P582" s="173"/>
      <c r="Q582" s="173"/>
      <c r="R582" s="173"/>
      <c r="S582" s="173"/>
      <c r="T582" s="173"/>
      <c r="U582" s="173"/>
      <c r="V582" s="173"/>
      <c r="W582" s="173"/>
      <c r="X582" s="173"/>
      <c r="Y582" s="173"/>
      <c r="Z582" s="173"/>
      <c r="AA582" s="173"/>
      <c r="AB582" s="173"/>
      <c r="AC582" s="173"/>
      <c r="AD582" s="173"/>
      <c r="AE582" s="173"/>
      <c r="AF582" s="173"/>
      <c r="AG582" s="173"/>
      <c r="AH582" s="173"/>
      <c r="AI582" s="173"/>
      <c r="AJ582" s="173"/>
      <c r="AK582" s="173"/>
      <c r="AL582" s="173"/>
      <c r="AM582" s="173"/>
      <c r="AN582" s="173"/>
      <c r="AO582" s="173"/>
      <c r="AP582" s="173"/>
      <c r="AQ582" s="173"/>
      <c r="AR582" s="173"/>
      <c r="AS582" s="173"/>
      <c r="AT582" s="173"/>
      <c r="AU582" s="173"/>
      <c r="AV582" s="173"/>
      <c r="AW582" s="173"/>
      <c r="AX582" s="173"/>
      <c r="AY582" s="173"/>
      <c r="AZ582" s="173"/>
      <c r="BA582" s="173"/>
      <c r="BB582" s="173"/>
      <c r="BC582" s="173"/>
      <c r="BD582" s="173"/>
      <c r="BE582" s="173"/>
      <c r="BF582" s="173"/>
      <c r="BG582" s="173"/>
      <c r="BH582" s="173"/>
      <c r="BI582" s="173"/>
      <c r="BJ582" s="173"/>
      <c r="BK582" s="173"/>
      <c r="BL582" s="173"/>
      <c r="BM582" s="173"/>
      <c r="BN582" s="173"/>
      <c r="BO582" s="173"/>
      <c r="BP582" s="173"/>
      <c r="BQ582" s="173"/>
      <c r="BR582" s="173"/>
      <c r="BS582" s="173"/>
      <c r="BT582" s="173"/>
      <c r="BU582" s="173"/>
      <c r="BV582" s="173"/>
      <c r="BW582" s="173"/>
      <c r="BX582" s="173"/>
      <c r="BY582" s="173"/>
      <c r="BZ582" s="173"/>
      <c r="CA582" s="173"/>
      <c r="CB582" s="173"/>
      <c r="CC582" s="173"/>
      <c r="CD582" s="173"/>
      <c r="CE582" s="173"/>
      <c r="CF582" s="173"/>
      <c r="CG582" s="173"/>
      <c r="CH582" s="173"/>
      <c r="CI582" s="173"/>
      <c r="CJ582" s="173"/>
      <c r="CK582" s="173"/>
      <c r="CL582" s="173"/>
      <c r="CM582" s="173"/>
      <c r="CN582" s="173"/>
      <c r="CO582" s="173"/>
      <c r="CP582" s="173"/>
      <c r="CQ582" s="173"/>
      <c r="CR582" s="173"/>
      <c r="CS582" s="173"/>
    </row>
    <row r="583">
      <c r="A583" s="179" t="s">
        <v>558</v>
      </c>
      <c r="B583" s="179" t="s">
        <v>2420</v>
      </c>
      <c r="C583" s="179" t="s">
        <v>2367</v>
      </c>
      <c r="D583" s="70" t="s">
        <v>2421</v>
      </c>
      <c r="E583" s="173"/>
      <c r="F583" s="168"/>
      <c r="G583" s="168"/>
      <c r="H583" s="168" t="s">
        <v>25</v>
      </c>
      <c r="I583" s="168" t="s">
        <v>25</v>
      </c>
      <c r="J583" s="168" t="s">
        <v>25</v>
      </c>
      <c r="K583" s="163" t="str">
        <f>VLOOKUP(C583,'Term Reference Guide'!$C:$C,1,false)</f>
        <v>#N/A</v>
      </c>
      <c r="L583" s="173"/>
      <c r="M583" s="173"/>
      <c r="N583" s="173"/>
      <c r="O583" s="173"/>
      <c r="P583" s="173"/>
      <c r="Q583" s="173"/>
      <c r="R583" s="173"/>
      <c r="S583" s="173"/>
      <c r="T583" s="173"/>
      <c r="U583" s="173"/>
      <c r="V583" s="173"/>
      <c r="W583" s="173"/>
      <c r="X583" s="173"/>
      <c r="Y583" s="173"/>
      <c r="Z583" s="173"/>
      <c r="AA583" s="173"/>
      <c r="AB583" s="173"/>
      <c r="AC583" s="173"/>
      <c r="AD583" s="173"/>
      <c r="AE583" s="173"/>
      <c r="AF583" s="173"/>
      <c r="AG583" s="173"/>
      <c r="AH583" s="173"/>
      <c r="AI583" s="173"/>
      <c r="AJ583" s="173"/>
      <c r="AK583" s="173"/>
      <c r="AL583" s="173"/>
      <c r="AM583" s="173"/>
      <c r="AN583" s="173"/>
      <c r="AO583" s="173"/>
      <c r="AP583" s="173"/>
      <c r="AQ583" s="173"/>
      <c r="AR583" s="173"/>
      <c r="AS583" s="173"/>
      <c r="AT583" s="173"/>
      <c r="AU583" s="173"/>
      <c r="AV583" s="173"/>
      <c r="AW583" s="173"/>
      <c r="AX583" s="173"/>
      <c r="AY583" s="173"/>
      <c r="AZ583" s="173"/>
      <c r="BA583" s="173"/>
      <c r="BB583" s="173"/>
      <c r="BC583" s="173"/>
      <c r="BD583" s="173"/>
      <c r="BE583" s="173"/>
      <c r="BF583" s="173"/>
      <c r="BG583" s="173"/>
      <c r="BH583" s="173"/>
      <c r="BI583" s="173"/>
      <c r="BJ583" s="173"/>
      <c r="BK583" s="173"/>
      <c r="BL583" s="173"/>
      <c r="BM583" s="173"/>
      <c r="BN583" s="173"/>
      <c r="BO583" s="173"/>
      <c r="BP583" s="173"/>
      <c r="BQ583" s="173"/>
      <c r="BR583" s="173"/>
      <c r="BS583" s="173"/>
      <c r="BT583" s="173"/>
      <c r="BU583" s="173"/>
      <c r="BV583" s="173"/>
      <c r="BW583" s="173"/>
      <c r="BX583" s="173"/>
      <c r="BY583" s="173"/>
      <c r="BZ583" s="173"/>
      <c r="CA583" s="173"/>
      <c r="CB583" s="173"/>
      <c r="CC583" s="173"/>
      <c r="CD583" s="173"/>
      <c r="CE583" s="173"/>
      <c r="CF583" s="173"/>
      <c r="CG583" s="173"/>
      <c r="CH583" s="173"/>
      <c r="CI583" s="173"/>
      <c r="CJ583" s="173"/>
      <c r="CK583" s="173"/>
      <c r="CL583" s="173"/>
      <c r="CM583" s="173"/>
      <c r="CN583" s="173"/>
      <c r="CO583" s="173"/>
      <c r="CP583" s="173"/>
      <c r="CQ583" s="173"/>
      <c r="CR583" s="173"/>
      <c r="CS583" s="173"/>
    </row>
    <row r="584" hidden="1">
      <c r="A584" s="173" t="s">
        <v>558</v>
      </c>
      <c r="B584" s="179" t="s">
        <v>2422</v>
      </c>
      <c r="C584" s="179" t="s">
        <v>2423</v>
      </c>
      <c r="D584" s="70" t="s">
        <v>2424</v>
      </c>
      <c r="E584" s="173"/>
      <c r="F584" s="168"/>
      <c r="G584" s="168"/>
      <c r="H584" s="168" t="s">
        <v>25</v>
      </c>
      <c r="I584" s="168" t="s">
        <v>25</v>
      </c>
      <c r="J584" s="168" t="s">
        <v>25</v>
      </c>
      <c r="K584" s="163" t="str">
        <f>VLOOKUP(C584,'Term Reference Guide'!$C:$C,1,false)</f>
        <v>UO:0000168</v>
      </c>
      <c r="L584" s="173"/>
      <c r="M584" s="173"/>
      <c r="N584" s="173"/>
      <c r="O584" s="173"/>
      <c r="P584" s="173"/>
      <c r="Q584" s="173"/>
      <c r="R584" s="173"/>
      <c r="S584" s="173"/>
      <c r="T584" s="173"/>
      <c r="U584" s="173"/>
      <c r="V584" s="173"/>
      <c r="W584" s="173"/>
      <c r="X584" s="173"/>
      <c r="Y584" s="173"/>
      <c r="Z584" s="173"/>
      <c r="AA584" s="173"/>
      <c r="AB584" s="173"/>
      <c r="AC584" s="173"/>
      <c r="AD584" s="173"/>
      <c r="AE584" s="173"/>
      <c r="AF584" s="173"/>
      <c r="AG584" s="173"/>
      <c r="AH584" s="173"/>
      <c r="AI584" s="173"/>
      <c r="AJ584" s="173"/>
      <c r="AK584" s="173"/>
      <c r="AL584" s="173"/>
      <c r="AM584" s="173"/>
      <c r="AN584" s="173"/>
      <c r="AO584" s="173"/>
      <c r="AP584" s="173"/>
      <c r="AQ584" s="173"/>
      <c r="AR584" s="173"/>
      <c r="AS584" s="173"/>
      <c r="AT584" s="173"/>
      <c r="AU584" s="173"/>
      <c r="AV584" s="173"/>
      <c r="AW584" s="173"/>
      <c r="AX584" s="173"/>
      <c r="AY584" s="173"/>
      <c r="AZ584" s="173"/>
      <c r="BA584" s="173"/>
      <c r="BB584" s="173"/>
      <c r="BC584" s="173"/>
      <c r="BD584" s="173"/>
      <c r="BE584" s="173"/>
      <c r="BF584" s="173"/>
      <c r="BG584" s="173"/>
      <c r="BH584" s="173"/>
      <c r="BI584" s="173"/>
      <c r="BJ584" s="173"/>
      <c r="BK584" s="173"/>
      <c r="BL584" s="173"/>
      <c r="BM584" s="173"/>
      <c r="BN584" s="173"/>
      <c r="BO584" s="173"/>
      <c r="BP584" s="173"/>
      <c r="BQ584" s="173"/>
      <c r="BR584" s="173"/>
      <c r="BS584" s="173"/>
      <c r="BT584" s="173"/>
      <c r="BU584" s="173"/>
      <c r="BV584" s="173"/>
      <c r="BW584" s="173"/>
      <c r="BX584" s="173"/>
      <c r="BY584" s="173"/>
      <c r="BZ584" s="173"/>
      <c r="CA584" s="173"/>
      <c r="CB584" s="173"/>
      <c r="CC584" s="173"/>
      <c r="CD584" s="173"/>
      <c r="CE584" s="173"/>
      <c r="CF584" s="173"/>
      <c r="CG584" s="173"/>
      <c r="CH584" s="173"/>
      <c r="CI584" s="173"/>
      <c r="CJ584" s="173"/>
      <c r="CK584" s="173"/>
      <c r="CL584" s="173"/>
      <c r="CM584" s="173"/>
      <c r="CN584" s="173"/>
      <c r="CO584" s="173"/>
      <c r="CP584" s="173"/>
      <c r="CQ584" s="173"/>
      <c r="CR584" s="173"/>
      <c r="CS584" s="173"/>
    </row>
    <row r="585" hidden="1">
      <c r="A585" s="173" t="s">
        <v>558</v>
      </c>
      <c r="B585" s="179" t="s">
        <v>2406</v>
      </c>
      <c r="C585" s="179" t="s">
        <v>2407</v>
      </c>
      <c r="D585" s="70" t="s">
        <v>2408</v>
      </c>
      <c r="E585" s="173"/>
      <c r="F585" s="168"/>
      <c r="G585" s="168"/>
      <c r="H585" s="168" t="s">
        <v>25</v>
      </c>
      <c r="I585" s="168" t="s">
        <v>25</v>
      </c>
      <c r="J585" s="168" t="s">
        <v>25</v>
      </c>
      <c r="K585" s="163" t="str">
        <f>VLOOKUP(C585,'Term Reference Guide'!$C:$C,1,false)</f>
        <v>UO:0000175</v>
      </c>
      <c r="L585" s="173"/>
      <c r="M585" s="173"/>
      <c r="N585" s="173"/>
      <c r="O585" s="173"/>
      <c r="P585" s="173"/>
      <c r="Q585" s="173"/>
      <c r="R585" s="173"/>
      <c r="S585" s="173"/>
      <c r="T585" s="173"/>
      <c r="U585" s="173"/>
      <c r="V585" s="173"/>
      <c r="W585" s="173"/>
      <c r="X585" s="173"/>
      <c r="Y585" s="173"/>
      <c r="Z585" s="173"/>
      <c r="AA585" s="173"/>
      <c r="AB585" s="173"/>
      <c r="AC585" s="173"/>
      <c r="AD585" s="173"/>
      <c r="AE585" s="173"/>
      <c r="AF585" s="173"/>
      <c r="AG585" s="173"/>
      <c r="AH585" s="173"/>
      <c r="AI585" s="173"/>
      <c r="AJ585" s="173"/>
      <c r="AK585" s="173"/>
      <c r="AL585" s="173"/>
      <c r="AM585" s="173"/>
      <c r="AN585" s="173"/>
      <c r="AO585" s="173"/>
      <c r="AP585" s="173"/>
      <c r="AQ585" s="173"/>
      <c r="AR585" s="173"/>
      <c r="AS585" s="173"/>
      <c r="AT585" s="173"/>
      <c r="AU585" s="173"/>
      <c r="AV585" s="173"/>
      <c r="AW585" s="173"/>
      <c r="AX585" s="173"/>
      <c r="AY585" s="173"/>
      <c r="AZ585" s="173"/>
      <c r="BA585" s="173"/>
      <c r="BB585" s="173"/>
      <c r="BC585" s="173"/>
      <c r="BD585" s="173"/>
      <c r="BE585" s="173"/>
      <c r="BF585" s="173"/>
      <c r="BG585" s="173"/>
      <c r="BH585" s="173"/>
      <c r="BI585" s="173"/>
      <c r="BJ585" s="173"/>
      <c r="BK585" s="173"/>
      <c r="BL585" s="173"/>
      <c r="BM585" s="173"/>
      <c r="BN585" s="173"/>
      <c r="BO585" s="173"/>
      <c r="BP585" s="173"/>
      <c r="BQ585" s="173"/>
      <c r="BR585" s="173"/>
      <c r="BS585" s="173"/>
      <c r="BT585" s="173"/>
      <c r="BU585" s="173"/>
      <c r="BV585" s="173"/>
      <c r="BW585" s="173"/>
      <c r="BX585" s="173"/>
      <c r="BY585" s="173"/>
      <c r="BZ585" s="173"/>
      <c r="CA585" s="173"/>
      <c r="CB585" s="173"/>
      <c r="CC585" s="173"/>
      <c r="CD585" s="173"/>
      <c r="CE585" s="173"/>
      <c r="CF585" s="173"/>
      <c r="CG585" s="173"/>
      <c r="CH585" s="173"/>
      <c r="CI585" s="173"/>
      <c r="CJ585" s="173"/>
      <c r="CK585" s="173"/>
      <c r="CL585" s="173"/>
      <c r="CM585" s="173"/>
      <c r="CN585" s="173"/>
      <c r="CO585" s="173"/>
      <c r="CP585" s="173"/>
      <c r="CQ585" s="173"/>
      <c r="CR585" s="173"/>
      <c r="CS585" s="173"/>
    </row>
    <row r="586">
      <c r="A586" s="173"/>
      <c r="B586" s="179"/>
      <c r="C586" s="173"/>
      <c r="D586" s="141"/>
      <c r="E586" s="173"/>
      <c r="F586" s="173"/>
      <c r="G586" s="173"/>
      <c r="H586" s="173"/>
      <c r="I586" s="173"/>
      <c r="J586" s="141"/>
      <c r="K586" s="163" t="str">
        <f>VLOOKUP(C586,'Term Reference Guide'!$C:$C,1,false)</f>
        <v>#N/A</v>
      </c>
      <c r="L586" s="173"/>
      <c r="M586" s="173"/>
      <c r="N586" s="173"/>
      <c r="O586" s="173"/>
      <c r="P586" s="173"/>
      <c r="Q586" s="173"/>
      <c r="R586" s="173"/>
      <c r="S586" s="173"/>
      <c r="T586" s="173"/>
      <c r="U586" s="173"/>
      <c r="V586" s="173"/>
      <c r="W586" s="173"/>
      <c r="X586" s="173"/>
      <c r="Y586" s="173"/>
      <c r="Z586" s="173"/>
      <c r="AA586" s="173"/>
      <c r="AB586" s="173"/>
      <c r="AC586" s="173"/>
      <c r="AD586" s="173"/>
      <c r="AE586" s="173"/>
      <c r="AF586" s="173"/>
      <c r="AG586" s="173"/>
      <c r="AH586" s="173"/>
      <c r="AI586" s="173"/>
      <c r="AJ586" s="173"/>
      <c r="AK586" s="173"/>
      <c r="AL586" s="173"/>
      <c r="AM586" s="173"/>
      <c r="AN586" s="173"/>
      <c r="AO586" s="173"/>
      <c r="AP586" s="173"/>
      <c r="AQ586" s="173"/>
      <c r="AR586" s="173"/>
      <c r="AS586" s="173"/>
      <c r="AT586" s="173"/>
      <c r="AU586" s="173"/>
      <c r="AV586" s="173"/>
      <c r="AW586" s="173"/>
      <c r="AX586" s="173"/>
      <c r="AY586" s="173"/>
      <c r="AZ586" s="173"/>
      <c r="BA586" s="173"/>
      <c r="BB586" s="173"/>
      <c r="BC586" s="173"/>
      <c r="BD586" s="173"/>
      <c r="BE586" s="173"/>
      <c r="BF586" s="173"/>
      <c r="BG586" s="173"/>
      <c r="BH586" s="173"/>
      <c r="BI586" s="173"/>
      <c r="BJ586" s="173"/>
      <c r="BK586" s="173"/>
      <c r="BL586" s="173"/>
      <c r="BM586" s="173"/>
      <c r="BN586" s="173"/>
      <c r="BO586" s="173"/>
      <c r="BP586" s="173"/>
      <c r="BQ586" s="173"/>
      <c r="BR586" s="173"/>
      <c r="BS586" s="173"/>
      <c r="BT586" s="173"/>
      <c r="BU586" s="173"/>
      <c r="BV586" s="173"/>
      <c r="BW586" s="173"/>
      <c r="BX586" s="173"/>
      <c r="BY586" s="173"/>
      <c r="BZ586" s="173"/>
      <c r="CA586" s="173"/>
      <c r="CB586" s="173"/>
      <c r="CC586" s="173"/>
      <c r="CD586" s="173"/>
      <c r="CE586" s="173"/>
      <c r="CF586" s="173"/>
      <c r="CG586" s="173"/>
      <c r="CH586" s="173"/>
      <c r="CI586" s="173"/>
      <c r="CJ586" s="173"/>
      <c r="CK586" s="173"/>
      <c r="CL586" s="173"/>
      <c r="CM586" s="173"/>
      <c r="CN586" s="173"/>
      <c r="CO586" s="173"/>
      <c r="CP586" s="173"/>
      <c r="CQ586" s="173"/>
      <c r="CR586" s="173"/>
      <c r="CS586" s="173"/>
    </row>
    <row r="587">
      <c r="A587" s="170" t="s">
        <v>572</v>
      </c>
      <c r="B587" s="156"/>
      <c r="C587" s="156"/>
      <c r="D587" s="139"/>
      <c r="E587" s="156"/>
      <c r="F587" s="156"/>
      <c r="G587" s="156"/>
      <c r="H587" s="164"/>
      <c r="I587" s="164"/>
      <c r="J587" s="171"/>
      <c r="K587" s="163" t="str">
        <f>VLOOKUP(C587,'Term Reference Guide'!$C:$C,1,false)</f>
        <v>#N/A</v>
      </c>
      <c r="L587" s="163"/>
      <c r="M587" s="163"/>
      <c r="N587" s="163"/>
      <c r="O587" s="163"/>
      <c r="P587" s="163"/>
      <c r="Q587" s="163"/>
      <c r="R587" s="163"/>
      <c r="S587" s="163"/>
      <c r="T587" s="163"/>
      <c r="U587" s="163"/>
      <c r="V587" s="163"/>
      <c r="W587" s="163"/>
      <c r="X587" s="163"/>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c r="BP587" s="41"/>
      <c r="BQ587" s="41"/>
      <c r="BR587" s="41"/>
      <c r="BS587" s="41"/>
      <c r="BT587" s="41"/>
      <c r="BU587" s="41"/>
      <c r="BV587" s="41"/>
      <c r="BW587" s="41"/>
      <c r="BX587" s="41"/>
      <c r="BY587" s="41"/>
      <c r="BZ587" s="41"/>
      <c r="CA587" s="41"/>
      <c r="CB587" s="41"/>
      <c r="CC587" s="41"/>
      <c r="CD587" s="41"/>
      <c r="CE587" s="41"/>
      <c r="CF587" s="41"/>
      <c r="CG587" s="41"/>
      <c r="CH587" s="41"/>
      <c r="CI587" s="41"/>
      <c r="CJ587" s="41"/>
      <c r="CK587" s="41"/>
      <c r="CL587" s="41"/>
      <c r="CM587" s="41"/>
      <c r="CN587" s="41"/>
      <c r="CO587" s="41"/>
      <c r="CP587" s="41"/>
      <c r="CQ587" s="41"/>
      <c r="CR587" s="41"/>
      <c r="CS587" s="41"/>
    </row>
    <row r="588" hidden="1">
      <c r="A588" s="173" t="s">
        <v>572</v>
      </c>
      <c r="B588" s="179" t="s">
        <v>467</v>
      </c>
      <c r="C588" s="179" t="s">
        <v>2395</v>
      </c>
      <c r="D588" s="70" t="s">
        <v>2396</v>
      </c>
      <c r="E588" s="173"/>
      <c r="F588" s="168"/>
      <c r="G588" s="168"/>
      <c r="H588" s="168" t="s">
        <v>25</v>
      </c>
      <c r="I588" s="168" t="s">
        <v>25</v>
      </c>
      <c r="J588" s="168" t="s">
        <v>25</v>
      </c>
      <c r="K588" s="163" t="str">
        <f>VLOOKUP(C588,'Term Reference Guide'!$C:$C,1,false)</f>
        <v>UO:0000273</v>
      </c>
      <c r="L588" s="173"/>
      <c r="M588" s="173"/>
      <c r="N588" s="173"/>
      <c r="O588" s="173"/>
      <c r="P588" s="173"/>
      <c r="Q588" s="173"/>
      <c r="R588" s="173"/>
      <c r="S588" s="173"/>
      <c r="T588" s="173"/>
      <c r="U588" s="173"/>
      <c r="V588" s="173"/>
      <c r="W588" s="173"/>
      <c r="X588" s="173"/>
      <c r="Y588" s="173"/>
      <c r="Z588" s="173"/>
      <c r="AA588" s="173"/>
      <c r="AB588" s="173"/>
      <c r="AC588" s="173"/>
      <c r="AD588" s="173"/>
      <c r="AE588" s="173"/>
      <c r="AF588" s="173"/>
      <c r="AG588" s="173"/>
      <c r="AH588" s="173"/>
      <c r="AI588" s="173"/>
      <c r="AJ588" s="173"/>
      <c r="AK588" s="173"/>
      <c r="AL588" s="173"/>
      <c r="AM588" s="173"/>
      <c r="AN588" s="173"/>
      <c r="AO588" s="173"/>
      <c r="AP588" s="173"/>
      <c r="AQ588" s="173"/>
      <c r="AR588" s="173"/>
      <c r="AS588" s="173"/>
      <c r="AT588" s="173"/>
      <c r="AU588" s="173"/>
      <c r="AV588" s="173"/>
      <c r="AW588" s="173"/>
      <c r="AX588" s="173"/>
      <c r="AY588" s="173"/>
      <c r="AZ588" s="173"/>
      <c r="BA588" s="173"/>
      <c r="BB588" s="173"/>
      <c r="BC588" s="173"/>
      <c r="BD588" s="173"/>
      <c r="BE588" s="173"/>
      <c r="BF588" s="173"/>
      <c r="BG588" s="173"/>
      <c r="BH588" s="173"/>
      <c r="BI588" s="173"/>
      <c r="BJ588" s="173"/>
      <c r="BK588" s="173"/>
      <c r="BL588" s="173"/>
      <c r="BM588" s="173"/>
      <c r="BN588" s="173"/>
      <c r="BO588" s="173"/>
      <c r="BP588" s="173"/>
      <c r="BQ588" s="173"/>
      <c r="BR588" s="173"/>
      <c r="BS588" s="173"/>
      <c r="BT588" s="173"/>
      <c r="BU588" s="173"/>
      <c r="BV588" s="173"/>
      <c r="BW588" s="173"/>
      <c r="BX588" s="173"/>
      <c r="BY588" s="173"/>
      <c r="BZ588" s="173"/>
      <c r="CA588" s="173"/>
      <c r="CB588" s="173"/>
      <c r="CC588" s="173"/>
      <c r="CD588" s="173"/>
      <c r="CE588" s="173"/>
      <c r="CF588" s="173"/>
      <c r="CG588" s="173"/>
      <c r="CH588" s="173"/>
      <c r="CI588" s="173"/>
      <c r="CJ588" s="173"/>
      <c r="CK588" s="173"/>
      <c r="CL588" s="173"/>
      <c r="CM588" s="173"/>
      <c r="CN588" s="173"/>
      <c r="CO588" s="173"/>
      <c r="CP588" s="173"/>
      <c r="CQ588" s="173"/>
      <c r="CR588" s="173"/>
      <c r="CS588" s="173"/>
    </row>
    <row r="589" hidden="1">
      <c r="A589" s="173" t="s">
        <v>572</v>
      </c>
      <c r="B589" s="179" t="s">
        <v>2406</v>
      </c>
      <c r="C589" s="179" t="s">
        <v>2407</v>
      </c>
      <c r="D589" s="70" t="s">
        <v>2408</v>
      </c>
      <c r="E589" s="173"/>
      <c r="F589" s="168"/>
      <c r="G589" s="168"/>
      <c r="H589" s="168" t="s">
        <v>25</v>
      </c>
      <c r="I589" s="168" t="s">
        <v>25</v>
      </c>
      <c r="J589" s="168" t="s">
        <v>25</v>
      </c>
      <c r="K589" s="163" t="str">
        <f>VLOOKUP(C589,'Term Reference Guide'!$C:$C,1,false)</f>
        <v>UO:0000175</v>
      </c>
      <c r="L589" s="173"/>
      <c r="M589" s="173"/>
      <c r="N589" s="173"/>
      <c r="O589" s="173"/>
      <c r="P589" s="173"/>
      <c r="Q589" s="173"/>
      <c r="R589" s="173"/>
      <c r="S589" s="173"/>
      <c r="T589" s="173"/>
      <c r="U589" s="173"/>
      <c r="V589" s="173"/>
      <c r="W589" s="173"/>
      <c r="X589" s="173"/>
      <c r="Y589" s="173"/>
      <c r="Z589" s="173"/>
      <c r="AA589" s="173"/>
      <c r="AB589" s="173"/>
      <c r="AC589" s="173"/>
      <c r="AD589" s="173"/>
      <c r="AE589" s="173"/>
      <c r="AF589" s="173"/>
      <c r="AG589" s="173"/>
      <c r="AH589" s="173"/>
      <c r="AI589" s="173"/>
      <c r="AJ589" s="173"/>
      <c r="AK589" s="173"/>
      <c r="AL589" s="173"/>
      <c r="AM589" s="173"/>
      <c r="AN589" s="173"/>
      <c r="AO589" s="173"/>
      <c r="AP589" s="173"/>
      <c r="AQ589" s="173"/>
      <c r="AR589" s="173"/>
      <c r="AS589" s="173"/>
      <c r="AT589" s="173"/>
      <c r="AU589" s="173"/>
      <c r="AV589" s="173"/>
      <c r="AW589" s="173"/>
      <c r="AX589" s="173"/>
      <c r="AY589" s="173"/>
      <c r="AZ589" s="173"/>
      <c r="BA589" s="173"/>
      <c r="BB589" s="173"/>
      <c r="BC589" s="173"/>
      <c r="BD589" s="173"/>
      <c r="BE589" s="173"/>
      <c r="BF589" s="173"/>
      <c r="BG589" s="173"/>
      <c r="BH589" s="173"/>
      <c r="BI589" s="173"/>
      <c r="BJ589" s="173"/>
      <c r="BK589" s="173"/>
      <c r="BL589" s="173"/>
      <c r="BM589" s="173"/>
      <c r="BN589" s="173"/>
      <c r="BO589" s="173"/>
      <c r="BP589" s="173"/>
      <c r="BQ589" s="173"/>
      <c r="BR589" s="173"/>
      <c r="BS589" s="173"/>
      <c r="BT589" s="173"/>
      <c r="BU589" s="173"/>
      <c r="BV589" s="173"/>
      <c r="BW589" s="173"/>
      <c r="BX589" s="173"/>
      <c r="BY589" s="173"/>
      <c r="BZ589" s="173"/>
      <c r="CA589" s="173"/>
      <c r="CB589" s="173"/>
      <c r="CC589" s="173"/>
      <c r="CD589" s="173"/>
      <c r="CE589" s="173"/>
      <c r="CF589" s="173"/>
      <c r="CG589" s="173"/>
      <c r="CH589" s="173"/>
      <c r="CI589" s="173"/>
      <c r="CJ589" s="173"/>
      <c r="CK589" s="173"/>
      <c r="CL589" s="173"/>
      <c r="CM589" s="173"/>
      <c r="CN589" s="173"/>
      <c r="CO589" s="173"/>
      <c r="CP589" s="173"/>
      <c r="CQ589" s="173"/>
      <c r="CR589" s="173"/>
      <c r="CS589" s="173"/>
    </row>
    <row r="590">
      <c r="A590" s="179" t="s">
        <v>572</v>
      </c>
      <c r="B590" s="179" t="s">
        <v>2425</v>
      </c>
      <c r="C590" s="179" t="s">
        <v>2367</v>
      </c>
      <c r="D590" s="70" t="s">
        <v>2426</v>
      </c>
      <c r="E590" s="173"/>
      <c r="F590" s="168"/>
      <c r="G590" s="168"/>
      <c r="H590" s="168" t="s">
        <v>25</v>
      </c>
      <c r="I590" s="168" t="s">
        <v>25</v>
      </c>
      <c r="J590" s="168" t="s">
        <v>25</v>
      </c>
      <c r="K590" s="163" t="str">
        <f>VLOOKUP(C590,'Term Reference Guide'!$C:$C,1,false)</f>
        <v>#N/A</v>
      </c>
      <c r="L590" s="173"/>
      <c r="M590" s="173"/>
      <c r="N590" s="173"/>
      <c r="O590" s="173"/>
      <c r="P590" s="173"/>
      <c r="Q590" s="173"/>
      <c r="R590" s="173"/>
      <c r="S590" s="173"/>
      <c r="T590" s="173"/>
      <c r="U590" s="173"/>
      <c r="V590" s="173"/>
      <c r="W590" s="173"/>
      <c r="X590" s="173"/>
      <c r="Y590" s="173"/>
      <c r="Z590" s="173"/>
      <c r="AA590" s="173"/>
      <c r="AB590" s="173"/>
      <c r="AC590" s="173"/>
      <c r="AD590" s="173"/>
      <c r="AE590" s="173"/>
      <c r="AF590" s="173"/>
      <c r="AG590" s="173"/>
      <c r="AH590" s="173"/>
      <c r="AI590" s="173"/>
      <c r="AJ590" s="173"/>
      <c r="AK590" s="173"/>
      <c r="AL590" s="173"/>
      <c r="AM590" s="173"/>
      <c r="AN590" s="173"/>
      <c r="AO590" s="173"/>
      <c r="AP590" s="173"/>
      <c r="AQ590" s="173"/>
      <c r="AR590" s="173"/>
      <c r="AS590" s="173"/>
      <c r="AT590" s="173"/>
      <c r="AU590" s="173"/>
      <c r="AV590" s="173"/>
      <c r="AW590" s="173"/>
      <c r="AX590" s="173"/>
      <c r="AY590" s="173"/>
      <c r="AZ590" s="173"/>
      <c r="BA590" s="173"/>
      <c r="BB590" s="173"/>
      <c r="BC590" s="173"/>
      <c r="BD590" s="173"/>
      <c r="BE590" s="173"/>
      <c r="BF590" s="173"/>
      <c r="BG590" s="173"/>
      <c r="BH590" s="173"/>
      <c r="BI590" s="173"/>
      <c r="BJ590" s="173"/>
      <c r="BK590" s="173"/>
      <c r="BL590" s="173"/>
      <c r="BM590" s="173"/>
      <c r="BN590" s="173"/>
      <c r="BO590" s="173"/>
      <c r="BP590" s="173"/>
      <c r="BQ590" s="173"/>
      <c r="BR590" s="173"/>
      <c r="BS590" s="173"/>
      <c r="BT590" s="173"/>
      <c r="BU590" s="173"/>
      <c r="BV590" s="173"/>
      <c r="BW590" s="173"/>
      <c r="BX590" s="173"/>
      <c r="BY590" s="173"/>
      <c r="BZ590" s="173"/>
      <c r="CA590" s="173"/>
      <c r="CB590" s="173"/>
      <c r="CC590" s="173"/>
      <c r="CD590" s="173"/>
      <c r="CE590" s="173"/>
      <c r="CF590" s="173"/>
      <c r="CG590" s="173"/>
      <c r="CH590" s="173"/>
      <c r="CI590" s="173"/>
      <c r="CJ590" s="173"/>
      <c r="CK590" s="173"/>
      <c r="CL590" s="173"/>
      <c r="CM590" s="173"/>
      <c r="CN590" s="173"/>
      <c r="CO590" s="173"/>
      <c r="CP590" s="173"/>
      <c r="CQ590" s="173"/>
      <c r="CR590" s="173"/>
      <c r="CS590" s="173"/>
    </row>
    <row r="591">
      <c r="B591" s="173"/>
      <c r="C591" s="173"/>
      <c r="D591" s="141"/>
      <c r="E591" s="173"/>
      <c r="F591" s="173"/>
      <c r="G591" s="173"/>
      <c r="H591" s="173"/>
      <c r="I591" s="173"/>
      <c r="J591" s="141"/>
      <c r="K591" s="163" t="str">
        <f>VLOOKUP(C591,'Term Reference Guide'!$C:$C,1,false)</f>
        <v>#N/A</v>
      </c>
      <c r="L591" s="173"/>
      <c r="M591" s="173"/>
      <c r="N591" s="173"/>
      <c r="O591" s="173"/>
      <c r="P591" s="173"/>
      <c r="Q591" s="173"/>
      <c r="R591" s="173"/>
      <c r="S591" s="173"/>
      <c r="T591" s="173"/>
      <c r="U591" s="173"/>
      <c r="V591" s="173"/>
      <c r="W591" s="173"/>
      <c r="X591" s="173"/>
      <c r="Y591" s="173"/>
      <c r="Z591" s="173"/>
      <c r="AA591" s="173"/>
      <c r="AB591" s="173"/>
      <c r="AC591" s="173"/>
      <c r="AD591" s="173"/>
      <c r="AE591" s="173"/>
      <c r="AF591" s="173"/>
      <c r="AG591" s="173"/>
      <c r="AH591" s="173"/>
      <c r="AI591" s="173"/>
      <c r="AJ591" s="173"/>
      <c r="AK591" s="173"/>
      <c r="AL591" s="173"/>
      <c r="AM591" s="173"/>
      <c r="AN591" s="173"/>
      <c r="AO591" s="173"/>
      <c r="AP591" s="173"/>
      <c r="AQ591" s="173"/>
      <c r="AR591" s="173"/>
      <c r="AS591" s="173"/>
      <c r="AT591" s="173"/>
      <c r="AU591" s="173"/>
      <c r="AV591" s="173"/>
      <c r="AW591" s="173"/>
      <c r="AX591" s="173"/>
      <c r="AY591" s="173"/>
      <c r="AZ591" s="173"/>
      <c r="BA591" s="173"/>
      <c r="BB591" s="173"/>
      <c r="BC591" s="173"/>
      <c r="BD591" s="173"/>
      <c r="BE591" s="173"/>
      <c r="BF591" s="173"/>
      <c r="BG591" s="173"/>
      <c r="BH591" s="173"/>
      <c r="BI591" s="173"/>
      <c r="BJ591" s="173"/>
      <c r="BK591" s="173"/>
      <c r="BL591" s="173"/>
      <c r="BM591" s="173"/>
      <c r="BN591" s="173"/>
      <c r="BO591" s="173"/>
      <c r="BP591" s="173"/>
      <c r="BQ591" s="173"/>
      <c r="BR591" s="173"/>
      <c r="BS591" s="173"/>
      <c r="BT591" s="173"/>
      <c r="BU591" s="173"/>
      <c r="BV591" s="173"/>
      <c r="BW591" s="173"/>
      <c r="BX591" s="173"/>
      <c r="BY591" s="173"/>
      <c r="BZ591" s="173"/>
      <c r="CA591" s="173"/>
      <c r="CB591" s="173"/>
      <c r="CC591" s="173"/>
      <c r="CD591" s="173"/>
      <c r="CE591" s="173"/>
      <c r="CF591" s="173"/>
      <c r="CG591" s="173"/>
      <c r="CH591" s="173"/>
      <c r="CI591" s="173"/>
      <c r="CJ591" s="173"/>
      <c r="CK591" s="173"/>
      <c r="CL591" s="173"/>
      <c r="CM591" s="173"/>
      <c r="CN591" s="173"/>
      <c r="CO591" s="173"/>
      <c r="CP591" s="173"/>
      <c r="CQ591" s="173"/>
      <c r="CR591" s="173"/>
      <c r="CS591" s="173"/>
    </row>
    <row r="592">
      <c r="A592" s="170" t="s">
        <v>585</v>
      </c>
      <c r="B592" s="156"/>
      <c r="C592" s="156"/>
      <c r="D592" s="139"/>
      <c r="E592" s="156"/>
      <c r="F592" s="156"/>
      <c r="G592" s="156"/>
      <c r="H592" s="164"/>
      <c r="I592" s="164"/>
      <c r="J592" s="171"/>
      <c r="K592" s="163" t="str">
        <f>VLOOKUP(C592,'Term Reference Guide'!$C:$C,1,false)</f>
        <v>#N/A</v>
      </c>
      <c r="L592" s="163"/>
      <c r="M592" s="163"/>
      <c r="N592" s="163"/>
      <c r="O592" s="163"/>
      <c r="P592" s="163"/>
      <c r="Q592" s="163"/>
      <c r="R592" s="163"/>
      <c r="S592" s="163"/>
      <c r="T592" s="163"/>
      <c r="U592" s="163"/>
      <c r="V592" s="163"/>
      <c r="W592" s="163"/>
      <c r="X592" s="163"/>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c r="BP592" s="41"/>
      <c r="BQ592" s="41"/>
      <c r="BR592" s="41"/>
      <c r="BS592" s="41"/>
      <c r="BT592" s="41"/>
      <c r="BU592" s="41"/>
      <c r="BV592" s="41"/>
      <c r="BW592" s="41"/>
      <c r="BX592" s="41"/>
      <c r="BY592" s="41"/>
      <c r="BZ592" s="41"/>
      <c r="CA592" s="41"/>
      <c r="CB592" s="41"/>
      <c r="CC592" s="41"/>
      <c r="CD592" s="41"/>
      <c r="CE592" s="41"/>
      <c r="CF592" s="41"/>
      <c r="CG592" s="41"/>
      <c r="CH592" s="41"/>
      <c r="CI592" s="41"/>
      <c r="CJ592" s="41"/>
      <c r="CK592" s="41"/>
      <c r="CL592" s="41"/>
      <c r="CM592" s="41"/>
      <c r="CN592" s="41"/>
      <c r="CO592" s="41"/>
      <c r="CP592" s="41"/>
      <c r="CQ592" s="41"/>
      <c r="CR592" s="41"/>
      <c r="CS592" s="41"/>
    </row>
    <row r="593">
      <c r="A593" s="173" t="s">
        <v>585</v>
      </c>
      <c r="B593" s="179" t="s">
        <v>2425</v>
      </c>
      <c r="C593" s="179" t="s">
        <v>2367</v>
      </c>
      <c r="D593" s="70" t="s">
        <v>2427</v>
      </c>
      <c r="E593" s="173"/>
      <c r="F593" s="168"/>
      <c r="G593" s="168"/>
      <c r="H593" s="168" t="s">
        <v>25</v>
      </c>
      <c r="I593" s="168" t="s">
        <v>25</v>
      </c>
      <c r="J593" s="168" t="s">
        <v>25</v>
      </c>
      <c r="K593" s="163" t="str">
        <f>VLOOKUP(C593,'Term Reference Guide'!$C:$C,1,false)</f>
        <v>#N/A</v>
      </c>
      <c r="L593" s="173"/>
      <c r="M593" s="173"/>
      <c r="N593" s="173"/>
      <c r="O593" s="173"/>
      <c r="P593" s="173"/>
      <c r="Q593" s="173"/>
      <c r="R593" s="173"/>
      <c r="S593" s="173"/>
      <c r="T593" s="173"/>
      <c r="U593" s="173"/>
      <c r="V593" s="173"/>
      <c r="W593" s="173"/>
      <c r="X593" s="173"/>
      <c r="Y593" s="173"/>
      <c r="Z593" s="173"/>
      <c r="AA593" s="173"/>
      <c r="AB593" s="173"/>
      <c r="AC593" s="173"/>
      <c r="AD593" s="173"/>
      <c r="AE593" s="173"/>
      <c r="AF593" s="173"/>
      <c r="AG593" s="173"/>
      <c r="AH593" s="173"/>
      <c r="AI593" s="173"/>
      <c r="AJ593" s="173"/>
      <c r="AK593" s="173"/>
      <c r="AL593" s="173"/>
      <c r="AM593" s="173"/>
      <c r="AN593" s="173"/>
      <c r="AO593" s="173"/>
      <c r="AP593" s="173"/>
      <c r="AQ593" s="173"/>
      <c r="AR593" s="173"/>
      <c r="AS593" s="173"/>
      <c r="AT593" s="173"/>
      <c r="AU593" s="173"/>
      <c r="AV593" s="173"/>
      <c r="AW593" s="173"/>
      <c r="AX593" s="173"/>
      <c r="AY593" s="173"/>
      <c r="AZ593" s="173"/>
      <c r="BA593" s="173"/>
      <c r="BB593" s="173"/>
      <c r="BC593" s="173"/>
      <c r="BD593" s="173"/>
      <c r="BE593" s="173"/>
      <c r="BF593" s="173"/>
      <c r="BG593" s="173"/>
      <c r="BH593" s="173"/>
      <c r="BI593" s="173"/>
      <c r="BJ593" s="173"/>
      <c r="BK593" s="173"/>
      <c r="BL593" s="173"/>
      <c r="BM593" s="173"/>
      <c r="BN593" s="173"/>
      <c r="BO593" s="173"/>
      <c r="BP593" s="173"/>
      <c r="BQ593" s="173"/>
      <c r="BR593" s="173"/>
      <c r="BS593" s="173"/>
      <c r="BT593" s="173"/>
      <c r="BU593" s="173"/>
      <c r="BV593" s="173"/>
      <c r="BW593" s="173"/>
      <c r="BX593" s="173"/>
      <c r="BY593" s="173"/>
      <c r="BZ593" s="173"/>
      <c r="CA593" s="173"/>
      <c r="CB593" s="173"/>
      <c r="CC593" s="173"/>
      <c r="CD593" s="173"/>
      <c r="CE593" s="173"/>
      <c r="CF593" s="173"/>
      <c r="CG593" s="173"/>
      <c r="CH593" s="173"/>
      <c r="CI593" s="173"/>
      <c r="CJ593" s="173"/>
      <c r="CK593" s="173"/>
      <c r="CL593" s="173"/>
      <c r="CM593" s="173"/>
      <c r="CN593" s="173"/>
      <c r="CO593" s="173"/>
      <c r="CP593" s="173"/>
      <c r="CQ593" s="173"/>
      <c r="CR593" s="173"/>
      <c r="CS593" s="173"/>
    </row>
    <row r="594" hidden="1">
      <c r="A594" s="179" t="s">
        <v>585</v>
      </c>
      <c r="B594" s="179" t="s">
        <v>2428</v>
      </c>
      <c r="C594" s="179" t="s">
        <v>2429</v>
      </c>
      <c r="D594" s="33" t="s">
        <v>2430</v>
      </c>
      <c r="E594" s="173"/>
      <c r="F594" s="168"/>
      <c r="G594" s="168"/>
      <c r="H594" s="168" t="s">
        <v>25</v>
      </c>
      <c r="I594" s="168" t="s">
        <v>25</v>
      </c>
      <c r="J594" s="168" t="s">
        <v>25</v>
      </c>
      <c r="K594" s="163" t="str">
        <f>VLOOKUP(C594,'Term Reference Guide'!$C:$C,1,false)</f>
        <v>GENEPIO:0100998</v>
      </c>
      <c r="L594" s="173"/>
      <c r="M594" s="173"/>
      <c r="N594" s="173"/>
      <c r="O594" s="173"/>
      <c r="P594" s="173"/>
      <c r="Q594" s="173"/>
      <c r="R594" s="173"/>
      <c r="S594" s="173"/>
      <c r="T594" s="173"/>
      <c r="U594" s="173"/>
      <c r="V594" s="173"/>
      <c r="W594" s="173"/>
      <c r="X594" s="173"/>
      <c r="Y594" s="173"/>
      <c r="Z594" s="173"/>
      <c r="AA594" s="173"/>
      <c r="AB594" s="173"/>
      <c r="AC594" s="173"/>
      <c r="AD594" s="173"/>
      <c r="AE594" s="173"/>
      <c r="AF594" s="173"/>
      <c r="AG594" s="173"/>
      <c r="AH594" s="173"/>
      <c r="AI594" s="173"/>
      <c r="AJ594" s="173"/>
      <c r="AK594" s="173"/>
      <c r="AL594" s="173"/>
      <c r="AM594" s="173"/>
      <c r="AN594" s="173"/>
      <c r="AO594" s="173"/>
      <c r="AP594" s="173"/>
      <c r="AQ594" s="173"/>
      <c r="AR594" s="173"/>
      <c r="AS594" s="173"/>
      <c r="AT594" s="173"/>
      <c r="AU594" s="173"/>
      <c r="AV594" s="173"/>
      <c r="AW594" s="173"/>
      <c r="AX594" s="173"/>
      <c r="AY594" s="173"/>
      <c r="AZ594" s="173"/>
      <c r="BA594" s="173"/>
      <c r="BB594" s="173"/>
      <c r="BC594" s="173"/>
      <c r="BD594" s="173"/>
      <c r="BE594" s="173"/>
      <c r="BF594" s="173"/>
      <c r="BG594" s="173"/>
      <c r="BH594" s="173"/>
      <c r="BI594" s="173"/>
      <c r="BJ594" s="173"/>
      <c r="BK594" s="173"/>
      <c r="BL594" s="173"/>
      <c r="BM594" s="173"/>
      <c r="BN594" s="173"/>
      <c r="BO594" s="173"/>
      <c r="BP594" s="173"/>
      <c r="BQ594" s="173"/>
      <c r="BR594" s="173"/>
      <c r="BS594" s="173"/>
      <c r="BT594" s="173"/>
      <c r="BU594" s="173"/>
      <c r="BV594" s="173"/>
      <c r="BW594" s="173"/>
      <c r="BX594" s="173"/>
      <c r="BY594" s="173"/>
      <c r="BZ594" s="173"/>
      <c r="CA594" s="173"/>
      <c r="CB594" s="173"/>
      <c r="CC594" s="173"/>
      <c r="CD594" s="173"/>
      <c r="CE594" s="173"/>
      <c r="CF594" s="173"/>
      <c r="CG594" s="173"/>
      <c r="CH594" s="173"/>
      <c r="CI594" s="173"/>
      <c r="CJ594" s="173"/>
      <c r="CK594" s="173"/>
      <c r="CL594" s="173"/>
      <c r="CM594" s="173"/>
      <c r="CN594" s="173"/>
      <c r="CO594" s="173"/>
      <c r="CP594" s="173"/>
      <c r="CQ594" s="173"/>
      <c r="CR594" s="173"/>
      <c r="CS594" s="173"/>
    </row>
    <row r="595" hidden="1">
      <c r="A595" s="179" t="s">
        <v>585</v>
      </c>
      <c r="B595" s="179" t="s">
        <v>2431</v>
      </c>
      <c r="C595" s="179" t="s">
        <v>2395</v>
      </c>
      <c r="D595" s="70" t="s">
        <v>2396</v>
      </c>
      <c r="E595" s="173"/>
      <c r="F595" s="168"/>
      <c r="G595" s="168"/>
      <c r="H595" s="168" t="s">
        <v>25</v>
      </c>
      <c r="I595" s="168" t="s">
        <v>25</v>
      </c>
      <c r="J595" s="168" t="s">
        <v>25</v>
      </c>
      <c r="K595" s="163" t="str">
        <f>VLOOKUP(C595,'Term Reference Guide'!$C:$C,1,false)</f>
        <v>UO:0000273</v>
      </c>
      <c r="L595" s="173"/>
      <c r="M595" s="173"/>
      <c r="N595" s="173"/>
      <c r="O595" s="173"/>
      <c r="P595" s="173"/>
      <c r="Q595" s="173"/>
      <c r="R595" s="173"/>
      <c r="S595" s="173"/>
      <c r="T595" s="173"/>
      <c r="U595" s="173"/>
      <c r="V595" s="173"/>
      <c r="W595" s="173"/>
      <c r="X595" s="173"/>
      <c r="Y595" s="173"/>
      <c r="Z595" s="173"/>
      <c r="AA595" s="173"/>
      <c r="AB595" s="173"/>
      <c r="AC595" s="173"/>
      <c r="AD595" s="173"/>
      <c r="AE595" s="173"/>
      <c r="AF595" s="173"/>
      <c r="AG595" s="173"/>
      <c r="AH595" s="173"/>
      <c r="AI595" s="173"/>
      <c r="AJ595" s="173"/>
      <c r="AK595" s="173"/>
      <c r="AL595" s="173"/>
      <c r="AM595" s="173"/>
      <c r="AN595" s="173"/>
      <c r="AO595" s="173"/>
      <c r="AP595" s="173"/>
      <c r="AQ595" s="173"/>
      <c r="AR595" s="173"/>
      <c r="AS595" s="173"/>
      <c r="AT595" s="173"/>
      <c r="AU595" s="173"/>
      <c r="AV595" s="173"/>
      <c r="AW595" s="173"/>
      <c r="AX595" s="173"/>
      <c r="AY595" s="173"/>
      <c r="AZ595" s="173"/>
      <c r="BA595" s="173"/>
      <c r="BB595" s="173"/>
      <c r="BC595" s="173"/>
      <c r="BD595" s="173"/>
      <c r="BE595" s="173"/>
      <c r="BF595" s="173"/>
      <c r="BG595" s="173"/>
      <c r="BH595" s="173"/>
      <c r="BI595" s="173"/>
      <c r="BJ595" s="173"/>
      <c r="BK595" s="173"/>
      <c r="BL595" s="173"/>
      <c r="BM595" s="173"/>
      <c r="BN595" s="173"/>
      <c r="BO595" s="173"/>
      <c r="BP595" s="173"/>
      <c r="BQ595" s="173"/>
      <c r="BR595" s="173"/>
      <c r="BS595" s="173"/>
      <c r="BT595" s="173"/>
      <c r="BU595" s="173"/>
      <c r="BV595" s="173"/>
      <c r="BW595" s="173"/>
      <c r="BX595" s="173"/>
      <c r="BY595" s="173"/>
      <c r="BZ595" s="173"/>
      <c r="CA595" s="173"/>
      <c r="CB595" s="173"/>
      <c r="CC595" s="173"/>
      <c r="CD595" s="173"/>
      <c r="CE595" s="173"/>
      <c r="CF595" s="173"/>
      <c r="CG595" s="173"/>
      <c r="CH595" s="173"/>
      <c r="CI595" s="173"/>
      <c r="CJ595" s="173"/>
      <c r="CK595" s="173"/>
      <c r="CL595" s="173"/>
      <c r="CM595" s="173"/>
      <c r="CN595" s="173"/>
      <c r="CO595" s="173"/>
      <c r="CP595" s="173"/>
      <c r="CQ595" s="173"/>
      <c r="CR595" s="173"/>
      <c r="CS595" s="173"/>
    </row>
    <row r="596" hidden="1">
      <c r="A596" s="179" t="s">
        <v>585</v>
      </c>
      <c r="B596" s="179" t="s">
        <v>589</v>
      </c>
      <c r="C596" s="179" t="s">
        <v>2432</v>
      </c>
      <c r="D596" s="33" t="s">
        <v>2433</v>
      </c>
      <c r="E596" s="173"/>
      <c r="F596" s="168"/>
      <c r="G596" s="168"/>
      <c r="H596" s="168" t="s">
        <v>25</v>
      </c>
      <c r="I596" s="168" t="s">
        <v>25</v>
      </c>
      <c r="J596" s="168" t="s">
        <v>25</v>
      </c>
      <c r="K596" s="163" t="str">
        <f>VLOOKUP(C596,'Term Reference Guide'!$C:$C,1,false)</f>
        <v>GENEPIO:0100999</v>
      </c>
      <c r="L596" s="173"/>
      <c r="M596" s="173"/>
      <c r="N596" s="173"/>
      <c r="O596" s="173"/>
      <c r="P596" s="173"/>
      <c r="Q596" s="173"/>
      <c r="R596" s="173"/>
      <c r="S596" s="173"/>
      <c r="T596" s="173"/>
      <c r="U596" s="173"/>
      <c r="V596" s="173"/>
      <c r="W596" s="173"/>
      <c r="X596" s="173"/>
      <c r="Y596" s="173"/>
      <c r="Z596" s="173"/>
      <c r="AA596" s="173"/>
      <c r="AB596" s="173"/>
      <c r="AC596" s="173"/>
      <c r="AD596" s="173"/>
      <c r="AE596" s="173"/>
      <c r="AF596" s="173"/>
      <c r="AG596" s="173"/>
      <c r="AH596" s="173"/>
      <c r="AI596" s="173"/>
      <c r="AJ596" s="173"/>
      <c r="AK596" s="173"/>
      <c r="AL596" s="173"/>
      <c r="AM596" s="173"/>
      <c r="AN596" s="173"/>
      <c r="AO596" s="173"/>
      <c r="AP596" s="173"/>
      <c r="AQ596" s="173"/>
      <c r="AR596" s="173"/>
      <c r="AS596" s="173"/>
      <c r="AT596" s="173"/>
      <c r="AU596" s="173"/>
      <c r="AV596" s="173"/>
      <c r="AW596" s="173"/>
      <c r="AX596" s="173"/>
      <c r="AY596" s="173"/>
      <c r="AZ596" s="173"/>
      <c r="BA596" s="173"/>
      <c r="BB596" s="173"/>
      <c r="BC596" s="173"/>
      <c r="BD596" s="173"/>
      <c r="BE596" s="173"/>
      <c r="BF596" s="173"/>
      <c r="BG596" s="173"/>
      <c r="BH596" s="173"/>
      <c r="BI596" s="173"/>
      <c r="BJ596" s="173"/>
      <c r="BK596" s="173"/>
      <c r="BL596" s="173"/>
      <c r="BM596" s="173"/>
      <c r="BN596" s="173"/>
      <c r="BO596" s="173"/>
      <c r="BP596" s="173"/>
      <c r="BQ596" s="173"/>
      <c r="BR596" s="173"/>
      <c r="BS596" s="173"/>
      <c r="BT596" s="173"/>
      <c r="BU596" s="173"/>
      <c r="BV596" s="173"/>
      <c r="BW596" s="173"/>
      <c r="BX596" s="173"/>
      <c r="BY596" s="173"/>
      <c r="BZ596" s="173"/>
      <c r="CA596" s="173"/>
      <c r="CB596" s="173"/>
      <c r="CC596" s="173"/>
      <c r="CD596" s="173"/>
      <c r="CE596" s="173"/>
      <c r="CF596" s="173"/>
      <c r="CG596" s="173"/>
      <c r="CH596" s="173"/>
      <c r="CI596" s="173"/>
      <c r="CJ596" s="173"/>
      <c r="CK596" s="173"/>
      <c r="CL596" s="173"/>
      <c r="CM596" s="173"/>
      <c r="CN596" s="173"/>
      <c r="CO596" s="173"/>
      <c r="CP596" s="173"/>
      <c r="CQ596" s="173"/>
      <c r="CR596" s="173"/>
      <c r="CS596" s="173"/>
    </row>
    <row r="597">
      <c r="B597" s="179"/>
      <c r="C597" s="173"/>
      <c r="D597" s="141"/>
      <c r="E597" s="173"/>
      <c r="F597" s="173"/>
      <c r="G597" s="173"/>
      <c r="H597" s="173"/>
      <c r="I597" s="173"/>
      <c r="J597" s="141"/>
      <c r="K597" s="163" t="str">
        <f>VLOOKUP(C597,'Term Reference Guide'!$C:$C,1,false)</f>
        <v>#N/A</v>
      </c>
      <c r="L597" s="173"/>
      <c r="M597" s="173"/>
      <c r="N597" s="173"/>
      <c r="O597" s="173"/>
      <c r="P597" s="173"/>
      <c r="Q597" s="173"/>
      <c r="R597" s="173"/>
      <c r="S597" s="173"/>
      <c r="T597" s="173"/>
      <c r="U597" s="173"/>
      <c r="V597" s="173"/>
      <c r="W597" s="173"/>
      <c r="X597" s="173"/>
      <c r="Y597" s="173"/>
      <c r="Z597" s="173"/>
      <c r="AA597" s="173"/>
      <c r="AB597" s="173"/>
      <c r="AC597" s="173"/>
      <c r="AD597" s="173"/>
      <c r="AE597" s="173"/>
      <c r="AF597" s="173"/>
      <c r="AG597" s="173"/>
      <c r="AH597" s="173"/>
      <c r="AI597" s="173"/>
      <c r="AJ597" s="173"/>
      <c r="AK597" s="173"/>
      <c r="AL597" s="173"/>
      <c r="AM597" s="173"/>
      <c r="AN597" s="173"/>
      <c r="AO597" s="173"/>
      <c r="AP597" s="173"/>
      <c r="AQ597" s="173"/>
      <c r="AR597" s="173"/>
      <c r="AS597" s="173"/>
      <c r="AT597" s="173"/>
      <c r="AU597" s="173"/>
      <c r="AV597" s="173"/>
      <c r="AW597" s="173"/>
      <c r="AX597" s="173"/>
      <c r="AY597" s="173"/>
      <c r="AZ597" s="173"/>
      <c r="BA597" s="173"/>
      <c r="BB597" s="173"/>
      <c r="BC597" s="173"/>
      <c r="BD597" s="173"/>
      <c r="BE597" s="173"/>
      <c r="BF597" s="173"/>
      <c r="BG597" s="173"/>
      <c r="BH597" s="173"/>
      <c r="BI597" s="173"/>
      <c r="BJ597" s="173"/>
      <c r="BK597" s="173"/>
      <c r="BL597" s="173"/>
      <c r="BM597" s="173"/>
      <c r="BN597" s="173"/>
      <c r="BO597" s="173"/>
      <c r="BP597" s="173"/>
      <c r="BQ597" s="173"/>
      <c r="BR597" s="173"/>
      <c r="BS597" s="173"/>
      <c r="BT597" s="173"/>
      <c r="BU597" s="173"/>
      <c r="BV597" s="173"/>
      <c r="BW597" s="173"/>
      <c r="BX597" s="173"/>
      <c r="BY597" s="173"/>
      <c r="BZ597" s="173"/>
      <c r="CA597" s="173"/>
      <c r="CB597" s="173"/>
      <c r="CC597" s="173"/>
      <c r="CD597" s="173"/>
      <c r="CE597" s="173"/>
      <c r="CF597" s="173"/>
      <c r="CG597" s="173"/>
      <c r="CH597" s="173"/>
      <c r="CI597" s="173"/>
      <c r="CJ597" s="173"/>
      <c r="CK597" s="173"/>
      <c r="CL597" s="173"/>
      <c r="CM597" s="173"/>
      <c r="CN597" s="173"/>
      <c r="CO597" s="173"/>
      <c r="CP597" s="173"/>
      <c r="CQ597" s="173"/>
      <c r="CR597" s="173"/>
      <c r="CS597" s="173"/>
    </row>
    <row r="598">
      <c r="A598" s="170" t="s">
        <v>595</v>
      </c>
      <c r="B598" s="156"/>
      <c r="C598" s="156"/>
      <c r="D598" s="139"/>
      <c r="E598" s="156"/>
      <c r="F598" s="156"/>
      <c r="G598" s="156"/>
      <c r="H598" s="164"/>
      <c r="I598" s="164"/>
      <c r="J598" s="171"/>
      <c r="K598" s="163" t="str">
        <f>VLOOKUP(C598,'Term Reference Guide'!$C:$C,1,false)</f>
        <v>#N/A</v>
      </c>
      <c r="L598" s="163"/>
      <c r="M598" s="163"/>
      <c r="N598" s="163"/>
      <c r="O598" s="163"/>
      <c r="P598" s="163"/>
      <c r="Q598" s="163"/>
      <c r="R598" s="163"/>
      <c r="S598" s="163"/>
      <c r="T598" s="163"/>
      <c r="U598" s="163"/>
      <c r="V598" s="163"/>
      <c r="W598" s="163"/>
      <c r="X598" s="163"/>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c r="BP598" s="41"/>
      <c r="BQ598" s="41"/>
      <c r="BR598" s="41"/>
      <c r="BS598" s="41"/>
      <c r="BT598" s="41"/>
      <c r="BU598" s="41"/>
      <c r="BV598" s="41"/>
      <c r="BW598" s="41"/>
      <c r="BX598" s="41"/>
      <c r="BY598" s="41"/>
      <c r="BZ598" s="41"/>
      <c r="CA598" s="41"/>
      <c r="CB598" s="41"/>
      <c r="CC598" s="41"/>
      <c r="CD598" s="41"/>
      <c r="CE598" s="41"/>
      <c r="CF598" s="41"/>
      <c r="CG598" s="41"/>
      <c r="CH598" s="41"/>
      <c r="CI598" s="41"/>
      <c r="CJ598" s="41"/>
      <c r="CK598" s="41"/>
      <c r="CL598" s="41"/>
      <c r="CM598" s="41"/>
      <c r="CN598" s="41"/>
      <c r="CO598" s="41"/>
      <c r="CP598" s="41"/>
      <c r="CQ598" s="41"/>
      <c r="CR598" s="41"/>
      <c r="CS598" s="41"/>
    </row>
    <row r="599" hidden="1">
      <c r="A599" s="173" t="s">
        <v>595</v>
      </c>
      <c r="B599" s="179" t="s">
        <v>599</v>
      </c>
      <c r="C599" s="179" t="s">
        <v>2434</v>
      </c>
      <c r="D599" s="70" t="s">
        <v>2435</v>
      </c>
      <c r="E599" s="173"/>
      <c r="F599" s="168"/>
      <c r="G599" s="168"/>
      <c r="H599" s="168" t="s">
        <v>25</v>
      </c>
      <c r="I599" s="168" t="s">
        <v>25</v>
      </c>
      <c r="J599" s="168" t="s">
        <v>25</v>
      </c>
      <c r="K599" s="163" t="str">
        <f>VLOOKUP(C599,'Term Reference Guide'!$C:$C,1,false)</f>
        <v>NCBITaxon:1211417</v>
      </c>
      <c r="L599" s="173"/>
      <c r="M599" s="173"/>
      <c r="N599" s="173"/>
      <c r="O599" s="173"/>
      <c r="P599" s="173"/>
      <c r="Q599" s="173"/>
      <c r="R599" s="173"/>
      <c r="S599" s="173"/>
      <c r="T599" s="173"/>
      <c r="U599" s="173"/>
      <c r="V599" s="173"/>
      <c r="W599" s="173"/>
      <c r="X599" s="173"/>
      <c r="Y599" s="173"/>
      <c r="Z599" s="173"/>
      <c r="AA599" s="173"/>
      <c r="AB599" s="173"/>
      <c r="AC599" s="173"/>
      <c r="AD599" s="173"/>
      <c r="AE599" s="173"/>
      <c r="AF599" s="173"/>
      <c r="AG599" s="173"/>
      <c r="AH599" s="173"/>
      <c r="AI599" s="173"/>
      <c r="AJ599" s="173"/>
      <c r="AK599" s="173"/>
      <c r="AL599" s="173"/>
      <c r="AM599" s="173"/>
      <c r="AN599" s="173"/>
      <c r="AO599" s="173"/>
      <c r="AP599" s="173"/>
      <c r="AQ599" s="173"/>
      <c r="AR599" s="173"/>
      <c r="AS599" s="173"/>
      <c r="AT599" s="173"/>
      <c r="AU599" s="173"/>
      <c r="AV599" s="173"/>
      <c r="AW599" s="173"/>
      <c r="AX599" s="173"/>
      <c r="AY599" s="173"/>
      <c r="AZ599" s="173"/>
      <c r="BA599" s="173"/>
      <c r="BB599" s="173"/>
      <c r="BC599" s="173"/>
      <c r="BD599" s="173"/>
      <c r="BE599" s="173"/>
      <c r="BF599" s="173"/>
      <c r="BG599" s="173"/>
      <c r="BH599" s="173"/>
      <c r="BI599" s="173"/>
      <c r="BJ599" s="173"/>
      <c r="BK599" s="173"/>
      <c r="BL599" s="173"/>
      <c r="BM599" s="173"/>
      <c r="BN599" s="173"/>
      <c r="BO599" s="173"/>
      <c r="BP599" s="173"/>
      <c r="BQ599" s="173"/>
      <c r="BR599" s="173"/>
      <c r="BS599" s="173"/>
      <c r="BT599" s="173"/>
      <c r="BU599" s="173"/>
      <c r="BV599" s="173"/>
      <c r="BW599" s="173"/>
      <c r="BX599" s="173"/>
      <c r="BY599" s="173"/>
      <c r="BZ599" s="173"/>
      <c r="CA599" s="173"/>
      <c r="CB599" s="173"/>
      <c r="CC599" s="173"/>
      <c r="CD599" s="173"/>
      <c r="CE599" s="173"/>
      <c r="CF599" s="173"/>
      <c r="CG599" s="173"/>
      <c r="CH599" s="173"/>
      <c r="CI599" s="173"/>
      <c r="CJ599" s="173"/>
      <c r="CK599" s="173"/>
      <c r="CL599" s="173"/>
      <c r="CM599" s="173"/>
      <c r="CN599" s="173"/>
      <c r="CO599" s="173"/>
      <c r="CP599" s="173"/>
      <c r="CQ599" s="173"/>
      <c r="CR599" s="173"/>
      <c r="CS599" s="173"/>
    </row>
    <row r="600" hidden="1">
      <c r="A600" s="173" t="s">
        <v>595</v>
      </c>
      <c r="B600" s="179" t="s">
        <v>2436</v>
      </c>
      <c r="C600" s="179" t="s">
        <v>2437</v>
      </c>
      <c r="D600" s="70" t="s">
        <v>2438</v>
      </c>
      <c r="E600" s="173"/>
      <c r="F600" s="168"/>
      <c r="G600" s="168"/>
      <c r="H600" s="168" t="s">
        <v>25</v>
      </c>
      <c r="I600" s="168" t="s">
        <v>25</v>
      </c>
      <c r="J600" s="168" t="s">
        <v>25</v>
      </c>
      <c r="K600" s="163" t="str">
        <f>VLOOKUP(C600,'Term Reference Guide'!$C:$C,1,false)</f>
        <v>NCBITaxon:12239</v>
      </c>
      <c r="L600" s="173"/>
      <c r="M600" s="173"/>
      <c r="N600" s="173"/>
      <c r="O600" s="173"/>
      <c r="P600" s="173"/>
      <c r="Q600" s="173"/>
      <c r="R600" s="173"/>
      <c r="S600" s="173"/>
      <c r="T600" s="173"/>
      <c r="U600" s="173"/>
      <c r="V600" s="173"/>
      <c r="W600" s="173"/>
      <c r="X600" s="173"/>
      <c r="Y600" s="173"/>
      <c r="Z600" s="173"/>
      <c r="AA600" s="173"/>
      <c r="AB600" s="173"/>
      <c r="AC600" s="173"/>
      <c r="AD600" s="173"/>
      <c r="AE600" s="173"/>
      <c r="AF600" s="173"/>
      <c r="AG600" s="173"/>
      <c r="AH600" s="173"/>
      <c r="AI600" s="173"/>
      <c r="AJ600" s="173"/>
      <c r="AK600" s="173"/>
      <c r="AL600" s="173"/>
      <c r="AM600" s="173"/>
      <c r="AN600" s="173"/>
      <c r="AO600" s="173"/>
      <c r="AP600" s="173"/>
      <c r="AQ600" s="173"/>
      <c r="AR600" s="173"/>
      <c r="AS600" s="173"/>
      <c r="AT600" s="173"/>
      <c r="AU600" s="173"/>
      <c r="AV600" s="173"/>
      <c r="AW600" s="173"/>
      <c r="AX600" s="173"/>
      <c r="AY600" s="173"/>
      <c r="AZ600" s="173"/>
      <c r="BA600" s="173"/>
      <c r="BB600" s="173"/>
      <c r="BC600" s="173"/>
      <c r="BD600" s="173"/>
      <c r="BE600" s="173"/>
      <c r="BF600" s="173"/>
      <c r="BG600" s="173"/>
      <c r="BH600" s="173"/>
      <c r="BI600" s="173"/>
      <c r="BJ600" s="173"/>
      <c r="BK600" s="173"/>
      <c r="BL600" s="173"/>
      <c r="BM600" s="173"/>
      <c r="BN600" s="173"/>
      <c r="BO600" s="173"/>
      <c r="BP600" s="173"/>
      <c r="BQ600" s="173"/>
      <c r="BR600" s="173"/>
      <c r="BS600" s="173"/>
      <c r="BT600" s="173"/>
      <c r="BU600" s="173"/>
      <c r="BV600" s="173"/>
      <c r="BW600" s="173"/>
      <c r="BX600" s="173"/>
      <c r="BY600" s="173"/>
      <c r="BZ600" s="173"/>
      <c r="CA600" s="173"/>
      <c r="CB600" s="173"/>
      <c r="CC600" s="173"/>
      <c r="CD600" s="173"/>
      <c r="CE600" s="173"/>
      <c r="CF600" s="173"/>
      <c r="CG600" s="173"/>
      <c r="CH600" s="173"/>
      <c r="CI600" s="173"/>
      <c r="CJ600" s="173"/>
      <c r="CK600" s="173"/>
      <c r="CL600" s="173"/>
      <c r="CM600" s="173"/>
      <c r="CN600" s="173"/>
      <c r="CO600" s="173"/>
      <c r="CP600" s="173"/>
      <c r="CQ600" s="173"/>
      <c r="CR600" s="173"/>
      <c r="CS600" s="173"/>
    </row>
    <row r="601" hidden="1">
      <c r="A601" s="173" t="s">
        <v>595</v>
      </c>
      <c r="B601" s="179" t="s">
        <v>2439</v>
      </c>
      <c r="C601" s="40" t="s">
        <v>2440</v>
      </c>
      <c r="D601" s="70" t="s">
        <v>2441</v>
      </c>
      <c r="E601" s="173"/>
      <c r="F601" s="168"/>
      <c r="G601" s="168"/>
      <c r="H601" s="168" t="s">
        <v>25</v>
      </c>
      <c r="I601" s="168" t="s">
        <v>25</v>
      </c>
      <c r="J601" s="168" t="s">
        <v>25</v>
      </c>
      <c r="K601" s="163" t="str">
        <f>VLOOKUP(C601,'Term Reference Guide'!$C:$C,1,false)</f>
        <v>GENEPIO:0101000</v>
      </c>
      <c r="L601" s="173"/>
      <c r="M601" s="173"/>
      <c r="N601" s="173"/>
      <c r="O601" s="173"/>
      <c r="P601" s="173"/>
      <c r="Q601" s="173"/>
      <c r="R601" s="173"/>
      <c r="S601" s="173"/>
      <c r="T601" s="173"/>
      <c r="U601" s="173"/>
      <c r="V601" s="173"/>
      <c r="W601" s="173"/>
      <c r="X601" s="173"/>
      <c r="Y601" s="173"/>
      <c r="Z601" s="173"/>
      <c r="AA601" s="173"/>
      <c r="AB601" s="173"/>
      <c r="AC601" s="173"/>
      <c r="AD601" s="173"/>
      <c r="AE601" s="173"/>
      <c r="AF601" s="173"/>
      <c r="AG601" s="173"/>
      <c r="AH601" s="173"/>
      <c r="AI601" s="173"/>
      <c r="AJ601" s="173"/>
      <c r="AK601" s="173"/>
      <c r="AL601" s="173"/>
      <c r="AM601" s="173"/>
      <c r="AN601" s="173"/>
      <c r="AO601" s="173"/>
      <c r="AP601" s="173"/>
      <c r="AQ601" s="173"/>
      <c r="AR601" s="173"/>
      <c r="AS601" s="173"/>
      <c r="AT601" s="173"/>
      <c r="AU601" s="173"/>
      <c r="AV601" s="173"/>
      <c r="AW601" s="173"/>
      <c r="AX601" s="173"/>
      <c r="AY601" s="173"/>
      <c r="AZ601" s="173"/>
      <c r="BA601" s="173"/>
      <c r="BB601" s="173"/>
      <c r="BC601" s="173"/>
      <c r="BD601" s="173"/>
      <c r="BE601" s="173"/>
      <c r="BF601" s="173"/>
      <c r="BG601" s="173"/>
      <c r="BH601" s="173"/>
      <c r="BI601" s="173"/>
      <c r="BJ601" s="173"/>
      <c r="BK601" s="173"/>
      <c r="BL601" s="173"/>
      <c r="BM601" s="173"/>
      <c r="BN601" s="173"/>
      <c r="BO601" s="173"/>
      <c r="BP601" s="173"/>
      <c r="BQ601" s="173"/>
      <c r="BR601" s="173"/>
      <c r="BS601" s="173"/>
      <c r="BT601" s="173"/>
      <c r="BU601" s="173"/>
      <c r="BV601" s="173"/>
      <c r="BW601" s="173"/>
      <c r="BX601" s="173"/>
      <c r="BY601" s="173"/>
      <c r="BZ601" s="173"/>
      <c r="CA601" s="173"/>
      <c r="CB601" s="173"/>
      <c r="CC601" s="173"/>
      <c r="CD601" s="173"/>
      <c r="CE601" s="173"/>
      <c r="CF601" s="173"/>
      <c r="CG601" s="173"/>
      <c r="CH601" s="173"/>
      <c r="CI601" s="173"/>
      <c r="CJ601" s="173"/>
      <c r="CK601" s="173"/>
      <c r="CL601" s="173"/>
      <c r="CM601" s="173"/>
      <c r="CN601" s="173"/>
      <c r="CO601" s="173"/>
      <c r="CP601" s="173"/>
      <c r="CQ601" s="173"/>
      <c r="CR601" s="173"/>
      <c r="CS601" s="173"/>
    </row>
    <row r="602" hidden="1">
      <c r="A602" s="173" t="s">
        <v>595</v>
      </c>
      <c r="B602" s="179" t="s">
        <v>2442</v>
      </c>
      <c r="C602" s="40" t="s">
        <v>2443</v>
      </c>
      <c r="D602" s="70" t="s">
        <v>2444</v>
      </c>
      <c r="E602" s="173"/>
      <c r="F602" s="168"/>
      <c r="G602" s="168"/>
      <c r="H602" s="168" t="s">
        <v>25</v>
      </c>
      <c r="I602" s="168" t="s">
        <v>25</v>
      </c>
      <c r="J602" s="168" t="s">
        <v>25</v>
      </c>
      <c r="K602" s="163" t="str">
        <f>VLOOKUP(C602,'Term Reference Guide'!$C:$C,1,false)</f>
        <v>GENEPIO:0101001</v>
      </c>
      <c r="L602" s="173"/>
      <c r="M602" s="173"/>
      <c r="N602" s="173"/>
      <c r="O602" s="173"/>
      <c r="P602" s="173"/>
      <c r="Q602" s="173"/>
      <c r="R602" s="173"/>
      <c r="S602" s="173"/>
      <c r="T602" s="173"/>
      <c r="U602" s="173"/>
      <c r="V602" s="173"/>
      <c r="W602" s="173"/>
      <c r="X602" s="173"/>
      <c r="Y602" s="173"/>
      <c r="Z602" s="173"/>
      <c r="AA602" s="173"/>
      <c r="AB602" s="173"/>
      <c r="AC602" s="173"/>
      <c r="AD602" s="173"/>
      <c r="AE602" s="173"/>
      <c r="AF602" s="173"/>
      <c r="AG602" s="173"/>
      <c r="AH602" s="173"/>
      <c r="AI602" s="173"/>
      <c r="AJ602" s="173"/>
      <c r="AK602" s="173"/>
      <c r="AL602" s="173"/>
      <c r="AM602" s="173"/>
      <c r="AN602" s="173"/>
      <c r="AO602" s="173"/>
      <c r="AP602" s="173"/>
      <c r="AQ602" s="173"/>
      <c r="AR602" s="173"/>
      <c r="AS602" s="173"/>
      <c r="AT602" s="173"/>
      <c r="AU602" s="173"/>
      <c r="AV602" s="173"/>
      <c r="AW602" s="173"/>
      <c r="AX602" s="173"/>
      <c r="AY602" s="173"/>
      <c r="AZ602" s="173"/>
      <c r="BA602" s="173"/>
      <c r="BB602" s="173"/>
      <c r="BC602" s="173"/>
      <c r="BD602" s="173"/>
      <c r="BE602" s="173"/>
      <c r="BF602" s="173"/>
      <c r="BG602" s="173"/>
      <c r="BH602" s="173"/>
      <c r="BI602" s="173"/>
      <c r="BJ602" s="173"/>
      <c r="BK602" s="173"/>
      <c r="BL602" s="173"/>
      <c r="BM602" s="173"/>
      <c r="BN602" s="173"/>
      <c r="BO602" s="173"/>
      <c r="BP602" s="173"/>
      <c r="BQ602" s="173"/>
      <c r="BR602" s="173"/>
      <c r="BS602" s="173"/>
      <c r="BT602" s="173"/>
      <c r="BU602" s="173"/>
      <c r="BV602" s="173"/>
      <c r="BW602" s="173"/>
      <c r="BX602" s="173"/>
      <c r="BY602" s="173"/>
      <c r="BZ602" s="173"/>
      <c r="CA602" s="173"/>
      <c r="CB602" s="173"/>
      <c r="CC602" s="173"/>
      <c r="CD602" s="173"/>
      <c r="CE602" s="173"/>
      <c r="CF602" s="173"/>
      <c r="CG602" s="173"/>
      <c r="CH602" s="173"/>
      <c r="CI602" s="173"/>
      <c r="CJ602" s="173"/>
      <c r="CK602" s="173"/>
      <c r="CL602" s="173"/>
      <c r="CM602" s="173"/>
      <c r="CN602" s="173"/>
      <c r="CO602" s="173"/>
      <c r="CP602" s="173"/>
      <c r="CQ602" s="173"/>
      <c r="CR602" s="173"/>
      <c r="CS602" s="173"/>
    </row>
    <row r="603" hidden="1">
      <c r="A603" s="173" t="s">
        <v>595</v>
      </c>
      <c r="B603" s="179" t="s">
        <v>2445</v>
      </c>
      <c r="C603" s="40" t="s">
        <v>2446</v>
      </c>
      <c r="D603" s="70" t="s">
        <v>2447</v>
      </c>
      <c r="E603" s="173"/>
      <c r="F603" s="168"/>
      <c r="G603" s="168"/>
      <c r="H603" s="168" t="s">
        <v>25</v>
      </c>
      <c r="I603" s="168" t="s">
        <v>25</v>
      </c>
      <c r="J603" s="168" t="s">
        <v>25</v>
      </c>
      <c r="K603" s="163" t="str">
        <f>VLOOKUP(C603,'Term Reference Guide'!$C:$C,1,false)</f>
        <v>GENEPIO:0101002</v>
      </c>
      <c r="L603" s="173"/>
      <c r="M603" s="173"/>
      <c r="N603" s="173"/>
      <c r="O603" s="173"/>
      <c r="P603" s="173"/>
      <c r="Q603" s="173"/>
      <c r="R603" s="173"/>
      <c r="S603" s="173"/>
      <c r="T603" s="173"/>
      <c r="U603" s="173"/>
      <c r="V603" s="173"/>
      <c r="W603" s="173"/>
      <c r="X603" s="173"/>
      <c r="Y603" s="173"/>
      <c r="Z603" s="173"/>
      <c r="AA603" s="173"/>
      <c r="AB603" s="173"/>
      <c r="AC603" s="173"/>
      <c r="AD603" s="173"/>
      <c r="AE603" s="173"/>
      <c r="AF603" s="173"/>
      <c r="AG603" s="173"/>
      <c r="AH603" s="173"/>
      <c r="AI603" s="173"/>
      <c r="AJ603" s="173"/>
      <c r="AK603" s="173"/>
      <c r="AL603" s="173"/>
      <c r="AM603" s="173"/>
      <c r="AN603" s="173"/>
      <c r="AO603" s="173"/>
      <c r="AP603" s="173"/>
      <c r="AQ603" s="173"/>
      <c r="AR603" s="173"/>
      <c r="AS603" s="173"/>
      <c r="AT603" s="173"/>
      <c r="AU603" s="173"/>
      <c r="AV603" s="173"/>
      <c r="AW603" s="173"/>
      <c r="AX603" s="173"/>
      <c r="AY603" s="173"/>
      <c r="AZ603" s="173"/>
      <c r="BA603" s="173"/>
      <c r="BB603" s="173"/>
      <c r="BC603" s="173"/>
      <c r="BD603" s="173"/>
      <c r="BE603" s="173"/>
      <c r="BF603" s="173"/>
      <c r="BG603" s="173"/>
      <c r="BH603" s="173"/>
      <c r="BI603" s="173"/>
      <c r="BJ603" s="173"/>
      <c r="BK603" s="173"/>
      <c r="BL603" s="173"/>
      <c r="BM603" s="173"/>
      <c r="BN603" s="173"/>
      <c r="BO603" s="173"/>
      <c r="BP603" s="173"/>
      <c r="BQ603" s="173"/>
      <c r="BR603" s="173"/>
      <c r="BS603" s="173"/>
      <c r="BT603" s="173"/>
      <c r="BU603" s="173"/>
      <c r="BV603" s="173"/>
      <c r="BW603" s="173"/>
      <c r="BX603" s="173"/>
      <c r="BY603" s="173"/>
      <c r="BZ603" s="173"/>
      <c r="CA603" s="173"/>
      <c r="CB603" s="173"/>
      <c r="CC603" s="173"/>
      <c r="CD603" s="173"/>
      <c r="CE603" s="173"/>
      <c r="CF603" s="173"/>
      <c r="CG603" s="173"/>
      <c r="CH603" s="173"/>
      <c r="CI603" s="173"/>
      <c r="CJ603" s="173"/>
      <c r="CK603" s="173"/>
      <c r="CL603" s="173"/>
      <c r="CM603" s="173"/>
      <c r="CN603" s="173"/>
      <c r="CO603" s="173"/>
      <c r="CP603" s="173"/>
      <c r="CQ603" s="173"/>
      <c r="CR603" s="173"/>
      <c r="CS603" s="173"/>
    </row>
    <row r="604" hidden="1">
      <c r="A604" s="173" t="s">
        <v>595</v>
      </c>
      <c r="B604" s="179" t="s">
        <v>2448</v>
      </c>
      <c r="C604" s="179" t="s">
        <v>2449</v>
      </c>
      <c r="D604" s="70" t="s">
        <v>2450</v>
      </c>
      <c r="E604" s="173"/>
      <c r="F604" s="168"/>
      <c r="G604" s="168"/>
      <c r="H604" s="168" t="s">
        <v>25</v>
      </c>
      <c r="I604" s="168" t="s">
        <v>25</v>
      </c>
      <c r="J604" s="168" t="s">
        <v>25</v>
      </c>
      <c r="K604" s="163" t="str">
        <f>VLOOKUP(C604,'Term Reference Guide'!$C:$C,1,false)</f>
        <v>CHEBI:26756</v>
      </c>
      <c r="L604" s="173"/>
      <c r="M604" s="173"/>
      <c r="N604" s="173"/>
      <c r="O604" s="173"/>
      <c r="P604" s="173"/>
      <c r="Q604" s="173"/>
      <c r="R604" s="173"/>
      <c r="S604" s="173"/>
      <c r="T604" s="173"/>
      <c r="U604" s="173"/>
      <c r="V604" s="173"/>
      <c r="W604" s="173"/>
      <c r="X604" s="173"/>
      <c r="Y604" s="173"/>
      <c r="Z604" s="173"/>
      <c r="AA604" s="173"/>
      <c r="AB604" s="173"/>
      <c r="AC604" s="173"/>
      <c r="AD604" s="173"/>
      <c r="AE604" s="173"/>
      <c r="AF604" s="173"/>
      <c r="AG604" s="173"/>
      <c r="AH604" s="173"/>
      <c r="AI604" s="173"/>
      <c r="AJ604" s="173"/>
      <c r="AK604" s="173"/>
      <c r="AL604" s="173"/>
      <c r="AM604" s="173"/>
      <c r="AN604" s="173"/>
      <c r="AO604" s="173"/>
      <c r="AP604" s="173"/>
      <c r="AQ604" s="173"/>
      <c r="AR604" s="173"/>
      <c r="AS604" s="173"/>
      <c r="AT604" s="173"/>
      <c r="AU604" s="173"/>
      <c r="AV604" s="173"/>
      <c r="AW604" s="173"/>
      <c r="AX604" s="173"/>
      <c r="AY604" s="173"/>
      <c r="AZ604" s="173"/>
      <c r="BA604" s="173"/>
      <c r="BB604" s="173"/>
      <c r="BC604" s="173"/>
      <c r="BD604" s="173"/>
      <c r="BE604" s="173"/>
      <c r="BF604" s="173"/>
      <c r="BG604" s="173"/>
      <c r="BH604" s="173"/>
      <c r="BI604" s="173"/>
      <c r="BJ604" s="173"/>
      <c r="BK604" s="173"/>
      <c r="BL604" s="173"/>
      <c r="BM604" s="173"/>
      <c r="BN604" s="173"/>
      <c r="BO604" s="173"/>
      <c r="BP604" s="173"/>
      <c r="BQ604" s="173"/>
      <c r="BR604" s="173"/>
      <c r="BS604" s="173"/>
      <c r="BT604" s="173"/>
      <c r="BU604" s="173"/>
      <c r="BV604" s="173"/>
      <c r="BW604" s="173"/>
      <c r="BX604" s="173"/>
      <c r="BY604" s="173"/>
      <c r="BZ604" s="173"/>
      <c r="CA604" s="173"/>
      <c r="CB604" s="173"/>
      <c r="CC604" s="173"/>
      <c r="CD604" s="173"/>
      <c r="CE604" s="173"/>
      <c r="CF604" s="173"/>
      <c r="CG604" s="173"/>
      <c r="CH604" s="173"/>
      <c r="CI604" s="173"/>
      <c r="CJ604" s="173"/>
      <c r="CK604" s="173"/>
      <c r="CL604" s="173"/>
      <c r="CM604" s="173"/>
      <c r="CN604" s="173"/>
      <c r="CO604" s="173"/>
      <c r="CP604" s="173"/>
      <c r="CQ604" s="173"/>
      <c r="CR604" s="173"/>
      <c r="CS604" s="173"/>
    </row>
    <row r="605">
      <c r="A605" s="173"/>
      <c r="B605" s="173"/>
      <c r="C605" s="173"/>
      <c r="D605" s="141"/>
      <c r="E605" s="173"/>
      <c r="F605" s="173"/>
      <c r="G605" s="173"/>
      <c r="H605" s="173"/>
      <c r="I605" s="173"/>
      <c r="J605" s="141"/>
      <c r="K605" s="163" t="str">
        <f>VLOOKUP(C605,'Term Reference Guide'!$C:$C,1,false)</f>
        <v>#N/A</v>
      </c>
      <c r="L605" s="173"/>
      <c r="M605" s="173"/>
      <c r="N605" s="173"/>
      <c r="O605" s="173"/>
      <c r="P605" s="173"/>
      <c r="Q605" s="173"/>
      <c r="R605" s="173"/>
      <c r="S605" s="173"/>
      <c r="T605" s="173"/>
      <c r="U605" s="173"/>
      <c r="V605" s="173"/>
      <c r="W605" s="173"/>
      <c r="X605" s="173"/>
      <c r="Y605" s="173"/>
      <c r="Z605" s="173"/>
      <c r="AA605" s="173"/>
      <c r="AB605" s="173"/>
      <c r="AC605" s="173"/>
      <c r="AD605" s="173"/>
      <c r="AE605" s="173"/>
      <c r="AF605" s="173"/>
      <c r="AG605" s="173"/>
      <c r="AH605" s="173"/>
      <c r="AI605" s="173"/>
      <c r="AJ605" s="173"/>
      <c r="AK605" s="173"/>
      <c r="AL605" s="173"/>
      <c r="AM605" s="173"/>
      <c r="AN605" s="173"/>
      <c r="AO605" s="173"/>
      <c r="AP605" s="173"/>
      <c r="AQ605" s="173"/>
      <c r="AR605" s="173"/>
      <c r="AS605" s="173"/>
      <c r="AT605" s="173"/>
      <c r="AU605" s="173"/>
      <c r="AV605" s="173"/>
      <c r="AW605" s="173"/>
      <c r="AX605" s="173"/>
      <c r="AY605" s="173"/>
      <c r="AZ605" s="173"/>
      <c r="BA605" s="173"/>
      <c r="BB605" s="173"/>
      <c r="BC605" s="173"/>
      <c r="BD605" s="173"/>
      <c r="BE605" s="173"/>
      <c r="BF605" s="173"/>
      <c r="BG605" s="173"/>
      <c r="BH605" s="173"/>
      <c r="BI605" s="173"/>
      <c r="BJ605" s="173"/>
      <c r="BK605" s="173"/>
      <c r="BL605" s="173"/>
      <c r="BM605" s="173"/>
      <c r="BN605" s="173"/>
      <c r="BO605" s="173"/>
      <c r="BP605" s="173"/>
      <c r="BQ605" s="173"/>
      <c r="BR605" s="173"/>
      <c r="BS605" s="173"/>
      <c r="BT605" s="173"/>
      <c r="BU605" s="173"/>
      <c r="BV605" s="173"/>
      <c r="BW605" s="173"/>
      <c r="BX605" s="173"/>
      <c r="BY605" s="173"/>
      <c r="BZ605" s="173"/>
      <c r="CA605" s="173"/>
      <c r="CB605" s="173"/>
      <c r="CC605" s="173"/>
      <c r="CD605" s="173"/>
      <c r="CE605" s="173"/>
      <c r="CF605" s="173"/>
      <c r="CG605" s="173"/>
      <c r="CH605" s="173"/>
      <c r="CI605" s="173"/>
      <c r="CJ605" s="173"/>
      <c r="CK605" s="173"/>
      <c r="CL605" s="173"/>
      <c r="CM605" s="173"/>
      <c r="CN605" s="173"/>
      <c r="CO605" s="173"/>
      <c r="CP605" s="173"/>
      <c r="CQ605" s="173"/>
      <c r="CR605" s="173"/>
      <c r="CS605" s="173"/>
    </row>
    <row r="606">
      <c r="A606" s="170" t="s">
        <v>604</v>
      </c>
      <c r="B606" s="156"/>
      <c r="C606" s="156"/>
      <c r="D606" s="139"/>
      <c r="E606" s="156"/>
      <c r="F606" s="156"/>
      <c r="G606" s="156"/>
      <c r="H606" s="164"/>
      <c r="I606" s="164"/>
      <c r="J606" s="171"/>
      <c r="K606" s="163" t="str">
        <f>VLOOKUP(C606,'Term Reference Guide'!$C:$C,1,false)</f>
        <v>#N/A</v>
      </c>
      <c r="L606" s="163"/>
      <c r="M606" s="163"/>
      <c r="N606" s="163"/>
      <c r="O606" s="163"/>
      <c r="P606" s="163"/>
      <c r="Q606" s="163"/>
      <c r="R606" s="163"/>
      <c r="S606" s="163"/>
      <c r="T606" s="163"/>
      <c r="U606" s="163"/>
      <c r="V606" s="163"/>
      <c r="W606" s="163"/>
      <c r="X606" s="163"/>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c r="BP606" s="41"/>
      <c r="BQ606" s="41"/>
      <c r="BR606" s="41"/>
      <c r="BS606" s="41"/>
      <c r="BT606" s="41"/>
      <c r="BU606" s="41"/>
      <c r="BV606" s="41"/>
      <c r="BW606" s="41"/>
      <c r="BX606" s="41"/>
      <c r="BY606" s="41"/>
      <c r="BZ606" s="41"/>
      <c r="CA606" s="41"/>
      <c r="CB606" s="41"/>
      <c r="CC606" s="41"/>
      <c r="CD606" s="41"/>
      <c r="CE606" s="41"/>
      <c r="CF606" s="41"/>
      <c r="CG606" s="41"/>
      <c r="CH606" s="41"/>
      <c r="CI606" s="41"/>
      <c r="CJ606" s="41"/>
      <c r="CK606" s="41"/>
      <c r="CL606" s="41"/>
      <c r="CM606" s="41"/>
      <c r="CN606" s="41"/>
      <c r="CO606" s="41"/>
      <c r="CP606" s="41"/>
      <c r="CQ606" s="41"/>
      <c r="CR606" s="41"/>
      <c r="CS606" s="41"/>
    </row>
    <row r="607">
      <c r="A607" s="173" t="s">
        <v>604</v>
      </c>
      <c r="B607" s="179" t="s">
        <v>2451</v>
      </c>
      <c r="C607" s="179" t="s">
        <v>2367</v>
      </c>
      <c r="D607" s="70" t="s">
        <v>2452</v>
      </c>
      <c r="E607" s="173"/>
      <c r="F607" s="168"/>
      <c r="G607" s="168"/>
      <c r="H607" s="168" t="s">
        <v>25</v>
      </c>
      <c r="I607" s="168" t="s">
        <v>25</v>
      </c>
      <c r="J607" s="168" t="s">
        <v>25</v>
      </c>
      <c r="K607" s="163" t="str">
        <f>VLOOKUP(C607,'Term Reference Guide'!$C:$C,1,false)</f>
        <v>#N/A</v>
      </c>
      <c r="L607" s="173"/>
      <c r="M607" s="173"/>
      <c r="N607" s="173"/>
      <c r="O607" s="173"/>
      <c r="P607" s="173"/>
      <c r="Q607" s="173"/>
      <c r="R607" s="173"/>
      <c r="S607" s="173"/>
      <c r="T607" s="173"/>
      <c r="U607" s="173"/>
      <c r="V607" s="173"/>
      <c r="W607" s="173"/>
      <c r="X607" s="173"/>
      <c r="Y607" s="173"/>
      <c r="Z607" s="173"/>
      <c r="AA607" s="173"/>
      <c r="AB607" s="173"/>
      <c r="AC607" s="173"/>
      <c r="AD607" s="173"/>
      <c r="AE607" s="173"/>
      <c r="AF607" s="173"/>
      <c r="AG607" s="173"/>
      <c r="AH607" s="173"/>
      <c r="AI607" s="173"/>
      <c r="AJ607" s="173"/>
      <c r="AK607" s="173"/>
      <c r="AL607" s="173"/>
      <c r="AM607" s="173"/>
      <c r="AN607" s="173"/>
      <c r="AO607" s="173"/>
      <c r="AP607" s="173"/>
      <c r="AQ607" s="173"/>
      <c r="AR607" s="173"/>
      <c r="AS607" s="173"/>
      <c r="AT607" s="173"/>
      <c r="AU607" s="173"/>
      <c r="AV607" s="173"/>
      <c r="AW607" s="173"/>
      <c r="AX607" s="173"/>
      <c r="AY607" s="173"/>
      <c r="AZ607" s="173"/>
      <c r="BA607" s="173"/>
      <c r="BB607" s="173"/>
      <c r="BC607" s="173"/>
      <c r="BD607" s="173"/>
      <c r="BE607" s="173"/>
      <c r="BF607" s="173"/>
      <c r="BG607" s="173"/>
      <c r="BH607" s="173"/>
      <c r="BI607" s="173"/>
      <c r="BJ607" s="173"/>
      <c r="BK607" s="173"/>
      <c r="BL607" s="173"/>
      <c r="BM607" s="173"/>
      <c r="BN607" s="173"/>
      <c r="BO607" s="173"/>
      <c r="BP607" s="173"/>
      <c r="BQ607" s="173"/>
      <c r="BR607" s="173"/>
      <c r="BS607" s="173"/>
      <c r="BT607" s="173"/>
      <c r="BU607" s="173"/>
      <c r="BV607" s="173"/>
      <c r="BW607" s="173"/>
      <c r="BX607" s="173"/>
      <c r="BY607" s="173"/>
      <c r="BZ607" s="173"/>
      <c r="CA607" s="173"/>
      <c r="CB607" s="173"/>
      <c r="CC607" s="173"/>
      <c r="CD607" s="173"/>
      <c r="CE607" s="173"/>
      <c r="CF607" s="173"/>
      <c r="CG607" s="173"/>
      <c r="CH607" s="173"/>
      <c r="CI607" s="173"/>
      <c r="CJ607" s="173"/>
      <c r="CK607" s="173"/>
      <c r="CL607" s="173"/>
      <c r="CM607" s="173"/>
      <c r="CN607" s="173"/>
      <c r="CO607" s="173"/>
      <c r="CP607" s="173"/>
      <c r="CQ607" s="173"/>
      <c r="CR607" s="173"/>
      <c r="CS607" s="173"/>
    </row>
    <row r="608">
      <c r="A608" s="173" t="s">
        <v>604</v>
      </c>
      <c r="B608" s="179" t="s">
        <v>2453</v>
      </c>
      <c r="C608" s="179" t="s">
        <v>2367</v>
      </c>
      <c r="D608" s="70" t="s">
        <v>2454</v>
      </c>
      <c r="E608" s="173"/>
      <c r="F608" s="168"/>
      <c r="G608" s="168"/>
      <c r="H608" s="168" t="s">
        <v>25</v>
      </c>
      <c r="I608" s="168" t="s">
        <v>25</v>
      </c>
      <c r="J608" s="168" t="s">
        <v>25</v>
      </c>
      <c r="K608" s="163" t="str">
        <f>VLOOKUP(C608,'Term Reference Guide'!$C:$C,1,false)</f>
        <v>#N/A</v>
      </c>
      <c r="L608" s="173"/>
      <c r="M608" s="173"/>
      <c r="N608" s="173"/>
      <c r="O608" s="173"/>
      <c r="P608" s="173"/>
      <c r="Q608" s="173"/>
      <c r="R608" s="173"/>
      <c r="S608" s="173"/>
      <c r="T608" s="173"/>
      <c r="U608" s="173"/>
      <c r="V608" s="173"/>
      <c r="W608" s="173"/>
      <c r="X608" s="173"/>
      <c r="Y608" s="173"/>
      <c r="Z608" s="173"/>
      <c r="AA608" s="173"/>
      <c r="AB608" s="173"/>
      <c r="AC608" s="173"/>
      <c r="AD608" s="173"/>
      <c r="AE608" s="173"/>
      <c r="AF608" s="173"/>
      <c r="AG608" s="173"/>
      <c r="AH608" s="173"/>
      <c r="AI608" s="173"/>
      <c r="AJ608" s="173"/>
      <c r="AK608" s="173"/>
      <c r="AL608" s="173"/>
      <c r="AM608" s="173"/>
      <c r="AN608" s="173"/>
      <c r="AO608" s="173"/>
      <c r="AP608" s="173"/>
      <c r="AQ608" s="173"/>
      <c r="AR608" s="173"/>
      <c r="AS608" s="173"/>
      <c r="AT608" s="173"/>
      <c r="AU608" s="173"/>
      <c r="AV608" s="173"/>
      <c r="AW608" s="173"/>
      <c r="AX608" s="173"/>
      <c r="AY608" s="173"/>
      <c r="AZ608" s="173"/>
      <c r="BA608" s="173"/>
      <c r="BB608" s="173"/>
      <c r="BC608" s="173"/>
      <c r="BD608" s="173"/>
      <c r="BE608" s="173"/>
      <c r="BF608" s="173"/>
      <c r="BG608" s="173"/>
      <c r="BH608" s="173"/>
      <c r="BI608" s="173"/>
      <c r="BJ608" s="173"/>
      <c r="BK608" s="173"/>
      <c r="BL608" s="173"/>
      <c r="BM608" s="173"/>
      <c r="BN608" s="173"/>
      <c r="BO608" s="173"/>
      <c r="BP608" s="173"/>
      <c r="BQ608" s="173"/>
      <c r="BR608" s="173"/>
      <c r="BS608" s="173"/>
      <c r="BT608" s="173"/>
      <c r="BU608" s="173"/>
      <c r="BV608" s="173"/>
      <c r="BW608" s="173"/>
      <c r="BX608" s="173"/>
      <c r="BY608" s="173"/>
      <c r="BZ608" s="173"/>
      <c r="CA608" s="173"/>
      <c r="CB608" s="173"/>
      <c r="CC608" s="173"/>
      <c r="CD608" s="173"/>
      <c r="CE608" s="173"/>
      <c r="CF608" s="173"/>
      <c r="CG608" s="173"/>
      <c r="CH608" s="173"/>
      <c r="CI608" s="173"/>
      <c r="CJ608" s="173"/>
      <c r="CK608" s="173"/>
      <c r="CL608" s="173"/>
      <c r="CM608" s="173"/>
      <c r="CN608" s="173"/>
      <c r="CO608" s="173"/>
      <c r="CP608" s="173"/>
      <c r="CQ608" s="173"/>
      <c r="CR608" s="173"/>
      <c r="CS608" s="173"/>
    </row>
    <row r="609" hidden="1">
      <c r="A609" s="173" t="s">
        <v>604</v>
      </c>
      <c r="B609" s="179" t="s">
        <v>2455</v>
      </c>
      <c r="C609" s="179" t="s">
        <v>2456</v>
      </c>
      <c r="D609" s="70" t="s">
        <v>2457</v>
      </c>
      <c r="E609" s="173"/>
      <c r="F609" s="168"/>
      <c r="G609" s="168"/>
      <c r="H609" s="168" t="s">
        <v>25</v>
      </c>
      <c r="I609" s="168" t="s">
        <v>25</v>
      </c>
      <c r="J609" s="168" t="s">
        <v>25</v>
      </c>
      <c r="K609" s="163" t="str">
        <f>VLOOKUP(C609,'Term Reference Guide'!$C:$C,1,false)</f>
        <v>UO:0010077</v>
      </c>
      <c r="L609" s="173"/>
      <c r="M609" s="173"/>
      <c r="N609" s="173"/>
      <c r="O609" s="173"/>
      <c r="P609" s="173"/>
      <c r="Q609" s="173"/>
      <c r="R609" s="173"/>
      <c r="S609" s="173"/>
      <c r="T609" s="173"/>
      <c r="U609" s="173"/>
      <c r="V609" s="173"/>
      <c r="W609" s="173"/>
      <c r="X609" s="173"/>
      <c r="Y609" s="173"/>
      <c r="Z609" s="173"/>
      <c r="AA609" s="173"/>
      <c r="AB609" s="173"/>
      <c r="AC609" s="173"/>
      <c r="AD609" s="173"/>
      <c r="AE609" s="173"/>
      <c r="AF609" s="173"/>
      <c r="AG609" s="173"/>
      <c r="AH609" s="173"/>
      <c r="AI609" s="173"/>
      <c r="AJ609" s="173"/>
      <c r="AK609" s="173"/>
      <c r="AL609" s="173"/>
      <c r="AM609" s="173"/>
      <c r="AN609" s="173"/>
      <c r="AO609" s="173"/>
      <c r="AP609" s="173"/>
      <c r="AQ609" s="173"/>
      <c r="AR609" s="173"/>
      <c r="AS609" s="173"/>
      <c r="AT609" s="173"/>
      <c r="AU609" s="173"/>
      <c r="AV609" s="173"/>
      <c r="AW609" s="173"/>
      <c r="AX609" s="173"/>
      <c r="AY609" s="173"/>
      <c r="AZ609" s="173"/>
      <c r="BA609" s="173"/>
      <c r="BB609" s="173"/>
      <c r="BC609" s="173"/>
      <c r="BD609" s="173"/>
      <c r="BE609" s="173"/>
      <c r="BF609" s="173"/>
      <c r="BG609" s="173"/>
      <c r="BH609" s="173"/>
      <c r="BI609" s="173"/>
      <c r="BJ609" s="173"/>
      <c r="BK609" s="173"/>
      <c r="BL609" s="173"/>
      <c r="BM609" s="173"/>
      <c r="BN609" s="173"/>
      <c r="BO609" s="173"/>
      <c r="BP609" s="173"/>
      <c r="BQ609" s="173"/>
      <c r="BR609" s="173"/>
      <c r="BS609" s="173"/>
      <c r="BT609" s="173"/>
      <c r="BU609" s="173"/>
      <c r="BV609" s="173"/>
      <c r="BW609" s="173"/>
      <c r="BX609" s="173"/>
      <c r="BY609" s="173"/>
      <c r="BZ609" s="173"/>
      <c r="CA609" s="173"/>
      <c r="CB609" s="173"/>
      <c r="CC609" s="173"/>
      <c r="CD609" s="173"/>
      <c r="CE609" s="173"/>
      <c r="CF609" s="173"/>
      <c r="CG609" s="173"/>
      <c r="CH609" s="173"/>
      <c r="CI609" s="173"/>
      <c r="CJ609" s="173"/>
      <c r="CK609" s="173"/>
      <c r="CL609" s="173"/>
      <c r="CM609" s="173"/>
      <c r="CN609" s="173"/>
      <c r="CO609" s="173"/>
      <c r="CP609" s="173"/>
      <c r="CQ609" s="173"/>
      <c r="CR609" s="173"/>
      <c r="CS609" s="173"/>
    </row>
    <row r="610">
      <c r="A610" s="173" t="s">
        <v>604</v>
      </c>
      <c r="B610" s="179" t="s">
        <v>2458</v>
      </c>
      <c r="C610" s="179" t="s">
        <v>2367</v>
      </c>
      <c r="D610" s="70" t="s">
        <v>2459</v>
      </c>
      <c r="E610" s="173"/>
      <c r="F610" s="168"/>
      <c r="G610" s="168"/>
      <c r="H610" s="168" t="s">
        <v>25</v>
      </c>
      <c r="I610" s="168" t="s">
        <v>25</v>
      </c>
      <c r="J610" s="168" t="s">
        <v>25</v>
      </c>
      <c r="K610" s="163" t="str">
        <f>VLOOKUP(C610,'Term Reference Guide'!$C:$C,1,false)</f>
        <v>#N/A</v>
      </c>
      <c r="L610" s="173"/>
      <c r="M610" s="173"/>
      <c r="N610" s="173"/>
      <c r="O610" s="173"/>
      <c r="P610" s="173"/>
      <c r="Q610" s="173"/>
      <c r="R610" s="173"/>
      <c r="S610" s="173"/>
      <c r="T610" s="173"/>
      <c r="U610" s="173"/>
      <c r="V610" s="173"/>
      <c r="W610" s="173"/>
      <c r="X610" s="173"/>
      <c r="Y610" s="173"/>
      <c r="Z610" s="173"/>
      <c r="AA610" s="173"/>
      <c r="AB610" s="173"/>
      <c r="AC610" s="173"/>
      <c r="AD610" s="173"/>
      <c r="AE610" s="173"/>
      <c r="AF610" s="173"/>
      <c r="AG610" s="173"/>
      <c r="AH610" s="173"/>
      <c r="AI610" s="173"/>
      <c r="AJ610" s="173"/>
      <c r="AK610" s="173"/>
      <c r="AL610" s="173"/>
      <c r="AM610" s="173"/>
      <c r="AN610" s="173"/>
      <c r="AO610" s="173"/>
      <c r="AP610" s="173"/>
      <c r="AQ610" s="173"/>
      <c r="AR610" s="173"/>
      <c r="AS610" s="173"/>
      <c r="AT610" s="173"/>
      <c r="AU610" s="173"/>
      <c r="AV610" s="173"/>
      <c r="AW610" s="173"/>
      <c r="AX610" s="173"/>
      <c r="AY610" s="173"/>
      <c r="AZ610" s="173"/>
      <c r="BA610" s="173"/>
      <c r="BB610" s="173"/>
      <c r="BC610" s="173"/>
      <c r="BD610" s="173"/>
      <c r="BE610" s="173"/>
      <c r="BF610" s="173"/>
      <c r="BG610" s="173"/>
      <c r="BH610" s="173"/>
      <c r="BI610" s="173"/>
      <c r="BJ610" s="173"/>
      <c r="BK610" s="173"/>
      <c r="BL610" s="173"/>
      <c r="BM610" s="173"/>
      <c r="BN610" s="173"/>
      <c r="BO610" s="173"/>
      <c r="BP610" s="173"/>
      <c r="BQ610" s="173"/>
      <c r="BR610" s="173"/>
      <c r="BS610" s="173"/>
      <c r="BT610" s="173"/>
      <c r="BU610" s="173"/>
      <c r="BV610" s="173"/>
      <c r="BW610" s="173"/>
      <c r="BX610" s="173"/>
      <c r="BY610" s="173"/>
      <c r="BZ610" s="173"/>
      <c r="CA610" s="173"/>
      <c r="CB610" s="173"/>
      <c r="CC610" s="173"/>
      <c r="CD610" s="173"/>
      <c r="CE610" s="173"/>
      <c r="CF610" s="173"/>
      <c r="CG610" s="173"/>
      <c r="CH610" s="173"/>
      <c r="CI610" s="173"/>
      <c r="CJ610" s="173"/>
      <c r="CK610" s="173"/>
      <c r="CL610" s="173"/>
      <c r="CM610" s="173"/>
      <c r="CN610" s="173"/>
      <c r="CO610" s="173"/>
      <c r="CP610" s="173"/>
      <c r="CQ610" s="173"/>
      <c r="CR610" s="173"/>
      <c r="CS610" s="173"/>
    </row>
    <row r="611">
      <c r="A611" s="173"/>
      <c r="B611" s="179"/>
      <c r="C611" s="173"/>
      <c r="D611" s="141"/>
      <c r="E611" s="173"/>
      <c r="F611" s="173"/>
      <c r="G611" s="173"/>
      <c r="H611" s="173"/>
      <c r="I611" s="173"/>
      <c r="J611" s="141"/>
      <c r="K611" s="163" t="str">
        <f>VLOOKUP(C611,'Term Reference Guide'!$C:$C,1,false)</f>
        <v>#N/A</v>
      </c>
      <c r="L611" s="173"/>
      <c r="M611" s="173"/>
      <c r="N611" s="173"/>
      <c r="O611" s="173"/>
      <c r="P611" s="173"/>
      <c r="Q611" s="173"/>
      <c r="R611" s="173"/>
      <c r="S611" s="173"/>
      <c r="T611" s="173"/>
      <c r="U611" s="173"/>
      <c r="V611" s="173"/>
      <c r="W611" s="173"/>
      <c r="X611" s="173"/>
      <c r="Y611" s="173"/>
      <c r="Z611" s="173"/>
      <c r="AA611" s="173"/>
      <c r="AB611" s="173"/>
      <c r="AC611" s="173"/>
      <c r="AD611" s="173"/>
      <c r="AE611" s="173"/>
      <c r="AF611" s="173"/>
      <c r="AG611" s="173"/>
      <c r="AH611" s="173"/>
      <c r="AI611" s="173"/>
      <c r="AJ611" s="173"/>
      <c r="AK611" s="173"/>
      <c r="AL611" s="173"/>
      <c r="AM611" s="173"/>
      <c r="AN611" s="173"/>
      <c r="AO611" s="173"/>
      <c r="AP611" s="173"/>
      <c r="AQ611" s="173"/>
      <c r="AR611" s="173"/>
      <c r="AS611" s="173"/>
      <c r="AT611" s="173"/>
      <c r="AU611" s="173"/>
      <c r="AV611" s="173"/>
      <c r="AW611" s="173"/>
      <c r="AX611" s="173"/>
      <c r="AY611" s="173"/>
      <c r="AZ611" s="173"/>
      <c r="BA611" s="173"/>
      <c r="BB611" s="173"/>
      <c r="BC611" s="173"/>
      <c r="BD611" s="173"/>
      <c r="BE611" s="173"/>
      <c r="BF611" s="173"/>
      <c r="BG611" s="173"/>
      <c r="BH611" s="173"/>
      <c r="BI611" s="173"/>
      <c r="BJ611" s="173"/>
      <c r="BK611" s="173"/>
      <c r="BL611" s="173"/>
      <c r="BM611" s="173"/>
      <c r="BN611" s="173"/>
      <c r="BO611" s="173"/>
      <c r="BP611" s="173"/>
      <c r="BQ611" s="173"/>
      <c r="BR611" s="173"/>
      <c r="BS611" s="173"/>
      <c r="BT611" s="173"/>
      <c r="BU611" s="173"/>
      <c r="BV611" s="173"/>
      <c r="BW611" s="173"/>
      <c r="BX611" s="173"/>
      <c r="BY611" s="173"/>
      <c r="BZ611" s="173"/>
      <c r="CA611" s="173"/>
      <c r="CB611" s="173"/>
      <c r="CC611" s="173"/>
      <c r="CD611" s="173"/>
      <c r="CE611" s="173"/>
      <c r="CF611" s="173"/>
      <c r="CG611" s="173"/>
      <c r="CH611" s="173"/>
      <c r="CI611" s="173"/>
      <c r="CJ611" s="173"/>
      <c r="CK611" s="173"/>
      <c r="CL611" s="173"/>
      <c r="CM611" s="173"/>
      <c r="CN611" s="173"/>
      <c r="CO611" s="173"/>
      <c r="CP611" s="173"/>
      <c r="CQ611" s="173"/>
      <c r="CR611" s="173"/>
      <c r="CS611" s="173"/>
    </row>
    <row r="612">
      <c r="A612" s="170" t="s">
        <v>628</v>
      </c>
      <c r="B612" s="156"/>
      <c r="C612" s="156"/>
      <c r="D612" s="139"/>
      <c r="E612" s="156"/>
      <c r="F612" s="156"/>
      <c r="G612" s="156"/>
      <c r="H612" s="164"/>
      <c r="I612" s="164"/>
      <c r="J612" s="171"/>
      <c r="K612" s="163" t="str">
        <f>VLOOKUP(C612,'Term Reference Guide'!$C:$C,1,false)</f>
        <v>#N/A</v>
      </c>
      <c r="L612" s="163"/>
      <c r="M612" s="163"/>
      <c r="N612" s="163"/>
      <c r="O612" s="163"/>
      <c r="P612" s="163"/>
      <c r="Q612" s="163"/>
      <c r="R612" s="163"/>
      <c r="S612" s="163"/>
      <c r="T612" s="163"/>
      <c r="U612" s="163"/>
      <c r="V612" s="163"/>
      <c r="W612" s="163"/>
      <c r="X612" s="163"/>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c r="BP612" s="41"/>
      <c r="BQ612" s="41"/>
      <c r="BR612" s="41"/>
      <c r="BS612" s="41"/>
      <c r="BT612" s="41"/>
      <c r="BU612" s="41"/>
      <c r="BV612" s="41"/>
      <c r="BW612" s="41"/>
      <c r="BX612" s="41"/>
      <c r="BY612" s="41"/>
      <c r="BZ612" s="41"/>
      <c r="CA612" s="41"/>
      <c r="CB612" s="41"/>
      <c r="CC612" s="41"/>
      <c r="CD612" s="41"/>
      <c r="CE612" s="41"/>
      <c r="CF612" s="41"/>
      <c r="CG612" s="41"/>
      <c r="CH612" s="41"/>
      <c r="CI612" s="41"/>
      <c r="CJ612" s="41"/>
      <c r="CK612" s="41"/>
      <c r="CL612" s="41"/>
      <c r="CM612" s="41"/>
      <c r="CN612" s="41"/>
      <c r="CO612" s="41"/>
      <c r="CP612" s="41"/>
      <c r="CQ612" s="41"/>
      <c r="CR612" s="41"/>
      <c r="CS612" s="41"/>
    </row>
    <row r="613" hidden="1">
      <c r="A613" s="168" t="s">
        <v>628</v>
      </c>
      <c r="B613" s="168" t="s">
        <v>2460</v>
      </c>
      <c r="C613" s="168" t="s">
        <v>2461</v>
      </c>
      <c r="D613" s="181" t="s">
        <v>2462</v>
      </c>
      <c r="E613" s="163"/>
      <c r="F613" s="168"/>
      <c r="G613" s="168"/>
      <c r="H613" s="168" t="s">
        <v>25</v>
      </c>
      <c r="I613" s="168" t="s">
        <v>25</v>
      </c>
      <c r="J613" s="168" t="s">
        <v>25</v>
      </c>
      <c r="K613" s="163" t="str">
        <f>VLOOKUP(C613,'Term Reference Guide'!$C:$C,1,false)</f>
        <v>CHEBI:36378</v>
      </c>
      <c r="L613" s="163"/>
      <c r="M613" s="163"/>
      <c r="N613" s="163"/>
      <c r="O613" s="163"/>
      <c r="P613" s="163"/>
      <c r="Q613" s="163"/>
      <c r="R613" s="163"/>
      <c r="S613" s="163"/>
      <c r="T613" s="163"/>
      <c r="U613" s="163"/>
      <c r="V613" s="163"/>
      <c r="W613" s="163"/>
      <c r="X613" s="163"/>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c r="BP613" s="41"/>
      <c r="BQ613" s="41"/>
      <c r="BR613" s="41"/>
      <c r="BS613" s="41"/>
      <c r="BT613" s="41"/>
      <c r="BU613" s="41"/>
      <c r="BV613" s="41"/>
      <c r="BW613" s="41"/>
      <c r="BX613" s="41"/>
      <c r="BY613" s="41"/>
      <c r="BZ613" s="41"/>
      <c r="CA613" s="41"/>
      <c r="CB613" s="41"/>
      <c r="CC613" s="41"/>
      <c r="CD613" s="41"/>
      <c r="CE613" s="41"/>
      <c r="CF613" s="41"/>
      <c r="CG613" s="41"/>
      <c r="CH613" s="41"/>
      <c r="CI613" s="41"/>
      <c r="CJ613" s="41"/>
      <c r="CK613" s="41"/>
      <c r="CL613" s="41"/>
      <c r="CM613" s="41"/>
      <c r="CN613" s="41"/>
      <c r="CO613" s="41"/>
      <c r="CP613" s="41"/>
      <c r="CQ613" s="41"/>
      <c r="CR613" s="41"/>
      <c r="CS613" s="41"/>
    </row>
    <row r="614">
      <c r="A614" s="168"/>
      <c r="B614" s="163"/>
      <c r="C614" s="163"/>
      <c r="D614" s="167"/>
      <c r="E614" s="163"/>
      <c r="F614" s="163"/>
      <c r="G614" s="163"/>
      <c r="H614" s="163"/>
      <c r="I614" s="163"/>
      <c r="J614" s="167"/>
      <c r="K614" s="163" t="str">
        <f>VLOOKUP(C614,'Term Reference Guide'!$C:$C,1,false)</f>
        <v>#N/A</v>
      </c>
      <c r="L614" s="163"/>
      <c r="M614" s="163"/>
      <c r="N614" s="163"/>
      <c r="O614" s="163"/>
      <c r="P614" s="163"/>
      <c r="Q614" s="163"/>
      <c r="R614" s="163"/>
      <c r="S614" s="163"/>
      <c r="T614" s="163"/>
      <c r="U614" s="163"/>
      <c r="V614" s="163"/>
      <c r="W614" s="163"/>
      <c r="X614" s="163"/>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c r="BP614" s="41"/>
      <c r="BQ614" s="41"/>
      <c r="BR614" s="41"/>
      <c r="BS614" s="41"/>
      <c r="BT614" s="41"/>
      <c r="BU614" s="41"/>
      <c r="BV614" s="41"/>
      <c r="BW614" s="41"/>
      <c r="BX614" s="41"/>
      <c r="BY614" s="41"/>
      <c r="BZ614" s="41"/>
      <c r="CA614" s="41"/>
      <c r="CB614" s="41"/>
      <c r="CC614" s="41"/>
      <c r="CD614" s="41"/>
      <c r="CE614" s="41"/>
      <c r="CF614" s="41"/>
      <c r="CG614" s="41"/>
      <c r="CH614" s="41"/>
      <c r="CI614" s="41"/>
      <c r="CJ614" s="41"/>
      <c r="CK614" s="41"/>
      <c r="CL614" s="41"/>
      <c r="CM614" s="41"/>
      <c r="CN614" s="41"/>
      <c r="CO614" s="41"/>
      <c r="CP614" s="41"/>
      <c r="CQ614" s="41"/>
      <c r="CR614" s="41"/>
      <c r="CS614" s="41"/>
    </row>
    <row r="615">
      <c r="A615" s="170" t="s">
        <v>637</v>
      </c>
      <c r="B615" s="156"/>
      <c r="C615" s="156"/>
      <c r="D615" s="139"/>
      <c r="E615" s="156"/>
      <c r="F615" s="156"/>
      <c r="G615" s="156"/>
      <c r="H615" s="164"/>
      <c r="I615" s="164"/>
      <c r="J615" s="171"/>
      <c r="K615" s="163" t="str">
        <f>VLOOKUP(C615,'Term Reference Guide'!$C:$C,1,false)</f>
        <v>#N/A</v>
      </c>
      <c r="L615" s="163"/>
      <c r="M615" s="163"/>
      <c r="N615" s="163"/>
      <c r="O615" s="163"/>
      <c r="P615" s="163"/>
      <c r="Q615" s="163"/>
      <c r="R615" s="163"/>
      <c r="S615" s="163"/>
      <c r="T615" s="163"/>
      <c r="U615" s="163"/>
      <c r="V615" s="163"/>
      <c r="W615" s="163"/>
      <c r="X615" s="163"/>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c r="BP615" s="41"/>
      <c r="BQ615" s="41"/>
      <c r="BR615" s="41"/>
      <c r="BS615" s="41"/>
      <c r="BT615" s="41"/>
      <c r="BU615" s="41"/>
      <c r="BV615" s="41"/>
      <c r="BW615" s="41"/>
      <c r="BX615" s="41"/>
      <c r="BY615" s="41"/>
      <c r="BZ615" s="41"/>
      <c r="CA615" s="41"/>
      <c r="CB615" s="41"/>
      <c r="CC615" s="41"/>
      <c r="CD615" s="41"/>
      <c r="CE615" s="41"/>
      <c r="CF615" s="41"/>
      <c r="CG615" s="41"/>
      <c r="CH615" s="41"/>
      <c r="CI615" s="41"/>
      <c r="CJ615" s="41"/>
      <c r="CK615" s="41"/>
      <c r="CL615" s="41"/>
      <c r="CM615" s="41"/>
      <c r="CN615" s="41"/>
      <c r="CO615" s="41"/>
      <c r="CP615" s="41"/>
      <c r="CQ615" s="41"/>
      <c r="CR615" s="41"/>
      <c r="CS615" s="41"/>
    </row>
    <row r="616">
      <c r="A616" s="168" t="s">
        <v>637</v>
      </c>
      <c r="B616" s="198" t="s">
        <v>2463</v>
      </c>
      <c r="C616" s="179" t="s">
        <v>2367</v>
      </c>
      <c r="D616" s="199" t="s">
        <v>2464</v>
      </c>
      <c r="E616" s="163"/>
      <c r="F616" s="168"/>
      <c r="G616" s="168"/>
      <c r="H616" s="168" t="s">
        <v>25</v>
      </c>
      <c r="I616" s="168" t="s">
        <v>25</v>
      </c>
      <c r="J616" s="168" t="s">
        <v>25</v>
      </c>
      <c r="K616" s="163" t="str">
        <f>VLOOKUP(C616,'Term Reference Guide'!$C:$C,1,false)</f>
        <v>#N/A</v>
      </c>
      <c r="L616" s="163"/>
      <c r="M616" s="163"/>
      <c r="N616" s="163"/>
      <c r="O616" s="163"/>
      <c r="P616" s="163"/>
      <c r="Q616" s="163"/>
      <c r="R616" s="163"/>
      <c r="S616" s="163"/>
      <c r="T616" s="163"/>
      <c r="U616" s="163"/>
      <c r="V616" s="163"/>
      <c r="W616" s="163"/>
      <c r="X616" s="163"/>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c r="BP616" s="41"/>
      <c r="BQ616" s="41"/>
      <c r="BR616" s="41"/>
      <c r="BS616" s="41"/>
      <c r="BT616" s="41"/>
      <c r="BU616" s="41"/>
      <c r="BV616" s="41"/>
      <c r="BW616" s="41"/>
      <c r="BX616" s="41"/>
      <c r="BY616" s="41"/>
      <c r="BZ616" s="41"/>
      <c r="CA616" s="41"/>
      <c r="CB616" s="41"/>
      <c r="CC616" s="41"/>
      <c r="CD616" s="41"/>
      <c r="CE616" s="41"/>
      <c r="CF616" s="41"/>
      <c r="CG616" s="41"/>
      <c r="CH616" s="41"/>
      <c r="CI616" s="41"/>
      <c r="CJ616" s="41"/>
      <c r="CK616" s="41"/>
      <c r="CL616" s="41"/>
      <c r="CM616" s="41"/>
      <c r="CN616" s="41"/>
      <c r="CO616" s="41"/>
      <c r="CP616" s="41"/>
      <c r="CQ616" s="41"/>
      <c r="CR616" s="41"/>
      <c r="CS616" s="41"/>
    </row>
    <row r="617">
      <c r="A617" s="168"/>
      <c r="B617" s="163"/>
      <c r="C617" s="163"/>
      <c r="D617" s="167"/>
      <c r="E617" s="163"/>
      <c r="F617" s="163"/>
      <c r="G617" s="163"/>
      <c r="H617" s="163"/>
      <c r="I617" s="163"/>
      <c r="J617" s="167"/>
      <c r="K617" s="163" t="str">
        <f>VLOOKUP(C617,'Term Reference Guide'!$C:$C,1,false)</f>
        <v>#N/A</v>
      </c>
      <c r="L617" s="163"/>
      <c r="M617" s="163"/>
      <c r="N617" s="163"/>
      <c r="O617" s="163"/>
      <c r="P617" s="163"/>
      <c r="Q617" s="163"/>
      <c r="R617" s="163"/>
      <c r="S617" s="163"/>
      <c r="T617" s="163"/>
      <c r="U617" s="163"/>
      <c r="V617" s="163"/>
      <c r="W617" s="163"/>
      <c r="X617" s="163"/>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c r="BP617" s="41"/>
      <c r="BQ617" s="41"/>
      <c r="BR617" s="41"/>
      <c r="BS617" s="41"/>
      <c r="BT617" s="41"/>
      <c r="BU617" s="41"/>
      <c r="BV617" s="41"/>
      <c r="BW617" s="41"/>
      <c r="BX617" s="41"/>
      <c r="BY617" s="41"/>
      <c r="BZ617" s="41"/>
      <c r="CA617" s="41"/>
      <c r="CB617" s="41"/>
      <c r="CC617" s="41"/>
      <c r="CD617" s="41"/>
      <c r="CE617" s="41"/>
      <c r="CF617" s="41"/>
      <c r="CG617" s="41"/>
      <c r="CH617" s="41"/>
      <c r="CI617" s="41"/>
      <c r="CJ617" s="41"/>
      <c r="CK617" s="41"/>
      <c r="CL617" s="41"/>
      <c r="CM617" s="41"/>
      <c r="CN617" s="41"/>
      <c r="CO617" s="41"/>
      <c r="CP617" s="41"/>
      <c r="CQ617" s="41"/>
      <c r="CR617" s="41"/>
      <c r="CS617" s="41"/>
    </row>
    <row r="618">
      <c r="A618" s="170" t="s">
        <v>618</v>
      </c>
      <c r="B618" s="156"/>
      <c r="C618" s="156"/>
      <c r="D618" s="139"/>
      <c r="E618" s="156"/>
      <c r="F618" s="156"/>
      <c r="G618" s="156"/>
      <c r="H618" s="164"/>
      <c r="I618" s="164"/>
      <c r="J618" s="171"/>
      <c r="K618" s="163" t="str">
        <f>VLOOKUP(C618,'Term Reference Guide'!$C:$C,1,false)</f>
        <v>#N/A</v>
      </c>
      <c r="L618" s="163"/>
      <c r="M618" s="163"/>
      <c r="N618" s="163"/>
      <c r="O618" s="163"/>
      <c r="P618" s="163"/>
      <c r="Q618" s="163"/>
      <c r="R618" s="163"/>
      <c r="S618" s="163"/>
      <c r="T618" s="163"/>
      <c r="U618" s="163"/>
      <c r="V618" s="163"/>
      <c r="W618" s="163"/>
      <c r="X618" s="163"/>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c r="BP618" s="41"/>
      <c r="BQ618" s="41"/>
      <c r="BR618" s="41"/>
      <c r="BS618" s="41"/>
      <c r="BT618" s="41"/>
      <c r="BU618" s="41"/>
      <c r="BV618" s="41"/>
      <c r="BW618" s="41"/>
      <c r="BX618" s="41"/>
      <c r="BY618" s="41"/>
      <c r="BZ618" s="41"/>
      <c r="CA618" s="41"/>
      <c r="CB618" s="41"/>
      <c r="CC618" s="41"/>
      <c r="CD618" s="41"/>
      <c r="CE618" s="41"/>
      <c r="CF618" s="41"/>
      <c r="CG618" s="41"/>
      <c r="CH618" s="41"/>
      <c r="CI618" s="41"/>
      <c r="CJ618" s="41"/>
      <c r="CK618" s="41"/>
      <c r="CL618" s="41"/>
      <c r="CM618" s="41"/>
      <c r="CN618" s="41"/>
      <c r="CO618" s="41"/>
      <c r="CP618" s="41"/>
      <c r="CQ618" s="41"/>
      <c r="CR618" s="41"/>
      <c r="CS618" s="41"/>
    </row>
    <row r="619" hidden="1">
      <c r="A619" s="179" t="s">
        <v>618</v>
      </c>
      <c r="B619" s="179" t="s">
        <v>2465</v>
      </c>
      <c r="C619" s="179" t="s">
        <v>2466</v>
      </c>
      <c r="D619" s="70" t="s">
        <v>2467</v>
      </c>
      <c r="E619" s="173"/>
      <c r="F619" s="168"/>
      <c r="G619" s="168"/>
      <c r="H619" s="168" t="s">
        <v>25</v>
      </c>
      <c r="I619" s="168" t="s">
        <v>25</v>
      </c>
      <c r="J619" s="168" t="s">
        <v>25</v>
      </c>
      <c r="K619" s="163" t="str">
        <f>VLOOKUP(C619,'Term Reference Guide'!$C:$C,1,false)</f>
        <v>UO:0000213</v>
      </c>
      <c r="L619" s="173"/>
      <c r="M619" s="173"/>
      <c r="N619" s="173"/>
      <c r="O619" s="173"/>
      <c r="P619" s="173"/>
      <c r="Q619" s="173"/>
      <c r="R619" s="173"/>
      <c r="S619" s="173"/>
      <c r="T619" s="173"/>
      <c r="U619" s="173"/>
      <c r="V619" s="173"/>
      <c r="W619" s="173"/>
      <c r="X619" s="173"/>
      <c r="Y619" s="173"/>
      <c r="Z619" s="173"/>
      <c r="AA619" s="173"/>
      <c r="AB619" s="173"/>
      <c r="AC619" s="173"/>
      <c r="AD619" s="173"/>
      <c r="AE619" s="173"/>
      <c r="AF619" s="173"/>
      <c r="AG619" s="173"/>
      <c r="AH619" s="173"/>
      <c r="AI619" s="173"/>
      <c r="AJ619" s="173"/>
      <c r="AK619" s="173"/>
      <c r="AL619" s="173"/>
      <c r="AM619" s="173"/>
      <c r="AN619" s="173"/>
      <c r="AO619" s="173"/>
      <c r="AP619" s="173"/>
      <c r="AQ619" s="173"/>
      <c r="AR619" s="173"/>
      <c r="AS619" s="173"/>
      <c r="AT619" s="173"/>
      <c r="AU619" s="173"/>
      <c r="AV619" s="173"/>
      <c r="AW619" s="173"/>
      <c r="AX619" s="173"/>
      <c r="AY619" s="173"/>
      <c r="AZ619" s="173"/>
      <c r="BA619" s="173"/>
      <c r="BB619" s="173"/>
      <c r="BC619" s="173"/>
      <c r="BD619" s="173"/>
      <c r="BE619" s="173"/>
      <c r="BF619" s="173"/>
      <c r="BG619" s="173"/>
      <c r="BH619" s="173"/>
      <c r="BI619" s="173"/>
      <c r="BJ619" s="173"/>
      <c r="BK619" s="173"/>
      <c r="BL619" s="173"/>
      <c r="BM619" s="173"/>
      <c r="BN619" s="173"/>
      <c r="BO619" s="173"/>
      <c r="BP619" s="173"/>
      <c r="BQ619" s="173"/>
      <c r="BR619" s="173"/>
      <c r="BS619" s="173"/>
      <c r="BT619" s="173"/>
      <c r="BU619" s="173"/>
      <c r="BV619" s="173"/>
      <c r="BW619" s="173"/>
      <c r="BX619" s="173"/>
      <c r="BY619" s="173"/>
      <c r="BZ619" s="173"/>
      <c r="CA619" s="173"/>
      <c r="CB619" s="173"/>
      <c r="CC619" s="173"/>
      <c r="CD619" s="173"/>
      <c r="CE619" s="173"/>
      <c r="CF619" s="173"/>
      <c r="CG619" s="173"/>
      <c r="CH619" s="173"/>
      <c r="CI619" s="173"/>
      <c r="CJ619" s="173"/>
      <c r="CK619" s="173"/>
      <c r="CL619" s="173"/>
      <c r="CM619" s="173"/>
      <c r="CN619" s="173"/>
      <c r="CO619" s="173"/>
      <c r="CP619" s="173"/>
      <c r="CQ619" s="173"/>
      <c r="CR619" s="173"/>
      <c r="CS619" s="173"/>
    </row>
    <row r="620">
      <c r="A620" s="179" t="s">
        <v>618</v>
      </c>
      <c r="B620" s="179" t="s">
        <v>2468</v>
      </c>
      <c r="C620" s="179" t="s">
        <v>2367</v>
      </c>
      <c r="D620" s="70" t="s">
        <v>2469</v>
      </c>
      <c r="E620" s="173"/>
      <c r="F620" s="168"/>
      <c r="G620" s="168"/>
      <c r="H620" s="168" t="s">
        <v>25</v>
      </c>
      <c r="I620" s="168" t="s">
        <v>25</v>
      </c>
      <c r="J620" s="168" t="s">
        <v>25</v>
      </c>
      <c r="K620" s="163" t="str">
        <f>VLOOKUP(C620,'Term Reference Guide'!$C:$C,1,false)</f>
        <v>#N/A</v>
      </c>
      <c r="L620" s="173"/>
      <c r="M620" s="173"/>
      <c r="N620" s="173"/>
      <c r="O620" s="173"/>
      <c r="P620" s="173"/>
      <c r="Q620" s="173"/>
      <c r="R620" s="173"/>
      <c r="S620" s="173"/>
      <c r="T620" s="173"/>
      <c r="U620" s="173"/>
      <c r="V620" s="173"/>
      <c r="W620" s="173"/>
      <c r="X620" s="173"/>
      <c r="Y620" s="173"/>
      <c r="Z620" s="173"/>
      <c r="AA620" s="173"/>
      <c r="AB620" s="173"/>
      <c r="AC620" s="173"/>
      <c r="AD620" s="173"/>
      <c r="AE620" s="173"/>
      <c r="AF620" s="173"/>
      <c r="AG620" s="173"/>
      <c r="AH620" s="173"/>
      <c r="AI620" s="173"/>
      <c r="AJ620" s="173"/>
      <c r="AK620" s="173"/>
      <c r="AL620" s="173"/>
      <c r="AM620" s="173"/>
      <c r="AN620" s="173"/>
      <c r="AO620" s="173"/>
      <c r="AP620" s="173"/>
      <c r="AQ620" s="173"/>
      <c r="AR620" s="173"/>
      <c r="AS620" s="173"/>
      <c r="AT620" s="173"/>
      <c r="AU620" s="173"/>
      <c r="AV620" s="173"/>
      <c r="AW620" s="173"/>
      <c r="AX620" s="173"/>
      <c r="AY620" s="173"/>
      <c r="AZ620" s="173"/>
      <c r="BA620" s="173"/>
      <c r="BB620" s="173"/>
      <c r="BC620" s="173"/>
      <c r="BD620" s="173"/>
      <c r="BE620" s="173"/>
      <c r="BF620" s="173"/>
      <c r="BG620" s="173"/>
      <c r="BH620" s="173"/>
      <c r="BI620" s="173"/>
      <c r="BJ620" s="173"/>
      <c r="BK620" s="173"/>
      <c r="BL620" s="173"/>
      <c r="BM620" s="173"/>
      <c r="BN620" s="173"/>
      <c r="BO620" s="173"/>
      <c r="BP620" s="173"/>
      <c r="BQ620" s="173"/>
      <c r="BR620" s="173"/>
      <c r="BS620" s="173"/>
      <c r="BT620" s="173"/>
      <c r="BU620" s="173"/>
      <c r="BV620" s="173"/>
      <c r="BW620" s="173"/>
      <c r="BX620" s="173"/>
      <c r="BY620" s="173"/>
      <c r="BZ620" s="173"/>
      <c r="CA620" s="173"/>
      <c r="CB620" s="173"/>
      <c r="CC620" s="173"/>
      <c r="CD620" s="173"/>
      <c r="CE620" s="173"/>
      <c r="CF620" s="173"/>
      <c r="CG620" s="173"/>
      <c r="CH620" s="173"/>
      <c r="CI620" s="173"/>
      <c r="CJ620" s="173"/>
      <c r="CK620" s="173"/>
      <c r="CL620" s="173"/>
      <c r="CM620" s="173"/>
      <c r="CN620" s="173"/>
      <c r="CO620" s="173"/>
      <c r="CP620" s="173"/>
      <c r="CQ620" s="173"/>
      <c r="CR620" s="173"/>
      <c r="CS620" s="173"/>
    </row>
    <row r="621">
      <c r="A621" s="179" t="s">
        <v>618</v>
      </c>
      <c r="B621" s="179" t="s">
        <v>2470</v>
      </c>
      <c r="C621" s="179" t="s">
        <v>2367</v>
      </c>
      <c r="D621" s="70" t="s">
        <v>2471</v>
      </c>
      <c r="E621" s="173"/>
      <c r="F621" s="168"/>
      <c r="G621" s="168"/>
      <c r="H621" s="168" t="s">
        <v>25</v>
      </c>
      <c r="I621" s="168" t="s">
        <v>25</v>
      </c>
      <c r="J621" s="168" t="s">
        <v>25</v>
      </c>
      <c r="K621" s="163" t="str">
        <f>VLOOKUP(C621,'Term Reference Guide'!$C:$C,1,false)</f>
        <v>#N/A</v>
      </c>
      <c r="L621" s="173"/>
      <c r="M621" s="173"/>
      <c r="N621" s="173"/>
      <c r="O621" s="173"/>
      <c r="P621" s="173"/>
      <c r="Q621" s="173"/>
      <c r="R621" s="173"/>
      <c r="S621" s="173"/>
      <c r="T621" s="173"/>
      <c r="U621" s="173"/>
      <c r="V621" s="173"/>
      <c r="W621" s="173"/>
      <c r="X621" s="173"/>
      <c r="Y621" s="173"/>
      <c r="Z621" s="173"/>
      <c r="AA621" s="173"/>
      <c r="AB621" s="173"/>
      <c r="AC621" s="173"/>
      <c r="AD621" s="173"/>
      <c r="AE621" s="173"/>
      <c r="AF621" s="173"/>
      <c r="AG621" s="173"/>
      <c r="AH621" s="173"/>
      <c r="AI621" s="173"/>
      <c r="AJ621" s="173"/>
      <c r="AK621" s="173"/>
      <c r="AL621" s="173"/>
      <c r="AM621" s="173"/>
      <c r="AN621" s="173"/>
      <c r="AO621" s="173"/>
      <c r="AP621" s="173"/>
      <c r="AQ621" s="173"/>
      <c r="AR621" s="173"/>
      <c r="AS621" s="173"/>
      <c r="AT621" s="173"/>
      <c r="AU621" s="173"/>
      <c r="AV621" s="173"/>
      <c r="AW621" s="173"/>
      <c r="AX621" s="173"/>
      <c r="AY621" s="173"/>
      <c r="AZ621" s="173"/>
      <c r="BA621" s="173"/>
      <c r="BB621" s="173"/>
      <c r="BC621" s="173"/>
      <c r="BD621" s="173"/>
      <c r="BE621" s="173"/>
      <c r="BF621" s="173"/>
      <c r="BG621" s="173"/>
      <c r="BH621" s="173"/>
      <c r="BI621" s="173"/>
      <c r="BJ621" s="173"/>
      <c r="BK621" s="173"/>
      <c r="BL621" s="173"/>
      <c r="BM621" s="173"/>
      <c r="BN621" s="173"/>
      <c r="BO621" s="173"/>
      <c r="BP621" s="173"/>
      <c r="BQ621" s="173"/>
      <c r="BR621" s="173"/>
      <c r="BS621" s="173"/>
      <c r="BT621" s="173"/>
      <c r="BU621" s="173"/>
      <c r="BV621" s="173"/>
      <c r="BW621" s="173"/>
      <c r="BX621" s="173"/>
      <c r="BY621" s="173"/>
      <c r="BZ621" s="173"/>
      <c r="CA621" s="173"/>
      <c r="CB621" s="173"/>
      <c r="CC621" s="173"/>
      <c r="CD621" s="173"/>
      <c r="CE621" s="173"/>
      <c r="CF621" s="173"/>
      <c r="CG621" s="173"/>
      <c r="CH621" s="173"/>
      <c r="CI621" s="173"/>
      <c r="CJ621" s="173"/>
      <c r="CK621" s="173"/>
      <c r="CL621" s="173"/>
      <c r="CM621" s="173"/>
      <c r="CN621" s="173"/>
      <c r="CO621" s="173"/>
      <c r="CP621" s="173"/>
      <c r="CQ621" s="173"/>
      <c r="CR621" s="173"/>
      <c r="CS621" s="173"/>
    </row>
    <row r="622">
      <c r="A622" s="173" t="s">
        <v>618</v>
      </c>
      <c r="B622" s="179" t="s">
        <v>622</v>
      </c>
      <c r="C622" s="179" t="s">
        <v>2367</v>
      </c>
      <c r="D622" s="70" t="s">
        <v>2472</v>
      </c>
      <c r="E622" s="173"/>
      <c r="F622" s="168"/>
      <c r="G622" s="168"/>
      <c r="H622" s="168" t="s">
        <v>25</v>
      </c>
      <c r="I622" s="168" t="s">
        <v>25</v>
      </c>
      <c r="J622" s="168" t="s">
        <v>25</v>
      </c>
      <c r="K622" s="163" t="str">
        <f>VLOOKUP(C622,'Term Reference Guide'!$C:$C,1,false)</f>
        <v>#N/A</v>
      </c>
      <c r="L622" s="173"/>
      <c r="M622" s="173"/>
      <c r="N622" s="173"/>
      <c r="O622" s="173"/>
      <c r="P622" s="173"/>
      <c r="Q622" s="173"/>
      <c r="R622" s="173"/>
      <c r="S622" s="173"/>
      <c r="T622" s="173"/>
      <c r="U622" s="173"/>
      <c r="V622" s="173"/>
      <c r="W622" s="173"/>
      <c r="X622" s="173"/>
      <c r="Y622" s="173"/>
      <c r="Z622" s="173"/>
      <c r="AA622" s="173"/>
      <c r="AB622" s="173"/>
      <c r="AC622" s="173"/>
      <c r="AD622" s="173"/>
      <c r="AE622" s="173"/>
      <c r="AF622" s="173"/>
      <c r="AG622" s="173"/>
      <c r="AH622" s="173"/>
      <c r="AI622" s="173"/>
      <c r="AJ622" s="173"/>
      <c r="AK622" s="173"/>
      <c r="AL622" s="173"/>
      <c r="AM622" s="173"/>
      <c r="AN622" s="173"/>
      <c r="AO622" s="173"/>
      <c r="AP622" s="173"/>
      <c r="AQ622" s="173"/>
      <c r="AR622" s="173"/>
      <c r="AS622" s="173"/>
      <c r="AT622" s="173"/>
      <c r="AU622" s="173"/>
      <c r="AV622" s="173"/>
      <c r="AW622" s="173"/>
      <c r="AX622" s="173"/>
      <c r="AY622" s="173"/>
      <c r="AZ622" s="173"/>
      <c r="BA622" s="173"/>
      <c r="BB622" s="173"/>
      <c r="BC622" s="173"/>
      <c r="BD622" s="173"/>
      <c r="BE622" s="173"/>
      <c r="BF622" s="173"/>
      <c r="BG622" s="173"/>
      <c r="BH622" s="173"/>
      <c r="BI622" s="173"/>
      <c r="BJ622" s="173"/>
      <c r="BK622" s="173"/>
      <c r="BL622" s="173"/>
      <c r="BM622" s="173"/>
      <c r="BN622" s="173"/>
      <c r="BO622" s="173"/>
      <c r="BP622" s="173"/>
      <c r="BQ622" s="173"/>
      <c r="BR622" s="173"/>
      <c r="BS622" s="173"/>
      <c r="BT622" s="173"/>
      <c r="BU622" s="173"/>
      <c r="BV622" s="173"/>
      <c r="BW622" s="173"/>
      <c r="BX622" s="173"/>
      <c r="BY622" s="173"/>
      <c r="BZ622" s="173"/>
      <c r="CA622" s="173"/>
      <c r="CB622" s="173"/>
      <c r="CC622" s="173"/>
      <c r="CD622" s="173"/>
      <c r="CE622" s="173"/>
      <c r="CF622" s="173"/>
      <c r="CG622" s="173"/>
      <c r="CH622" s="173"/>
      <c r="CI622" s="173"/>
      <c r="CJ622" s="173"/>
      <c r="CK622" s="173"/>
      <c r="CL622" s="173"/>
      <c r="CM622" s="173"/>
      <c r="CN622" s="173"/>
      <c r="CO622" s="173"/>
      <c r="CP622" s="173"/>
      <c r="CQ622" s="173"/>
      <c r="CR622" s="173"/>
      <c r="CS622" s="173"/>
    </row>
    <row r="623">
      <c r="A623" s="173" t="s">
        <v>618</v>
      </c>
      <c r="B623" s="179" t="s">
        <v>2473</v>
      </c>
      <c r="C623" s="179" t="s">
        <v>2367</v>
      </c>
      <c r="D623" s="70" t="s">
        <v>2474</v>
      </c>
      <c r="E623" s="173"/>
      <c r="F623" s="168"/>
      <c r="G623" s="168"/>
      <c r="H623" s="168" t="s">
        <v>25</v>
      </c>
      <c r="I623" s="168" t="s">
        <v>25</v>
      </c>
      <c r="J623" s="168" t="s">
        <v>25</v>
      </c>
      <c r="K623" s="163" t="str">
        <f>VLOOKUP(C623,'Term Reference Guide'!$C:$C,1,false)</f>
        <v>#N/A</v>
      </c>
      <c r="L623" s="173"/>
      <c r="M623" s="173"/>
      <c r="N623" s="173"/>
      <c r="O623" s="173"/>
      <c r="P623" s="173"/>
      <c r="Q623" s="173"/>
      <c r="R623" s="173"/>
      <c r="S623" s="173"/>
      <c r="T623" s="173"/>
      <c r="U623" s="173"/>
      <c r="V623" s="173"/>
      <c r="W623" s="173"/>
      <c r="X623" s="173"/>
      <c r="Y623" s="173"/>
      <c r="Z623" s="173"/>
      <c r="AA623" s="173"/>
      <c r="AB623" s="173"/>
      <c r="AC623" s="173"/>
      <c r="AD623" s="173"/>
      <c r="AE623" s="173"/>
      <c r="AF623" s="173"/>
      <c r="AG623" s="173"/>
      <c r="AH623" s="173"/>
      <c r="AI623" s="173"/>
      <c r="AJ623" s="173"/>
      <c r="AK623" s="173"/>
      <c r="AL623" s="173"/>
      <c r="AM623" s="173"/>
      <c r="AN623" s="173"/>
      <c r="AO623" s="173"/>
      <c r="AP623" s="173"/>
      <c r="AQ623" s="173"/>
      <c r="AR623" s="173"/>
      <c r="AS623" s="173"/>
      <c r="AT623" s="173"/>
      <c r="AU623" s="173"/>
      <c r="AV623" s="173"/>
      <c r="AW623" s="173"/>
      <c r="AX623" s="173"/>
      <c r="AY623" s="173"/>
      <c r="AZ623" s="173"/>
      <c r="BA623" s="173"/>
      <c r="BB623" s="173"/>
      <c r="BC623" s="173"/>
      <c r="BD623" s="173"/>
      <c r="BE623" s="173"/>
      <c r="BF623" s="173"/>
      <c r="BG623" s="173"/>
      <c r="BH623" s="173"/>
      <c r="BI623" s="173"/>
      <c r="BJ623" s="173"/>
      <c r="BK623" s="173"/>
      <c r="BL623" s="173"/>
      <c r="BM623" s="173"/>
      <c r="BN623" s="173"/>
      <c r="BO623" s="173"/>
      <c r="BP623" s="173"/>
      <c r="BQ623" s="173"/>
      <c r="BR623" s="173"/>
      <c r="BS623" s="173"/>
      <c r="BT623" s="173"/>
      <c r="BU623" s="173"/>
      <c r="BV623" s="173"/>
      <c r="BW623" s="173"/>
      <c r="BX623" s="173"/>
      <c r="BY623" s="173"/>
      <c r="BZ623" s="173"/>
      <c r="CA623" s="173"/>
      <c r="CB623" s="173"/>
      <c r="CC623" s="173"/>
      <c r="CD623" s="173"/>
      <c r="CE623" s="173"/>
      <c r="CF623" s="173"/>
      <c r="CG623" s="173"/>
      <c r="CH623" s="173"/>
      <c r="CI623" s="173"/>
      <c r="CJ623" s="173"/>
      <c r="CK623" s="173"/>
      <c r="CL623" s="173"/>
      <c r="CM623" s="173"/>
      <c r="CN623" s="173"/>
      <c r="CO623" s="173"/>
      <c r="CP623" s="173"/>
      <c r="CQ623" s="173"/>
      <c r="CR623" s="173"/>
      <c r="CS623" s="173"/>
    </row>
    <row r="624">
      <c r="A624" s="173"/>
      <c r="B624" s="179"/>
      <c r="C624" s="173"/>
      <c r="D624" s="141"/>
      <c r="E624" s="173"/>
      <c r="F624" s="173"/>
      <c r="G624" s="173"/>
      <c r="H624" s="173"/>
      <c r="I624" s="173"/>
      <c r="J624" s="141"/>
      <c r="K624" s="163" t="str">
        <f>VLOOKUP(C624,'Term Reference Guide'!$C:$C,1,false)</f>
        <v>#N/A</v>
      </c>
      <c r="L624" s="173"/>
      <c r="M624" s="173"/>
      <c r="N624" s="173"/>
      <c r="O624" s="173"/>
      <c r="P624" s="173"/>
      <c r="Q624" s="173"/>
      <c r="R624" s="173"/>
      <c r="S624" s="173"/>
      <c r="T624" s="173"/>
      <c r="U624" s="173"/>
      <c r="V624" s="173"/>
      <c r="W624" s="173"/>
      <c r="X624" s="173"/>
      <c r="Y624" s="173"/>
      <c r="Z624" s="173"/>
      <c r="AA624" s="173"/>
      <c r="AB624" s="173"/>
      <c r="AC624" s="173"/>
      <c r="AD624" s="173"/>
      <c r="AE624" s="173"/>
      <c r="AF624" s="173"/>
      <c r="AG624" s="173"/>
      <c r="AH624" s="173"/>
      <c r="AI624" s="173"/>
      <c r="AJ624" s="173"/>
      <c r="AK624" s="173"/>
      <c r="AL624" s="173"/>
      <c r="AM624" s="173"/>
      <c r="AN624" s="173"/>
      <c r="AO624" s="173"/>
      <c r="AP624" s="173"/>
      <c r="AQ624" s="173"/>
      <c r="AR624" s="173"/>
      <c r="AS624" s="173"/>
      <c r="AT624" s="173"/>
      <c r="AU624" s="173"/>
      <c r="AV624" s="173"/>
      <c r="AW624" s="173"/>
      <c r="AX624" s="173"/>
      <c r="AY624" s="173"/>
      <c r="AZ624" s="173"/>
      <c r="BA624" s="173"/>
      <c r="BB624" s="173"/>
      <c r="BC624" s="173"/>
      <c r="BD624" s="173"/>
      <c r="BE624" s="173"/>
      <c r="BF624" s="173"/>
      <c r="BG624" s="173"/>
      <c r="BH624" s="173"/>
      <c r="BI624" s="173"/>
      <c r="BJ624" s="173"/>
      <c r="BK624" s="173"/>
      <c r="BL624" s="173"/>
      <c r="BM624" s="173"/>
      <c r="BN624" s="173"/>
      <c r="BO624" s="173"/>
      <c r="BP624" s="173"/>
      <c r="BQ624" s="173"/>
      <c r="BR624" s="173"/>
      <c r="BS624" s="173"/>
      <c r="BT624" s="173"/>
      <c r="BU624" s="173"/>
      <c r="BV624" s="173"/>
      <c r="BW624" s="173"/>
      <c r="BX624" s="173"/>
      <c r="BY624" s="173"/>
      <c r="BZ624" s="173"/>
      <c r="CA624" s="173"/>
      <c r="CB624" s="173"/>
      <c r="CC624" s="173"/>
      <c r="CD624" s="173"/>
      <c r="CE624" s="173"/>
      <c r="CF624" s="173"/>
      <c r="CG624" s="173"/>
      <c r="CH624" s="173"/>
      <c r="CI624" s="173"/>
      <c r="CJ624" s="173"/>
      <c r="CK624" s="173"/>
      <c r="CL624" s="173"/>
      <c r="CM624" s="173"/>
      <c r="CN624" s="173"/>
      <c r="CO624" s="173"/>
      <c r="CP624" s="173"/>
      <c r="CQ624" s="173"/>
      <c r="CR624" s="173"/>
      <c r="CS624" s="173"/>
    </row>
    <row r="625">
      <c r="A625" s="170" t="s">
        <v>649</v>
      </c>
      <c r="B625" s="156"/>
      <c r="C625" s="156"/>
      <c r="D625" s="139"/>
      <c r="E625" s="156"/>
      <c r="F625" s="156"/>
      <c r="G625" s="156"/>
      <c r="H625" s="164"/>
      <c r="I625" s="164"/>
      <c r="J625" s="171"/>
      <c r="K625" s="163" t="str">
        <f>VLOOKUP(C625,'Term Reference Guide'!$C:$C,1,false)</f>
        <v>#N/A</v>
      </c>
      <c r="L625" s="163"/>
      <c r="M625" s="163"/>
      <c r="N625" s="163"/>
      <c r="O625" s="163"/>
      <c r="P625" s="163"/>
      <c r="Q625" s="163"/>
      <c r="R625" s="163"/>
      <c r="S625" s="163"/>
      <c r="T625" s="163"/>
      <c r="U625" s="163"/>
      <c r="V625" s="163"/>
      <c r="W625" s="163"/>
      <c r="X625" s="163"/>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c r="BP625" s="41"/>
      <c r="BQ625" s="41"/>
      <c r="BR625" s="41"/>
      <c r="BS625" s="41"/>
      <c r="BT625" s="41"/>
      <c r="BU625" s="41"/>
      <c r="BV625" s="41"/>
      <c r="BW625" s="41"/>
      <c r="BX625" s="41"/>
      <c r="BY625" s="41"/>
      <c r="BZ625" s="41"/>
      <c r="CA625" s="41"/>
      <c r="CB625" s="41"/>
      <c r="CC625" s="41"/>
      <c r="CD625" s="41"/>
      <c r="CE625" s="41"/>
      <c r="CF625" s="41"/>
      <c r="CG625" s="41"/>
      <c r="CH625" s="41"/>
      <c r="CI625" s="41"/>
      <c r="CJ625" s="41"/>
      <c r="CK625" s="41"/>
      <c r="CL625" s="41"/>
      <c r="CM625" s="41"/>
      <c r="CN625" s="41"/>
      <c r="CO625" s="41"/>
      <c r="CP625" s="41"/>
      <c r="CQ625" s="41"/>
      <c r="CR625" s="41"/>
      <c r="CS625" s="41"/>
    </row>
    <row r="626" hidden="1">
      <c r="A626" s="173" t="s">
        <v>649</v>
      </c>
      <c r="B626" s="179" t="s">
        <v>2372</v>
      </c>
      <c r="C626" s="179" t="s">
        <v>2373</v>
      </c>
      <c r="D626" s="70" t="s">
        <v>2374</v>
      </c>
      <c r="E626" s="173"/>
      <c r="F626" s="168"/>
      <c r="G626" s="168"/>
      <c r="H626" s="168" t="s">
        <v>25</v>
      </c>
      <c r="I626" s="168" t="s">
        <v>25</v>
      </c>
      <c r="J626" s="168" t="s">
        <v>25</v>
      </c>
      <c r="K626" s="163" t="str">
        <f>VLOOKUP(C626,'Term Reference Guide'!$C:$C,1,false)</f>
        <v>UO:0000195</v>
      </c>
      <c r="L626" s="173"/>
      <c r="M626" s="173"/>
      <c r="N626" s="173"/>
      <c r="O626" s="173"/>
      <c r="P626" s="173"/>
      <c r="Q626" s="173"/>
      <c r="R626" s="173"/>
      <c r="S626" s="173"/>
      <c r="T626" s="173"/>
      <c r="U626" s="173"/>
      <c r="V626" s="173"/>
      <c r="W626" s="173"/>
      <c r="X626" s="173"/>
      <c r="Y626" s="173"/>
      <c r="Z626" s="173"/>
      <c r="AA626" s="173"/>
      <c r="AB626" s="173"/>
      <c r="AC626" s="173"/>
      <c r="AD626" s="173"/>
      <c r="AE626" s="173"/>
      <c r="AF626" s="173"/>
      <c r="AG626" s="173"/>
      <c r="AH626" s="173"/>
      <c r="AI626" s="173"/>
      <c r="AJ626" s="173"/>
      <c r="AK626" s="173"/>
      <c r="AL626" s="173"/>
      <c r="AM626" s="173"/>
      <c r="AN626" s="173"/>
      <c r="AO626" s="173"/>
      <c r="AP626" s="173"/>
      <c r="AQ626" s="173"/>
      <c r="AR626" s="173"/>
      <c r="AS626" s="173"/>
      <c r="AT626" s="173"/>
      <c r="AU626" s="173"/>
      <c r="AV626" s="173"/>
      <c r="AW626" s="173"/>
      <c r="AX626" s="173"/>
      <c r="AY626" s="173"/>
      <c r="AZ626" s="173"/>
      <c r="BA626" s="173"/>
      <c r="BB626" s="173"/>
      <c r="BC626" s="173"/>
      <c r="BD626" s="173"/>
      <c r="BE626" s="173"/>
      <c r="BF626" s="173"/>
      <c r="BG626" s="173"/>
      <c r="BH626" s="173"/>
      <c r="BI626" s="173"/>
      <c r="BJ626" s="173"/>
      <c r="BK626" s="173"/>
      <c r="BL626" s="173"/>
      <c r="BM626" s="173"/>
      <c r="BN626" s="173"/>
      <c r="BO626" s="173"/>
      <c r="BP626" s="173"/>
      <c r="BQ626" s="173"/>
      <c r="BR626" s="173"/>
      <c r="BS626" s="173"/>
      <c r="BT626" s="173"/>
      <c r="BU626" s="173"/>
      <c r="BV626" s="173"/>
      <c r="BW626" s="173"/>
      <c r="BX626" s="173"/>
      <c r="BY626" s="173"/>
      <c r="BZ626" s="173"/>
      <c r="CA626" s="173"/>
      <c r="CB626" s="173"/>
      <c r="CC626" s="173"/>
      <c r="CD626" s="173"/>
      <c r="CE626" s="173"/>
      <c r="CF626" s="173"/>
      <c r="CG626" s="173"/>
      <c r="CH626" s="173"/>
      <c r="CI626" s="173"/>
      <c r="CJ626" s="173"/>
      <c r="CK626" s="173"/>
      <c r="CL626" s="173"/>
      <c r="CM626" s="173"/>
      <c r="CN626" s="173"/>
      <c r="CO626" s="173"/>
      <c r="CP626" s="173"/>
      <c r="CQ626" s="173"/>
      <c r="CR626" s="173"/>
      <c r="CS626" s="173"/>
    </row>
    <row r="627" hidden="1">
      <c r="A627" s="173" t="s">
        <v>649</v>
      </c>
      <c r="B627" s="179" t="s">
        <v>383</v>
      </c>
      <c r="C627" s="179" t="s">
        <v>2375</v>
      </c>
      <c r="D627" s="70" t="s">
        <v>2376</v>
      </c>
      <c r="E627" s="173"/>
      <c r="F627" s="168"/>
      <c r="G627" s="168"/>
      <c r="H627" s="168" t="s">
        <v>25</v>
      </c>
      <c r="I627" s="168" t="s">
        <v>25</v>
      </c>
      <c r="J627" s="168" t="s">
        <v>25</v>
      </c>
      <c r="K627" s="163" t="str">
        <f>VLOOKUP(C627,'Term Reference Guide'!$C:$C,1,false)</f>
        <v>UO:0000027</v>
      </c>
      <c r="L627" s="173"/>
      <c r="M627" s="173"/>
      <c r="N627" s="173"/>
      <c r="O627" s="173"/>
      <c r="P627" s="173"/>
      <c r="Q627" s="173"/>
      <c r="R627" s="173"/>
      <c r="S627" s="173"/>
      <c r="T627" s="173"/>
      <c r="U627" s="173"/>
      <c r="V627" s="173"/>
      <c r="W627" s="173"/>
      <c r="X627" s="173"/>
      <c r="Y627" s="173"/>
      <c r="Z627" s="173"/>
      <c r="AA627" s="173"/>
      <c r="AB627" s="173"/>
      <c r="AC627" s="173"/>
      <c r="AD627" s="173"/>
      <c r="AE627" s="173"/>
      <c r="AF627" s="173"/>
      <c r="AG627" s="173"/>
      <c r="AH627" s="173"/>
      <c r="AI627" s="173"/>
      <c r="AJ627" s="173"/>
      <c r="AK627" s="173"/>
      <c r="AL627" s="173"/>
      <c r="AM627" s="173"/>
      <c r="AN627" s="173"/>
      <c r="AO627" s="173"/>
      <c r="AP627" s="173"/>
      <c r="AQ627" s="173"/>
      <c r="AR627" s="173"/>
      <c r="AS627" s="173"/>
      <c r="AT627" s="173"/>
      <c r="AU627" s="173"/>
      <c r="AV627" s="173"/>
      <c r="AW627" s="173"/>
      <c r="AX627" s="173"/>
      <c r="AY627" s="173"/>
      <c r="AZ627" s="173"/>
      <c r="BA627" s="173"/>
      <c r="BB627" s="173"/>
      <c r="BC627" s="173"/>
      <c r="BD627" s="173"/>
      <c r="BE627" s="173"/>
      <c r="BF627" s="173"/>
      <c r="BG627" s="173"/>
      <c r="BH627" s="173"/>
      <c r="BI627" s="173"/>
      <c r="BJ627" s="173"/>
      <c r="BK627" s="173"/>
      <c r="BL627" s="173"/>
      <c r="BM627" s="173"/>
      <c r="BN627" s="173"/>
      <c r="BO627" s="173"/>
      <c r="BP627" s="173"/>
      <c r="BQ627" s="173"/>
      <c r="BR627" s="173"/>
      <c r="BS627" s="173"/>
      <c r="BT627" s="173"/>
      <c r="BU627" s="173"/>
      <c r="BV627" s="173"/>
      <c r="BW627" s="173"/>
      <c r="BX627" s="173"/>
      <c r="BY627" s="173"/>
      <c r="BZ627" s="173"/>
      <c r="CA627" s="173"/>
      <c r="CB627" s="173"/>
      <c r="CC627" s="173"/>
      <c r="CD627" s="173"/>
      <c r="CE627" s="173"/>
      <c r="CF627" s="173"/>
      <c r="CG627" s="173"/>
      <c r="CH627" s="173"/>
      <c r="CI627" s="173"/>
      <c r="CJ627" s="173"/>
      <c r="CK627" s="173"/>
      <c r="CL627" s="173"/>
      <c r="CM627" s="173"/>
      <c r="CN627" s="173"/>
      <c r="CO627" s="173"/>
      <c r="CP627" s="173"/>
      <c r="CQ627" s="173"/>
      <c r="CR627" s="173"/>
      <c r="CS627" s="173"/>
    </row>
    <row r="628">
      <c r="A628" s="173"/>
      <c r="B628" s="173"/>
      <c r="C628" s="173"/>
      <c r="D628" s="141"/>
      <c r="E628" s="173"/>
      <c r="F628" s="173"/>
      <c r="G628" s="173"/>
      <c r="H628" s="173"/>
      <c r="I628" s="173"/>
      <c r="J628" s="141"/>
      <c r="K628" s="163" t="str">
        <f>VLOOKUP(C628,'Term Reference Guide'!$C:$C,1,false)</f>
        <v>#N/A</v>
      </c>
      <c r="L628" s="173"/>
      <c r="M628" s="173"/>
      <c r="N628" s="173"/>
      <c r="O628" s="173"/>
      <c r="P628" s="173"/>
      <c r="Q628" s="173"/>
      <c r="R628" s="173"/>
      <c r="S628" s="173"/>
      <c r="T628" s="173"/>
      <c r="U628" s="173"/>
      <c r="V628" s="173"/>
      <c r="W628" s="173"/>
      <c r="X628" s="173"/>
      <c r="Y628" s="173"/>
      <c r="Z628" s="173"/>
      <c r="AA628" s="173"/>
      <c r="AB628" s="173"/>
      <c r="AC628" s="173"/>
      <c r="AD628" s="173"/>
      <c r="AE628" s="173"/>
      <c r="AF628" s="173"/>
      <c r="AG628" s="173"/>
      <c r="AH628" s="173"/>
      <c r="AI628" s="173"/>
      <c r="AJ628" s="173"/>
      <c r="AK628" s="173"/>
      <c r="AL628" s="173"/>
      <c r="AM628" s="173"/>
      <c r="AN628" s="173"/>
      <c r="AO628" s="173"/>
      <c r="AP628" s="173"/>
      <c r="AQ628" s="173"/>
      <c r="AR628" s="173"/>
      <c r="AS628" s="173"/>
      <c r="AT628" s="173"/>
      <c r="AU628" s="173"/>
      <c r="AV628" s="173"/>
      <c r="AW628" s="173"/>
      <c r="AX628" s="173"/>
      <c r="AY628" s="173"/>
      <c r="AZ628" s="173"/>
      <c r="BA628" s="173"/>
      <c r="BB628" s="173"/>
      <c r="BC628" s="173"/>
      <c r="BD628" s="173"/>
      <c r="BE628" s="173"/>
      <c r="BF628" s="173"/>
      <c r="BG628" s="173"/>
      <c r="BH628" s="173"/>
      <c r="BI628" s="173"/>
      <c r="BJ628" s="173"/>
      <c r="BK628" s="173"/>
      <c r="BL628" s="173"/>
      <c r="BM628" s="173"/>
      <c r="BN628" s="173"/>
      <c r="BO628" s="173"/>
      <c r="BP628" s="173"/>
      <c r="BQ628" s="173"/>
      <c r="BR628" s="173"/>
      <c r="BS628" s="173"/>
      <c r="BT628" s="173"/>
      <c r="BU628" s="173"/>
      <c r="BV628" s="173"/>
      <c r="BW628" s="173"/>
      <c r="BX628" s="173"/>
      <c r="BY628" s="173"/>
      <c r="BZ628" s="173"/>
      <c r="CA628" s="173"/>
      <c r="CB628" s="173"/>
      <c r="CC628" s="173"/>
      <c r="CD628" s="173"/>
      <c r="CE628" s="173"/>
      <c r="CF628" s="173"/>
      <c r="CG628" s="173"/>
      <c r="CH628" s="173"/>
      <c r="CI628" s="173"/>
      <c r="CJ628" s="173"/>
      <c r="CK628" s="173"/>
      <c r="CL628" s="173"/>
      <c r="CM628" s="173"/>
      <c r="CN628" s="173"/>
      <c r="CO628" s="173"/>
      <c r="CP628" s="173"/>
      <c r="CQ628" s="173"/>
      <c r="CR628" s="173"/>
      <c r="CS628" s="173"/>
    </row>
    <row r="629">
      <c r="A629" s="170" t="s">
        <v>655</v>
      </c>
      <c r="B629" s="156"/>
      <c r="C629" s="156"/>
      <c r="D629" s="139"/>
      <c r="E629" s="156"/>
      <c r="F629" s="156"/>
      <c r="G629" s="156"/>
      <c r="H629" s="164"/>
      <c r="I629" s="164"/>
      <c r="J629" s="171"/>
      <c r="K629" s="163" t="str">
        <f>VLOOKUP(C629,'Term Reference Guide'!$C:$C,1,false)</f>
        <v>#N/A</v>
      </c>
      <c r="L629" s="163"/>
      <c r="M629" s="163"/>
      <c r="N629" s="163"/>
      <c r="O629" s="163"/>
      <c r="P629" s="163"/>
      <c r="Q629" s="163"/>
      <c r="R629" s="163"/>
      <c r="S629" s="163"/>
      <c r="T629" s="163"/>
      <c r="U629" s="163"/>
      <c r="V629" s="163"/>
      <c r="W629" s="163"/>
      <c r="X629" s="163"/>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c r="BP629" s="41"/>
      <c r="BQ629" s="41"/>
      <c r="BR629" s="41"/>
      <c r="BS629" s="41"/>
      <c r="BT629" s="41"/>
      <c r="BU629" s="41"/>
      <c r="BV629" s="41"/>
      <c r="BW629" s="41"/>
      <c r="BX629" s="41"/>
      <c r="BY629" s="41"/>
      <c r="BZ629" s="41"/>
      <c r="CA629" s="41"/>
      <c r="CB629" s="41"/>
      <c r="CC629" s="41"/>
      <c r="CD629" s="41"/>
      <c r="CE629" s="41"/>
      <c r="CF629" s="41"/>
      <c r="CG629" s="41"/>
      <c r="CH629" s="41"/>
      <c r="CI629" s="41"/>
      <c r="CJ629" s="41"/>
      <c r="CK629" s="41"/>
      <c r="CL629" s="41"/>
      <c r="CM629" s="41"/>
      <c r="CN629" s="41"/>
      <c r="CO629" s="41"/>
      <c r="CP629" s="41"/>
      <c r="CQ629" s="41"/>
      <c r="CR629" s="41"/>
      <c r="CS629" s="41"/>
    </row>
    <row r="630" hidden="1">
      <c r="A630" s="173" t="s">
        <v>655</v>
      </c>
      <c r="B630" s="179" t="s">
        <v>2372</v>
      </c>
      <c r="C630" s="179" t="s">
        <v>2373</v>
      </c>
      <c r="D630" s="70" t="s">
        <v>2374</v>
      </c>
      <c r="E630" s="173"/>
      <c r="F630" s="168"/>
      <c r="G630" s="168"/>
      <c r="H630" s="168" t="s">
        <v>25</v>
      </c>
      <c r="I630" s="168" t="s">
        <v>25</v>
      </c>
      <c r="J630" s="168" t="s">
        <v>25</v>
      </c>
      <c r="K630" s="163" t="str">
        <f>VLOOKUP(C630,'Term Reference Guide'!$C:$C,1,false)</f>
        <v>UO:0000195</v>
      </c>
      <c r="L630" s="173"/>
      <c r="M630" s="173"/>
      <c r="N630" s="173"/>
      <c r="O630" s="173"/>
      <c r="P630" s="173"/>
      <c r="Q630" s="173"/>
      <c r="R630" s="173"/>
      <c r="S630" s="173"/>
      <c r="T630" s="173"/>
      <c r="U630" s="173"/>
      <c r="V630" s="173"/>
      <c r="W630" s="173"/>
      <c r="X630" s="173"/>
      <c r="Y630" s="173"/>
      <c r="Z630" s="173"/>
      <c r="AA630" s="173"/>
      <c r="AB630" s="173"/>
      <c r="AC630" s="173"/>
      <c r="AD630" s="173"/>
      <c r="AE630" s="173"/>
      <c r="AF630" s="173"/>
      <c r="AG630" s="173"/>
      <c r="AH630" s="173"/>
      <c r="AI630" s="173"/>
      <c r="AJ630" s="173"/>
      <c r="AK630" s="173"/>
      <c r="AL630" s="173"/>
      <c r="AM630" s="173"/>
      <c r="AN630" s="173"/>
      <c r="AO630" s="173"/>
      <c r="AP630" s="173"/>
      <c r="AQ630" s="173"/>
      <c r="AR630" s="173"/>
      <c r="AS630" s="173"/>
      <c r="AT630" s="173"/>
      <c r="AU630" s="173"/>
      <c r="AV630" s="173"/>
      <c r="AW630" s="173"/>
      <c r="AX630" s="173"/>
      <c r="AY630" s="173"/>
      <c r="AZ630" s="173"/>
      <c r="BA630" s="173"/>
      <c r="BB630" s="173"/>
      <c r="BC630" s="173"/>
      <c r="BD630" s="173"/>
      <c r="BE630" s="173"/>
      <c r="BF630" s="173"/>
      <c r="BG630" s="173"/>
      <c r="BH630" s="173"/>
      <c r="BI630" s="173"/>
      <c r="BJ630" s="173"/>
      <c r="BK630" s="173"/>
      <c r="BL630" s="173"/>
      <c r="BM630" s="173"/>
      <c r="BN630" s="173"/>
      <c r="BO630" s="173"/>
      <c r="BP630" s="173"/>
      <c r="BQ630" s="173"/>
      <c r="BR630" s="173"/>
      <c r="BS630" s="173"/>
      <c r="BT630" s="173"/>
      <c r="BU630" s="173"/>
      <c r="BV630" s="173"/>
      <c r="BW630" s="173"/>
      <c r="BX630" s="173"/>
      <c r="BY630" s="173"/>
      <c r="BZ630" s="173"/>
      <c r="CA630" s="173"/>
      <c r="CB630" s="173"/>
      <c r="CC630" s="173"/>
      <c r="CD630" s="173"/>
      <c r="CE630" s="173"/>
      <c r="CF630" s="173"/>
      <c r="CG630" s="173"/>
      <c r="CH630" s="173"/>
      <c r="CI630" s="173"/>
      <c r="CJ630" s="173"/>
      <c r="CK630" s="173"/>
      <c r="CL630" s="173"/>
      <c r="CM630" s="173"/>
      <c r="CN630" s="173"/>
      <c r="CO630" s="173"/>
      <c r="CP630" s="173"/>
      <c r="CQ630" s="173"/>
      <c r="CR630" s="173"/>
      <c r="CS630" s="173"/>
    </row>
    <row r="631" hidden="1">
      <c r="A631" s="173" t="s">
        <v>655</v>
      </c>
      <c r="B631" s="179" t="s">
        <v>383</v>
      </c>
      <c r="C631" s="179" t="s">
        <v>2375</v>
      </c>
      <c r="D631" s="70" t="s">
        <v>2376</v>
      </c>
      <c r="E631" s="173"/>
      <c r="F631" s="168"/>
      <c r="G631" s="168"/>
      <c r="H631" s="168" t="s">
        <v>25</v>
      </c>
      <c r="I631" s="168" t="s">
        <v>25</v>
      </c>
      <c r="J631" s="168" t="s">
        <v>25</v>
      </c>
      <c r="K631" s="163" t="str">
        <f>VLOOKUP(C631,'Term Reference Guide'!$C:$C,1,false)</f>
        <v>UO:0000027</v>
      </c>
      <c r="L631" s="173"/>
      <c r="M631" s="173"/>
      <c r="N631" s="173"/>
      <c r="O631" s="173"/>
      <c r="P631" s="173"/>
      <c r="Q631" s="173"/>
      <c r="R631" s="173"/>
      <c r="S631" s="173"/>
      <c r="T631" s="173"/>
      <c r="U631" s="173"/>
      <c r="V631" s="173"/>
      <c r="W631" s="173"/>
      <c r="X631" s="173"/>
      <c r="Y631" s="173"/>
      <c r="Z631" s="173"/>
      <c r="AA631" s="173"/>
      <c r="AB631" s="173"/>
      <c r="AC631" s="173"/>
      <c r="AD631" s="173"/>
      <c r="AE631" s="173"/>
      <c r="AF631" s="173"/>
      <c r="AG631" s="173"/>
      <c r="AH631" s="173"/>
      <c r="AI631" s="173"/>
      <c r="AJ631" s="173"/>
      <c r="AK631" s="173"/>
      <c r="AL631" s="173"/>
      <c r="AM631" s="173"/>
      <c r="AN631" s="173"/>
      <c r="AO631" s="173"/>
      <c r="AP631" s="173"/>
      <c r="AQ631" s="173"/>
      <c r="AR631" s="173"/>
      <c r="AS631" s="173"/>
      <c r="AT631" s="173"/>
      <c r="AU631" s="173"/>
      <c r="AV631" s="173"/>
      <c r="AW631" s="173"/>
      <c r="AX631" s="173"/>
      <c r="AY631" s="173"/>
      <c r="AZ631" s="173"/>
      <c r="BA631" s="173"/>
      <c r="BB631" s="173"/>
      <c r="BC631" s="173"/>
      <c r="BD631" s="173"/>
      <c r="BE631" s="173"/>
      <c r="BF631" s="173"/>
      <c r="BG631" s="173"/>
      <c r="BH631" s="173"/>
      <c r="BI631" s="173"/>
      <c r="BJ631" s="173"/>
      <c r="BK631" s="173"/>
      <c r="BL631" s="173"/>
      <c r="BM631" s="173"/>
      <c r="BN631" s="173"/>
      <c r="BO631" s="173"/>
      <c r="BP631" s="173"/>
      <c r="BQ631" s="173"/>
      <c r="BR631" s="173"/>
      <c r="BS631" s="173"/>
      <c r="BT631" s="173"/>
      <c r="BU631" s="173"/>
      <c r="BV631" s="173"/>
      <c r="BW631" s="173"/>
      <c r="BX631" s="173"/>
      <c r="BY631" s="173"/>
      <c r="BZ631" s="173"/>
      <c r="CA631" s="173"/>
      <c r="CB631" s="173"/>
      <c r="CC631" s="173"/>
      <c r="CD631" s="173"/>
      <c r="CE631" s="173"/>
      <c r="CF631" s="173"/>
      <c r="CG631" s="173"/>
      <c r="CH631" s="173"/>
      <c r="CI631" s="173"/>
      <c r="CJ631" s="173"/>
      <c r="CK631" s="173"/>
      <c r="CL631" s="173"/>
      <c r="CM631" s="173"/>
      <c r="CN631" s="173"/>
      <c r="CO631" s="173"/>
      <c r="CP631" s="173"/>
      <c r="CQ631" s="173"/>
      <c r="CR631" s="173"/>
      <c r="CS631" s="173"/>
    </row>
    <row r="632">
      <c r="A632" s="173"/>
      <c r="B632" s="173"/>
      <c r="C632" s="173"/>
      <c r="D632" s="141"/>
      <c r="E632" s="173"/>
      <c r="F632" s="173"/>
      <c r="G632" s="173"/>
      <c r="H632" s="173"/>
      <c r="I632" s="173"/>
      <c r="J632" s="141"/>
      <c r="K632" s="163" t="str">
        <f>VLOOKUP(C632,'Term Reference Guide'!$C:$C,1,false)</f>
        <v>#N/A</v>
      </c>
      <c r="L632" s="173"/>
      <c r="M632" s="173"/>
      <c r="N632" s="173"/>
      <c r="O632" s="173"/>
      <c r="P632" s="173"/>
      <c r="Q632" s="173"/>
      <c r="R632" s="173"/>
      <c r="S632" s="173"/>
      <c r="T632" s="173"/>
      <c r="U632" s="173"/>
      <c r="V632" s="173"/>
      <c r="W632" s="173"/>
      <c r="X632" s="173"/>
      <c r="Y632" s="173"/>
      <c r="Z632" s="173"/>
      <c r="AA632" s="173"/>
      <c r="AB632" s="173"/>
      <c r="AC632" s="173"/>
      <c r="AD632" s="173"/>
      <c r="AE632" s="173"/>
      <c r="AF632" s="173"/>
      <c r="AG632" s="173"/>
      <c r="AH632" s="173"/>
      <c r="AI632" s="173"/>
      <c r="AJ632" s="173"/>
      <c r="AK632" s="173"/>
      <c r="AL632" s="173"/>
      <c r="AM632" s="173"/>
      <c r="AN632" s="173"/>
      <c r="AO632" s="173"/>
      <c r="AP632" s="173"/>
      <c r="AQ632" s="173"/>
      <c r="AR632" s="173"/>
      <c r="AS632" s="173"/>
      <c r="AT632" s="173"/>
      <c r="AU632" s="173"/>
      <c r="AV632" s="173"/>
      <c r="AW632" s="173"/>
      <c r="AX632" s="173"/>
      <c r="AY632" s="173"/>
      <c r="AZ632" s="173"/>
      <c r="BA632" s="173"/>
      <c r="BB632" s="173"/>
      <c r="BC632" s="173"/>
      <c r="BD632" s="173"/>
      <c r="BE632" s="173"/>
      <c r="BF632" s="173"/>
      <c r="BG632" s="173"/>
      <c r="BH632" s="173"/>
      <c r="BI632" s="173"/>
      <c r="BJ632" s="173"/>
      <c r="BK632" s="173"/>
      <c r="BL632" s="173"/>
      <c r="BM632" s="173"/>
      <c r="BN632" s="173"/>
      <c r="BO632" s="173"/>
      <c r="BP632" s="173"/>
      <c r="BQ632" s="173"/>
      <c r="BR632" s="173"/>
      <c r="BS632" s="173"/>
      <c r="BT632" s="173"/>
      <c r="BU632" s="173"/>
      <c r="BV632" s="173"/>
      <c r="BW632" s="173"/>
      <c r="BX632" s="173"/>
      <c r="BY632" s="173"/>
      <c r="BZ632" s="173"/>
      <c r="CA632" s="173"/>
      <c r="CB632" s="173"/>
      <c r="CC632" s="173"/>
      <c r="CD632" s="173"/>
      <c r="CE632" s="173"/>
      <c r="CF632" s="173"/>
      <c r="CG632" s="173"/>
      <c r="CH632" s="173"/>
      <c r="CI632" s="173"/>
      <c r="CJ632" s="173"/>
      <c r="CK632" s="173"/>
      <c r="CL632" s="173"/>
      <c r="CM632" s="173"/>
      <c r="CN632" s="173"/>
      <c r="CO632" s="173"/>
      <c r="CP632" s="173"/>
      <c r="CQ632" s="173"/>
      <c r="CR632" s="173"/>
      <c r="CS632" s="173"/>
    </row>
    <row r="633">
      <c r="A633" s="200" t="s">
        <v>728</v>
      </c>
      <c r="B633" s="201"/>
      <c r="C633" s="201"/>
      <c r="D633" s="202"/>
      <c r="E633" s="156"/>
      <c r="F633" s="156"/>
      <c r="G633" s="156"/>
      <c r="H633" s="164"/>
      <c r="I633" s="164"/>
      <c r="J633" s="171"/>
      <c r="K633" s="163" t="str">
        <f>VLOOKUP(C633,'Term Reference Guide'!$C:$C,1,false)</f>
        <v>#N/A</v>
      </c>
      <c r="L633" s="163"/>
      <c r="M633" s="163"/>
      <c r="N633" s="163"/>
      <c r="O633" s="163"/>
      <c r="P633" s="163"/>
      <c r="Q633" s="163"/>
      <c r="R633" s="163"/>
      <c r="S633" s="163"/>
      <c r="T633" s="163"/>
      <c r="U633" s="163"/>
      <c r="V633" s="163"/>
      <c r="W633" s="163"/>
      <c r="X633" s="163"/>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c r="BP633" s="41"/>
      <c r="BQ633" s="41"/>
      <c r="BR633" s="41"/>
      <c r="BS633" s="41"/>
      <c r="BT633" s="41"/>
      <c r="BU633" s="41"/>
      <c r="BV633" s="41"/>
      <c r="BW633" s="41"/>
      <c r="BX633" s="41"/>
      <c r="BY633" s="41"/>
      <c r="BZ633" s="41"/>
      <c r="CA633" s="41"/>
      <c r="CB633" s="41"/>
      <c r="CC633" s="41"/>
      <c r="CD633" s="41"/>
      <c r="CE633" s="41"/>
      <c r="CF633" s="41"/>
      <c r="CG633" s="41"/>
      <c r="CH633" s="41"/>
      <c r="CI633" s="41"/>
      <c r="CJ633" s="41"/>
      <c r="CK633" s="41"/>
      <c r="CL633" s="41"/>
      <c r="CM633" s="41"/>
      <c r="CN633" s="41"/>
      <c r="CO633" s="41"/>
      <c r="CP633" s="41"/>
      <c r="CQ633" s="41"/>
      <c r="CR633" s="41"/>
      <c r="CS633" s="41"/>
    </row>
    <row r="634" hidden="1">
      <c r="A634" s="67" t="s">
        <v>728</v>
      </c>
      <c r="B634" s="67" t="s">
        <v>2475</v>
      </c>
      <c r="C634" s="67" t="s">
        <v>2476</v>
      </c>
      <c r="D634" s="68" t="s">
        <v>2477</v>
      </c>
      <c r="E634" s="173"/>
      <c r="F634" s="168"/>
      <c r="G634" s="168"/>
      <c r="H634" s="168" t="s">
        <v>25</v>
      </c>
      <c r="I634" s="168" t="s">
        <v>25</v>
      </c>
      <c r="J634" s="168" t="s">
        <v>25</v>
      </c>
      <c r="K634" s="163" t="str">
        <f>VLOOKUP(C634,'Term Reference Guide'!$C:$C,1,false)</f>
        <v>GENEPIO:0100005</v>
      </c>
      <c r="L634" s="173"/>
      <c r="M634" s="173"/>
      <c r="N634" s="173"/>
      <c r="O634" s="173"/>
      <c r="P634" s="173"/>
      <c r="Q634" s="173"/>
      <c r="R634" s="173"/>
      <c r="S634" s="173"/>
      <c r="T634" s="173"/>
      <c r="U634" s="173"/>
      <c r="V634" s="173"/>
      <c r="W634" s="173"/>
      <c r="X634" s="173"/>
      <c r="Y634" s="173"/>
      <c r="Z634" s="173"/>
      <c r="AA634" s="173"/>
      <c r="AB634" s="173"/>
      <c r="AC634" s="173"/>
      <c r="AD634" s="173"/>
      <c r="AE634" s="173"/>
      <c r="AF634" s="173"/>
      <c r="AG634" s="173"/>
      <c r="AH634" s="173"/>
      <c r="AI634" s="173"/>
      <c r="AJ634" s="173"/>
      <c r="AK634" s="173"/>
      <c r="AL634" s="173"/>
      <c r="AM634" s="173"/>
      <c r="AN634" s="173"/>
      <c r="AO634" s="173"/>
      <c r="AP634" s="173"/>
      <c r="AQ634" s="173"/>
      <c r="AR634" s="173"/>
      <c r="AS634" s="173"/>
      <c r="AT634" s="173"/>
      <c r="AU634" s="173"/>
      <c r="AV634" s="173"/>
      <c r="AW634" s="173"/>
      <c r="AX634" s="173"/>
      <c r="AY634" s="173"/>
      <c r="AZ634" s="173"/>
      <c r="BA634" s="173"/>
      <c r="BB634" s="173"/>
      <c r="BC634" s="173"/>
      <c r="BD634" s="173"/>
      <c r="BE634" s="173"/>
      <c r="BF634" s="173"/>
      <c r="BG634" s="173"/>
      <c r="BH634" s="173"/>
      <c r="BI634" s="173"/>
      <c r="BJ634" s="173"/>
      <c r="BK634" s="173"/>
      <c r="BL634" s="173"/>
      <c r="BM634" s="173"/>
      <c r="BN634" s="173"/>
      <c r="BO634" s="173"/>
      <c r="BP634" s="173"/>
      <c r="BQ634" s="173"/>
      <c r="BR634" s="173"/>
      <c r="BS634" s="173"/>
      <c r="BT634" s="173"/>
      <c r="BU634" s="173"/>
      <c r="BV634" s="173"/>
      <c r="BW634" s="173"/>
      <c r="BX634" s="173"/>
      <c r="BY634" s="173"/>
      <c r="BZ634" s="173"/>
      <c r="CA634" s="173"/>
      <c r="CB634" s="173"/>
      <c r="CC634" s="173"/>
      <c r="CD634" s="173"/>
      <c r="CE634" s="173"/>
      <c r="CF634" s="173"/>
      <c r="CG634" s="173"/>
      <c r="CH634" s="173"/>
      <c r="CI634" s="173"/>
      <c r="CJ634" s="173"/>
      <c r="CK634" s="173"/>
      <c r="CL634" s="173"/>
      <c r="CM634" s="173"/>
      <c r="CN634" s="173"/>
      <c r="CO634" s="173"/>
      <c r="CP634" s="173"/>
      <c r="CQ634" s="173"/>
      <c r="CR634" s="173"/>
      <c r="CS634" s="173"/>
    </row>
    <row r="635" hidden="1">
      <c r="A635" s="67" t="s">
        <v>728</v>
      </c>
      <c r="B635" s="67" t="s">
        <v>2478</v>
      </c>
      <c r="C635" s="67" t="s">
        <v>2479</v>
      </c>
      <c r="D635" s="68" t="s">
        <v>2480</v>
      </c>
      <c r="E635" s="173"/>
      <c r="F635" s="168"/>
      <c r="G635" s="168"/>
      <c r="H635" s="168" t="s">
        <v>25</v>
      </c>
      <c r="I635" s="168" t="s">
        <v>25</v>
      </c>
      <c r="J635" s="168" t="s">
        <v>25</v>
      </c>
      <c r="K635" s="163" t="str">
        <f>VLOOKUP(C635,'Term Reference Guide'!$C:$C,1,false)</f>
        <v>GENEPIO:0100006</v>
      </c>
      <c r="L635" s="173"/>
      <c r="M635" s="173"/>
      <c r="N635" s="173"/>
      <c r="O635" s="173"/>
      <c r="P635" s="173"/>
      <c r="Q635" s="173"/>
      <c r="R635" s="173"/>
      <c r="S635" s="173"/>
      <c r="T635" s="173"/>
      <c r="U635" s="173"/>
      <c r="V635" s="173"/>
      <c r="W635" s="173"/>
      <c r="X635" s="173"/>
      <c r="Y635" s="173"/>
      <c r="Z635" s="173"/>
      <c r="AA635" s="173"/>
      <c r="AB635" s="173"/>
      <c r="AC635" s="173"/>
      <c r="AD635" s="173"/>
      <c r="AE635" s="173"/>
      <c r="AF635" s="173"/>
      <c r="AG635" s="173"/>
      <c r="AH635" s="173"/>
      <c r="AI635" s="173"/>
      <c r="AJ635" s="173"/>
      <c r="AK635" s="173"/>
      <c r="AL635" s="173"/>
      <c r="AM635" s="173"/>
      <c r="AN635" s="173"/>
      <c r="AO635" s="173"/>
      <c r="AP635" s="173"/>
      <c r="AQ635" s="173"/>
      <c r="AR635" s="173"/>
      <c r="AS635" s="173"/>
      <c r="AT635" s="173"/>
      <c r="AU635" s="173"/>
      <c r="AV635" s="173"/>
      <c r="AW635" s="173"/>
      <c r="AX635" s="173"/>
      <c r="AY635" s="173"/>
      <c r="AZ635" s="173"/>
      <c r="BA635" s="173"/>
      <c r="BB635" s="173"/>
      <c r="BC635" s="173"/>
      <c r="BD635" s="173"/>
      <c r="BE635" s="173"/>
      <c r="BF635" s="173"/>
      <c r="BG635" s="173"/>
      <c r="BH635" s="173"/>
      <c r="BI635" s="173"/>
      <c r="BJ635" s="173"/>
      <c r="BK635" s="173"/>
      <c r="BL635" s="173"/>
      <c r="BM635" s="173"/>
      <c r="BN635" s="173"/>
      <c r="BO635" s="173"/>
      <c r="BP635" s="173"/>
      <c r="BQ635" s="173"/>
      <c r="BR635" s="173"/>
      <c r="BS635" s="173"/>
      <c r="BT635" s="173"/>
      <c r="BU635" s="173"/>
      <c r="BV635" s="173"/>
      <c r="BW635" s="173"/>
      <c r="BX635" s="173"/>
      <c r="BY635" s="173"/>
      <c r="BZ635" s="173"/>
      <c r="CA635" s="173"/>
      <c r="CB635" s="173"/>
      <c r="CC635" s="173"/>
      <c r="CD635" s="173"/>
      <c r="CE635" s="173"/>
      <c r="CF635" s="173"/>
      <c r="CG635" s="173"/>
      <c r="CH635" s="173"/>
      <c r="CI635" s="173"/>
      <c r="CJ635" s="173"/>
      <c r="CK635" s="173"/>
      <c r="CL635" s="173"/>
      <c r="CM635" s="173"/>
      <c r="CN635" s="173"/>
      <c r="CO635" s="173"/>
      <c r="CP635" s="173"/>
      <c r="CQ635" s="173"/>
      <c r="CR635" s="173"/>
      <c r="CS635" s="173"/>
    </row>
    <row r="636" hidden="1">
      <c r="A636" s="67" t="s">
        <v>728</v>
      </c>
      <c r="B636" s="67" t="s">
        <v>2481</v>
      </c>
      <c r="C636" s="67" t="s">
        <v>2482</v>
      </c>
      <c r="D636" s="68" t="s">
        <v>2483</v>
      </c>
      <c r="E636" s="173"/>
      <c r="F636" s="168"/>
      <c r="G636" s="168"/>
      <c r="H636" s="168" t="s">
        <v>25</v>
      </c>
      <c r="I636" s="168" t="s">
        <v>25</v>
      </c>
      <c r="J636" s="168" t="s">
        <v>25</v>
      </c>
      <c r="K636" s="163" t="str">
        <f>VLOOKUP(C636,'Term Reference Guide'!$C:$C,1,false)</f>
        <v>GENEPIO:0100007</v>
      </c>
      <c r="L636" s="173"/>
      <c r="M636" s="173"/>
      <c r="N636" s="173"/>
      <c r="O636" s="173"/>
      <c r="P636" s="173"/>
      <c r="Q636" s="173"/>
      <c r="R636" s="173"/>
      <c r="S636" s="173"/>
      <c r="T636" s="173"/>
      <c r="U636" s="173"/>
      <c r="V636" s="173"/>
      <c r="W636" s="173"/>
      <c r="X636" s="173"/>
      <c r="Y636" s="173"/>
      <c r="Z636" s="173"/>
      <c r="AA636" s="173"/>
      <c r="AB636" s="173"/>
      <c r="AC636" s="173"/>
      <c r="AD636" s="173"/>
      <c r="AE636" s="173"/>
      <c r="AF636" s="173"/>
      <c r="AG636" s="173"/>
      <c r="AH636" s="173"/>
      <c r="AI636" s="173"/>
      <c r="AJ636" s="173"/>
      <c r="AK636" s="173"/>
      <c r="AL636" s="173"/>
      <c r="AM636" s="173"/>
      <c r="AN636" s="173"/>
      <c r="AO636" s="173"/>
      <c r="AP636" s="173"/>
      <c r="AQ636" s="173"/>
      <c r="AR636" s="173"/>
      <c r="AS636" s="173"/>
      <c r="AT636" s="173"/>
      <c r="AU636" s="173"/>
      <c r="AV636" s="173"/>
      <c r="AW636" s="173"/>
      <c r="AX636" s="173"/>
      <c r="AY636" s="173"/>
      <c r="AZ636" s="173"/>
      <c r="BA636" s="173"/>
      <c r="BB636" s="173"/>
      <c r="BC636" s="173"/>
      <c r="BD636" s="173"/>
      <c r="BE636" s="173"/>
      <c r="BF636" s="173"/>
      <c r="BG636" s="173"/>
      <c r="BH636" s="173"/>
      <c r="BI636" s="173"/>
      <c r="BJ636" s="173"/>
      <c r="BK636" s="173"/>
      <c r="BL636" s="173"/>
      <c r="BM636" s="173"/>
      <c r="BN636" s="173"/>
      <c r="BO636" s="173"/>
      <c r="BP636" s="173"/>
      <c r="BQ636" s="173"/>
      <c r="BR636" s="173"/>
      <c r="BS636" s="173"/>
      <c r="BT636" s="173"/>
      <c r="BU636" s="173"/>
      <c r="BV636" s="173"/>
      <c r="BW636" s="173"/>
      <c r="BX636" s="173"/>
      <c r="BY636" s="173"/>
      <c r="BZ636" s="173"/>
      <c r="CA636" s="173"/>
      <c r="CB636" s="173"/>
      <c r="CC636" s="173"/>
      <c r="CD636" s="173"/>
      <c r="CE636" s="173"/>
      <c r="CF636" s="173"/>
      <c r="CG636" s="173"/>
      <c r="CH636" s="173"/>
      <c r="CI636" s="173"/>
      <c r="CJ636" s="173"/>
      <c r="CK636" s="173"/>
      <c r="CL636" s="173"/>
      <c r="CM636" s="173"/>
      <c r="CN636" s="173"/>
      <c r="CO636" s="173"/>
      <c r="CP636" s="173"/>
      <c r="CQ636" s="173"/>
      <c r="CR636" s="173"/>
      <c r="CS636" s="173"/>
    </row>
    <row r="637" hidden="1">
      <c r="A637" s="67" t="s">
        <v>728</v>
      </c>
      <c r="B637" s="67" t="s">
        <v>2484</v>
      </c>
      <c r="C637" s="67" t="s">
        <v>2485</v>
      </c>
      <c r="D637" s="68" t="s">
        <v>2486</v>
      </c>
      <c r="E637" s="173"/>
      <c r="F637" s="168"/>
      <c r="G637" s="168"/>
      <c r="H637" s="168" t="s">
        <v>25</v>
      </c>
      <c r="I637" s="168" t="s">
        <v>25</v>
      </c>
      <c r="J637" s="168" t="s">
        <v>25</v>
      </c>
      <c r="K637" s="163" t="str">
        <f>VLOOKUP(C637,'Term Reference Guide'!$C:$C,1,false)</f>
        <v>GENEPIO:0100009</v>
      </c>
      <c r="L637" s="173"/>
      <c r="M637" s="173"/>
      <c r="N637" s="173"/>
      <c r="O637" s="173"/>
      <c r="P637" s="173"/>
      <c r="Q637" s="173"/>
      <c r="R637" s="173"/>
      <c r="S637" s="173"/>
      <c r="T637" s="173"/>
      <c r="U637" s="173"/>
      <c r="V637" s="173"/>
      <c r="W637" s="173"/>
      <c r="X637" s="173"/>
      <c r="Y637" s="173"/>
      <c r="Z637" s="173"/>
      <c r="AA637" s="173"/>
      <c r="AB637" s="173"/>
      <c r="AC637" s="173"/>
      <c r="AD637" s="173"/>
      <c r="AE637" s="173"/>
      <c r="AF637" s="173"/>
      <c r="AG637" s="173"/>
      <c r="AH637" s="173"/>
      <c r="AI637" s="173"/>
      <c r="AJ637" s="173"/>
      <c r="AK637" s="173"/>
      <c r="AL637" s="173"/>
      <c r="AM637" s="173"/>
      <c r="AN637" s="173"/>
      <c r="AO637" s="173"/>
      <c r="AP637" s="173"/>
      <c r="AQ637" s="173"/>
      <c r="AR637" s="173"/>
      <c r="AS637" s="173"/>
      <c r="AT637" s="173"/>
      <c r="AU637" s="173"/>
      <c r="AV637" s="173"/>
      <c r="AW637" s="173"/>
      <c r="AX637" s="173"/>
      <c r="AY637" s="173"/>
      <c r="AZ637" s="173"/>
      <c r="BA637" s="173"/>
      <c r="BB637" s="173"/>
      <c r="BC637" s="173"/>
      <c r="BD637" s="173"/>
      <c r="BE637" s="173"/>
      <c r="BF637" s="173"/>
      <c r="BG637" s="173"/>
      <c r="BH637" s="173"/>
      <c r="BI637" s="173"/>
      <c r="BJ637" s="173"/>
      <c r="BK637" s="173"/>
      <c r="BL637" s="173"/>
      <c r="BM637" s="173"/>
      <c r="BN637" s="173"/>
      <c r="BO637" s="173"/>
      <c r="BP637" s="173"/>
      <c r="BQ637" s="173"/>
      <c r="BR637" s="173"/>
      <c r="BS637" s="173"/>
      <c r="BT637" s="173"/>
      <c r="BU637" s="173"/>
      <c r="BV637" s="173"/>
      <c r="BW637" s="173"/>
      <c r="BX637" s="173"/>
      <c r="BY637" s="173"/>
      <c r="BZ637" s="173"/>
      <c r="CA637" s="173"/>
      <c r="CB637" s="173"/>
      <c r="CC637" s="173"/>
      <c r="CD637" s="173"/>
      <c r="CE637" s="173"/>
      <c r="CF637" s="173"/>
      <c r="CG637" s="173"/>
      <c r="CH637" s="173"/>
      <c r="CI637" s="173"/>
      <c r="CJ637" s="173"/>
      <c r="CK637" s="173"/>
      <c r="CL637" s="173"/>
      <c r="CM637" s="173"/>
      <c r="CN637" s="173"/>
      <c r="CO637" s="173"/>
      <c r="CP637" s="173"/>
      <c r="CQ637" s="173"/>
      <c r="CR637" s="173"/>
      <c r="CS637" s="173"/>
    </row>
    <row r="638" hidden="1">
      <c r="A638" s="67" t="s">
        <v>728</v>
      </c>
      <c r="B638" s="67" t="s">
        <v>732</v>
      </c>
      <c r="C638" s="67" t="s">
        <v>2487</v>
      </c>
      <c r="D638" s="68" t="s">
        <v>2488</v>
      </c>
      <c r="E638" s="173"/>
      <c r="F638" s="168"/>
      <c r="G638" s="168"/>
      <c r="H638" s="168" t="s">
        <v>25</v>
      </c>
      <c r="I638" s="168" t="s">
        <v>25</v>
      </c>
      <c r="J638" s="168" t="s">
        <v>25</v>
      </c>
      <c r="K638" s="163" t="str">
        <f>VLOOKUP(C638,'Term Reference Guide'!$C:$C,1,false)</f>
        <v>GENEPIO:0100012</v>
      </c>
      <c r="L638" s="173"/>
      <c r="M638" s="173"/>
      <c r="N638" s="173"/>
      <c r="O638" s="173"/>
      <c r="P638" s="173"/>
      <c r="Q638" s="173"/>
      <c r="R638" s="173"/>
      <c r="S638" s="173"/>
      <c r="T638" s="173"/>
      <c r="U638" s="173"/>
      <c r="V638" s="173"/>
      <c r="W638" s="173"/>
      <c r="X638" s="173"/>
      <c r="Y638" s="173"/>
      <c r="Z638" s="173"/>
      <c r="AA638" s="173"/>
      <c r="AB638" s="173"/>
      <c r="AC638" s="173"/>
      <c r="AD638" s="173"/>
      <c r="AE638" s="173"/>
      <c r="AF638" s="173"/>
      <c r="AG638" s="173"/>
      <c r="AH638" s="173"/>
      <c r="AI638" s="173"/>
      <c r="AJ638" s="173"/>
      <c r="AK638" s="173"/>
      <c r="AL638" s="173"/>
      <c r="AM638" s="173"/>
      <c r="AN638" s="173"/>
      <c r="AO638" s="173"/>
      <c r="AP638" s="173"/>
      <c r="AQ638" s="173"/>
      <c r="AR638" s="173"/>
      <c r="AS638" s="173"/>
      <c r="AT638" s="173"/>
      <c r="AU638" s="173"/>
      <c r="AV638" s="173"/>
      <c r="AW638" s="173"/>
      <c r="AX638" s="173"/>
      <c r="AY638" s="173"/>
      <c r="AZ638" s="173"/>
      <c r="BA638" s="173"/>
      <c r="BB638" s="173"/>
      <c r="BC638" s="173"/>
      <c r="BD638" s="173"/>
      <c r="BE638" s="173"/>
      <c r="BF638" s="173"/>
      <c r="BG638" s="173"/>
      <c r="BH638" s="173"/>
      <c r="BI638" s="173"/>
      <c r="BJ638" s="173"/>
      <c r="BK638" s="173"/>
      <c r="BL638" s="173"/>
      <c r="BM638" s="173"/>
      <c r="BN638" s="173"/>
      <c r="BO638" s="173"/>
      <c r="BP638" s="173"/>
      <c r="BQ638" s="173"/>
      <c r="BR638" s="173"/>
      <c r="BS638" s="173"/>
      <c r="BT638" s="173"/>
      <c r="BU638" s="173"/>
      <c r="BV638" s="173"/>
      <c r="BW638" s="173"/>
      <c r="BX638" s="173"/>
      <c r="BY638" s="173"/>
      <c r="BZ638" s="173"/>
      <c r="CA638" s="173"/>
      <c r="CB638" s="173"/>
      <c r="CC638" s="173"/>
      <c r="CD638" s="173"/>
      <c r="CE638" s="173"/>
      <c r="CF638" s="173"/>
      <c r="CG638" s="173"/>
      <c r="CH638" s="173"/>
      <c r="CI638" s="173"/>
      <c r="CJ638" s="173"/>
      <c r="CK638" s="173"/>
      <c r="CL638" s="173"/>
      <c r="CM638" s="173"/>
      <c r="CN638" s="173"/>
      <c r="CO638" s="173"/>
      <c r="CP638" s="173"/>
      <c r="CQ638" s="173"/>
      <c r="CR638" s="173"/>
      <c r="CS638" s="173"/>
    </row>
    <row r="639" hidden="1">
      <c r="A639" s="67" t="s">
        <v>728</v>
      </c>
      <c r="B639" s="67" t="s">
        <v>2489</v>
      </c>
      <c r="C639" s="67" t="s">
        <v>2490</v>
      </c>
      <c r="D639" s="68" t="s">
        <v>2491</v>
      </c>
      <c r="E639" s="173"/>
      <c r="F639" s="168"/>
      <c r="G639" s="168"/>
      <c r="H639" s="168" t="s">
        <v>25</v>
      </c>
      <c r="I639" s="168" t="s">
        <v>25</v>
      </c>
      <c r="J639" s="168" t="s">
        <v>25</v>
      </c>
      <c r="K639" s="163" t="str">
        <f>VLOOKUP(C639,'Term Reference Guide'!$C:$C,1,false)</f>
        <v>GENEPIO:0100013</v>
      </c>
      <c r="L639" s="173"/>
      <c r="M639" s="173"/>
      <c r="N639" s="173"/>
      <c r="O639" s="173"/>
      <c r="P639" s="173"/>
      <c r="Q639" s="173"/>
      <c r="R639" s="173"/>
      <c r="S639" s="173"/>
      <c r="T639" s="173"/>
      <c r="U639" s="173"/>
      <c r="V639" s="173"/>
      <c r="W639" s="173"/>
      <c r="X639" s="173"/>
      <c r="Y639" s="173"/>
      <c r="Z639" s="173"/>
      <c r="AA639" s="173"/>
      <c r="AB639" s="173"/>
      <c r="AC639" s="173"/>
      <c r="AD639" s="173"/>
      <c r="AE639" s="173"/>
      <c r="AF639" s="173"/>
      <c r="AG639" s="173"/>
      <c r="AH639" s="173"/>
      <c r="AI639" s="173"/>
      <c r="AJ639" s="173"/>
      <c r="AK639" s="173"/>
      <c r="AL639" s="173"/>
      <c r="AM639" s="173"/>
      <c r="AN639" s="173"/>
      <c r="AO639" s="173"/>
      <c r="AP639" s="173"/>
      <c r="AQ639" s="173"/>
      <c r="AR639" s="173"/>
      <c r="AS639" s="173"/>
      <c r="AT639" s="173"/>
      <c r="AU639" s="173"/>
      <c r="AV639" s="173"/>
      <c r="AW639" s="173"/>
      <c r="AX639" s="173"/>
      <c r="AY639" s="173"/>
      <c r="AZ639" s="173"/>
      <c r="BA639" s="173"/>
      <c r="BB639" s="173"/>
      <c r="BC639" s="173"/>
      <c r="BD639" s="173"/>
      <c r="BE639" s="173"/>
      <c r="BF639" s="173"/>
      <c r="BG639" s="173"/>
      <c r="BH639" s="173"/>
      <c r="BI639" s="173"/>
      <c r="BJ639" s="173"/>
      <c r="BK639" s="173"/>
      <c r="BL639" s="173"/>
      <c r="BM639" s="173"/>
      <c r="BN639" s="173"/>
      <c r="BO639" s="173"/>
      <c r="BP639" s="173"/>
      <c r="BQ639" s="173"/>
      <c r="BR639" s="173"/>
      <c r="BS639" s="173"/>
      <c r="BT639" s="173"/>
      <c r="BU639" s="173"/>
      <c r="BV639" s="173"/>
      <c r="BW639" s="173"/>
      <c r="BX639" s="173"/>
      <c r="BY639" s="173"/>
      <c r="BZ639" s="173"/>
      <c r="CA639" s="173"/>
      <c r="CB639" s="173"/>
      <c r="CC639" s="173"/>
      <c r="CD639" s="173"/>
      <c r="CE639" s="173"/>
      <c r="CF639" s="173"/>
      <c r="CG639" s="173"/>
      <c r="CH639" s="173"/>
      <c r="CI639" s="173"/>
      <c r="CJ639" s="173"/>
      <c r="CK639" s="173"/>
      <c r="CL639" s="173"/>
      <c r="CM639" s="173"/>
      <c r="CN639" s="173"/>
      <c r="CO639" s="173"/>
      <c r="CP639" s="173"/>
      <c r="CQ639" s="173"/>
      <c r="CR639" s="173"/>
      <c r="CS639" s="173"/>
    </row>
    <row r="640" hidden="1">
      <c r="A640" s="67" t="s">
        <v>728</v>
      </c>
      <c r="B640" s="67" t="s">
        <v>2492</v>
      </c>
      <c r="C640" s="67" t="s">
        <v>2493</v>
      </c>
      <c r="D640" s="68" t="s">
        <v>2494</v>
      </c>
      <c r="E640" s="173"/>
      <c r="F640" s="168"/>
      <c r="G640" s="168"/>
      <c r="H640" s="168" t="s">
        <v>25</v>
      </c>
      <c r="I640" s="168" t="s">
        <v>25</v>
      </c>
      <c r="J640" s="168" t="s">
        <v>25</v>
      </c>
      <c r="K640" s="163" t="str">
        <f>VLOOKUP(C640,'Term Reference Guide'!$C:$C,1,false)</f>
        <v>GENEPIO:0100014</v>
      </c>
      <c r="L640" s="173"/>
      <c r="M640" s="173"/>
      <c r="N640" s="173"/>
      <c r="O640" s="173"/>
      <c r="P640" s="173"/>
      <c r="Q640" s="173"/>
      <c r="R640" s="173"/>
      <c r="S640" s="173"/>
      <c r="T640" s="173"/>
      <c r="U640" s="173"/>
      <c r="V640" s="173"/>
      <c r="W640" s="173"/>
      <c r="X640" s="173"/>
      <c r="Y640" s="173"/>
      <c r="Z640" s="173"/>
      <c r="AA640" s="173"/>
      <c r="AB640" s="173"/>
      <c r="AC640" s="173"/>
      <c r="AD640" s="173"/>
      <c r="AE640" s="173"/>
      <c r="AF640" s="173"/>
      <c r="AG640" s="173"/>
      <c r="AH640" s="173"/>
      <c r="AI640" s="173"/>
      <c r="AJ640" s="173"/>
      <c r="AK640" s="173"/>
      <c r="AL640" s="173"/>
      <c r="AM640" s="173"/>
      <c r="AN640" s="173"/>
      <c r="AO640" s="173"/>
      <c r="AP640" s="173"/>
      <c r="AQ640" s="173"/>
      <c r="AR640" s="173"/>
      <c r="AS640" s="173"/>
      <c r="AT640" s="173"/>
      <c r="AU640" s="173"/>
      <c r="AV640" s="173"/>
      <c r="AW640" s="173"/>
      <c r="AX640" s="173"/>
      <c r="AY640" s="173"/>
      <c r="AZ640" s="173"/>
      <c r="BA640" s="173"/>
      <c r="BB640" s="173"/>
      <c r="BC640" s="173"/>
      <c r="BD640" s="173"/>
      <c r="BE640" s="173"/>
      <c r="BF640" s="173"/>
      <c r="BG640" s="173"/>
      <c r="BH640" s="173"/>
      <c r="BI640" s="173"/>
      <c r="BJ640" s="173"/>
      <c r="BK640" s="173"/>
      <c r="BL640" s="173"/>
      <c r="BM640" s="173"/>
      <c r="BN640" s="173"/>
      <c r="BO640" s="173"/>
      <c r="BP640" s="173"/>
      <c r="BQ640" s="173"/>
      <c r="BR640" s="173"/>
      <c r="BS640" s="173"/>
      <c r="BT640" s="173"/>
      <c r="BU640" s="173"/>
      <c r="BV640" s="173"/>
      <c r="BW640" s="173"/>
      <c r="BX640" s="173"/>
      <c r="BY640" s="173"/>
      <c r="BZ640" s="173"/>
      <c r="CA640" s="173"/>
      <c r="CB640" s="173"/>
      <c r="CC640" s="173"/>
      <c r="CD640" s="173"/>
      <c r="CE640" s="173"/>
      <c r="CF640" s="173"/>
      <c r="CG640" s="173"/>
      <c r="CH640" s="173"/>
      <c r="CI640" s="173"/>
      <c r="CJ640" s="173"/>
      <c r="CK640" s="173"/>
      <c r="CL640" s="173"/>
      <c r="CM640" s="173"/>
      <c r="CN640" s="173"/>
      <c r="CO640" s="173"/>
      <c r="CP640" s="173"/>
      <c r="CQ640" s="173"/>
      <c r="CR640" s="173"/>
      <c r="CS640" s="173"/>
    </row>
    <row r="641" hidden="1">
      <c r="A641" s="67" t="s">
        <v>728</v>
      </c>
      <c r="B641" s="67" t="s">
        <v>1911</v>
      </c>
      <c r="C641" s="67" t="s">
        <v>2495</v>
      </c>
      <c r="D641" s="68" t="s">
        <v>2496</v>
      </c>
      <c r="E641" s="173"/>
      <c r="F641" s="168"/>
      <c r="G641" s="168"/>
      <c r="H641" s="168" t="s">
        <v>25</v>
      </c>
      <c r="I641" s="168" t="s">
        <v>25</v>
      </c>
      <c r="J641" s="168" t="s">
        <v>25</v>
      </c>
      <c r="K641" s="163" t="str">
        <f>VLOOKUP(C641,'Term Reference Guide'!$C:$C,1,false)</f>
        <v>GENEPIO:0100022</v>
      </c>
      <c r="L641" s="173"/>
      <c r="M641" s="173"/>
      <c r="N641" s="173"/>
      <c r="O641" s="173"/>
      <c r="P641" s="173"/>
      <c r="Q641" s="173"/>
      <c r="R641" s="173"/>
      <c r="S641" s="173"/>
      <c r="T641" s="173"/>
      <c r="U641" s="173"/>
      <c r="V641" s="173"/>
      <c r="W641" s="173"/>
      <c r="X641" s="173"/>
      <c r="Y641" s="173"/>
      <c r="Z641" s="173"/>
      <c r="AA641" s="173"/>
      <c r="AB641" s="173"/>
      <c r="AC641" s="173"/>
      <c r="AD641" s="173"/>
      <c r="AE641" s="173"/>
      <c r="AF641" s="173"/>
      <c r="AG641" s="173"/>
      <c r="AH641" s="173"/>
      <c r="AI641" s="173"/>
      <c r="AJ641" s="173"/>
      <c r="AK641" s="173"/>
      <c r="AL641" s="173"/>
      <c r="AM641" s="173"/>
      <c r="AN641" s="173"/>
      <c r="AO641" s="173"/>
      <c r="AP641" s="173"/>
      <c r="AQ641" s="173"/>
      <c r="AR641" s="173"/>
      <c r="AS641" s="173"/>
      <c r="AT641" s="173"/>
      <c r="AU641" s="173"/>
      <c r="AV641" s="173"/>
      <c r="AW641" s="173"/>
      <c r="AX641" s="173"/>
      <c r="AY641" s="173"/>
      <c r="AZ641" s="173"/>
      <c r="BA641" s="173"/>
      <c r="BB641" s="173"/>
      <c r="BC641" s="173"/>
      <c r="BD641" s="173"/>
      <c r="BE641" s="173"/>
      <c r="BF641" s="173"/>
      <c r="BG641" s="173"/>
      <c r="BH641" s="173"/>
      <c r="BI641" s="173"/>
      <c r="BJ641" s="173"/>
      <c r="BK641" s="173"/>
      <c r="BL641" s="173"/>
      <c r="BM641" s="173"/>
      <c r="BN641" s="173"/>
      <c r="BO641" s="173"/>
      <c r="BP641" s="173"/>
      <c r="BQ641" s="173"/>
      <c r="BR641" s="173"/>
      <c r="BS641" s="173"/>
      <c r="BT641" s="173"/>
      <c r="BU641" s="173"/>
      <c r="BV641" s="173"/>
      <c r="BW641" s="173"/>
      <c r="BX641" s="173"/>
      <c r="BY641" s="173"/>
      <c r="BZ641" s="173"/>
      <c r="CA641" s="173"/>
      <c r="CB641" s="173"/>
      <c r="CC641" s="173"/>
      <c r="CD641" s="173"/>
      <c r="CE641" s="173"/>
      <c r="CF641" s="173"/>
      <c r="CG641" s="173"/>
      <c r="CH641" s="173"/>
      <c r="CI641" s="173"/>
      <c r="CJ641" s="173"/>
      <c r="CK641" s="173"/>
      <c r="CL641" s="173"/>
      <c r="CM641" s="173"/>
      <c r="CN641" s="173"/>
      <c r="CO641" s="173"/>
      <c r="CP641" s="173"/>
      <c r="CQ641" s="173"/>
      <c r="CR641" s="173"/>
      <c r="CS641" s="173"/>
    </row>
    <row r="642" hidden="1">
      <c r="A642" s="67" t="s">
        <v>728</v>
      </c>
      <c r="B642" s="67" t="s">
        <v>2497</v>
      </c>
      <c r="C642" s="67" t="s">
        <v>2498</v>
      </c>
      <c r="D642" s="68" t="s">
        <v>2499</v>
      </c>
      <c r="E642" s="173"/>
      <c r="F642" s="168"/>
      <c r="G642" s="168"/>
      <c r="H642" s="168" t="s">
        <v>25</v>
      </c>
      <c r="I642" s="168" t="s">
        <v>25</v>
      </c>
      <c r="J642" s="168" t="s">
        <v>25</v>
      </c>
      <c r="K642" s="163" t="str">
        <f>VLOOKUP(C642,'Term Reference Guide'!$C:$C,1,false)</f>
        <v>GENEPIO:0100023</v>
      </c>
      <c r="L642" s="173"/>
      <c r="M642" s="173"/>
      <c r="N642" s="173"/>
      <c r="O642" s="173"/>
      <c r="P642" s="173"/>
      <c r="Q642" s="173"/>
      <c r="R642" s="173"/>
      <c r="S642" s="173"/>
      <c r="T642" s="173"/>
      <c r="U642" s="173"/>
      <c r="V642" s="173"/>
      <c r="W642" s="173"/>
      <c r="X642" s="173"/>
      <c r="Y642" s="173"/>
      <c r="Z642" s="173"/>
      <c r="AA642" s="173"/>
      <c r="AB642" s="173"/>
      <c r="AC642" s="173"/>
      <c r="AD642" s="173"/>
      <c r="AE642" s="173"/>
      <c r="AF642" s="173"/>
      <c r="AG642" s="173"/>
      <c r="AH642" s="173"/>
      <c r="AI642" s="173"/>
      <c r="AJ642" s="173"/>
      <c r="AK642" s="173"/>
      <c r="AL642" s="173"/>
      <c r="AM642" s="173"/>
      <c r="AN642" s="173"/>
      <c r="AO642" s="173"/>
      <c r="AP642" s="173"/>
      <c r="AQ642" s="173"/>
      <c r="AR642" s="173"/>
      <c r="AS642" s="173"/>
      <c r="AT642" s="173"/>
      <c r="AU642" s="173"/>
      <c r="AV642" s="173"/>
      <c r="AW642" s="173"/>
      <c r="AX642" s="173"/>
      <c r="AY642" s="173"/>
      <c r="AZ642" s="173"/>
      <c r="BA642" s="173"/>
      <c r="BB642" s="173"/>
      <c r="BC642" s="173"/>
      <c r="BD642" s="173"/>
      <c r="BE642" s="173"/>
      <c r="BF642" s="173"/>
      <c r="BG642" s="173"/>
      <c r="BH642" s="173"/>
      <c r="BI642" s="173"/>
      <c r="BJ642" s="173"/>
      <c r="BK642" s="173"/>
      <c r="BL642" s="173"/>
      <c r="BM642" s="173"/>
      <c r="BN642" s="173"/>
      <c r="BO642" s="173"/>
      <c r="BP642" s="173"/>
      <c r="BQ642" s="173"/>
      <c r="BR642" s="173"/>
      <c r="BS642" s="173"/>
      <c r="BT642" s="173"/>
      <c r="BU642" s="173"/>
      <c r="BV642" s="173"/>
      <c r="BW642" s="173"/>
      <c r="BX642" s="173"/>
      <c r="BY642" s="173"/>
      <c r="BZ642" s="173"/>
      <c r="CA642" s="173"/>
      <c r="CB642" s="173"/>
      <c r="CC642" s="173"/>
      <c r="CD642" s="173"/>
      <c r="CE642" s="173"/>
      <c r="CF642" s="173"/>
      <c r="CG642" s="173"/>
      <c r="CH642" s="173"/>
      <c r="CI642" s="173"/>
      <c r="CJ642" s="173"/>
      <c r="CK642" s="173"/>
      <c r="CL642" s="173"/>
      <c r="CM642" s="173"/>
      <c r="CN642" s="173"/>
      <c r="CO642" s="173"/>
      <c r="CP642" s="173"/>
      <c r="CQ642" s="173"/>
      <c r="CR642" s="173"/>
      <c r="CS642" s="173"/>
    </row>
    <row r="643" hidden="1">
      <c r="A643" s="67" t="s">
        <v>728</v>
      </c>
      <c r="B643" s="67" t="s">
        <v>2500</v>
      </c>
      <c r="C643" s="67" t="s">
        <v>1918</v>
      </c>
      <c r="D643" s="68" t="s">
        <v>2501</v>
      </c>
      <c r="E643" s="173"/>
      <c r="F643" s="168"/>
      <c r="G643" s="168"/>
      <c r="H643" s="168" t="s">
        <v>25</v>
      </c>
      <c r="I643" s="168" t="s">
        <v>25</v>
      </c>
      <c r="J643" s="168" t="s">
        <v>25</v>
      </c>
      <c r="K643" s="163" t="str">
        <f>VLOOKUP(C643,'Term Reference Guide'!$C:$C,1,false)</f>
        <v>GENEPIO:0100024</v>
      </c>
      <c r="L643" s="173"/>
      <c r="M643" s="173"/>
      <c r="N643" s="173"/>
      <c r="O643" s="173"/>
      <c r="P643" s="173"/>
      <c r="Q643" s="173"/>
      <c r="R643" s="173"/>
      <c r="S643" s="173"/>
      <c r="T643" s="173"/>
      <c r="U643" s="173"/>
      <c r="V643" s="173"/>
      <c r="W643" s="173"/>
      <c r="X643" s="173"/>
      <c r="Y643" s="173"/>
      <c r="Z643" s="173"/>
      <c r="AA643" s="173"/>
      <c r="AB643" s="173"/>
      <c r="AC643" s="173"/>
      <c r="AD643" s="173"/>
      <c r="AE643" s="173"/>
      <c r="AF643" s="173"/>
      <c r="AG643" s="173"/>
      <c r="AH643" s="173"/>
      <c r="AI643" s="173"/>
      <c r="AJ643" s="173"/>
      <c r="AK643" s="173"/>
      <c r="AL643" s="173"/>
      <c r="AM643" s="173"/>
      <c r="AN643" s="173"/>
      <c r="AO643" s="173"/>
      <c r="AP643" s="173"/>
      <c r="AQ643" s="173"/>
      <c r="AR643" s="173"/>
      <c r="AS643" s="173"/>
      <c r="AT643" s="173"/>
      <c r="AU643" s="173"/>
      <c r="AV643" s="173"/>
      <c r="AW643" s="173"/>
      <c r="AX643" s="173"/>
      <c r="AY643" s="173"/>
      <c r="AZ643" s="173"/>
      <c r="BA643" s="173"/>
      <c r="BB643" s="173"/>
      <c r="BC643" s="173"/>
      <c r="BD643" s="173"/>
      <c r="BE643" s="173"/>
      <c r="BF643" s="173"/>
      <c r="BG643" s="173"/>
      <c r="BH643" s="173"/>
      <c r="BI643" s="173"/>
      <c r="BJ643" s="173"/>
      <c r="BK643" s="173"/>
      <c r="BL643" s="173"/>
      <c r="BM643" s="173"/>
      <c r="BN643" s="173"/>
      <c r="BO643" s="173"/>
      <c r="BP643" s="173"/>
      <c r="BQ643" s="173"/>
      <c r="BR643" s="173"/>
      <c r="BS643" s="173"/>
      <c r="BT643" s="173"/>
      <c r="BU643" s="173"/>
      <c r="BV643" s="173"/>
      <c r="BW643" s="173"/>
      <c r="BX643" s="173"/>
      <c r="BY643" s="173"/>
      <c r="BZ643" s="173"/>
      <c r="CA643" s="173"/>
      <c r="CB643" s="173"/>
      <c r="CC643" s="173"/>
      <c r="CD643" s="173"/>
      <c r="CE643" s="173"/>
      <c r="CF643" s="173"/>
      <c r="CG643" s="173"/>
      <c r="CH643" s="173"/>
      <c r="CI643" s="173"/>
      <c r="CJ643" s="173"/>
      <c r="CK643" s="173"/>
      <c r="CL643" s="173"/>
      <c r="CM643" s="173"/>
      <c r="CN643" s="173"/>
      <c r="CO643" s="173"/>
      <c r="CP643" s="173"/>
      <c r="CQ643" s="173"/>
      <c r="CR643" s="173"/>
      <c r="CS643" s="173"/>
    </row>
    <row r="644">
      <c r="A644" s="173"/>
      <c r="B644" s="173"/>
      <c r="C644" s="173"/>
      <c r="D644" s="141"/>
      <c r="E644" s="173"/>
      <c r="F644" s="173"/>
      <c r="G644" s="173"/>
      <c r="H644" s="173"/>
      <c r="I644" s="173"/>
      <c r="J644" s="141"/>
      <c r="K644" s="163" t="str">
        <f>VLOOKUP(C644,'Term Reference Guide'!$C:$C,1,false)</f>
        <v>#N/A</v>
      </c>
      <c r="L644" s="173"/>
      <c r="M644" s="173"/>
      <c r="N644" s="173"/>
      <c r="O644" s="173"/>
      <c r="P644" s="173"/>
      <c r="Q644" s="173"/>
      <c r="R644" s="173"/>
      <c r="S644" s="173"/>
      <c r="T644" s="173"/>
      <c r="U644" s="173"/>
      <c r="V644" s="173"/>
      <c r="W644" s="173"/>
      <c r="X644" s="173"/>
      <c r="Y644" s="173"/>
      <c r="Z644" s="173"/>
      <c r="AA644" s="173"/>
      <c r="AB644" s="173"/>
      <c r="AC644" s="173"/>
      <c r="AD644" s="173"/>
      <c r="AE644" s="173"/>
      <c r="AF644" s="173"/>
      <c r="AG644" s="173"/>
      <c r="AH644" s="173"/>
      <c r="AI644" s="173"/>
      <c r="AJ644" s="173"/>
      <c r="AK644" s="173"/>
      <c r="AL644" s="173"/>
      <c r="AM644" s="173"/>
      <c r="AN644" s="173"/>
      <c r="AO644" s="173"/>
      <c r="AP644" s="173"/>
      <c r="AQ644" s="173"/>
      <c r="AR644" s="173"/>
      <c r="AS644" s="173"/>
      <c r="AT644" s="173"/>
      <c r="AU644" s="173"/>
      <c r="AV644" s="173"/>
      <c r="AW644" s="173"/>
      <c r="AX644" s="173"/>
      <c r="AY644" s="173"/>
      <c r="AZ644" s="173"/>
      <c r="BA644" s="173"/>
      <c r="BB644" s="173"/>
      <c r="BC644" s="173"/>
      <c r="BD644" s="173"/>
      <c r="BE644" s="173"/>
      <c r="BF644" s="173"/>
      <c r="BG644" s="173"/>
      <c r="BH644" s="173"/>
      <c r="BI644" s="173"/>
      <c r="BJ644" s="173"/>
      <c r="BK644" s="173"/>
      <c r="BL644" s="173"/>
      <c r="BM644" s="173"/>
      <c r="BN644" s="173"/>
      <c r="BO644" s="173"/>
      <c r="BP644" s="173"/>
      <c r="BQ644" s="173"/>
      <c r="BR644" s="173"/>
      <c r="BS644" s="173"/>
      <c r="BT644" s="173"/>
      <c r="BU644" s="173"/>
      <c r="BV644" s="173"/>
      <c r="BW644" s="173"/>
      <c r="BX644" s="173"/>
      <c r="BY644" s="173"/>
      <c r="BZ644" s="173"/>
      <c r="CA644" s="173"/>
      <c r="CB644" s="173"/>
      <c r="CC644" s="173"/>
      <c r="CD644" s="173"/>
      <c r="CE644" s="173"/>
      <c r="CF644" s="173"/>
      <c r="CG644" s="173"/>
      <c r="CH644" s="173"/>
      <c r="CI644" s="173"/>
      <c r="CJ644" s="173"/>
      <c r="CK644" s="173"/>
      <c r="CL644" s="173"/>
      <c r="CM644" s="173"/>
      <c r="CN644" s="173"/>
      <c r="CO644" s="173"/>
      <c r="CP644" s="173"/>
      <c r="CQ644" s="173"/>
      <c r="CR644" s="173"/>
      <c r="CS644" s="173"/>
    </row>
    <row r="645">
      <c r="A645" s="170" t="s">
        <v>768</v>
      </c>
      <c r="B645" s="156"/>
      <c r="C645" s="156"/>
      <c r="D645" s="139"/>
      <c r="E645" s="156"/>
      <c r="F645" s="156"/>
      <c r="G645" s="156"/>
      <c r="H645" s="164"/>
      <c r="I645" s="164"/>
      <c r="J645" s="171"/>
      <c r="K645" s="163" t="str">
        <f>VLOOKUP(C645,'Term Reference Guide'!$C:$C,1,false)</f>
        <v>#N/A</v>
      </c>
      <c r="L645" s="163"/>
      <c r="M645" s="163"/>
      <c r="N645" s="163"/>
      <c r="O645" s="163"/>
      <c r="P645" s="163"/>
      <c r="Q645" s="163"/>
      <c r="R645" s="163"/>
      <c r="S645" s="163"/>
      <c r="T645" s="163"/>
      <c r="U645" s="163"/>
      <c r="V645" s="163"/>
      <c r="W645" s="163"/>
      <c r="X645" s="163"/>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c r="BP645" s="41"/>
      <c r="BQ645" s="41"/>
      <c r="BR645" s="41"/>
      <c r="BS645" s="41"/>
      <c r="BT645" s="41"/>
      <c r="BU645" s="41"/>
      <c r="BV645" s="41"/>
      <c r="BW645" s="41"/>
      <c r="BX645" s="41"/>
      <c r="BY645" s="41"/>
      <c r="BZ645" s="41"/>
      <c r="CA645" s="41"/>
      <c r="CB645" s="41"/>
      <c r="CC645" s="41"/>
      <c r="CD645" s="41"/>
      <c r="CE645" s="41"/>
      <c r="CF645" s="41"/>
      <c r="CG645" s="41"/>
      <c r="CH645" s="41"/>
      <c r="CI645" s="41"/>
      <c r="CJ645" s="41"/>
      <c r="CK645" s="41"/>
      <c r="CL645" s="41"/>
      <c r="CM645" s="41"/>
      <c r="CN645" s="41"/>
      <c r="CO645" s="41"/>
      <c r="CP645" s="41"/>
      <c r="CQ645" s="41"/>
      <c r="CR645" s="41"/>
      <c r="CS645" s="41"/>
    </row>
    <row r="646" hidden="1">
      <c r="A646" s="59" t="s">
        <v>768</v>
      </c>
      <c r="B646" s="41" t="s">
        <v>2502</v>
      </c>
      <c r="C646" s="41" t="s">
        <v>2503</v>
      </c>
      <c r="D646" s="45" t="s">
        <v>2504</v>
      </c>
      <c r="E646" s="41"/>
      <c r="F646" s="168"/>
      <c r="G646" s="168"/>
      <c r="H646" s="168" t="s">
        <v>25</v>
      </c>
      <c r="I646" s="168" t="s">
        <v>25</v>
      </c>
      <c r="J646" s="168" t="s">
        <v>25</v>
      </c>
      <c r="K646" s="163" t="str">
        <f>VLOOKUP(C646,'Term Reference Guide'!$C:$C,1,false)</f>
        <v>GENEPIO:0001923</v>
      </c>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c r="BP646" s="41"/>
      <c r="BQ646" s="41"/>
      <c r="BR646" s="41"/>
      <c r="BS646" s="41"/>
      <c r="BT646" s="41"/>
      <c r="BU646" s="41"/>
      <c r="BV646" s="41"/>
      <c r="BW646" s="41"/>
      <c r="BX646" s="41"/>
      <c r="BY646" s="41"/>
      <c r="BZ646" s="41"/>
      <c r="CA646" s="41"/>
      <c r="CB646" s="41"/>
      <c r="CC646" s="41"/>
      <c r="CD646" s="41"/>
      <c r="CE646" s="41"/>
      <c r="CF646" s="41"/>
      <c r="CG646" s="41"/>
      <c r="CH646" s="41"/>
      <c r="CI646" s="41"/>
      <c r="CJ646" s="41"/>
      <c r="CK646" s="41"/>
      <c r="CL646" s="41"/>
      <c r="CM646" s="41"/>
      <c r="CN646" s="41"/>
      <c r="CO646" s="41"/>
      <c r="CP646" s="41"/>
      <c r="CQ646" s="41"/>
      <c r="CR646" s="41"/>
      <c r="CS646" s="41"/>
    </row>
    <row r="647" hidden="1">
      <c r="A647" s="59" t="s">
        <v>768</v>
      </c>
      <c r="B647" s="41" t="s">
        <v>2505</v>
      </c>
      <c r="C647" s="41" t="s">
        <v>2506</v>
      </c>
      <c r="D647" s="45" t="s">
        <v>2507</v>
      </c>
      <c r="E647" s="41"/>
      <c r="F647" s="168"/>
      <c r="G647" s="168"/>
      <c r="H647" s="168" t="s">
        <v>25</v>
      </c>
      <c r="I647" s="168" t="s">
        <v>25</v>
      </c>
      <c r="J647" s="168" t="s">
        <v>25</v>
      </c>
      <c r="K647" s="163" t="str">
        <f>VLOOKUP(C647,'Term Reference Guide'!$C:$C,1,false)</f>
        <v>GENEPIO:0001927</v>
      </c>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c r="BP647" s="41"/>
      <c r="BQ647" s="41"/>
      <c r="BR647" s="41"/>
      <c r="BS647" s="41"/>
      <c r="BT647" s="41"/>
      <c r="BU647" s="41"/>
      <c r="BV647" s="41"/>
      <c r="BW647" s="41"/>
      <c r="BX647" s="41"/>
      <c r="BY647" s="41"/>
      <c r="BZ647" s="41"/>
      <c r="CA647" s="41"/>
      <c r="CB647" s="41"/>
      <c r="CC647" s="41"/>
      <c r="CD647" s="41"/>
      <c r="CE647" s="41"/>
      <c r="CF647" s="41"/>
      <c r="CG647" s="41"/>
      <c r="CH647" s="41"/>
      <c r="CI647" s="41"/>
      <c r="CJ647" s="41"/>
      <c r="CK647" s="41"/>
      <c r="CL647" s="41"/>
      <c r="CM647" s="41"/>
      <c r="CN647" s="41"/>
      <c r="CO647" s="41"/>
      <c r="CP647" s="41"/>
      <c r="CQ647" s="41"/>
      <c r="CR647" s="41"/>
      <c r="CS647" s="41"/>
    </row>
    <row r="648" hidden="1">
      <c r="A648" s="59" t="s">
        <v>768</v>
      </c>
      <c r="B648" s="41" t="s">
        <v>2508</v>
      </c>
      <c r="C648" s="41" t="s">
        <v>2509</v>
      </c>
      <c r="D648" s="45" t="s">
        <v>2510</v>
      </c>
      <c r="E648" s="41"/>
      <c r="F648" s="168"/>
      <c r="G648" s="168"/>
      <c r="H648" s="168" t="s">
        <v>25</v>
      </c>
      <c r="I648" s="168" t="s">
        <v>25</v>
      </c>
      <c r="J648" s="168" t="s">
        <v>25</v>
      </c>
      <c r="K648" s="163" t="str">
        <f>VLOOKUP(C648,'Term Reference Guide'!$C:$C,1,false)</f>
        <v>GENEPIO:0002683</v>
      </c>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c r="BP648" s="41"/>
      <c r="BQ648" s="41"/>
      <c r="BR648" s="41"/>
      <c r="BS648" s="41"/>
      <c r="BT648" s="41"/>
      <c r="BU648" s="41"/>
      <c r="BV648" s="41"/>
      <c r="BW648" s="41"/>
      <c r="BX648" s="41"/>
      <c r="BY648" s="41"/>
      <c r="BZ648" s="41"/>
      <c r="CA648" s="41"/>
      <c r="CB648" s="41"/>
      <c r="CC648" s="41"/>
      <c r="CD648" s="41"/>
      <c r="CE648" s="41"/>
      <c r="CF648" s="41"/>
      <c r="CG648" s="41"/>
      <c r="CH648" s="41"/>
      <c r="CI648" s="41"/>
      <c r="CJ648" s="41"/>
      <c r="CK648" s="41"/>
      <c r="CL648" s="41"/>
      <c r="CM648" s="41"/>
      <c r="CN648" s="41"/>
      <c r="CO648" s="41"/>
      <c r="CP648" s="41"/>
      <c r="CQ648" s="41"/>
      <c r="CR648" s="41"/>
      <c r="CS648" s="41"/>
    </row>
    <row r="649" hidden="1">
      <c r="A649" s="59" t="s">
        <v>768</v>
      </c>
      <c r="B649" s="41" t="s">
        <v>2511</v>
      </c>
      <c r="C649" s="40" t="s">
        <v>2512</v>
      </c>
      <c r="D649" s="33" t="s">
        <v>2513</v>
      </c>
      <c r="E649" s="41"/>
      <c r="F649" s="168"/>
      <c r="G649" s="168"/>
      <c r="H649" s="168" t="s">
        <v>25</v>
      </c>
      <c r="I649" s="168" t="s">
        <v>25</v>
      </c>
      <c r="J649" s="168" t="s">
        <v>25</v>
      </c>
      <c r="K649" s="163" t="str">
        <f>VLOOKUP(C649,'Term Reference Guide'!$C:$C,1,false)</f>
        <v>GENEPIO:0100986</v>
      </c>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c r="BP649" s="41"/>
      <c r="BQ649" s="41"/>
      <c r="BR649" s="41"/>
      <c r="BS649" s="41"/>
      <c r="BT649" s="41"/>
      <c r="BU649" s="41"/>
      <c r="BV649" s="41"/>
      <c r="BW649" s="41"/>
      <c r="BX649" s="41"/>
      <c r="BY649" s="41"/>
      <c r="BZ649" s="41"/>
      <c r="CA649" s="41"/>
      <c r="CB649" s="41"/>
      <c r="CC649" s="41"/>
      <c r="CD649" s="41"/>
      <c r="CE649" s="41"/>
      <c r="CF649" s="41"/>
      <c r="CG649" s="41"/>
      <c r="CH649" s="41"/>
      <c r="CI649" s="41"/>
      <c r="CJ649" s="41"/>
      <c r="CK649" s="41"/>
      <c r="CL649" s="41"/>
      <c r="CM649" s="41"/>
      <c r="CN649" s="41"/>
      <c r="CO649" s="41"/>
      <c r="CP649" s="41"/>
      <c r="CQ649" s="41"/>
      <c r="CR649" s="41"/>
      <c r="CS649" s="41"/>
    </row>
    <row r="650" hidden="1">
      <c r="A650" s="59" t="s">
        <v>768</v>
      </c>
      <c r="B650" s="41" t="s">
        <v>2514</v>
      </c>
      <c r="C650" s="41" t="s">
        <v>2515</v>
      </c>
      <c r="D650" s="45" t="s">
        <v>2516</v>
      </c>
      <c r="E650" s="41"/>
      <c r="F650" s="168"/>
      <c r="G650" s="168"/>
      <c r="H650" s="168" t="s">
        <v>25</v>
      </c>
      <c r="I650" s="168" t="s">
        <v>25</v>
      </c>
      <c r="J650" s="168" t="s">
        <v>25</v>
      </c>
      <c r="K650" s="163" t="str">
        <f>VLOOKUP(C650,'Term Reference Guide'!$C:$C,1,false)</f>
        <v>GENEPIO:0004324</v>
      </c>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c r="BP650" s="41"/>
      <c r="BQ650" s="41"/>
      <c r="BR650" s="41"/>
      <c r="BS650" s="41"/>
      <c r="BT650" s="41"/>
      <c r="BU650" s="41"/>
      <c r="BV650" s="41"/>
      <c r="BW650" s="41"/>
      <c r="BX650" s="41"/>
      <c r="BY650" s="41"/>
      <c r="BZ650" s="41"/>
      <c r="CA650" s="41"/>
      <c r="CB650" s="41"/>
      <c r="CC650" s="41"/>
      <c r="CD650" s="41"/>
      <c r="CE650" s="41"/>
      <c r="CF650" s="41"/>
      <c r="CG650" s="41"/>
      <c r="CH650" s="41"/>
      <c r="CI650" s="41"/>
      <c r="CJ650" s="41"/>
      <c r="CK650" s="41"/>
      <c r="CL650" s="41"/>
      <c r="CM650" s="41"/>
      <c r="CN650" s="41"/>
      <c r="CO650" s="41"/>
      <c r="CP650" s="41"/>
      <c r="CQ650" s="41"/>
      <c r="CR650" s="41"/>
      <c r="CS650" s="41"/>
    </row>
    <row r="651" hidden="1">
      <c r="A651" s="59" t="s">
        <v>768</v>
      </c>
      <c r="B651" s="41" t="s">
        <v>2517</v>
      </c>
      <c r="C651" s="41" t="s">
        <v>2518</v>
      </c>
      <c r="D651" s="45" t="s">
        <v>2519</v>
      </c>
      <c r="E651" s="41"/>
      <c r="F651" s="168"/>
      <c r="G651" s="168"/>
      <c r="H651" s="168" t="s">
        <v>25</v>
      </c>
      <c r="I651" s="168" t="s">
        <v>25</v>
      </c>
      <c r="J651" s="168" t="s">
        <v>25</v>
      </c>
      <c r="K651" s="163" t="str">
        <f>VLOOKUP(C651,'Term Reference Guide'!$C:$C,1,false)</f>
        <v>GENEPIO:0004325</v>
      </c>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c r="BP651" s="41"/>
      <c r="BQ651" s="41"/>
      <c r="BR651" s="41"/>
      <c r="BS651" s="41"/>
      <c r="BT651" s="41"/>
      <c r="BU651" s="41"/>
      <c r="BV651" s="41"/>
      <c r="BW651" s="41"/>
      <c r="BX651" s="41"/>
      <c r="BY651" s="41"/>
      <c r="BZ651" s="41"/>
      <c r="CA651" s="41"/>
      <c r="CB651" s="41"/>
      <c r="CC651" s="41"/>
      <c r="CD651" s="41"/>
      <c r="CE651" s="41"/>
      <c r="CF651" s="41"/>
      <c r="CG651" s="41"/>
      <c r="CH651" s="41"/>
      <c r="CI651" s="41"/>
      <c r="CJ651" s="41"/>
      <c r="CK651" s="41"/>
      <c r="CL651" s="41"/>
      <c r="CM651" s="41"/>
      <c r="CN651" s="41"/>
      <c r="CO651" s="41"/>
      <c r="CP651" s="41"/>
      <c r="CQ651" s="41"/>
      <c r="CR651" s="41"/>
      <c r="CS651" s="41"/>
    </row>
    <row r="652" hidden="1">
      <c r="A652" s="59" t="s">
        <v>768</v>
      </c>
      <c r="B652" s="179" t="s">
        <v>2520</v>
      </c>
      <c r="C652" s="179" t="s">
        <v>2521</v>
      </c>
      <c r="D652" s="70" t="s">
        <v>2522</v>
      </c>
      <c r="E652" s="173"/>
      <c r="F652" s="168"/>
      <c r="G652" s="168"/>
      <c r="H652" s="168" t="s">
        <v>25</v>
      </c>
      <c r="I652" s="168" t="s">
        <v>25</v>
      </c>
      <c r="J652" s="168" t="s">
        <v>25</v>
      </c>
      <c r="K652" s="163" t="str">
        <f>VLOOKUP(C652,'Term Reference Guide'!$C:$C,1,false)</f>
        <v>GENEPIO:0001926</v>
      </c>
      <c r="L652" s="173"/>
      <c r="M652" s="173"/>
      <c r="N652" s="173"/>
      <c r="O652" s="173"/>
      <c r="P652" s="173"/>
      <c r="Q652" s="173"/>
      <c r="R652" s="173"/>
      <c r="S652" s="173"/>
      <c r="T652" s="173"/>
      <c r="U652" s="173"/>
      <c r="V652" s="173"/>
      <c r="W652" s="173"/>
      <c r="X652" s="173"/>
      <c r="Y652" s="173"/>
      <c r="Z652" s="173"/>
      <c r="AA652" s="173"/>
      <c r="AB652" s="173"/>
      <c r="AC652" s="173"/>
      <c r="AD652" s="173"/>
      <c r="AE652" s="173"/>
      <c r="AF652" s="173"/>
      <c r="AG652" s="173"/>
      <c r="AH652" s="173"/>
      <c r="AI652" s="173"/>
      <c r="AJ652" s="173"/>
      <c r="AK652" s="173"/>
      <c r="AL652" s="173"/>
      <c r="AM652" s="173"/>
      <c r="AN652" s="173"/>
      <c r="AO652" s="173"/>
      <c r="AP652" s="173"/>
      <c r="AQ652" s="173"/>
      <c r="AR652" s="173"/>
      <c r="AS652" s="173"/>
      <c r="AT652" s="173"/>
      <c r="AU652" s="173"/>
      <c r="AV652" s="173"/>
      <c r="AW652" s="173"/>
      <c r="AX652" s="173"/>
      <c r="AY652" s="173"/>
      <c r="AZ652" s="173"/>
      <c r="BA652" s="173"/>
      <c r="BB652" s="173"/>
      <c r="BC652" s="173"/>
      <c r="BD652" s="173"/>
      <c r="BE652" s="173"/>
      <c r="BF652" s="173"/>
      <c r="BG652" s="173"/>
      <c r="BH652" s="173"/>
      <c r="BI652" s="173"/>
      <c r="BJ652" s="173"/>
      <c r="BK652" s="173"/>
      <c r="BL652" s="173"/>
      <c r="BM652" s="173"/>
      <c r="BN652" s="173"/>
      <c r="BO652" s="173"/>
      <c r="BP652" s="173"/>
      <c r="BQ652" s="173"/>
      <c r="BR652" s="173"/>
      <c r="BS652" s="173"/>
      <c r="BT652" s="173"/>
      <c r="BU652" s="173"/>
      <c r="BV652" s="173"/>
      <c r="BW652" s="173"/>
      <c r="BX652" s="173"/>
      <c r="BY652" s="173"/>
      <c r="BZ652" s="173"/>
      <c r="CA652" s="173"/>
      <c r="CB652" s="173"/>
      <c r="CC652" s="173"/>
      <c r="CD652" s="173"/>
      <c r="CE652" s="173"/>
      <c r="CF652" s="173"/>
      <c r="CG652" s="173"/>
      <c r="CH652" s="173"/>
      <c r="CI652" s="173"/>
      <c r="CJ652" s="173"/>
      <c r="CK652" s="173"/>
      <c r="CL652" s="173"/>
      <c r="CM652" s="173"/>
      <c r="CN652" s="173"/>
      <c r="CO652" s="173"/>
      <c r="CP652" s="173"/>
      <c r="CQ652" s="173"/>
      <c r="CR652" s="173"/>
      <c r="CS652" s="173"/>
    </row>
    <row r="653" hidden="1">
      <c r="A653" s="59" t="s">
        <v>768</v>
      </c>
      <c r="B653" s="179" t="s">
        <v>2523</v>
      </c>
      <c r="C653" s="179" t="s">
        <v>2524</v>
      </c>
      <c r="D653" s="70" t="s">
        <v>2525</v>
      </c>
      <c r="E653" s="173"/>
      <c r="F653" s="168"/>
      <c r="G653" s="168"/>
      <c r="H653" s="168" t="s">
        <v>25</v>
      </c>
      <c r="I653" s="168" t="s">
        <v>25</v>
      </c>
      <c r="J653" s="168" t="s">
        <v>25</v>
      </c>
      <c r="K653" s="163" t="str">
        <f>VLOOKUP(C653,'Term Reference Guide'!$C:$C,1,false)</f>
        <v>GENEPIO:0002684</v>
      </c>
      <c r="L653" s="173"/>
      <c r="M653" s="173"/>
      <c r="N653" s="173"/>
      <c r="O653" s="173"/>
      <c r="P653" s="173"/>
      <c r="Q653" s="173"/>
      <c r="R653" s="173"/>
      <c r="S653" s="173"/>
      <c r="T653" s="173"/>
      <c r="U653" s="173"/>
      <c r="V653" s="173"/>
      <c r="W653" s="173"/>
      <c r="X653" s="173"/>
      <c r="Y653" s="173"/>
      <c r="Z653" s="173"/>
      <c r="AA653" s="173"/>
      <c r="AB653" s="173"/>
      <c r="AC653" s="173"/>
      <c r="AD653" s="173"/>
      <c r="AE653" s="173"/>
      <c r="AF653" s="173"/>
      <c r="AG653" s="173"/>
      <c r="AH653" s="173"/>
      <c r="AI653" s="173"/>
      <c r="AJ653" s="173"/>
      <c r="AK653" s="173"/>
      <c r="AL653" s="173"/>
      <c r="AM653" s="173"/>
      <c r="AN653" s="173"/>
      <c r="AO653" s="173"/>
      <c r="AP653" s="173"/>
      <c r="AQ653" s="173"/>
      <c r="AR653" s="173"/>
      <c r="AS653" s="173"/>
      <c r="AT653" s="173"/>
      <c r="AU653" s="173"/>
      <c r="AV653" s="173"/>
      <c r="AW653" s="173"/>
      <c r="AX653" s="173"/>
      <c r="AY653" s="173"/>
      <c r="AZ653" s="173"/>
      <c r="BA653" s="173"/>
      <c r="BB653" s="173"/>
      <c r="BC653" s="173"/>
      <c r="BD653" s="173"/>
      <c r="BE653" s="173"/>
      <c r="BF653" s="173"/>
      <c r="BG653" s="173"/>
      <c r="BH653" s="173"/>
      <c r="BI653" s="173"/>
      <c r="BJ653" s="173"/>
      <c r="BK653" s="173"/>
      <c r="BL653" s="173"/>
      <c r="BM653" s="173"/>
      <c r="BN653" s="173"/>
      <c r="BO653" s="173"/>
      <c r="BP653" s="173"/>
      <c r="BQ653" s="173"/>
      <c r="BR653" s="173"/>
      <c r="BS653" s="173"/>
      <c r="BT653" s="173"/>
      <c r="BU653" s="173"/>
      <c r="BV653" s="173"/>
      <c r="BW653" s="173"/>
      <c r="BX653" s="173"/>
      <c r="BY653" s="173"/>
      <c r="BZ653" s="173"/>
      <c r="CA653" s="173"/>
      <c r="CB653" s="173"/>
      <c r="CC653" s="173"/>
      <c r="CD653" s="173"/>
      <c r="CE653" s="173"/>
      <c r="CF653" s="173"/>
      <c r="CG653" s="173"/>
      <c r="CH653" s="173"/>
      <c r="CI653" s="173"/>
      <c r="CJ653" s="173"/>
      <c r="CK653" s="173"/>
      <c r="CL653" s="173"/>
      <c r="CM653" s="173"/>
      <c r="CN653" s="173"/>
      <c r="CO653" s="173"/>
      <c r="CP653" s="173"/>
      <c r="CQ653" s="173"/>
      <c r="CR653" s="173"/>
      <c r="CS653" s="173"/>
    </row>
    <row r="654" hidden="1">
      <c r="A654" s="59" t="s">
        <v>768</v>
      </c>
      <c r="B654" s="179" t="s">
        <v>2526</v>
      </c>
      <c r="C654" s="179" t="s">
        <v>2527</v>
      </c>
      <c r="D654" s="70" t="s">
        <v>2528</v>
      </c>
      <c r="E654" s="173"/>
      <c r="F654" s="168"/>
      <c r="G654" s="168"/>
      <c r="H654" s="168" t="s">
        <v>25</v>
      </c>
      <c r="I654" s="168" t="s">
        <v>25</v>
      </c>
      <c r="J654" s="168" t="s">
        <v>25</v>
      </c>
      <c r="K654" s="163" t="str">
        <f>VLOOKUP(C654,'Term Reference Guide'!$C:$C,1,false)</f>
        <v>GENEPIO:0001924</v>
      </c>
      <c r="L654" s="173"/>
      <c r="M654" s="173"/>
      <c r="N654" s="173"/>
      <c r="O654" s="173"/>
      <c r="P654" s="173"/>
      <c r="Q654" s="173"/>
      <c r="R654" s="173"/>
      <c r="S654" s="173"/>
      <c r="T654" s="173"/>
      <c r="U654" s="173"/>
      <c r="V654" s="173"/>
      <c r="W654" s="173"/>
      <c r="X654" s="173"/>
      <c r="Y654" s="173"/>
      <c r="Z654" s="173"/>
      <c r="AA654" s="173"/>
      <c r="AB654" s="173"/>
      <c r="AC654" s="173"/>
      <c r="AD654" s="173"/>
      <c r="AE654" s="173"/>
      <c r="AF654" s="173"/>
      <c r="AG654" s="173"/>
      <c r="AH654" s="173"/>
      <c r="AI654" s="173"/>
      <c r="AJ654" s="173"/>
      <c r="AK654" s="173"/>
      <c r="AL654" s="173"/>
      <c r="AM654" s="173"/>
      <c r="AN654" s="173"/>
      <c r="AO654" s="173"/>
      <c r="AP654" s="173"/>
      <c r="AQ654" s="173"/>
      <c r="AR654" s="173"/>
      <c r="AS654" s="173"/>
      <c r="AT654" s="173"/>
      <c r="AU654" s="173"/>
      <c r="AV654" s="173"/>
      <c r="AW654" s="173"/>
      <c r="AX654" s="173"/>
      <c r="AY654" s="173"/>
      <c r="AZ654" s="173"/>
      <c r="BA654" s="173"/>
      <c r="BB654" s="173"/>
      <c r="BC654" s="173"/>
      <c r="BD654" s="173"/>
      <c r="BE654" s="173"/>
      <c r="BF654" s="173"/>
      <c r="BG654" s="173"/>
      <c r="BH654" s="173"/>
      <c r="BI654" s="173"/>
      <c r="BJ654" s="173"/>
      <c r="BK654" s="173"/>
      <c r="BL654" s="173"/>
      <c r="BM654" s="173"/>
      <c r="BN654" s="173"/>
      <c r="BO654" s="173"/>
      <c r="BP654" s="173"/>
      <c r="BQ654" s="173"/>
      <c r="BR654" s="173"/>
      <c r="BS654" s="173"/>
      <c r="BT654" s="173"/>
      <c r="BU654" s="173"/>
      <c r="BV654" s="173"/>
      <c r="BW654" s="173"/>
      <c r="BX654" s="173"/>
      <c r="BY654" s="173"/>
      <c r="BZ654" s="173"/>
      <c r="CA654" s="173"/>
      <c r="CB654" s="173"/>
      <c r="CC654" s="173"/>
      <c r="CD654" s="173"/>
      <c r="CE654" s="173"/>
      <c r="CF654" s="173"/>
      <c r="CG654" s="173"/>
      <c r="CH654" s="173"/>
      <c r="CI654" s="173"/>
      <c r="CJ654" s="173"/>
      <c r="CK654" s="173"/>
      <c r="CL654" s="173"/>
      <c r="CM654" s="173"/>
      <c r="CN654" s="173"/>
      <c r="CO654" s="173"/>
      <c r="CP654" s="173"/>
      <c r="CQ654" s="173"/>
      <c r="CR654" s="173"/>
      <c r="CS654" s="173"/>
    </row>
    <row r="655" hidden="1">
      <c r="A655" s="59" t="s">
        <v>768</v>
      </c>
      <c r="B655" s="179" t="s">
        <v>2529</v>
      </c>
      <c r="C655" s="179" t="s">
        <v>2530</v>
      </c>
      <c r="D655" s="70" t="s">
        <v>2531</v>
      </c>
      <c r="E655" s="173"/>
      <c r="F655" s="168"/>
      <c r="G655" s="168"/>
      <c r="H655" s="168" t="s">
        <v>25</v>
      </c>
      <c r="I655" s="168" t="s">
        <v>25</v>
      </c>
      <c r="J655" s="168" t="s">
        <v>25</v>
      </c>
      <c r="K655" s="163" t="str">
        <f>VLOOKUP(C655,'Term Reference Guide'!$C:$C,1,false)</f>
        <v>GENEPIO:0002682</v>
      </c>
      <c r="L655" s="173"/>
      <c r="M655" s="173"/>
      <c r="N655" s="173"/>
      <c r="O655" s="173"/>
      <c r="P655" s="173"/>
      <c r="Q655" s="173"/>
      <c r="R655" s="173"/>
      <c r="S655" s="173"/>
      <c r="T655" s="173"/>
      <c r="U655" s="173"/>
      <c r="V655" s="173"/>
      <c r="W655" s="173"/>
      <c r="X655" s="173"/>
      <c r="Y655" s="173"/>
      <c r="Z655" s="173"/>
      <c r="AA655" s="173"/>
      <c r="AB655" s="173"/>
      <c r="AC655" s="173"/>
      <c r="AD655" s="173"/>
      <c r="AE655" s="173"/>
      <c r="AF655" s="173"/>
      <c r="AG655" s="173"/>
      <c r="AH655" s="173"/>
      <c r="AI655" s="173"/>
      <c r="AJ655" s="173"/>
      <c r="AK655" s="173"/>
      <c r="AL655" s="173"/>
      <c r="AM655" s="173"/>
      <c r="AN655" s="173"/>
      <c r="AO655" s="173"/>
      <c r="AP655" s="173"/>
      <c r="AQ655" s="173"/>
      <c r="AR655" s="173"/>
      <c r="AS655" s="173"/>
      <c r="AT655" s="173"/>
      <c r="AU655" s="173"/>
      <c r="AV655" s="173"/>
      <c r="AW655" s="173"/>
      <c r="AX655" s="173"/>
      <c r="AY655" s="173"/>
      <c r="AZ655" s="173"/>
      <c r="BA655" s="173"/>
      <c r="BB655" s="173"/>
      <c r="BC655" s="173"/>
      <c r="BD655" s="173"/>
      <c r="BE655" s="173"/>
      <c r="BF655" s="173"/>
      <c r="BG655" s="173"/>
      <c r="BH655" s="173"/>
      <c r="BI655" s="173"/>
      <c r="BJ655" s="173"/>
      <c r="BK655" s="173"/>
      <c r="BL655" s="173"/>
      <c r="BM655" s="173"/>
      <c r="BN655" s="173"/>
      <c r="BO655" s="173"/>
      <c r="BP655" s="173"/>
      <c r="BQ655" s="173"/>
      <c r="BR655" s="173"/>
      <c r="BS655" s="173"/>
      <c r="BT655" s="173"/>
      <c r="BU655" s="173"/>
      <c r="BV655" s="173"/>
      <c r="BW655" s="173"/>
      <c r="BX655" s="173"/>
      <c r="BY655" s="173"/>
      <c r="BZ655" s="173"/>
      <c r="CA655" s="173"/>
      <c r="CB655" s="173"/>
      <c r="CC655" s="173"/>
      <c r="CD655" s="173"/>
      <c r="CE655" s="173"/>
      <c r="CF655" s="173"/>
      <c r="CG655" s="173"/>
      <c r="CH655" s="173"/>
      <c r="CI655" s="173"/>
      <c r="CJ655" s="173"/>
      <c r="CK655" s="173"/>
      <c r="CL655" s="173"/>
      <c r="CM655" s="173"/>
      <c r="CN655" s="173"/>
      <c r="CO655" s="173"/>
      <c r="CP655" s="173"/>
      <c r="CQ655" s="173"/>
      <c r="CR655" s="173"/>
      <c r="CS655" s="173"/>
    </row>
    <row r="656" hidden="1">
      <c r="A656" s="59" t="s">
        <v>768</v>
      </c>
      <c r="B656" s="179" t="s">
        <v>2532</v>
      </c>
      <c r="C656" s="40" t="s">
        <v>2533</v>
      </c>
      <c r="D656" s="70" t="s">
        <v>2534</v>
      </c>
      <c r="E656" s="173"/>
      <c r="F656" s="168"/>
      <c r="G656" s="168"/>
      <c r="H656" s="168" t="s">
        <v>25</v>
      </c>
      <c r="I656" s="168" t="s">
        <v>25</v>
      </c>
      <c r="J656" s="168" t="s">
        <v>25</v>
      </c>
      <c r="K656" s="163" t="str">
        <f>VLOOKUP(C656,'Term Reference Guide'!$C:$C,1,false)</f>
        <v>GENEPIO:0100985</v>
      </c>
      <c r="L656" s="173"/>
      <c r="M656" s="173"/>
      <c r="N656" s="173"/>
      <c r="O656" s="173"/>
      <c r="P656" s="173"/>
      <c r="Q656" s="173"/>
      <c r="R656" s="173"/>
      <c r="S656" s="173"/>
      <c r="T656" s="173"/>
      <c r="U656" s="173"/>
      <c r="V656" s="173"/>
      <c r="W656" s="173"/>
      <c r="X656" s="173"/>
      <c r="Y656" s="173"/>
      <c r="Z656" s="173"/>
      <c r="AA656" s="173"/>
      <c r="AB656" s="173"/>
      <c r="AC656" s="173"/>
      <c r="AD656" s="173"/>
      <c r="AE656" s="173"/>
      <c r="AF656" s="173"/>
      <c r="AG656" s="173"/>
      <c r="AH656" s="173"/>
      <c r="AI656" s="173"/>
      <c r="AJ656" s="173"/>
      <c r="AK656" s="173"/>
      <c r="AL656" s="173"/>
      <c r="AM656" s="173"/>
      <c r="AN656" s="173"/>
      <c r="AO656" s="173"/>
      <c r="AP656" s="173"/>
      <c r="AQ656" s="173"/>
      <c r="AR656" s="173"/>
      <c r="AS656" s="173"/>
      <c r="AT656" s="173"/>
      <c r="AU656" s="173"/>
      <c r="AV656" s="173"/>
      <c r="AW656" s="173"/>
      <c r="AX656" s="173"/>
      <c r="AY656" s="173"/>
      <c r="AZ656" s="173"/>
      <c r="BA656" s="173"/>
      <c r="BB656" s="173"/>
      <c r="BC656" s="173"/>
      <c r="BD656" s="173"/>
      <c r="BE656" s="173"/>
      <c r="BF656" s="173"/>
      <c r="BG656" s="173"/>
      <c r="BH656" s="173"/>
      <c r="BI656" s="173"/>
      <c r="BJ656" s="173"/>
      <c r="BK656" s="173"/>
      <c r="BL656" s="173"/>
      <c r="BM656" s="173"/>
      <c r="BN656" s="173"/>
      <c r="BO656" s="173"/>
      <c r="BP656" s="173"/>
      <c r="BQ656" s="173"/>
      <c r="BR656" s="173"/>
      <c r="BS656" s="173"/>
      <c r="BT656" s="173"/>
      <c r="BU656" s="173"/>
      <c r="BV656" s="173"/>
      <c r="BW656" s="173"/>
      <c r="BX656" s="173"/>
      <c r="BY656" s="173"/>
      <c r="BZ656" s="173"/>
      <c r="CA656" s="173"/>
      <c r="CB656" s="173"/>
      <c r="CC656" s="173"/>
      <c r="CD656" s="173"/>
      <c r="CE656" s="173"/>
      <c r="CF656" s="173"/>
      <c r="CG656" s="173"/>
      <c r="CH656" s="173"/>
      <c r="CI656" s="173"/>
      <c r="CJ656" s="173"/>
      <c r="CK656" s="173"/>
      <c r="CL656" s="173"/>
      <c r="CM656" s="173"/>
      <c r="CN656" s="173"/>
      <c r="CO656" s="173"/>
      <c r="CP656" s="173"/>
      <c r="CQ656" s="173"/>
      <c r="CR656" s="173"/>
      <c r="CS656" s="173"/>
    </row>
    <row r="657">
      <c r="A657" s="173"/>
      <c r="B657" s="173"/>
      <c r="C657" s="173"/>
      <c r="D657" s="141"/>
      <c r="E657" s="173"/>
      <c r="F657" s="173"/>
      <c r="G657" s="173"/>
      <c r="H657" s="173"/>
      <c r="I657" s="173"/>
      <c r="J657" s="141"/>
      <c r="K657" s="163" t="str">
        <f>VLOOKUP(C657,'Term Reference Guide'!$C:$C,1,false)</f>
        <v>#N/A</v>
      </c>
      <c r="L657" s="173"/>
      <c r="M657" s="173"/>
      <c r="N657" s="173"/>
      <c r="O657" s="173"/>
      <c r="P657" s="173"/>
      <c r="Q657" s="173"/>
      <c r="R657" s="173"/>
      <c r="S657" s="173"/>
      <c r="T657" s="173"/>
      <c r="U657" s="173"/>
      <c r="V657" s="173"/>
      <c r="W657" s="173"/>
      <c r="X657" s="173"/>
      <c r="Y657" s="173"/>
      <c r="Z657" s="173"/>
      <c r="AA657" s="173"/>
      <c r="AB657" s="173"/>
      <c r="AC657" s="173"/>
      <c r="AD657" s="173"/>
      <c r="AE657" s="173"/>
      <c r="AF657" s="173"/>
      <c r="AG657" s="173"/>
      <c r="AH657" s="173"/>
      <c r="AI657" s="173"/>
      <c r="AJ657" s="173"/>
      <c r="AK657" s="173"/>
      <c r="AL657" s="173"/>
      <c r="AM657" s="173"/>
      <c r="AN657" s="173"/>
      <c r="AO657" s="173"/>
      <c r="AP657" s="173"/>
      <c r="AQ657" s="173"/>
      <c r="AR657" s="173"/>
      <c r="AS657" s="173"/>
      <c r="AT657" s="173"/>
      <c r="AU657" s="173"/>
      <c r="AV657" s="173"/>
      <c r="AW657" s="173"/>
      <c r="AX657" s="173"/>
      <c r="AY657" s="173"/>
      <c r="AZ657" s="173"/>
      <c r="BA657" s="173"/>
      <c r="BB657" s="173"/>
      <c r="BC657" s="173"/>
      <c r="BD657" s="173"/>
      <c r="BE657" s="173"/>
      <c r="BF657" s="173"/>
      <c r="BG657" s="173"/>
      <c r="BH657" s="173"/>
      <c r="BI657" s="173"/>
      <c r="BJ657" s="173"/>
      <c r="BK657" s="173"/>
      <c r="BL657" s="173"/>
      <c r="BM657" s="173"/>
      <c r="BN657" s="173"/>
      <c r="BO657" s="173"/>
      <c r="BP657" s="173"/>
      <c r="BQ657" s="173"/>
      <c r="BR657" s="173"/>
      <c r="BS657" s="173"/>
      <c r="BT657" s="173"/>
      <c r="BU657" s="173"/>
      <c r="BV657" s="173"/>
      <c r="BW657" s="173"/>
      <c r="BX657" s="173"/>
      <c r="BY657" s="173"/>
      <c r="BZ657" s="173"/>
      <c r="CA657" s="173"/>
      <c r="CB657" s="173"/>
      <c r="CC657" s="173"/>
      <c r="CD657" s="173"/>
      <c r="CE657" s="173"/>
      <c r="CF657" s="173"/>
      <c r="CG657" s="173"/>
      <c r="CH657" s="173"/>
      <c r="CI657" s="173"/>
      <c r="CJ657" s="173"/>
      <c r="CK657" s="173"/>
      <c r="CL657" s="173"/>
      <c r="CM657" s="173"/>
      <c r="CN657" s="173"/>
      <c r="CO657" s="173"/>
      <c r="CP657" s="173"/>
      <c r="CQ657" s="173"/>
      <c r="CR657" s="173"/>
      <c r="CS657" s="173"/>
    </row>
    <row r="658">
      <c r="A658" s="170" t="s">
        <v>773</v>
      </c>
      <c r="B658" s="156"/>
      <c r="C658" s="156"/>
      <c r="D658" s="139"/>
      <c r="E658" s="156"/>
      <c r="F658" s="156"/>
      <c r="G658" s="156"/>
      <c r="H658" s="164"/>
      <c r="I658" s="164"/>
      <c r="J658" s="171"/>
      <c r="K658" s="163" t="str">
        <f>VLOOKUP(C658,'Term Reference Guide'!$C:$C,1,false)</f>
        <v>#N/A</v>
      </c>
      <c r="L658" s="163"/>
      <c r="M658" s="163"/>
      <c r="N658" s="163"/>
      <c r="O658" s="163"/>
      <c r="P658" s="163"/>
      <c r="Q658" s="163"/>
      <c r="R658" s="163"/>
      <c r="S658" s="163"/>
      <c r="T658" s="163"/>
      <c r="U658" s="163"/>
      <c r="V658" s="163"/>
      <c r="W658" s="163"/>
      <c r="X658" s="163"/>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c r="BP658" s="41"/>
      <c r="BQ658" s="41"/>
      <c r="BR658" s="41"/>
      <c r="BS658" s="41"/>
      <c r="BT658" s="41"/>
      <c r="BU658" s="41"/>
      <c r="BV658" s="41"/>
      <c r="BW658" s="41"/>
      <c r="BX658" s="41"/>
      <c r="BY658" s="41"/>
      <c r="BZ658" s="41"/>
      <c r="CA658" s="41"/>
      <c r="CB658" s="41"/>
      <c r="CC658" s="41"/>
      <c r="CD658" s="41"/>
      <c r="CE658" s="41"/>
      <c r="CF658" s="41"/>
      <c r="CG658" s="41"/>
      <c r="CH658" s="41"/>
      <c r="CI658" s="41"/>
      <c r="CJ658" s="41"/>
      <c r="CK658" s="41"/>
      <c r="CL658" s="41"/>
      <c r="CM658" s="41"/>
      <c r="CN658" s="41"/>
      <c r="CO658" s="41"/>
      <c r="CP658" s="41"/>
      <c r="CQ658" s="41"/>
      <c r="CR658" s="41"/>
      <c r="CS658" s="41"/>
    </row>
    <row r="659" hidden="1">
      <c r="A659" s="59" t="s">
        <v>773</v>
      </c>
      <c r="B659" s="203" t="s">
        <v>2502</v>
      </c>
      <c r="C659" s="41" t="s">
        <v>2535</v>
      </c>
      <c r="D659" s="45" t="s">
        <v>2536</v>
      </c>
      <c r="E659" s="41"/>
      <c r="F659" s="168"/>
      <c r="G659" s="168"/>
      <c r="H659" s="168" t="s">
        <v>25</v>
      </c>
      <c r="I659" s="168" t="s">
        <v>25</v>
      </c>
      <c r="J659" s="168" t="s">
        <v>25</v>
      </c>
      <c r="K659" s="163" t="str">
        <f>VLOOKUP(C659,'Term Reference Guide'!$C:$C,1,false)</f>
        <v>GENEPIO:0100105</v>
      </c>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c r="BP659" s="41"/>
      <c r="BQ659" s="41"/>
      <c r="BR659" s="41"/>
      <c r="BS659" s="41"/>
      <c r="BT659" s="41"/>
      <c r="BU659" s="41"/>
      <c r="BV659" s="41"/>
      <c r="BW659" s="41"/>
      <c r="BX659" s="41"/>
      <c r="BY659" s="41"/>
      <c r="BZ659" s="41"/>
      <c r="CA659" s="41"/>
      <c r="CB659" s="41"/>
      <c r="CC659" s="41"/>
      <c r="CD659" s="41"/>
      <c r="CE659" s="41"/>
      <c r="CF659" s="41"/>
      <c r="CG659" s="41"/>
      <c r="CH659" s="41"/>
      <c r="CI659" s="41"/>
      <c r="CJ659" s="41"/>
      <c r="CK659" s="41"/>
      <c r="CL659" s="41"/>
      <c r="CM659" s="41"/>
      <c r="CN659" s="41"/>
      <c r="CO659" s="41"/>
      <c r="CP659" s="41"/>
      <c r="CQ659" s="41"/>
      <c r="CR659" s="41"/>
      <c r="CS659" s="41"/>
    </row>
    <row r="660" hidden="1">
      <c r="A660" s="59" t="s">
        <v>773</v>
      </c>
      <c r="B660" s="203" t="s">
        <v>2537</v>
      </c>
      <c r="C660" s="41" t="s">
        <v>2538</v>
      </c>
      <c r="D660" s="45" t="s">
        <v>2539</v>
      </c>
      <c r="E660" s="41"/>
      <c r="F660" s="168"/>
      <c r="G660" s="168"/>
      <c r="H660" s="168" t="s">
        <v>25</v>
      </c>
      <c r="I660" s="168" t="s">
        <v>25</v>
      </c>
      <c r="J660" s="168" t="s">
        <v>25</v>
      </c>
      <c r="K660" s="163" t="str">
        <f>VLOOKUP(C660,'Term Reference Guide'!$C:$C,1,false)</f>
        <v>GENEPIO:0100106</v>
      </c>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c r="BP660" s="41"/>
      <c r="BQ660" s="41"/>
      <c r="BR660" s="41"/>
      <c r="BS660" s="41"/>
      <c r="BT660" s="41"/>
      <c r="BU660" s="41"/>
      <c r="BV660" s="41"/>
      <c r="BW660" s="41"/>
      <c r="BX660" s="41"/>
      <c r="BY660" s="41"/>
      <c r="BZ660" s="41"/>
      <c r="CA660" s="41"/>
      <c r="CB660" s="41"/>
      <c r="CC660" s="41"/>
      <c r="CD660" s="41"/>
      <c r="CE660" s="41"/>
      <c r="CF660" s="41"/>
      <c r="CG660" s="41"/>
      <c r="CH660" s="41"/>
      <c r="CI660" s="41"/>
      <c r="CJ660" s="41"/>
      <c r="CK660" s="41"/>
      <c r="CL660" s="41"/>
      <c r="CM660" s="41"/>
      <c r="CN660" s="41"/>
      <c r="CO660" s="41"/>
      <c r="CP660" s="41"/>
      <c r="CQ660" s="41"/>
      <c r="CR660" s="41"/>
      <c r="CS660" s="41"/>
    </row>
    <row r="661" hidden="1">
      <c r="A661" s="59" t="s">
        <v>773</v>
      </c>
      <c r="B661" s="203" t="s">
        <v>2540</v>
      </c>
      <c r="C661" s="41" t="s">
        <v>2541</v>
      </c>
      <c r="D661" s="45" t="s">
        <v>2542</v>
      </c>
      <c r="E661" s="41"/>
      <c r="F661" s="168"/>
      <c r="G661" s="168"/>
      <c r="H661" s="168" t="s">
        <v>25</v>
      </c>
      <c r="I661" s="168" t="s">
        <v>25</v>
      </c>
      <c r="J661" s="168" t="s">
        <v>25</v>
      </c>
      <c r="K661" s="163" t="str">
        <f>VLOOKUP(C661,'Term Reference Guide'!$C:$C,1,false)</f>
        <v>OBI:0000703</v>
      </c>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c r="BP661" s="41"/>
      <c r="BQ661" s="41"/>
      <c r="BR661" s="41"/>
      <c r="BS661" s="41"/>
      <c r="BT661" s="41"/>
      <c r="BU661" s="41"/>
      <c r="BV661" s="41"/>
      <c r="BW661" s="41"/>
      <c r="BX661" s="41"/>
      <c r="BY661" s="41"/>
      <c r="BZ661" s="41"/>
      <c r="CA661" s="41"/>
      <c r="CB661" s="41"/>
      <c r="CC661" s="41"/>
      <c r="CD661" s="41"/>
      <c r="CE661" s="41"/>
      <c r="CF661" s="41"/>
      <c r="CG661" s="41"/>
      <c r="CH661" s="41"/>
      <c r="CI661" s="41"/>
      <c r="CJ661" s="41"/>
      <c r="CK661" s="41"/>
      <c r="CL661" s="41"/>
      <c r="CM661" s="41"/>
      <c r="CN661" s="41"/>
      <c r="CO661" s="41"/>
      <c r="CP661" s="41"/>
      <c r="CQ661" s="41"/>
      <c r="CR661" s="41"/>
      <c r="CS661" s="41"/>
    </row>
    <row r="662" hidden="1">
      <c r="A662" s="59" t="s">
        <v>773</v>
      </c>
      <c r="B662" s="203" t="s">
        <v>2543</v>
      </c>
      <c r="C662" s="41" t="s">
        <v>2544</v>
      </c>
      <c r="D662" s="45" t="s">
        <v>2545</v>
      </c>
      <c r="E662" s="41"/>
      <c r="F662" s="168"/>
      <c r="G662" s="168"/>
      <c r="H662" s="168" t="s">
        <v>25</v>
      </c>
      <c r="I662" s="168" t="s">
        <v>25</v>
      </c>
      <c r="J662" s="168" t="s">
        <v>25</v>
      </c>
      <c r="K662" s="163" t="str">
        <f>VLOOKUP(C662,'Term Reference Guide'!$C:$C,1,false)</f>
        <v>OBI:0002000</v>
      </c>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c r="BP662" s="41"/>
      <c r="BQ662" s="41"/>
      <c r="BR662" s="41"/>
      <c r="BS662" s="41"/>
      <c r="BT662" s="41"/>
      <c r="BU662" s="41"/>
      <c r="BV662" s="41"/>
      <c r="BW662" s="41"/>
      <c r="BX662" s="41"/>
      <c r="BY662" s="41"/>
      <c r="BZ662" s="41"/>
      <c r="CA662" s="41"/>
      <c r="CB662" s="41"/>
      <c r="CC662" s="41"/>
      <c r="CD662" s="41"/>
      <c r="CE662" s="41"/>
      <c r="CF662" s="41"/>
      <c r="CG662" s="41"/>
      <c r="CH662" s="41"/>
      <c r="CI662" s="41"/>
      <c r="CJ662" s="41"/>
      <c r="CK662" s="41"/>
      <c r="CL662" s="41"/>
      <c r="CM662" s="41"/>
      <c r="CN662" s="41"/>
      <c r="CO662" s="41"/>
      <c r="CP662" s="41"/>
      <c r="CQ662" s="41"/>
      <c r="CR662" s="41"/>
      <c r="CS662" s="41"/>
    </row>
    <row r="663" hidden="1">
      <c r="A663" s="59" t="s">
        <v>773</v>
      </c>
      <c r="B663" s="203" t="s">
        <v>2546</v>
      </c>
      <c r="C663" s="41" t="s">
        <v>2547</v>
      </c>
      <c r="D663" s="45" t="s">
        <v>2548</v>
      </c>
      <c r="E663" s="41"/>
      <c r="F663" s="168"/>
      <c r="G663" s="168"/>
      <c r="H663" s="168" t="s">
        <v>25</v>
      </c>
      <c r="I663" s="168" t="s">
        <v>25</v>
      </c>
      <c r="J663" s="168" t="s">
        <v>25</v>
      </c>
      <c r="K663" s="163" t="str">
        <f>VLOOKUP(C663,'Term Reference Guide'!$C:$C,1,false)</f>
        <v>GENEPIO:0100109</v>
      </c>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c r="BP663" s="41"/>
      <c r="BQ663" s="41"/>
      <c r="BR663" s="41"/>
      <c r="BS663" s="41"/>
      <c r="BT663" s="41"/>
      <c r="BU663" s="41"/>
      <c r="BV663" s="41"/>
      <c r="BW663" s="41"/>
      <c r="BX663" s="41"/>
      <c r="BY663" s="41"/>
      <c r="BZ663" s="41"/>
      <c r="CA663" s="41"/>
      <c r="CB663" s="41"/>
      <c r="CC663" s="41"/>
      <c r="CD663" s="41"/>
      <c r="CE663" s="41"/>
      <c r="CF663" s="41"/>
      <c r="CG663" s="41"/>
      <c r="CH663" s="41"/>
      <c r="CI663" s="41"/>
      <c r="CJ663" s="41"/>
      <c r="CK663" s="41"/>
      <c r="CL663" s="41"/>
      <c r="CM663" s="41"/>
      <c r="CN663" s="41"/>
      <c r="CO663" s="41"/>
      <c r="CP663" s="41"/>
      <c r="CQ663" s="41"/>
      <c r="CR663" s="41"/>
      <c r="CS663" s="41"/>
    </row>
    <row r="664" hidden="1">
      <c r="A664" s="59" t="s">
        <v>773</v>
      </c>
      <c r="B664" s="203" t="s">
        <v>2549</v>
      </c>
      <c r="C664" s="41" t="s">
        <v>2550</v>
      </c>
      <c r="D664" s="45" t="s">
        <v>2551</v>
      </c>
      <c r="E664" s="41"/>
      <c r="F664" s="168"/>
      <c r="G664" s="168"/>
      <c r="H664" s="168" t="s">
        <v>25</v>
      </c>
      <c r="I664" s="168" t="s">
        <v>25</v>
      </c>
      <c r="J664" s="168" t="s">
        <v>25</v>
      </c>
      <c r="K664" s="163" t="str">
        <f>VLOOKUP(C664,'Term Reference Guide'!$C:$C,1,false)</f>
        <v>GENEPIO:0100110</v>
      </c>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c r="BP664" s="41"/>
      <c r="BQ664" s="41"/>
      <c r="BR664" s="41"/>
      <c r="BS664" s="41"/>
      <c r="BT664" s="41"/>
      <c r="BU664" s="41"/>
      <c r="BV664" s="41"/>
      <c r="BW664" s="41"/>
      <c r="BX664" s="41"/>
      <c r="BY664" s="41"/>
      <c r="BZ664" s="41"/>
      <c r="CA664" s="41"/>
      <c r="CB664" s="41"/>
      <c r="CC664" s="41"/>
      <c r="CD664" s="41"/>
      <c r="CE664" s="41"/>
      <c r="CF664" s="41"/>
      <c r="CG664" s="41"/>
      <c r="CH664" s="41"/>
      <c r="CI664" s="41"/>
      <c r="CJ664" s="41"/>
      <c r="CK664" s="41"/>
      <c r="CL664" s="41"/>
      <c r="CM664" s="41"/>
      <c r="CN664" s="41"/>
      <c r="CO664" s="41"/>
      <c r="CP664" s="41"/>
      <c r="CQ664" s="41"/>
      <c r="CR664" s="41"/>
      <c r="CS664" s="41"/>
    </row>
    <row r="665" hidden="1">
      <c r="A665" s="59" t="s">
        <v>773</v>
      </c>
      <c r="B665" s="203" t="s">
        <v>2552</v>
      </c>
      <c r="C665" s="41" t="s">
        <v>2553</v>
      </c>
      <c r="D665" s="60" t="s">
        <v>2554</v>
      </c>
      <c r="E665" s="41"/>
      <c r="F665" s="168"/>
      <c r="G665" s="168"/>
      <c r="H665" s="168" t="s">
        <v>25</v>
      </c>
      <c r="I665" s="168" t="s">
        <v>25</v>
      </c>
      <c r="J665" s="168" t="s">
        <v>25</v>
      </c>
      <c r="K665" s="163" t="str">
        <f>VLOOKUP(C665,'Term Reference Guide'!$C:$C,1,false)</f>
        <v>GENEPIO:0100111</v>
      </c>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c r="BP665" s="41"/>
      <c r="BQ665" s="41"/>
      <c r="BR665" s="41"/>
      <c r="BS665" s="41"/>
      <c r="BT665" s="41"/>
      <c r="BU665" s="41"/>
      <c r="BV665" s="41"/>
      <c r="BW665" s="41"/>
      <c r="BX665" s="41"/>
      <c r="BY665" s="41"/>
      <c r="BZ665" s="41"/>
      <c r="CA665" s="41"/>
      <c r="CB665" s="41"/>
      <c r="CC665" s="41"/>
      <c r="CD665" s="41"/>
      <c r="CE665" s="41"/>
      <c r="CF665" s="41"/>
      <c r="CG665" s="41"/>
      <c r="CH665" s="41"/>
      <c r="CI665" s="41"/>
      <c r="CJ665" s="41"/>
      <c r="CK665" s="41"/>
      <c r="CL665" s="41"/>
      <c r="CM665" s="41"/>
      <c r="CN665" s="41"/>
      <c r="CO665" s="41"/>
      <c r="CP665" s="41"/>
      <c r="CQ665" s="41"/>
      <c r="CR665" s="41"/>
      <c r="CS665" s="41"/>
    </row>
    <row r="666" hidden="1">
      <c r="A666" s="59" t="s">
        <v>773</v>
      </c>
      <c r="B666" s="203" t="s">
        <v>2555</v>
      </c>
      <c r="C666" s="41" t="s">
        <v>2556</v>
      </c>
      <c r="D666" s="45" t="s">
        <v>2557</v>
      </c>
      <c r="E666" s="41"/>
      <c r="F666" s="168"/>
      <c r="G666" s="168"/>
      <c r="H666" s="168" t="s">
        <v>25</v>
      </c>
      <c r="I666" s="168" t="s">
        <v>25</v>
      </c>
      <c r="J666" s="168" t="s">
        <v>25</v>
      </c>
      <c r="K666" s="163" t="str">
        <f>VLOOKUP(C666,'Term Reference Guide'!$C:$C,1,false)</f>
        <v>GENEPIO:0100112</v>
      </c>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c r="BP666" s="41"/>
      <c r="BQ666" s="41"/>
      <c r="BR666" s="41"/>
      <c r="BS666" s="41"/>
      <c r="BT666" s="41"/>
      <c r="BU666" s="41"/>
      <c r="BV666" s="41"/>
      <c r="BW666" s="41"/>
      <c r="BX666" s="41"/>
      <c r="BY666" s="41"/>
      <c r="BZ666" s="41"/>
      <c r="CA666" s="41"/>
      <c r="CB666" s="41"/>
      <c r="CC666" s="41"/>
      <c r="CD666" s="41"/>
      <c r="CE666" s="41"/>
      <c r="CF666" s="41"/>
      <c r="CG666" s="41"/>
      <c r="CH666" s="41"/>
      <c r="CI666" s="41"/>
      <c r="CJ666" s="41"/>
      <c r="CK666" s="41"/>
      <c r="CL666" s="41"/>
      <c r="CM666" s="41"/>
      <c r="CN666" s="41"/>
      <c r="CO666" s="41"/>
      <c r="CP666" s="41"/>
      <c r="CQ666" s="41"/>
      <c r="CR666" s="41"/>
      <c r="CS666" s="41"/>
    </row>
    <row r="667" hidden="1">
      <c r="A667" s="59" t="s">
        <v>773</v>
      </c>
      <c r="B667" s="203" t="s">
        <v>2558</v>
      </c>
      <c r="C667" s="41" t="s">
        <v>2559</v>
      </c>
      <c r="D667" s="45" t="s">
        <v>2560</v>
      </c>
      <c r="E667" s="41"/>
      <c r="F667" s="168"/>
      <c r="G667" s="168"/>
      <c r="H667" s="168" t="s">
        <v>25</v>
      </c>
      <c r="I667" s="168" t="s">
        <v>25</v>
      </c>
      <c r="J667" s="168" t="s">
        <v>25</v>
      </c>
      <c r="K667" s="163" t="str">
        <f>VLOOKUP(C667,'Term Reference Guide'!$C:$C,1,false)</f>
        <v>GENEPIO:0100113</v>
      </c>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c r="BP667" s="41"/>
      <c r="BQ667" s="41"/>
      <c r="BR667" s="41"/>
      <c r="BS667" s="41"/>
      <c r="BT667" s="41"/>
      <c r="BU667" s="41"/>
      <c r="BV667" s="41"/>
      <c r="BW667" s="41"/>
      <c r="BX667" s="41"/>
      <c r="BY667" s="41"/>
      <c r="BZ667" s="41"/>
      <c r="CA667" s="41"/>
      <c r="CB667" s="41"/>
      <c r="CC667" s="41"/>
      <c r="CD667" s="41"/>
      <c r="CE667" s="41"/>
      <c r="CF667" s="41"/>
      <c r="CG667" s="41"/>
      <c r="CH667" s="41"/>
      <c r="CI667" s="41"/>
      <c r="CJ667" s="41"/>
      <c r="CK667" s="41"/>
      <c r="CL667" s="41"/>
      <c r="CM667" s="41"/>
      <c r="CN667" s="41"/>
      <c r="CO667" s="41"/>
      <c r="CP667" s="41"/>
      <c r="CQ667" s="41"/>
      <c r="CR667" s="41"/>
      <c r="CS667" s="41"/>
    </row>
    <row r="668" hidden="1">
      <c r="A668" s="59" t="s">
        <v>773</v>
      </c>
      <c r="B668" s="203" t="s">
        <v>2561</v>
      </c>
      <c r="C668" s="41" t="s">
        <v>2562</v>
      </c>
      <c r="D668" s="45" t="s">
        <v>2563</v>
      </c>
      <c r="E668" s="41"/>
      <c r="F668" s="168"/>
      <c r="G668" s="168"/>
      <c r="H668" s="168" t="s">
        <v>25</v>
      </c>
      <c r="I668" s="168" t="s">
        <v>25</v>
      </c>
      <c r="J668" s="168" t="s">
        <v>25</v>
      </c>
      <c r="K668" s="163" t="str">
        <f>VLOOKUP(C668,'Term Reference Guide'!$C:$C,1,false)</f>
        <v>OBI:0002022</v>
      </c>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c r="BP668" s="41"/>
      <c r="BQ668" s="41"/>
      <c r="BR668" s="41"/>
      <c r="BS668" s="41"/>
      <c r="BT668" s="41"/>
      <c r="BU668" s="41"/>
      <c r="BV668" s="41"/>
      <c r="BW668" s="41"/>
      <c r="BX668" s="41"/>
      <c r="BY668" s="41"/>
      <c r="BZ668" s="41"/>
      <c r="CA668" s="41"/>
      <c r="CB668" s="41"/>
      <c r="CC668" s="41"/>
      <c r="CD668" s="41"/>
      <c r="CE668" s="41"/>
      <c r="CF668" s="41"/>
      <c r="CG668" s="41"/>
      <c r="CH668" s="41"/>
      <c r="CI668" s="41"/>
      <c r="CJ668" s="41"/>
      <c r="CK668" s="41"/>
      <c r="CL668" s="41"/>
      <c r="CM668" s="41"/>
      <c r="CN668" s="41"/>
      <c r="CO668" s="41"/>
      <c r="CP668" s="41"/>
      <c r="CQ668" s="41"/>
      <c r="CR668" s="41"/>
      <c r="CS668" s="41"/>
    </row>
    <row r="669" hidden="1">
      <c r="A669" s="59" t="s">
        <v>773</v>
      </c>
      <c r="B669" s="203" t="s">
        <v>2564</v>
      </c>
      <c r="C669" s="41" t="s">
        <v>2565</v>
      </c>
      <c r="D669" s="45" t="s">
        <v>2566</v>
      </c>
      <c r="E669" s="41"/>
      <c r="F669" s="168"/>
      <c r="G669" s="168"/>
      <c r="H669" s="168" t="s">
        <v>25</v>
      </c>
      <c r="I669" s="168" t="s">
        <v>25</v>
      </c>
      <c r="J669" s="168" t="s">
        <v>25</v>
      </c>
      <c r="K669" s="163" t="str">
        <f>VLOOKUP(C669,'Term Reference Guide'!$C:$C,1,false)</f>
        <v>GENEPIO:0100115</v>
      </c>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c r="BP669" s="41"/>
      <c r="BQ669" s="41"/>
      <c r="BR669" s="41"/>
      <c r="BS669" s="41"/>
      <c r="BT669" s="41"/>
      <c r="BU669" s="41"/>
      <c r="BV669" s="41"/>
      <c r="BW669" s="41"/>
      <c r="BX669" s="41"/>
      <c r="BY669" s="41"/>
      <c r="BZ669" s="41"/>
      <c r="CA669" s="41"/>
      <c r="CB669" s="41"/>
      <c r="CC669" s="41"/>
      <c r="CD669" s="41"/>
      <c r="CE669" s="41"/>
      <c r="CF669" s="41"/>
      <c r="CG669" s="41"/>
      <c r="CH669" s="41"/>
      <c r="CI669" s="41"/>
      <c r="CJ669" s="41"/>
      <c r="CK669" s="41"/>
      <c r="CL669" s="41"/>
      <c r="CM669" s="41"/>
      <c r="CN669" s="41"/>
      <c r="CO669" s="41"/>
      <c r="CP669" s="41"/>
      <c r="CQ669" s="41"/>
      <c r="CR669" s="41"/>
      <c r="CS669" s="41"/>
    </row>
    <row r="670" hidden="1">
      <c r="A670" s="59" t="s">
        <v>773</v>
      </c>
      <c r="B670" s="203" t="s">
        <v>2567</v>
      </c>
      <c r="C670" s="41" t="s">
        <v>2568</v>
      </c>
      <c r="D670" s="45" t="s">
        <v>2569</v>
      </c>
      <c r="E670" s="41"/>
      <c r="F670" s="168"/>
      <c r="G670" s="168"/>
      <c r="H670" s="168" t="s">
        <v>25</v>
      </c>
      <c r="I670" s="168" t="s">
        <v>25</v>
      </c>
      <c r="J670" s="168" t="s">
        <v>25</v>
      </c>
      <c r="K670" s="163" t="str">
        <f>VLOOKUP(C670,'Term Reference Guide'!$C:$C,1,false)</f>
        <v>OBI:0002001</v>
      </c>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c r="BP670" s="41"/>
      <c r="BQ670" s="41"/>
      <c r="BR670" s="41"/>
      <c r="BS670" s="41"/>
      <c r="BT670" s="41"/>
      <c r="BU670" s="41"/>
      <c r="BV670" s="41"/>
      <c r="BW670" s="41"/>
      <c r="BX670" s="41"/>
      <c r="BY670" s="41"/>
      <c r="BZ670" s="41"/>
      <c r="CA670" s="41"/>
      <c r="CB670" s="41"/>
      <c r="CC670" s="41"/>
      <c r="CD670" s="41"/>
      <c r="CE670" s="41"/>
      <c r="CF670" s="41"/>
      <c r="CG670" s="41"/>
      <c r="CH670" s="41"/>
      <c r="CI670" s="41"/>
      <c r="CJ670" s="41"/>
      <c r="CK670" s="41"/>
      <c r="CL670" s="41"/>
      <c r="CM670" s="41"/>
      <c r="CN670" s="41"/>
      <c r="CO670" s="41"/>
      <c r="CP670" s="41"/>
      <c r="CQ670" s="41"/>
      <c r="CR670" s="41"/>
      <c r="CS670" s="41"/>
    </row>
    <row r="671" hidden="1">
      <c r="A671" s="59" t="s">
        <v>773</v>
      </c>
      <c r="B671" s="203" t="s">
        <v>2570</v>
      </c>
      <c r="C671" s="41" t="s">
        <v>2571</v>
      </c>
      <c r="D671" s="45" t="s">
        <v>2572</v>
      </c>
      <c r="E671" s="41"/>
      <c r="F671" s="168"/>
      <c r="G671" s="168"/>
      <c r="H671" s="168" t="s">
        <v>25</v>
      </c>
      <c r="I671" s="168" t="s">
        <v>25</v>
      </c>
      <c r="J671" s="168" t="s">
        <v>25</v>
      </c>
      <c r="K671" s="163" t="str">
        <f>VLOOKUP(C671,'Term Reference Guide'!$C:$C,1,false)</f>
        <v>OBI:0002002</v>
      </c>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c r="BP671" s="41"/>
      <c r="BQ671" s="41"/>
      <c r="BR671" s="41"/>
      <c r="BS671" s="41"/>
      <c r="BT671" s="41"/>
      <c r="BU671" s="41"/>
      <c r="BV671" s="41"/>
      <c r="BW671" s="41"/>
      <c r="BX671" s="41"/>
      <c r="BY671" s="41"/>
      <c r="BZ671" s="41"/>
      <c r="CA671" s="41"/>
      <c r="CB671" s="41"/>
      <c r="CC671" s="41"/>
      <c r="CD671" s="41"/>
      <c r="CE671" s="41"/>
      <c r="CF671" s="41"/>
      <c r="CG671" s="41"/>
      <c r="CH671" s="41"/>
      <c r="CI671" s="41"/>
      <c r="CJ671" s="41"/>
      <c r="CK671" s="41"/>
      <c r="CL671" s="41"/>
      <c r="CM671" s="41"/>
      <c r="CN671" s="41"/>
      <c r="CO671" s="41"/>
      <c r="CP671" s="41"/>
      <c r="CQ671" s="41"/>
      <c r="CR671" s="41"/>
      <c r="CS671" s="41"/>
    </row>
    <row r="672" hidden="1">
      <c r="A672" s="59" t="s">
        <v>773</v>
      </c>
      <c r="B672" s="203" t="s">
        <v>2573</v>
      </c>
      <c r="C672" s="41" t="s">
        <v>2574</v>
      </c>
      <c r="D672" s="45" t="s">
        <v>2575</v>
      </c>
      <c r="E672" s="41"/>
      <c r="F672" s="168"/>
      <c r="G672" s="168"/>
      <c r="H672" s="168" t="s">
        <v>25</v>
      </c>
      <c r="I672" s="168" t="s">
        <v>25</v>
      </c>
      <c r="J672" s="168" t="s">
        <v>25</v>
      </c>
      <c r="K672" s="163" t="str">
        <f>VLOOKUP(C672,'Term Reference Guide'!$C:$C,1,false)</f>
        <v>OBI:0002048</v>
      </c>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c r="BP672" s="41"/>
      <c r="BQ672" s="41"/>
      <c r="BR672" s="41"/>
      <c r="BS672" s="41"/>
      <c r="BT672" s="41"/>
      <c r="BU672" s="41"/>
      <c r="BV672" s="41"/>
      <c r="BW672" s="41"/>
      <c r="BX672" s="41"/>
      <c r="BY672" s="41"/>
      <c r="BZ672" s="41"/>
      <c r="CA672" s="41"/>
      <c r="CB672" s="41"/>
      <c r="CC672" s="41"/>
      <c r="CD672" s="41"/>
      <c r="CE672" s="41"/>
      <c r="CF672" s="41"/>
      <c r="CG672" s="41"/>
      <c r="CH672" s="41"/>
      <c r="CI672" s="41"/>
      <c r="CJ672" s="41"/>
      <c r="CK672" s="41"/>
      <c r="CL672" s="41"/>
      <c r="CM672" s="41"/>
      <c r="CN672" s="41"/>
      <c r="CO672" s="41"/>
      <c r="CP672" s="41"/>
      <c r="CQ672" s="41"/>
      <c r="CR672" s="41"/>
      <c r="CS672" s="41"/>
    </row>
    <row r="673" hidden="1">
      <c r="A673" s="59" t="s">
        <v>773</v>
      </c>
      <c r="B673" s="203" t="s">
        <v>2576</v>
      </c>
      <c r="C673" s="41" t="s">
        <v>2577</v>
      </c>
      <c r="D673" s="45" t="s">
        <v>2578</v>
      </c>
      <c r="E673" s="41"/>
      <c r="F673" s="168"/>
      <c r="G673" s="168"/>
      <c r="H673" s="168" t="s">
        <v>25</v>
      </c>
      <c r="I673" s="168" t="s">
        <v>25</v>
      </c>
      <c r="J673" s="168" t="s">
        <v>25</v>
      </c>
      <c r="K673" s="163" t="str">
        <f>VLOOKUP(C673,'Term Reference Guide'!$C:$C,1,false)</f>
        <v>OBI:0002049</v>
      </c>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c r="BP673" s="41"/>
      <c r="BQ673" s="41"/>
      <c r="BR673" s="41"/>
      <c r="BS673" s="41"/>
      <c r="BT673" s="41"/>
      <c r="BU673" s="41"/>
      <c r="BV673" s="41"/>
      <c r="BW673" s="41"/>
      <c r="BX673" s="41"/>
      <c r="BY673" s="41"/>
      <c r="BZ673" s="41"/>
      <c r="CA673" s="41"/>
      <c r="CB673" s="41"/>
      <c r="CC673" s="41"/>
      <c r="CD673" s="41"/>
      <c r="CE673" s="41"/>
      <c r="CF673" s="41"/>
      <c r="CG673" s="41"/>
      <c r="CH673" s="41"/>
      <c r="CI673" s="41"/>
      <c r="CJ673" s="41"/>
      <c r="CK673" s="41"/>
      <c r="CL673" s="41"/>
      <c r="CM673" s="41"/>
      <c r="CN673" s="41"/>
      <c r="CO673" s="41"/>
      <c r="CP673" s="41"/>
      <c r="CQ673" s="41"/>
      <c r="CR673" s="41"/>
      <c r="CS673" s="41"/>
    </row>
    <row r="674" hidden="1">
      <c r="A674" s="59" t="s">
        <v>773</v>
      </c>
      <c r="B674" s="203" t="s">
        <v>2579</v>
      </c>
      <c r="C674" s="41" t="s">
        <v>2580</v>
      </c>
      <c r="D674" s="45" t="s">
        <v>2581</v>
      </c>
      <c r="E674" s="41"/>
      <c r="F674" s="168"/>
      <c r="G674" s="168"/>
      <c r="H674" s="168" t="s">
        <v>25</v>
      </c>
      <c r="I674" s="168" t="s">
        <v>25</v>
      </c>
      <c r="J674" s="168" t="s">
        <v>25</v>
      </c>
      <c r="K674" s="163" t="str">
        <f>VLOOKUP(C674,'Term Reference Guide'!$C:$C,1,false)</f>
        <v>GENEPIO:0100120</v>
      </c>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c r="BP674" s="41"/>
      <c r="BQ674" s="41"/>
      <c r="BR674" s="41"/>
      <c r="BS674" s="41"/>
      <c r="BT674" s="41"/>
      <c r="BU674" s="41"/>
      <c r="BV674" s="41"/>
      <c r="BW674" s="41"/>
      <c r="BX674" s="41"/>
      <c r="BY674" s="41"/>
      <c r="BZ674" s="41"/>
      <c r="CA674" s="41"/>
      <c r="CB674" s="41"/>
      <c r="CC674" s="41"/>
      <c r="CD674" s="41"/>
      <c r="CE674" s="41"/>
      <c r="CF674" s="41"/>
      <c r="CG674" s="41"/>
      <c r="CH674" s="41"/>
      <c r="CI674" s="41"/>
      <c r="CJ674" s="41"/>
      <c r="CK674" s="41"/>
      <c r="CL674" s="41"/>
      <c r="CM674" s="41"/>
      <c r="CN674" s="41"/>
      <c r="CO674" s="41"/>
      <c r="CP674" s="41"/>
      <c r="CQ674" s="41"/>
      <c r="CR674" s="41"/>
      <c r="CS674" s="41"/>
    </row>
    <row r="675" hidden="1">
      <c r="A675" s="59" t="s">
        <v>773</v>
      </c>
      <c r="B675" s="203" t="s">
        <v>2582</v>
      </c>
      <c r="C675" s="41" t="s">
        <v>2583</v>
      </c>
      <c r="D675" s="45" t="s">
        <v>2584</v>
      </c>
      <c r="E675" s="41"/>
      <c r="F675" s="168"/>
      <c r="G675" s="168"/>
      <c r="H675" s="168" t="s">
        <v>25</v>
      </c>
      <c r="I675" s="168" t="s">
        <v>25</v>
      </c>
      <c r="J675" s="168" t="s">
        <v>25</v>
      </c>
      <c r="K675" s="163" t="str">
        <f>VLOOKUP(C675,'Term Reference Guide'!$C:$C,1,false)</f>
        <v>GENEPIO:0100121</v>
      </c>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c r="BP675" s="41"/>
      <c r="BQ675" s="41"/>
      <c r="BR675" s="41"/>
      <c r="BS675" s="41"/>
      <c r="BT675" s="41"/>
      <c r="BU675" s="41"/>
      <c r="BV675" s="41"/>
      <c r="BW675" s="41"/>
      <c r="BX675" s="41"/>
      <c r="BY675" s="41"/>
      <c r="BZ675" s="41"/>
      <c r="CA675" s="41"/>
      <c r="CB675" s="41"/>
      <c r="CC675" s="41"/>
      <c r="CD675" s="41"/>
      <c r="CE675" s="41"/>
      <c r="CF675" s="41"/>
      <c r="CG675" s="41"/>
      <c r="CH675" s="41"/>
      <c r="CI675" s="41"/>
      <c r="CJ675" s="41"/>
      <c r="CK675" s="41"/>
      <c r="CL675" s="41"/>
      <c r="CM675" s="41"/>
      <c r="CN675" s="41"/>
      <c r="CO675" s="41"/>
      <c r="CP675" s="41"/>
      <c r="CQ675" s="41"/>
      <c r="CR675" s="41"/>
      <c r="CS675" s="41"/>
    </row>
    <row r="676" hidden="1">
      <c r="A676" s="59" t="s">
        <v>773</v>
      </c>
      <c r="B676" s="203" t="s">
        <v>2585</v>
      </c>
      <c r="C676" s="41" t="s">
        <v>2586</v>
      </c>
      <c r="D676" s="60" t="s">
        <v>2587</v>
      </c>
      <c r="E676" s="41"/>
      <c r="F676" s="168"/>
      <c r="G676" s="168"/>
      <c r="H676" s="168" t="s">
        <v>25</v>
      </c>
      <c r="I676" s="168" t="s">
        <v>25</v>
      </c>
      <c r="J676" s="168" t="s">
        <v>25</v>
      </c>
      <c r="K676" s="163" t="str">
        <f>VLOOKUP(C676,'Term Reference Guide'!$C:$C,1,false)</f>
        <v>GENEPIO:0100122</v>
      </c>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c r="BP676" s="41"/>
      <c r="BQ676" s="41"/>
      <c r="BR676" s="41"/>
      <c r="BS676" s="41"/>
      <c r="BT676" s="41"/>
      <c r="BU676" s="41"/>
      <c r="BV676" s="41"/>
      <c r="BW676" s="41"/>
      <c r="BX676" s="41"/>
      <c r="BY676" s="41"/>
      <c r="BZ676" s="41"/>
      <c r="CA676" s="41"/>
      <c r="CB676" s="41"/>
      <c r="CC676" s="41"/>
      <c r="CD676" s="41"/>
      <c r="CE676" s="41"/>
      <c r="CF676" s="41"/>
      <c r="CG676" s="41"/>
      <c r="CH676" s="41"/>
      <c r="CI676" s="41"/>
      <c r="CJ676" s="41"/>
      <c r="CK676" s="41"/>
      <c r="CL676" s="41"/>
      <c r="CM676" s="41"/>
      <c r="CN676" s="41"/>
      <c r="CO676" s="41"/>
      <c r="CP676" s="41"/>
      <c r="CQ676" s="41"/>
      <c r="CR676" s="41"/>
      <c r="CS676" s="41"/>
    </row>
    <row r="677" hidden="1">
      <c r="A677" s="59" t="s">
        <v>773</v>
      </c>
      <c r="B677" s="203" t="s">
        <v>2588</v>
      </c>
      <c r="C677" s="41" t="s">
        <v>2589</v>
      </c>
      <c r="D677" s="45" t="s">
        <v>2590</v>
      </c>
      <c r="E677" s="41"/>
      <c r="F677" s="168"/>
      <c r="G677" s="168"/>
      <c r="H677" s="168" t="s">
        <v>25</v>
      </c>
      <c r="I677" s="168" t="s">
        <v>25</v>
      </c>
      <c r="J677" s="168" t="s">
        <v>25</v>
      </c>
      <c r="K677" s="163" t="str">
        <f>VLOOKUP(C677,'Term Reference Guide'!$C:$C,1,false)</f>
        <v>GENEPIO:0100123</v>
      </c>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c r="BP677" s="41"/>
      <c r="BQ677" s="41"/>
      <c r="BR677" s="41"/>
      <c r="BS677" s="41"/>
      <c r="BT677" s="41"/>
      <c r="BU677" s="41"/>
      <c r="BV677" s="41"/>
      <c r="BW677" s="41"/>
      <c r="BX677" s="41"/>
      <c r="BY677" s="41"/>
      <c r="BZ677" s="41"/>
      <c r="CA677" s="41"/>
      <c r="CB677" s="41"/>
      <c r="CC677" s="41"/>
      <c r="CD677" s="41"/>
      <c r="CE677" s="41"/>
      <c r="CF677" s="41"/>
      <c r="CG677" s="41"/>
      <c r="CH677" s="41"/>
      <c r="CI677" s="41"/>
      <c r="CJ677" s="41"/>
      <c r="CK677" s="41"/>
      <c r="CL677" s="41"/>
      <c r="CM677" s="41"/>
      <c r="CN677" s="41"/>
      <c r="CO677" s="41"/>
      <c r="CP677" s="41"/>
      <c r="CQ677" s="41"/>
      <c r="CR677" s="41"/>
      <c r="CS677" s="41"/>
    </row>
    <row r="678" hidden="1">
      <c r="A678" s="59" t="s">
        <v>773</v>
      </c>
      <c r="B678" s="203" t="s">
        <v>2591</v>
      </c>
      <c r="C678" s="41" t="s">
        <v>2592</v>
      </c>
      <c r="D678" s="45" t="s">
        <v>2593</v>
      </c>
      <c r="E678" s="41"/>
      <c r="F678" s="168"/>
      <c r="G678" s="168"/>
      <c r="H678" s="168" t="s">
        <v>25</v>
      </c>
      <c r="I678" s="168" t="s">
        <v>25</v>
      </c>
      <c r="J678" s="168" t="s">
        <v>25</v>
      </c>
      <c r="K678" s="163" t="str">
        <f>VLOOKUP(C678,'Term Reference Guide'!$C:$C,1,false)</f>
        <v>GENEPIO:0100124</v>
      </c>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c r="BP678" s="41"/>
      <c r="BQ678" s="41"/>
      <c r="BR678" s="41"/>
      <c r="BS678" s="41"/>
      <c r="BT678" s="41"/>
      <c r="BU678" s="41"/>
      <c r="BV678" s="41"/>
      <c r="BW678" s="41"/>
      <c r="BX678" s="41"/>
      <c r="BY678" s="41"/>
      <c r="BZ678" s="41"/>
      <c r="CA678" s="41"/>
      <c r="CB678" s="41"/>
      <c r="CC678" s="41"/>
      <c r="CD678" s="41"/>
      <c r="CE678" s="41"/>
      <c r="CF678" s="41"/>
      <c r="CG678" s="41"/>
      <c r="CH678" s="41"/>
      <c r="CI678" s="41"/>
      <c r="CJ678" s="41"/>
      <c r="CK678" s="41"/>
      <c r="CL678" s="41"/>
      <c r="CM678" s="41"/>
      <c r="CN678" s="41"/>
      <c r="CO678" s="41"/>
      <c r="CP678" s="41"/>
      <c r="CQ678" s="41"/>
      <c r="CR678" s="41"/>
      <c r="CS678" s="41"/>
    </row>
    <row r="679" hidden="1">
      <c r="A679" s="59" t="s">
        <v>773</v>
      </c>
      <c r="B679" s="203" t="s">
        <v>2594</v>
      </c>
      <c r="C679" s="41" t="s">
        <v>2595</v>
      </c>
      <c r="D679" s="45" t="s">
        <v>2596</v>
      </c>
      <c r="E679" s="41"/>
      <c r="F679" s="168"/>
      <c r="G679" s="168"/>
      <c r="H679" s="168" t="s">
        <v>25</v>
      </c>
      <c r="I679" s="168" t="s">
        <v>25</v>
      </c>
      <c r="J679" s="168" t="s">
        <v>25</v>
      </c>
      <c r="K679" s="163" t="str">
        <f>VLOOKUP(C679,'Term Reference Guide'!$C:$C,1,false)</f>
        <v>OBI:0002003</v>
      </c>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c r="BP679" s="41"/>
      <c r="BQ679" s="41"/>
      <c r="BR679" s="41"/>
      <c r="BS679" s="41"/>
      <c r="BT679" s="41"/>
      <c r="BU679" s="41"/>
      <c r="BV679" s="41"/>
      <c r="BW679" s="41"/>
      <c r="BX679" s="41"/>
      <c r="BY679" s="41"/>
      <c r="BZ679" s="41"/>
      <c r="CA679" s="41"/>
      <c r="CB679" s="41"/>
      <c r="CC679" s="41"/>
      <c r="CD679" s="41"/>
      <c r="CE679" s="41"/>
      <c r="CF679" s="41"/>
      <c r="CG679" s="41"/>
      <c r="CH679" s="41"/>
      <c r="CI679" s="41"/>
      <c r="CJ679" s="41"/>
      <c r="CK679" s="41"/>
      <c r="CL679" s="41"/>
      <c r="CM679" s="41"/>
      <c r="CN679" s="41"/>
      <c r="CO679" s="41"/>
      <c r="CP679" s="41"/>
      <c r="CQ679" s="41"/>
      <c r="CR679" s="41"/>
      <c r="CS679" s="41"/>
    </row>
    <row r="680" hidden="1">
      <c r="A680" s="59" t="s">
        <v>773</v>
      </c>
      <c r="B680" s="203" t="s">
        <v>2597</v>
      </c>
      <c r="C680" s="41" t="s">
        <v>2598</v>
      </c>
      <c r="D680" s="45" t="s">
        <v>2593</v>
      </c>
      <c r="E680" s="41"/>
      <c r="F680" s="168"/>
      <c r="G680" s="168"/>
      <c r="H680" s="168" t="s">
        <v>25</v>
      </c>
      <c r="I680" s="168" t="s">
        <v>25</v>
      </c>
      <c r="J680" s="168" t="s">
        <v>25</v>
      </c>
      <c r="K680" s="163" t="str">
        <f>VLOOKUP(C680,'Term Reference Guide'!$C:$C,1,false)</f>
        <v>GENEPIO:0100126</v>
      </c>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c r="BP680" s="41"/>
      <c r="BQ680" s="41"/>
      <c r="BR680" s="41"/>
      <c r="BS680" s="41"/>
      <c r="BT680" s="41"/>
      <c r="BU680" s="41"/>
      <c r="BV680" s="41"/>
      <c r="BW680" s="41"/>
      <c r="BX680" s="41"/>
      <c r="BY680" s="41"/>
      <c r="BZ680" s="41"/>
      <c r="CA680" s="41"/>
      <c r="CB680" s="41"/>
      <c r="CC680" s="41"/>
      <c r="CD680" s="41"/>
      <c r="CE680" s="41"/>
      <c r="CF680" s="41"/>
      <c r="CG680" s="41"/>
      <c r="CH680" s="41"/>
      <c r="CI680" s="41"/>
      <c r="CJ680" s="41"/>
      <c r="CK680" s="41"/>
      <c r="CL680" s="41"/>
      <c r="CM680" s="41"/>
      <c r="CN680" s="41"/>
      <c r="CO680" s="41"/>
      <c r="CP680" s="41"/>
      <c r="CQ680" s="41"/>
      <c r="CR680" s="41"/>
      <c r="CS680" s="41"/>
    </row>
    <row r="681" hidden="1">
      <c r="A681" s="59" t="s">
        <v>773</v>
      </c>
      <c r="B681" s="203" t="s">
        <v>2599</v>
      </c>
      <c r="C681" s="41" t="s">
        <v>2600</v>
      </c>
      <c r="D681" s="45" t="s">
        <v>2601</v>
      </c>
      <c r="E681" s="41"/>
      <c r="F681" s="168"/>
      <c r="G681" s="168"/>
      <c r="H681" s="168" t="s">
        <v>25</v>
      </c>
      <c r="I681" s="168" t="s">
        <v>25</v>
      </c>
      <c r="J681" s="168" t="s">
        <v>25</v>
      </c>
      <c r="K681" s="163" t="str">
        <f>VLOOKUP(C681,'Term Reference Guide'!$C:$C,1,false)</f>
        <v>OBI:0002021</v>
      </c>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c r="BP681" s="41"/>
      <c r="BQ681" s="41"/>
      <c r="BR681" s="41"/>
      <c r="BS681" s="41"/>
      <c r="BT681" s="41"/>
      <c r="BU681" s="41"/>
      <c r="BV681" s="41"/>
      <c r="BW681" s="41"/>
      <c r="BX681" s="41"/>
      <c r="BY681" s="41"/>
      <c r="BZ681" s="41"/>
      <c r="CA681" s="41"/>
      <c r="CB681" s="41"/>
      <c r="CC681" s="41"/>
      <c r="CD681" s="41"/>
      <c r="CE681" s="41"/>
      <c r="CF681" s="41"/>
      <c r="CG681" s="41"/>
      <c r="CH681" s="41"/>
      <c r="CI681" s="41"/>
      <c r="CJ681" s="41"/>
      <c r="CK681" s="41"/>
      <c r="CL681" s="41"/>
      <c r="CM681" s="41"/>
      <c r="CN681" s="41"/>
      <c r="CO681" s="41"/>
      <c r="CP681" s="41"/>
      <c r="CQ681" s="41"/>
      <c r="CR681" s="41"/>
      <c r="CS681" s="41"/>
    </row>
    <row r="682" hidden="1">
      <c r="A682" s="59" t="s">
        <v>773</v>
      </c>
      <c r="B682" s="203" t="s">
        <v>2602</v>
      </c>
      <c r="C682" s="41" t="s">
        <v>2603</v>
      </c>
      <c r="D682" s="45" t="s">
        <v>2604</v>
      </c>
      <c r="E682" s="41"/>
      <c r="F682" s="168"/>
      <c r="G682" s="168"/>
      <c r="H682" s="168" t="s">
        <v>25</v>
      </c>
      <c r="I682" s="168" t="s">
        <v>25</v>
      </c>
      <c r="J682" s="168" t="s">
        <v>25</v>
      </c>
      <c r="K682" s="163" t="str">
        <f>VLOOKUP(C682,'Term Reference Guide'!$C:$C,1,false)</f>
        <v>GENEPIO:0100128</v>
      </c>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c r="BP682" s="41"/>
      <c r="BQ682" s="41"/>
      <c r="BR682" s="41"/>
      <c r="BS682" s="41"/>
      <c r="BT682" s="41"/>
      <c r="BU682" s="41"/>
      <c r="BV682" s="41"/>
      <c r="BW682" s="41"/>
      <c r="BX682" s="41"/>
      <c r="BY682" s="41"/>
      <c r="BZ682" s="41"/>
      <c r="CA682" s="41"/>
      <c r="CB682" s="41"/>
      <c r="CC682" s="41"/>
      <c r="CD682" s="41"/>
      <c r="CE682" s="41"/>
      <c r="CF682" s="41"/>
      <c r="CG682" s="41"/>
      <c r="CH682" s="41"/>
      <c r="CI682" s="41"/>
      <c r="CJ682" s="41"/>
      <c r="CK682" s="41"/>
      <c r="CL682" s="41"/>
      <c r="CM682" s="41"/>
      <c r="CN682" s="41"/>
      <c r="CO682" s="41"/>
      <c r="CP682" s="41"/>
      <c r="CQ682" s="41"/>
      <c r="CR682" s="41"/>
      <c r="CS682" s="41"/>
    </row>
    <row r="683" hidden="1">
      <c r="A683" s="59" t="s">
        <v>773</v>
      </c>
      <c r="B683" s="203" t="s">
        <v>2605</v>
      </c>
      <c r="C683" s="204" t="s">
        <v>2606</v>
      </c>
      <c r="D683" s="65" t="s">
        <v>2607</v>
      </c>
      <c r="E683" s="41"/>
      <c r="F683" s="168"/>
      <c r="G683" s="168"/>
      <c r="H683" s="168" t="s">
        <v>25</v>
      </c>
      <c r="I683" s="168" t="s">
        <v>25</v>
      </c>
      <c r="J683" s="168" t="s">
        <v>25</v>
      </c>
      <c r="K683" s="163" t="str">
        <f>VLOOKUP(C683,'Term Reference Guide'!$C:$C,1,false)</f>
        <v>GENEPIO:0004432</v>
      </c>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c r="BP683" s="41"/>
      <c r="BQ683" s="41"/>
      <c r="BR683" s="41"/>
      <c r="BS683" s="41"/>
      <c r="BT683" s="41"/>
      <c r="BU683" s="41"/>
      <c r="BV683" s="41"/>
      <c r="BW683" s="41"/>
      <c r="BX683" s="41"/>
      <c r="BY683" s="41"/>
      <c r="BZ683" s="41"/>
      <c r="CA683" s="41"/>
      <c r="CB683" s="41"/>
      <c r="CC683" s="41"/>
      <c r="CD683" s="41"/>
      <c r="CE683" s="41"/>
      <c r="CF683" s="41"/>
      <c r="CG683" s="41"/>
      <c r="CH683" s="41"/>
      <c r="CI683" s="41"/>
      <c r="CJ683" s="41"/>
      <c r="CK683" s="41"/>
      <c r="CL683" s="41"/>
      <c r="CM683" s="41"/>
      <c r="CN683" s="41"/>
      <c r="CO683" s="41"/>
      <c r="CP683" s="41"/>
      <c r="CQ683" s="41"/>
      <c r="CR683" s="41"/>
      <c r="CS683" s="41"/>
    </row>
    <row r="684" hidden="1">
      <c r="A684" s="59" t="s">
        <v>773</v>
      </c>
      <c r="B684" s="203" t="s">
        <v>2608</v>
      </c>
      <c r="C684" s="41" t="s">
        <v>2609</v>
      </c>
      <c r="D684" s="45" t="s">
        <v>2610</v>
      </c>
      <c r="E684" s="41"/>
      <c r="F684" s="168"/>
      <c r="G684" s="168"/>
      <c r="H684" s="168" t="s">
        <v>25</v>
      </c>
      <c r="I684" s="168" t="s">
        <v>25</v>
      </c>
      <c r="J684" s="168" t="s">
        <v>25</v>
      </c>
      <c r="K684" s="163" t="str">
        <f>VLOOKUP(C684,'Term Reference Guide'!$C:$C,1,false)</f>
        <v>GENEPIO:0100129</v>
      </c>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c r="BP684" s="41"/>
      <c r="BQ684" s="41"/>
      <c r="BR684" s="41"/>
      <c r="BS684" s="41"/>
      <c r="BT684" s="41"/>
      <c r="BU684" s="41"/>
      <c r="BV684" s="41"/>
      <c r="BW684" s="41"/>
      <c r="BX684" s="41"/>
      <c r="BY684" s="41"/>
      <c r="BZ684" s="41"/>
      <c r="CA684" s="41"/>
      <c r="CB684" s="41"/>
      <c r="CC684" s="41"/>
      <c r="CD684" s="41"/>
      <c r="CE684" s="41"/>
      <c r="CF684" s="41"/>
      <c r="CG684" s="41"/>
      <c r="CH684" s="41"/>
      <c r="CI684" s="41"/>
      <c r="CJ684" s="41"/>
      <c r="CK684" s="41"/>
      <c r="CL684" s="41"/>
      <c r="CM684" s="41"/>
      <c r="CN684" s="41"/>
      <c r="CO684" s="41"/>
      <c r="CP684" s="41"/>
      <c r="CQ684" s="41"/>
      <c r="CR684" s="41"/>
      <c r="CS684" s="41"/>
    </row>
    <row r="685" hidden="1">
      <c r="A685" s="59" t="s">
        <v>773</v>
      </c>
      <c r="B685" s="203" t="s">
        <v>2611</v>
      </c>
      <c r="C685" s="41" t="s">
        <v>2612</v>
      </c>
      <c r="D685" s="45" t="s">
        <v>2613</v>
      </c>
      <c r="E685" s="41"/>
      <c r="F685" s="168"/>
      <c r="G685" s="168"/>
      <c r="H685" s="168" t="s">
        <v>25</v>
      </c>
      <c r="I685" s="168" t="s">
        <v>25</v>
      </c>
      <c r="J685" s="168" t="s">
        <v>25</v>
      </c>
      <c r="K685" s="163" t="str">
        <f>VLOOKUP(C685,'Term Reference Guide'!$C:$C,1,false)</f>
        <v>GENEPIO:0100130</v>
      </c>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c r="BP685" s="41"/>
      <c r="BQ685" s="41"/>
      <c r="BR685" s="41"/>
      <c r="BS685" s="41"/>
      <c r="BT685" s="41"/>
      <c r="BU685" s="41"/>
      <c r="BV685" s="41"/>
      <c r="BW685" s="41"/>
      <c r="BX685" s="41"/>
      <c r="BY685" s="41"/>
      <c r="BZ685" s="41"/>
      <c r="CA685" s="41"/>
      <c r="CB685" s="41"/>
      <c r="CC685" s="41"/>
      <c r="CD685" s="41"/>
      <c r="CE685" s="41"/>
      <c r="CF685" s="41"/>
      <c r="CG685" s="41"/>
      <c r="CH685" s="41"/>
      <c r="CI685" s="41"/>
      <c r="CJ685" s="41"/>
      <c r="CK685" s="41"/>
      <c r="CL685" s="41"/>
      <c r="CM685" s="41"/>
      <c r="CN685" s="41"/>
      <c r="CO685" s="41"/>
      <c r="CP685" s="41"/>
      <c r="CQ685" s="41"/>
      <c r="CR685" s="41"/>
      <c r="CS685" s="41"/>
    </row>
    <row r="686" hidden="1">
      <c r="A686" s="59" t="s">
        <v>773</v>
      </c>
      <c r="B686" s="203" t="s">
        <v>2614</v>
      </c>
      <c r="C686" s="41" t="s">
        <v>2615</v>
      </c>
      <c r="D686" s="45" t="s">
        <v>2616</v>
      </c>
      <c r="E686" s="41"/>
      <c r="F686" s="168"/>
      <c r="G686" s="168"/>
      <c r="H686" s="168" t="s">
        <v>25</v>
      </c>
      <c r="I686" s="168" t="s">
        <v>25</v>
      </c>
      <c r="J686" s="168" t="s">
        <v>25</v>
      </c>
      <c r="K686" s="163" t="str">
        <f>VLOOKUP(C686,'Term Reference Guide'!$C:$C,1,false)</f>
        <v>GENEPIO:0100131</v>
      </c>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c r="BP686" s="41"/>
      <c r="BQ686" s="41"/>
      <c r="BR686" s="41"/>
      <c r="BS686" s="41"/>
      <c r="BT686" s="41"/>
      <c r="BU686" s="41"/>
      <c r="BV686" s="41"/>
      <c r="BW686" s="41"/>
      <c r="BX686" s="41"/>
      <c r="BY686" s="41"/>
      <c r="BZ686" s="41"/>
      <c r="CA686" s="41"/>
      <c r="CB686" s="41"/>
      <c r="CC686" s="41"/>
      <c r="CD686" s="41"/>
      <c r="CE686" s="41"/>
      <c r="CF686" s="41"/>
      <c r="CG686" s="41"/>
      <c r="CH686" s="41"/>
      <c r="CI686" s="41"/>
      <c r="CJ686" s="41"/>
      <c r="CK686" s="41"/>
      <c r="CL686" s="41"/>
      <c r="CM686" s="41"/>
      <c r="CN686" s="41"/>
      <c r="CO686" s="41"/>
      <c r="CP686" s="41"/>
      <c r="CQ686" s="41"/>
      <c r="CR686" s="41"/>
      <c r="CS686" s="41"/>
    </row>
    <row r="687" hidden="1">
      <c r="A687" s="59" t="s">
        <v>773</v>
      </c>
      <c r="B687" s="203" t="s">
        <v>2617</v>
      </c>
      <c r="C687" s="41" t="s">
        <v>2618</v>
      </c>
      <c r="D687" s="45" t="s">
        <v>2619</v>
      </c>
      <c r="E687" s="41"/>
      <c r="F687" s="168"/>
      <c r="G687" s="168"/>
      <c r="H687" s="168" t="s">
        <v>25</v>
      </c>
      <c r="I687" s="168" t="s">
        <v>25</v>
      </c>
      <c r="J687" s="168" t="s">
        <v>25</v>
      </c>
      <c r="K687" s="163" t="str">
        <f>VLOOKUP(C687,'Term Reference Guide'!$C:$C,1,false)</f>
        <v>OBI:0002012</v>
      </c>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c r="BP687" s="41"/>
      <c r="BQ687" s="41"/>
      <c r="BR687" s="41"/>
      <c r="BS687" s="41"/>
      <c r="BT687" s="41"/>
      <c r="BU687" s="41"/>
      <c r="BV687" s="41"/>
      <c r="BW687" s="41"/>
      <c r="BX687" s="41"/>
      <c r="BY687" s="41"/>
      <c r="BZ687" s="41"/>
      <c r="CA687" s="41"/>
      <c r="CB687" s="41"/>
      <c r="CC687" s="41"/>
      <c r="CD687" s="41"/>
      <c r="CE687" s="41"/>
      <c r="CF687" s="41"/>
      <c r="CG687" s="41"/>
      <c r="CH687" s="41"/>
      <c r="CI687" s="41"/>
      <c r="CJ687" s="41"/>
      <c r="CK687" s="41"/>
      <c r="CL687" s="41"/>
      <c r="CM687" s="41"/>
      <c r="CN687" s="41"/>
      <c r="CO687" s="41"/>
      <c r="CP687" s="41"/>
      <c r="CQ687" s="41"/>
      <c r="CR687" s="41"/>
      <c r="CS687" s="41"/>
    </row>
    <row r="688" hidden="1">
      <c r="A688" s="59" t="s">
        <v>773</v>
      </c>
      <c r="B688" s="203" t="s">
        <v>2620</v>
      </c>
      <c r="C688" s="41" t="s">
        <v>2621</v>
      </c>
      <c r="D688" s="45" t="s">
        <v>2622</v>
      </c>
      <c r="E688" s="41"/>
      <c r="F688" s="168"/>
      <c r="G688" s="168"/>
      <c r="H688" s="168" t="s">
        <v>25</v>
      </c>
      <c r="I688" s="168" t="s">
        <v>25</v>
      </c>
      <c r="J688" s="168" t="s">
        <v>25</v>
      </c>
      <c r="K688" s="163" t="str">
        <f>VLOOKUP(C688,'Term Reference Guide'!$C:$C,1,false)</f>
        <v>GENEPIO:0100133</v>
      </c>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c r="BP688" s="41"/>
      <c r="BQ688" s="41"/>
      <c r="BR688" s="41"/>
      <c r="BS688" s="41"/>
      <c r="BT688" s="41"/>
      <c r="BU688" s="41"/>
      <c r="BV688" s="41"/>
      <c r="BW688" s="41"/>
      <c r="BX688" s="41"/>
      <c r="BY688" s="41"/>
      <c r="BZ688" s="41"/>
      <c r="CA688" s="41"/>
      <c r="CB688" s="41"/>
      <c r="CC688" s="41"/>
      <c r="CD688" s="41"/>
      <c r="CE688" s="41"/>
      <c r="CF688" s="41"/>
      <c r="CG688" s="41"/>
      <c r="CH688" s="41"/>
      <c r="CI688" s="41"/>
      <c r="CJ688" s="41"/>
      <c r="CK688" s="41"/>
      <c r="CL688" s="41"/>
      <c r="CM688" s="41"/>
      <c r="CN688" s="41"/>
      <c r="CO688" s="41"/>
      <c r="CP688" s="41"/>
      <c r="CQ688" s="41"/>
      <c r="CR688" s="41"/>
      <c r="CS688" s="41"/>
    </row>
    <row r="689" hidden="1">
      <c r="A689" s="59" t="s">
        <v>773</v>
      </c>
      <c r="B689" s="203" t="s">
        <v>2623</v>
      </c>
      <c r="C689" s="41" t="s">
        <v>2624</v>
      </c>
      <c r="D689" s="45" t="s">
        <v>2625</v>
      </c>
      <c r="E689" s="41"/>
      <c r="F689" s="168"/>
      <c r="G689" s="168"/>
      <c r="H689" s="168" t="s">
        <v>25</v>
      </c>
      <c r="I689" s="168" t="s">
        <v>25</v>
      </c>
      <c r="J689" s="168" t="s">
        <v>25</v>
      </c>
      <c r="K689" s="163" t="str">
        <f>VLOOKUP(C689,'Term Reference Guide'!$C:$C,1,false)</f>
        <v>GENEPIO:0100134</v>
      </c>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c r="BP689" s="41"/>
      <c r="BQ689" s="41"/>
      <c r="BR689" s="41"/>
      <c r="BS689" s="41"/>
      <c r="BT689" s="41"/>
      <c r="BU689" s="41"/>
      <c r="BV689" s="41"/>
      <c r="BW689" s="41"/>
      <c r="BX689" s="41"/>
      <c r="BY689" s="41"/>
      <c r="BZ689" s="41"/>
      <c r="CA689" s="41"/>
      <c r="CB689" s="41"/>
      <c r="CC689" s="41"/>
      <c r="CD689" s="41"/>
      <c r="CE689" s="41"/>
      <c r="CF689" s="41"/>
      <c r="CG689" s="41"/>
      <c r="CH689" s="41"/>
      <c r="CI689" s="41"/>
      <c r="CJ689" s="41"/>
      <c r="CK689" s="41"/>
      <c r="CL689" s="41"/>
      <c r="CM689" s="41"/>
      <c r="CN689" s="41"/>
      <c r="CO689" s="41"/>
      <c r="CP689" s="41"/>
      <c r="CQ689" s="41"/>
      <c r="CR689" s="41"/>
      <c r="CS689" s="41"/>
    </row>
    <row r="690" hidden="1">
      <c r="A690" s="59" t="s">
        <v>773</v>
      </c>
      <c r="B690" s="203" t="s">
        <v>2508</v>
      </c>
      <c r="C690" s="41" t="s">
        <v>2626</v>
      </c>
      <c r="D690" s="45" t="s">
        <v>2627</v>
      </c>
      <c r="E690" s="41"/>
      <c r="F690" s="168"/>
      <c r="G690" s="168"/>
      <c r="H690" s="168" t="s">
        <v>25</v>
      </c>
      <c r="I690" s="168" t="s">
        <v>25</v>
      </c>
      <c r="J690" s="168" t="s">
        <v>25</v>
      </c>
      <c r="K690" s="163" t="str">
        <f>VLOOKUP(C690,'Term Reference Guide'!$C:$C,1,false)</f>
        <v>GENEPIO:0100135</v>
      </c>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c r="BP690" s="41"/>
      <c r="BQ690" s="41"/>
      <c r="BR690" s="41"/>
      <c r="BS690" s="41"/>
      <c r="BT690" s="41"/>
      <c r="BU690" s="41"/>
      <c r="BV690" s="41"/>
      <c r="BW690" s="41"/>
      <c r="BX690" s="41"/>
      <c r="BY690" s="41"/>
      <c r="BZ690" s="41"/>
      <c r="CA690" s="41"/>
      <c r="CB690" s="41"/>
      <c r="CC690" s="41"/>
      <c r="CD690" s="41"/>
      <c r="CE690" s="41"/>
      <c r="CF690" s="41"/>
      <c r="CG690" s="41"/>
      <c r="CH690" s="41"/>
      <c r="CI690" s="41"/>
      <c r="CJ690" s="41"/>
      <c r="CK690" s="41"/>
      <c r="CL690" s="41"/>
      <c r="CM690" s="41"/>
      <c r="CN690" s="41"/>
      <c r="CO690" s="41"/>
      <c r="CP690" s="41"/>
      <c r="CQ690" s="41"/>
      <c r="CR690" s="41"/>
      <c r="CS690" s="41"/>
    </row>
    <row r="691" hidden="1">
      <c r="A691" s="59" t="s">
        <v>773</v>
      </c>
      <c r="B691" s="203" t="s">
        <v>2628</v>
      </c>
      <c r="C691" s="41" t="s">
        <v>2629</v>
      </c>
      <c r="D691" s="45" t="s">
        <v>2630</v>
      </c>
      <c r="E691" s="41"/>
      <c r="F691" s="168"/>
      <c r="G691" s="168"/>
      <c r="H691" s="168" t="s">
        <v>25</v>
      </c>
      <c r="I691" s="168" t="s">
        <v>25</v>
      </c>
      <c r="J691" s="168" t="s">
        <v>25</v>
      </c>
      <c r="K691" s="163" t="str">
        <f>VLOOKUP(C691,'Term Reference Guide'!$C:$C,1,false)</f>
        <v>GENEPIO:0100136</v>
      </c>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c r="BP691" s="41"/>
      <c r="BQ691" s="41"/>
      <c r="BR691" s="41"/>
      <c r="BS691" s="41"/>
      <c r="BT691" s="41"/>
      <c r="BU691" s="41"/>
      <c r="BV691" s="41"/>
      <c r="BW691" s="41"/>
      <c r="BX691" s="41"/>
      <c r="BY691" s="41"/>
      <c r="BZ691" s="41"/>
      <c r="CA691" s="41"/>
      <c r="CB691" s="41"/>
      <c r="CC691" s="41"/>
      <c r="CD691" s="41"/>
      <c r="CE691" s="41"/>
      <c r="CF691" s="41"/>
      <c r="CG691" s="41"/>
      <c r="CH691" s="41"/>
      <c r="CI691" s="41"/>
      <c r="CJ691" s="41"/>
      <c r="CK691" s="41"/>
      <c r="CL691" s="41"/>
      <c r="CM691" s="41"/>
      <c r="CN691" s="41"/>
      <c r="CO691" s="41"/>
      <c r="CP691" s="41"/>
      <c r="CQ691" s="41"/>
      <c r="CR691" s="41"/>
      <c r="CS691" s="41"/>
    </row>
    <row r="692" hidden="1">
      <c r="A692" s="59" t="s">
        <v>773</v>
      </c>
      <c r="B692" s="203" t="s">
        <v>2631</v>
      </c>
      <c r="C692" s="41" t="s">
        <v>2632</v>
      </c>
      <c r="D692" s="45" t="s">
        <v>2633</v>
      </c>
      <c r="E692" s="41"/>
      <c r="F692" s="168"/>
      <c r="G692" s="168"/>
      <c r="H692" s="168" t="s">
        <v>25</v>
      </c>
      <c r="I692" s="168" t="s">
        <v>25</v>
      </c>
      <c r="J692" s="168" t="s">
        <v>25</v>
      </c>
      <c r="K692" s="163" t="str">
        <f>VLOOKUP(C692,'Term Reference Guide'!$C:$C,1,false)</f>
        <v>GENEPIO:0100137</v>
      </c>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c r="BP692" s="41"/>
      <c r="BQ692" s="41"/>
      <c r="BR692" s="41"/>
      <c r="BS692" s="41"/>
      <c r="BT692" s="41"/>
      <c r="BU692" s="41"/>
      <c r="BV692" s="41"/>
      <c r="BW692" s="41"/>
      <c r="BX692" s="41"/>
      <c r="BY692" s="41"/>
      <c r="BZ692" s="41"/>
      <c r="CA692" s="41"/>
      <c r="CB692" s="41"/>
      <c r="CC692" s="41"/>
      <c r="CD692" s="41"/>
      <c r="CE692" s="41"/>
      <c r="CF692" s="41"/>
      <c r="CG692" s="41"/>
      <c r="CH692" s="41"/>
      <c r="CI692" s="41"/>
      <c r="CJ692" s="41"/>
      <c r="CK692" s="41"/>
      <c r="CL692" s="41"/>
      <c r="CM692" s="41"/>
      <c r="CN692" s="41"/>
      <c r="CO692" s="41"/>
      <c r="CP692" s="41"/>
      <c r="CQ692" s="41"/>
      <c r="CR692" s="41"/>
      <c r="CS692" s="41"/>
    </row>
    <row r="693" hidden="1">
      <c r="A693" s="59" t="s">
        <v>773</v>
      </c>
      <c r="B693" s="203" t="s">
        <v>2634</v>
      </c>
      <c r="C693" s="41" t="s">
        <v>2635</v>
      </c>
      <c r="D693" s="45" t="s">
        <v>2636</v>
      </c>
      <c r="E693" s="41"/>
      <c r="F693" s="168"/>
      <c r="G693" s="168"/>
      <c r="H693" s="168" t="s">
        <v>25</v>
      </c>
      <c r="I693" s="168" t="s">
        <v>25</v>
      </c>
      <c r="J693" s="168" t="s">
        <v>25</v>
      </c>
      <c r="K693" s="163" t="str">
        <f>VLOOKUP(C693,'Term Reference Guide'!$C:$C,1,false)</f>
        <v>GENEPIO:0100138</v>
      </c>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c r="BP693" s="41"/>
      <c r="BQ693" s="41"/>
      <c r="BR693" s="41"/>
      <c r="BS693" s="41"/>
      <c r="BT693" s="41"/>
      <c r="BU693" s="41"/>
      <c r="BV693" s="41"/>
      <c r="BW693" s="41"/>
      <c r="BX693" s="41"/>
      <c r="BY693" s="41"/>
      <c r="BZ693" s="41"/>
      <c r="CA693" s="41"/>
      <c r="CB693" s="41"/>
      <c r="CC693" s="41"/>
      <c r="CD693" s="41"/>
      <c r="CE693" s="41"/>
      <c r="CF693" s="41"/>
      <c r="CG693" s="41"/>
      <c r="CH693" s="41"/>
      <c r="CI693" s="41"/>
      <c r="CJ693" s="41"/>
      <c r="CK693" s="41"/>
      <c r="CL693" s="41"/>
      <c r="CM693" s="41"/>
      <c r="CN693" s="41"/>
      <c r="CO693" s="41"/>
      <c r="CP693" s="41"/>
      <c r="CQ693" s="41"/>
      <c r="CR693" s="41"/>
      <c r="CS693" s="41"/>
    </row>
    <row r="694" hidden="1">
      <c r="A694" s="59" t="s">
        <v>773</v>
      </c>
      <c r="B694" s="203" t="s">
        <v>2637</v>
      </c>
      <c r="C694" s="41" t="s">
        <v>2638</v>
      </c>
      <c r="D694" s="45" t="s">
        <v>2639</v>
      </c>
      <c r="E694" s="41"/>
      <c r="F694" s="168"/>
      <c r="G694" s="168"/>
      <c r="H694" s="168" t="s">
        <v>25</v>
      </c>
      <c r="I694" s="168" t="s">
        <v>25</v>
      </c>
      <c r="J694" s="168" t="s">
        <v>25</v>
      </c>
      <c r="K694" s="163" t="str">
        <f>VLOOKUP(C694,'Term Reference Guide'!$C:$C,1,false)</f>
        <v>GENEPIO:0100139</v>
      </c>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c r="BP694" s="41"/>
      <c r="BQ694" s="41"/>
      <c r="BR694" s="41"/>
      <c r="BS694" s="41"/>
      <c r="BT694" s="41"/>
      <c r="BU694" s="41"/>
      <c r="BV694" s="41"/>
      <c r="BW694" s="41"/>
      <c r="BX694" s="41"/>
      <c r="BY694" s="41"/>
      <c r="BZ694" s="41"/>
      <c r="CA694" s="41"/>
      <c r="CB694" s="41"/>
      <c r="CC694" s="41"/>
      <c r="CD694" s="41"/>
      <c r="CE694" s="41"/>
      <c r="CF694" s="41"/>
      <c r="CG694" s="41"/>
      <c r="CH694" s="41"/>
      <c r="CI694" s="41"/>
      <c r="CJ694" s="41"/>
      <c r="CK694" s="41"/>
      <c r="CL694" s="41"/>
      <c r="CM694" s="41"/>
      <c r="CN694" s="41"/>
      <c r="CO694" s="41"/>
      <c r="CP694" s="41"/>
      <c r="CQ694" s="41"/>
      <c r="CR694" s="41"/>
      <c r="CS694" s="41"/>
    </row>
    <row r="695" hidden="1">
      <c r="A695" s="59" t="s">
        <v>773</v>
      </c>
      <c r="B695" s="203" t="s">
        <v>2640</v>
      </c>
      <c r="C695" s="41" t="s">
        <v>2641</v>
      </c>
      <c r="D695" s="45" t="s">
        <v>2642</v>
      </c>
      <c r="E695" s="41"/>
      <c r="F695" s="168"/>
      <c r="G695" s="168"/>
      <c r="H695" s="168" t="s">
        <v>25</v>
      </c>
      <c r="I695" s="168" t="s">
        <v>25</v>
      </c>
      <c r="J695" s="168" t="s">
        <v>25</v>
      </c>
      <c r="K695" s="163" t="str">
        <f>VLOOKUP(C695,'Term Reference Guide'!$C:$C,1,false)</f>
        <v>GENEPIO:0100140</v>
      </c>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c r="BP695" s="41"/>
      <c r="BQ695" s="41"/>
      <c r="BR695" s="41"/>
      <c r="BS695" s="41"/>
      <c r="BT695" s="41"/>
      <c r="BU695" s="41"/>
      <c r="BV695" s="41"/>
      <c r="BW695" s="41"/>
      <c r="BX695" s="41"/>
      <c r="BY695" s="41"/>
      <c r="BZ695" s="41"/>
      <c r="CA695" s="41"/>
      <c r="CB695" s="41"/>
      <c r="CC695" s="41"/>
      <c r="CD695" s="41"/>
      <c r="CE695" s="41"/>
      <c r="CF695" s="41"/>
      <c r="CG695" s="41"/>
      <c r="CH695" s="41"/>
      <c r="CI695" s="41"/>
      <c r="CJ695" s="41"/>
      <c r="CK695" s="41"/>
      <c r="CL695" s="41"/>
      <c r="CM695" s="41"/>
      <c r="CN695" s="41"/>
      <c r="CO695" s="41"/>
      <c r="CP695" s="41"/>
      <c r="CQ695" s="41"/>
      <c r="CR695" s="41"/>
      <c r="CS695" s="41"/>
    </row>
    <row r="696" hidden="1">
      <c r="A696" s="59" t="s">
        <v>773</v>
      </c>
      <c r="B696" s="203" t="s">
        <v>2643</v>
      </c>
      <c r="C696" s="205" t="s">
        <v>2644</v>
      </c>
      <c r="D696" s="45" t="s">
        <v>2645</v>
      </c>
      <c r="E696" s="41"/>
      <c r="F696" s="168"/>
      <c r="G696" s="168"/>
      <c r="H696" s="168" t="s">
        <v>25</v>
      </c>
      <c r="I696" s="168" t="s">
        <v>25</v>
      </c>
      <c r="J696" s="168" t="s">
        <v>25</v>
      </c>
      <c r="K696" s="163" t="str">
        <f>VLOOKUP(C696,'Term Reference Guide'!$C:$C,1,false)</f>
        <v>GENEPIO:0004433</v>
      </c>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c r="BP696" s="41"/>
      <c r="BQ696" s="41"/>
      <c r="BR696" s="41"/>
      <c r="BS696" s="41"/>
      <c r="BT696" s="41"/>
      <c r="BU696" s="41"/>
      <c r="BV696" s="41"/>
      <c r="BW696" s="41"/>
      <c r="BX696" s="41"/>
      <c r="BY696" s="41"/>
      <c r="BZ696" s="41"/>
      <c r="CA696" s="41"/>
      <c r="CB696" s="41"/>
      <c r="CC696" s="41"/>
      <c r="CD696" s="41"/>
      <c r="CE696" s="41"/>
      <c r="CF696" s="41"/>
      <c r="CG696" s="41"/>
      <c r="CH696" s="41"/>
      <c r="CI696" s="41"/>
      <c r="CJ696" s="41"/>
      <c r="CK696" s="41"/>
      <c r="CL696" s="41"/>
      <c r="CM696" s="41"/>
      <c r="CN696" s="41"/>
      <c r="CO696" s="41"/>
      <c r="CP696" s="41"/>
      <c r="CQ696" s="41"/>
      <c r="CR696" s="41"/>
      <c r="CS696" s="41"/>
    </row>
    <row r="697" hidden="1">
      <c r="A697" s="59" t="s">
        <v>773</v>
      </c>
      <c r="B697" s="203" t="s">
        <v>2646</v>
      </c>
      <c r="C697" s="41" t="s">
        <v>2647</v>
      </c>
      <c r="D697" s="45" t="s">
        <v>2648</v>
      </c>
      <c r="E697" s="41"/>
      <c r="F697" s="168"/>
      <c r="G697" s="168"/>
      <c r="H697" s="168" t="s">
        <v>25</v>
      </c>
      <c r="I697" s="168" t="s">
        <v>25</v>
      </c>
      <c r="J697" s="168" t="s">
        <v>25</v>
      </c>
      <c r="K697" s="163" t="str">
        <f>VLOOKUP(C697,'Term Reference Guide'!$C:$C,1,false)</f>
        <v>GENEPIO:0100141</v>
      </c>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c r="BP697" s="41"/>
      <c r="BQ697" s="41"/>
      <c r="BR697" s="41"/>
      <c r="BS697" s="41"/>
      <c r="BT697" s="41"/>
      <c r="BU697" s="41"/>
      <c r="BV697" s="41"/>
      <c r="BW697" s="41"/>
      <c r="BX697" s="41"/>
      <c r="BY697" s="41"/>
      <c r="BZ697" s="41"/>
      <c r="CA697" s="41"/>
      <c r="CB697" s="41"/>
      <c r="CC697" s="41"/>
      <c r="CD697" s="41"/>
      <c r="CE697" s="41"/>
      <c r="CF697" s="41"/>
      <c r="CG697" s="41"/>
      <c r="CH697" s="41"/>
      <c r="CI697" s="41"/>
      <c r="CJ697" s="41"/>
      <c r="CK697" s="41"/>
      <c r="CL697" s="41"/>
      <c r="CM697" s="41"/>
      <c r="CN697" s="41"/>
      <c r="CO697" s="41"/>
      <c r="CP697" s="41"/>
      <c r="CQ697" s="41"/>
      <c r="CR697" s="41"/>
      <c r="CS697" s="41"/>
    </row>
    <row r="698" hidden="1">
      <c r="A698" s="59" t="s">
        <v>773</v>
      </c>
      <c r="B698" s="203" t="s">
        <v>2649</v>
      </c>
      <c r="C698" s="41" t="s">
        <v>2650</v>
      </c>
      <c r="D698" s="45" t="s">
        <v>2651</v>
      </c>
      <c r="E698" s="41"/>
      <c r="F698" s="168"/>
      <c r="G698" s="168"/>
      <c r="H698" s="168" t="s">
        <v>25</v>
      </c>
      <c r="I698" s="168" t="s">
        <v>25</v>
      </c>
      <c r="J698" s="168" t="s">
        <v>25</v>
      </c>
      <c r="K698" s="163" t="str">
        <f>VLOOKUP(C698,'Term Reference Guide'!$C:$C,1,false)</f>
        <v>GENEPIO:0100142</v>
      </c>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c r="BP698" s="41"/>
      <c r="BQ698" s="41"/>
      <c r="BR698" s="41"/>
      <c r="BS698" s="41"/>
      <c r="BT698" s="41"/>
      <c r="BU698" s="41"/>
      <c r="BV698" s="41"/>
      <c r="BW698" s="41"/>
      <c r="BX698" s="41"/>
      <c r="BY698" s="41"/>
      <c r="BZ698" s="41"/>
      <c r="CA698" s="41"/>
      <c r="CB698" s="41"/>
      <c r="CC698" s="41"/>
      <c r="CD698" s="41"/>
      <c r="CE698" s="41"/>
      <c r="CF698" s="41"/>
      <c r="CG698" s="41"/>
      <c r="CH698" s="41"/>
      <c r="CI698" s="41"/>
      <c r="CJ698" s="41"/>
      <c r="CK698" s="41"/>
      <c r="CL698" s="41"/>
      <c r="CM698" s="41"/>
      <c r="CN698" s="41"/>
      <c r="CO698" s="41"/>
      <c r="CP698" s="41"/>
      <c r="CQ698" s="41"/>
      <c r="CR698" s="41"/>
      <c r="CS698" s="41"/>
    </row>
    <row r="699" hidden="1">
      <c r="A699" s="59" t="s">
        <v>773</v>
      </c>
      <c r="B699" s="203" t="s">
        <v>2652</v>
      </c>
      <c r="C699" s="41" t="s">
        <v>2653</v>
      </c>
      <c r="D699" s="45" t="s">
        <v>2654</v>
      </c>
      <c r="E699" s="41"/>
      <c r="F699" s="168"/>
      <c r="G699" s="168"/>
      <c r="H699" s="168" t="s">
        <v>25</v>
      </c>
      <c r="I699" s="168" t="s">
        <v>25</v>
      </c>
      <c r="J699" s="168" t="s">
        <v>25</v>
      </c>
      <c r="K699" s="163" t="str">
        <f>VLOOKUP(C699,'Term Reference Guide'!$C:$C,1,false)</f>
        <v>GENEPIO:0100143</v>
      </c>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c r="BP699" s="41"/>
      <c r="BQ699" s="41"/>
      <c r="BR699" s="41"/>
      <c r="BS699" s="41"/>
      <c r="BT699" s="41"/>
      <c r="BU699" s="41"/>
      <c r="BV699" s="41"/>
      <c r="BW699" s="41"/>
      <c r="BX699" s="41"/>
      <c r="BY699" s="41"/>
      <c r="BZ699" s="41"/>
      <c r="CA699" s="41"/>
      <c r="CB699" s="41"/>
      <c r="CC699" s="41"/>
      <c r="CD699" s="41"/>
      <c r="CE699" s="41"/>
      <c r="CF699" s="41"/>
      <c r="CG699" s="41"/>
      <c r="CH699" s="41"/>
      <c r="CI699" s="41"/>
      <c r="CJ699" s="41"/>
      <c r="CK699" s="41"/>
      <c r="CL699" s="41"/>
      <c r="CM699" s="41"/>
      <c r="CN699" s="41"/>
      <c r="CO699" s="41"/>
      <c r="CP699" s="41"/>
      <c r="CQ699" s="41"/>
      <c r="CR699" s="41"/>
      <c r="CS699" s="41"/>
    </row>
    <row r="700" hidden="1">
      <c r="A700" s="59" t="s">
        <v>773</v>
      </c>
      <c r="B700" s="203" t="s">
        <v>2655</v>
      </c>
      <c r="C700" s="59" t="s">
        <v>2656</v>
      </c>
      <c r="D700" s="45" t="s">
        <v>2657</v>
      </c>
      <c r="E700" s="41"/>
      <c r="F700" s="168"/>
      <c r="G700" s="168"/>
      <c r="H700" s="168" t="s">
        <v>25</v>
      </c>
      <c r="I700" s="168" t="s">
        <v>25</v>
      </c>
      <c r="J700" s="168" t="s">
        <v>25</v>
      </c>
      <c r="K700" s="163" t="str">
        <f>VLOOKUP(C700,'Term Reference Guide'!$C:$C,1,false)</f>
        <v>GENEPIO:0100144</v>
      </c>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c r="BP700" s="41"/>
      <c r="BQ700" s="41"/>
      <c r="BR700" s="41"/>
      <c r="BS700" s="41"/>
      <c r="BT700" s="41"/>
      <c r="BU700" s="41"/>
      <c r="BV700" s="41"/>
      <c r="BW700" s="41"/>
      <c r="BX700" s="41"/>
      <c r="BY700" s="41"/>
      <c r="BZ700" s="41"/>
      <c r="CA700" s="41"/>
      <c r="CB700" s="41"/>
      <c r="CC700" s="41"/>
      <c r="CD700" s="41"/>
      <c r="CE700" s="41"/>
      <c r="CF700" s="41"/>
      <c r="CG700" s="41"/>
      <c r="CH700" s="41"/>
      <c r="CI700" s="41"/>
      <c r="CJ700" s="41"/>
      <c r="CK700" s="41"/>
      <c r="CL700" s="41"/>
      <c r="CM700" s="41"/>
      <c r="CN700" s="41"/>
      <c r="CO700" s="41"/>
      <c r="CP700" s="41"/>
      <c r="CQ700" s="41"/>
      <c r="CR700" s="41"/>
      <c r="CS700" s="41"/>
    </row>
    <row r="701" hidden="1">
      <c r="A701" s="59" t="s">
        <v>773</v>
      </c>
      <c r="B701" s="44" t="s">
        <v>2658</v>
      </c>
      <c r="C701" s="41" t="s">
        <v>2659</v>
      </c>
      <c r="D701" s="45" t="s">
        <v>2660</v>
      </c>
      <c r="E701" s="41"/>
      <c r="F701" s="168"/>
      <c r="G701" s="168"/>
      <c r="H701" s="168" t="s">
        <v>25</v>
      </c>
      <c r="I701" s="168" t="s">
        <v>25</v>
      </c>
      <c r="J701" s="168" t="s">
        <v>25</v>
      </c>
      <c r="K701" s="163" t="str">
        <f>VLOOKUP(C701,'Term Reference Guide'!$C:$C,1,false)</f>
        <v>GENEPIO:0100145</v>
      </c>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c r="BP701" s="41"/>
      <c r="BQ701" s="41"/>
      <c r="BR701" s="41"/>
      <c r="BS701" s="41"/>
      <c r="BT701" s="41"/>
      <c r="BU701" s="41"/>
      <c r="BV701" s="41"/>
      <c r="BW701" s="41"/>
      <c r="BX701" s="41"/>
      <c r="BY701" s="41"/>
      <c r="BZ701" s="41"/>
      <c r="CA701" s="41"/>
      <c r="CB701" s="41"/>
      <c r="CC701" s="41"/>
      <c r="CD701" s="41"/>
      <c r="CE701" s="41"/>
      <c r="CF701" s="41"/>
      <c r="CG701" s="41"/>
      <c r="CH701" s="41"/>
      <c r="CI701" s="41"/>
      <c r="CJ701" s="41"/>
      <c r="CK701" s="41"/>
      <c r="CL701" s="41"/>
      <c r="CM701" s="41"/>
      <c r="CN701" s="41"/>
      <c r="CO701" s="41"/>
      <c r="CP701" s="41"/>
      <c r="CQ701" s="41"/>
      <c r="CR701" s="41"/>
      <c r="CS701" s="41"/>
    </row>
    <row r="702" hidden="1">
      <c r="A702" s="59" t="s">
        <v>773</v>
      </c>
      <c r="B702" s="206" t="s">
        <v>2661</v>
      </c>
      <c r="C702" s="179" t="s">
        <v>2662</v>
      </c>
      <c r="D702" s="70" t="s">
        <v>2663</v>
      </c>
      <c r="E702" s="173"/>
      <c r="F702" s="168"/>
      <c r="G702" s="168"/>
      <c r="H702" s="168" t="s">
        <v>25</v>
      </c>
      <c r="I702" s="168" t="s">
        <v>25</v>
      </c>
      <c r="J702" s="168" t="s">
        <v>25</v>
      </c>
      <c r="K702" s="163" t="str">
        <f>VLOOKUP(C702,'Term Reference Guide'!$C:$C,1,false)</f>
        <v>GENEPIO:0100146</v>
      </c>
      <c r="L702" s="207"/>
      <c r="M702" s="207"/>
      <c r="N702" s="207"/>
      <c r="O702" s="207"/>
      <c r="P702" s="207"/>
      <c r="Q702" s="207"/>
      <c r="R702" s="207"/>
      <c r="S702" s="207"/>
      <c r="T702" s="207"/>
      <c r="U702" s="207"/>
      <c r="V702" s="207"/>
      <c r="W702" s="207"/>
      <c r="X702" s="207"/>
      <c r="Y702" s="207"/>
      <c r="Z702" s="207"/>
      <c r="AA702" s="207"/>
      <c r="AB702" s="207"/>
      <c r="AC702" s="207"/>
      <c r="AD702" s="207"/>
      <c r="AE702" s="207"/>
      <c r="AF702" s="207"/>
      <c r="AG702" s="207"/>
      <c r="AH702" s="207"/>
      <c r="AI702" s="207"/>
      <c r="AJ702" s="207"/>
      <c r="AK702" s="207"/>
      <c r="AL702" s="207"/>
      <c r="AM702" s="207"/>
      <c r="AN702" s="207"/>
      <c r="AO702" s="207"/>
      <c r="AP702" s="207"/>
      <c r="AQ702" s="207"/>
      <c r="AR702" s="207"/>
      <c r="AS702" s="207"/>
      <c r="AT702" s="207"/>
      <c r="AU702" s="207"/>
      <c r="AV702" s="207"/>
      <c r="AW702" s="207"/>
      <c r="AX702" s="207"/>
      <c r="AY702" s="207"/>
      <c r="AZ702" s="207"/>
      <c r="BA702" s="207"/>
      <c r="BB702" s="207"/>
      <c r="BC702" s="207"/>
      <c r="BD702" s="207"/>
      <c r="BE702" s="207"/>
      <c r="BF702" s="207"/>
      <c r="BG702" s="207"/>
      <c r="BH702" s="207"/>
      <c r="BI702" s="207"/>
      <c r="BJ702" s="207"/>
      <c r="BK702" s="207"/>
      <c r="BL702" s="207"/>
      <c r="BM702" s="207"/>
      <c r="BN702" s="207"/>
      <c r="BO702" s="207"/>
      <c r="BP702" s="207"/>
      <c r="BQ702" s="207"/>
      <c r="BR702" s="207"/>
      <c r="BS702" s="207"/>
      <c r="BT702" s="207"/>
      <c r="BU702" s="207"/>
      <c r="BV702" s="207"/>
      <c r="BW702" s="207"/>
      <c r="BX702" s="207"/>
      <c r="BY702" s="207"/>
      <c r="BZ702" s="207"/>
      <c r="CA702" s="207"/>
      <c r="CB702" s="207"/>
      <c r="CC702" s="207"/>
      <c r="CD702" s="207"/>
      <c r="CE702" s="207"/>
      <c r="CF702" s="207"/>
      <c r="CG702" s="207"/>
      <c r="CH702" s="207"/>
      <c r="CI702" s="207"/>
      <c r="CJ702" s="207"/>
      <c r="CK702" s="207"/>
      <c r="CL702" s="207"/>
      <c r="CM702" s="207"/>
      <c r="CN702" s="207"/>
      <c r="CO702" s="207"/>
      <c r="CP702" s="207"/>
      <c r="CQ702" s="207"/>
      <c r="CR702" s="207"/>
      <c r="CS702" s="207"/>
    </row>
    <row r="703" ht="17.25" hidden="1" customHeight="1">
      <c r="A703" s="59" t="s">
        <v>773</v>
      </c>
      <c r="B703" s="206" t="s">
        <v>2664</v>
      </c>
      <c r="C703" s="179" t="s">
        <v>2665</v>
      </c>
      <c r="D703" s="33" t="s">
        <v>2666</v>
      </c>
      <c r="E703" s="173"/>
      <c r="F703" s="168"/>
      <c r="G703" s="168"/>
      <c r="H703" s="168" t="s">
        <v>25</v>
      </c>
      <c r="I703" s="168" t="s">
        <v>25</v>
      </c>
      <c r="J703" s="168" t="s">
        <v>25</v>
      </c>
      <c r="K703" s="163" t="str">
        <f>VLOOKUP(C703,'Term Reference Guide'!$C:$C,1,false)</f>
        <v>GENEPIO:0100971</v>
      </c>
      <c r="L703" s="207"/>
      <c r="M703" s="207"/>
      <c r="N703" s="207"/>
      <c r="O703" s="207"/>
      <c r="P703" s="207"/>
      <c r="Q703" s="207"/>
      <c r="R703" s="207"/>
      <c r="S703" s="207"/>
      <c r="T703" s="207"/>
      <c r="U703" s="207"/>
      <c r="V703" s="207"/>
      <c r="W703" s="207"/>
      <c r="X703" s="207"/>
      <c r="Y703" s="207"/>
      <c r="Z703" s="207"/>
      <c r="AA703" s="207"/>
      <c r="AB703" s="207"/>
      <c r="AC703" s="207"/>
      <c r="AD703" s="207"/>
      <c r="AE703" s="207"/>
      <c r="AF703" s="207"/>
      <c r="AG703" s="207"/>
      <c r="AH703" s="207"/>
      <c r="AI703" s="207"/>
      <c r="AJ703" s="207"/>
      <c r="AK703" s="207"/>
      <c r="AL703" s="207"/>
      <c r="AM703" s="207"/>
      <c r="AN703" s="207"/>
      <c r="AO703" s="207"/>
      <c r="AP703" s="207"/>
      <c r="AQ703" s="207"/>
      <c r="AR703" s="207"/>
      <c r="AS703" s="207"/>
      <c r="AT703" s="207"/>
      <c r="AU703" s="207"/>
      <c r="AV703" s="207"/>
      <c r="AW703" s="207"/>
      <c r="AX703" s="207"/>
      <c r="AY703" s="207"/>
      <c r="AZ703" s="207"/>
      <c r="BA703" s="207"/>
      <c r="BB703" s="207"/>
      <c r="BC703" s="207"/>
      <c r="BD703" s="207"/>
      <c r="BE703" s="207"/>
      <c r="BF703" s="207"/>
      <c r="BG703" s="207"/>
      <c r="BH703" s="207"/>
      <c r="BI703" s="207"/>
      <c r="BJ703" s="207"/>
      <c r="BK703" s="207"/>
      <c r="BL703" s="207"/>
      <c r="BM703" s="207"/>
      <c r="BN703" s="207"/>
      <c r="BO703" s="207"/>
      <c r="BP703" s="207"/>
      <c r="BQ703" s="207"/>
      <c r="BR703" s="207"/>
      <c r="BS703" s="207"/>
      <c r="BT703" s="207"/>
      <c r="BU703" s="207"/>
      <c r="BV703" s="207"/>
      <c r="BW703" s="207"/>
      <c r="BX703" s="207"/>
      <c r="BY703" s="207"/>
      <c r="BZ703" s="207"/>
      <c r="CA703" s="207"/>
      <c r="CB703" s="207"/>
      <c r="CC703" s="207"/>
      <c r="CD703" s="207"/>
      <c r="CE703" s="207"/>
      <c r="CF703" s="207"/>
      <c r="CG703" s="207"/>
      <c r="CH703" s="207"/>
      <c r="CI703" s="207"/>
      <c r="CJ703" s="207"/>
      <c r="CK703" s="207"/>
      <c r="CL703" s="207"/>
      <c r="CM703" s="207"/>
      <c r="CN703" s="207"/>
      <c r="CO703" s="207"/>
      <c r="CP703" s="207"/>
      <c r="CQ703" s="207"/>
      <c r="CR703" s="207"/>
      <c r="CS703" s="207"/>
    </row>
    <row r="704" hidden="1">
      <c r="A704" s="59" t="s">
        <v>773</v>
      </c>
      <c r="B704" s="206" t="s">
        <v>2667</v>
      </c>
      <c r="C704" s="40" t="s">
        <v>2668</v>
      </c>
      <c r="D704" s="33" t="s">
        <v>2669</v>
      </c>
      <c r="E704" s="173"/>
      <c r="F704" s="168"/>
      <c r="G704" s="168"/>
      <c r="H704" s="168" t="s">
        <v>25</v>
      </c>
      <c r="I704" s="168" t="s">
        <v>25</v>
      </c>
      <c r="J704" s="168" t="s">
        <v>25</v>
      </c>
      <c r="K704" s="163" t="str">
        <f>VLOOKUP(C704,'Term Reference Guide'!$C:$C,1,false)</f>
        <v>GENEPIO:0100972</v>
      </c>
      <c r="L704" s="173"/>
      <c r="M704" s="173"/>
      <c r="N704" s="173"/>
      <c r="O704" s="173"/>
      <c r="P704" s="173"/>
      <c r="Q704" s="173"/>
      <c r="R704" s="173"/>
      <c r="S704" s="173"/>
      <c r="T704" s="173"/>
      <c r="U704" s="173"/>
      <c r="V704" s="173"/>
      <c r="W704" s="173"/>
      <c r="X704" s="173"/>
      <c r="Y704" s="173"/>
      <c r="Z704" s="173"/>
      <c r="AA704" s="173"/>
      <c r="AB704" s="173"/>
      <c r="AC704" s="173"/>
      <c r="AD704" s="173"/>
      <c r="AE704" s="173"/>
      <c r="AF704" s="173"/>
      <c r="AG704" s="173"/>
      <c r="AH704" s="173"/>
      <c r="AI704" s="173"/>
      <c r="AJ704" s="173"/>
      <c r="AK704" s="173"/>
      <c r="AL704" s="173"/>
      <c r="AM704" s="173"/>
      <c r="AN704" s="173"/>
      <c r="AO704" s="173"/>
      <c r="AP704" s="173"/>
      <c r="AQ704" s="173"/>
      <c r="AR704" s="173"/>
      <c r="AS704" s="173"/>
      <c r="AT704" s="173"/>
      <c r="AU704" s="173"/>
      <c r="AV704" s="173"/>
      <c r="AW704" s="173"/>
      <c r="AX704" s="173"/>
      <c r="AY704" s="173"/>
      <c r="AZ704" s="173"/>
      <c r="BA704" s="173"/>
      <c r="BB704" s="173"/>
      <c r="BC704" s="173"/>
      <c r="BD704" s="173"/>
      <c r="BE704" s="173"/>
      <c r="BF704" s="173"/>
      <c r="BG704" s="173"/>
      <c r="BH704" s="173"/>
      <c r="BI704" s="173"/>
      <c r="BJ704" s="173"/>
      <c r="BK704" s="173"/>
      <c r="BL704" s="173"/>
      <c r="BM704" s="173"/>
      <c r="BN704" s="173"/>
      <c r="BO704" s="173"/>
      <c r="BP704" s="173"/>
      <c r="BQ704" s="173"/>
      <c r="BR704" s="173"/>
      <c r="BS704" s="173"/>
      <c r="BT704" s="173"/>
      <c r="BU704" s="173"/>
      <c r="BV704" s="173"/>
      <c r="BW704" s="173"/>
      <c r="BX704" s="173"/>
      <c r="BY704" s="173"/>
      <c r="BZ704" s="173"/>
      <c r="CA704" s="173"/>
      <c r="CB704" s="173"/>
      <c r="CC704" s="173"/>
      <c r="CD704" s="173"/>
      <c r="CE704" s="173"/>
      <c r="CF704" s="173"/>
      <c r="CG704" s="173"/>
      <c r="CH704" s="173"/>
      <c r="CI704" s="173"/>
      <c r="CJ704" s="173"/>
      <c r="CK704" s="173"/>
      <c r="CL704" s="173"/>
      <c r="CM704" s="173"/>
      <c r="CN704" s="173"/>
      <c r="CO704" s="173"/>
      <c r="CP704" s="173"/>
      <c r="CQ704" s="173"/>
      <c r="CR704" s="173"/>
      <c r="CS704" s="173"/>
    </row>
    <row r="705" hidden="1">
      <c r="A705" s="59" t="s">
        <v>773</v>
      </c>
      <c r="B705" s="206" t="s">
        <v>2670</v>
      </c>
      <c r="C705" s="179" t="s">
        <v>2671</v>
      </c>
      <c r="D705" s="70" t="s">
        <v>2672</v>
      </c>
      <c r="E705" s="173"/>
      <c r="F705" s="168"/>
      <c r="G705" s="168"/>
      <c r="H705" s="168" t="s">
        <v>25</v>
      </c>
      <c r="I705" s="168" t="s">
        <v>25</v>
      </c>
      <c r="J705" s="168" t="s">
        <v>25</v>
      </c>
      <c r="K705" s="163" t="str">
        <f>VLOOKUP(C705,'Term Reference Guide'!$C:$C,1,false)</f>
        <v>GENEPIO:0100148</v>
      </c>
      <c r="L705" s="173"/>
      <c r="M705" s="173"/>
      <c r="N705" s="173"/>
      <c r="O705" s="173"/>
      <c r="P705" s="173"/>
      <c r="Q705" s="173"/>
      <c r="R705" s="173"/>
      <c r="S705" s="173"/>
      <c r="T705" s="173"/>
      <c r="U705" s="173"/>
      <c r="V705" s="173"/>
      <c r="W705" s="173"/>
      <c r="X705" s="173"/>
      <c r="Y705" s="173"/>
      <c r="Z705" s="173"/>
      <c r="AA705" s="173"/>
      <c r="AB705" s="173"/>
      <c r="AC705" s="173"/>
      <c r="AD705" s="173"/>
      <c r="AE705" s="173"/>
      <c r="AF705" s="173"/>
      <c r="AG705" s="173"/>
      <c r="AH705" s="173"/>
      <c r="AI705" s="173"/>
      <c r="AJ705" s="173"/>
      <c r="AK705" s="173"/>
      <c r="AL705" s="173"/>
      <c r="AM705" s="173"/>
      <c r="AN705" s="173"/>
      <c r="AO705" s="173"/>
      <c r="AP705" s="173"/>
      <c r="AQ705" s="173"/>
      <c r="AR705" s="173"/>
      <c r="AS705" s="173"/>
      <c r="AT705" s="173"/>
      <c r="AU705" s="173"/>
      <c r="AV705" s="173"/>
      <c r="AW705" s="173"/>
      <c r="AX705" s="173"/>
      <c r="AY705" s="173"/>
      <c r="AZ705" s="173"/>
      <c r="BA705" s="173"/>
      <c r="BB705" s="173"/>
      <c r="BC705" s="173"/>
      <c r="BD705" s="173"/>
      <c r="BE705" s="173"/>
      <c r="BF705" s="173"/>
      <c r="BG705" s="173"/>
      <c r="BH705" s="173"/>
      <c r="BI705" s="173"/>
      <c r="BJ705" s="173"/>
      <c r="BK705" s="173"/>
      <c r="BL705" s="173"/>
      <c r="BM705" s="173"/>
      <c r="BN705" s="173"/>
      <c r="BO705" s="173"/>
      <c r="BP705" s="173"/>
      <c r="BQ705" s="173"/>
      <c r="BR705" s="173"/>
      <c r="BS705" s="173"/>
      <c r="BT705" s="173"/>
      <c r="BU705" s="173"/>
      <c r="BV705" s="173"/>
      <c r="BW705" s="173"/>
      <c r="BX705" s="173"/>
      <c r="BY705" s="173"/>
      <c r="BZ705" s="173"/>
      <c r="CA705" s="173"/>
      <c r="CB705" s="173"/>
      <c r="CC705" s="173"/>
      <c r="CD705" s="173"/>
      <c r="CE705" s="173"/>
      <c r="CF705" s="173"/>
      <c r="CG705" s="173"/>
      <c r="CH705" s="173"/>
      <c r="CI705" s="173"/>
      <c r="CJ705" s="173"/>
      <c r="CK705" s="173"/>
      <c r="CL705" s="173"/>
      <c r="CM705" s="173"/>
      <c r="CN705" s="173"/>
      <c r="CO705" s="173"/>
      <c r="CP705" s="173"/>
      <c r="CQ705" s="173"/>
      <c r="CR705" s="173"/>
      <c r="CS705" s="173"/>
    </row>
    <row r="706" hidden="1">
      <c r="A706" s="59" t="s">
        <v>773</v>
      </c>
      <c r="B706" s="206" t="s">
        <v>2673</v>
      </c>
      <c r="C706" s="179" t="s">
        <v>2674</v>
      </c>
      <c r="D706" s="70" t="s">
        <v>2675</v>
      </c>
      <c r="E706" s="173"/>
      <c r="F706" s="168"/>
      <c r="G706" s="168"/>
      <c r="H706" s="168" t="s">
        <v>25</v>
      </c>
      <c r="I706" s="168" t="s">
        <v>25</v>
      </c>
      <c r="J706" s="168" t="s">
        <v>25</v>
      </c>
      <c r="K706" s="163" t="str">
        <f>VLOOKUP(C706,'Term Reference Guide'!$C:$C,1,false)</f>
        <v>GENEPIO:0100149</v>
      </c>
      <c r="L706" s="173"/>
      <c r="M706" s="173"/>
      <c r="N706" s="173"/>
      <c r="O706" s="173"/>
      <c r="P706" s="173"/>
      <c r="Q706" s="173"/>
      <c r="R706" s="173"/>
      <c r="S706" s="173"/>
      <c r="T706" s="173"/>
      <c r="U706" s="173"/>
      <c r="V706" s="173"/>
      <c r="W706" s="173"/>
      <c r="X706" s="173"/>
      <c r="Y706" s="173"/>
      <c r="Z706" s="173"/>
      <c r="AA706" s="173"/>
      <c r="AB706" s="173"/>
      <c r="AC706" s="173"/>
      <c r="AD706" s="173"/>
      <c r="AE706" s="173"/>
      <c r="AF706" s="173"/>
      <c r="AG706" s="173"/>
      <c r="AH706" s="173"/>
      <c r="AI706" s="173"/>
      <c r="AJ706" s="173"/>
      <c r="AK706" s="173"/>
      <c r="AL706" s="173"/>
      <c r="AM706" s="173"/>
      <c r="AN706" s="173"/>
      <c r="AO706" s="173"/>
      <c r="AP706" s="173"/>
      <c r="AQ706" s="173"/>
      <c r="AR706" s="173"/>
      <c r="AS706" s="173"/>
      <c r="AT706" s="173"/>
      <c r="AU706" s="173"/>
      <c r="AV706" s="173"/>
      <c r="AW706" s="173"/>
      <c r="AX706" s="173"/>
      <c r="AY706" s="173"/>
      <c r="AZ706" s="173"/>
      <c r="BA706" s="173"/>
      <c r="BB706" s="173"/>
      <c r="BC706" s="173"/>
      <c r="BD706" s="173"/>
      <c r="BE706" s="173"/>
      <c r="BF706" s="173"/>
      <c r="BG706" s="173"/>
      <c r="BH706" s="173"/>
      <c r="BI706" s="173"/>
      <c r="BJ706" s="173"/>
      <c r="BK706" s="173"/>
      <c r="BL706" s="173"/>
      <c r="BM706" s="173"/>
      <c r="BN706" s="173"/>
      <c r="BO706" s="173"/>
      <c r="BP706" s="173"/>
      <c r="BQ706" s="173"/>
      <c r="BR706" s="173"/>
      <c r="BS706" s="173"/>
      <c r="BT706" s="173"/>
      <c r="BU706" s="173"/>
      <c r="BV706" s="173"/>
      <c r="BW706" s="173"/>
      <c r="BX706" s="173"/>
      <c r="BY706" s="173"/>
      <c r="BZ706" s="173"/>
      <c r="CA706" s="173"/>
      <c r="CB706" s="173"/>
      <c r="CC706" s="173"/>
      <c r="CD706" s="173"/>
      <c r="CE706" s="173"/>
      <c r="CF706" s="173"/>
      <c r="CG706" s="173"/>
      <c r="CH706" s="173"/>
      <c r="CI706" s="173"/>
      <c r="CJ706" s="173"/>
      <c r="CK706" s="173"/>
      <c r="CL706" s="173"/>
      <c r="CM706" s="173"/>
      <c r="CN706" s="173"/>
      <c r="CO706" s="173"/>
      <c r="CP706" s="173"/>
      <c r="CQ706" s="173"/>
      <c r="CR706" s="173"/>
      <c r="CS706" s="173"/>
    </row>
    <row r="707" hidden="1">
      <c r="A707" s="59" t="s">
        <v>773</v>
      </c>
      <c r="B707" s="206" t="s">
        <v>2676</v>
      </c>
      <c r="C707" s="179" t="s">
        <v>2677</v>
      </c>
      <c r="D707" s="70" t="s">
        <v>2678</v>
      </c>
      <c r="E707" s="173"/>
      <c r="F707" s="168"/>
      <c r="G707" s="168"/>
      <c r="H707" s="168" t="s">
        <v>25</v>
      </c>
      <c r="I707" s="168" t="s">
        <v>25</v>
      </c>
      <c r="J707" s="168" t="s">
        <v>25</v>
      </c>
      <c r="K707" s="163" t="str">
        <f>VLOOKUP(C707,'Term Reference Guide'!$C:$C,1,false)</f>
        <v>GENEPIO:0100147</v>
      </c>
      <c r="L707" s="173"/>
      <c r="M707" s="173"/>
      <c r="N707" s="173"/>
      <c r="O707" s="173"/>
      <c r="P707" s="173"/>
      <c r="Q707" s="173"/>
      <c r="R707" s="173"/>
      <c r="S707" s="173"/>
      <c r="T707" s="173"/>
      <c r="U707" s="173"/>
      <c r="V707" s="173"/>
      <c r="W707" s="173"/>
      <c r="X707" s="173"/>
      <c r="Y707" s="173"/>
      <c r="Z707" s="173"/>
      <c r="AA707" s="173"/>
      <c r="AB707" s="173"/>
      <c r="AC707" s="173"/>
      <c r="AD707" s="173"/>
      <c r="AE707" s="173"/>
      <c r="AF707" s="173"/>
      <c r="AG707" s="173"/>
      <c r="AH707" s="173"/>
      <c r="AI707" s="173"/>
      <c r="AJ707" s="173"/>
      <c r="AK707" s="173"/>
      <c r="AL707" s="173"/>
      <c r="AM707" s="173"/>
      <c r="AN707" s="173"/>
      <c r="AO707" s="173"/>
      <c r="AP707" s="173"/>
      <c r="AQ707" s="173"/>
      <c r="AR707" s="173"/>
      <c r="AS707" s="173"/>
      <c r="AT707" s="173"/>
      <c r="AU707" s="173"/>
      <c r="AV707" s="173"/>
      <c r="AW707" s="173"/>
      <c r="AX707" s="173"/>
      <c r="AY707" s="173"/>
      <c r="AZ707" s="173"/>
      <c r="BA707" s="173"/>
      <c r="BB707" s="173"/>
      <c r="BC707" s="173"/>
      <c r="BD707" s="173"/>
      <c r="BE707" s="173"/>
      <c r="BF707" s="173"/>
      <c r="BG707" s="173"/>
      <c r="BH707" s="173"/>
      <c r="BI707" s="173"/>
      <c r="BJ707" s="173"/>
      <c r="BK707" s="173"/>
      <c r="BL707" s="173"/>
      <c r="BM707" s="173"/>
      <c r="BN707" s="173"/>
      <c r="BO707" s="173"/>
      <c r="BP707" s="173"/>
      <c r="BQ707" s="173"/>
      <c r="BR707" s="173"/>
      <c r="BS707" s="173"/>
      <c r="BT707" s="173"/>
      <c r="BU707" s="173"/>
      <c r="BV707" s="173"/>
      <c r="BW707" s="173"/>
      <c r="BX707" s="173"/>
      <c r="BY707" s="173"/>
      <c r="BZ707" s="173"/>
      <c r="CA707" s="173"/>
      <c r="CB707" s="173"/>
      <c r="CC707" s="173"/>
      <c r="CD707" s="173"/>
      <c r="CE707" s="173"/>
      <c r="CF707" s="173"/>
      <c r="CG707" s="173"/>
      <c r="CH707" s="173"/>
      <c r="CI707" s="173"/>
      <c r="CJ707" s="173"/>
      <c r="CK707" s="173"/>
      <c r="CL707" s="173"/>
      <c r="CM707" s="173"/>
      <c r="CN707" s="173"/>
      <c r="CO707" s="173"/>
      <c r="CP707" s="173"/>
      <c r="CQ707" s="173"/>
      <c r="CR707" s="173"/>
      <c r="CS707" s="173"/>
    </row>
    <row r="708" hidden="1">
      <c r="A708" s="59" t="s">
        <v>773</v>
      </c>
      <c r="B708" s="206" t="s">
        <v>2679</v>
      </c>
      <c r="C708" s="179" t="s">
        <v>2680</v>
      </c>
      <c r="D708" s="33" t="s">
        <v>2681</v>
      </c>
      <c r="E708" s="173"/>
      <c r="F708" s="168"/>
      <c r="G708" s="168"/>
      <c r="H708" s="168" t="s">
        <v>25</v>
      </c>
      <c r="I708" s="168" t="s">
        <v>25</v>
      </c>
      <c r="J708" s="168" t="s">
        <v>25</v>
      </c>
      <c r="K708" s="163" t="str">
        <f>VLOOKUP(C708,'Term Reference Guide'!$C:$C,1,false)</f>
        <v>GENEPIO:0100973</v>
      </c>
      <c r="L708" s="173"/>
      <c r="M708" s="173"/>
      <c r="N708" s="173"/>
      <c r="O708" s="173"/>
      <c r="P708" s="173"/>
      <c r="Q708" s="173"/>
      <c r="R708" s="173"/>
      <c r="S708" s="173"/>
      <c r="T708" s="173"/>
      <c r="U708" s="173"/>
      <c r="V708" s="173"/>
      <c r="W708" s="173"/>
      <c r="X708" s="173"/>
      <c r="Y708" s="173"/>
      <c r="Z708" s="173"/>
      <c r="AA708" s="173"/>
      <c r="AB708" s="173"/>
      <c r="AC708" s="173"/>
      <c r="AD708" s="173"/>
      <c r="AE708" s="173"/>
      <c r="AF708" s="173"/>
      <c r="AG708" s="173"/>
      <c r="AH708" s="173"/>
      <c r="AI708" s="173"/>
      <c r="AJ708" s="173"/>
      <c r="AK708" s="173"/>
      <c r="AL708" s="173"/>
      <c r="AM708" s="173"/>
      <c r="AN708" s="173"/>
      <c r="AO708" s="173"/>
      <c r="AP708" s="173"/>
      <c r="AQ708" s="173"/>
      <c r="AR708" s="173"/>
      <c r="AS708" s="173"/>
      <c r="AT708" s="173"/>
      <c r="AU708" s="173"/>
      <c r="AV708" s="173"/>
      <c r="AW708" s="173"/>
      <c r="AX708" s="173"/>
      <c r="AY708" s="173"/>
      <c r="AZ708" s="173"/>
      <c r="BA708" s="173"/>
      <c r="BB708" s="173"/>
      <c r="BC708" s="173"/>
      <c r="BD708" s="173"/>
      <c r="BE708" s="173"/>
      <c r="BF708" s="173"/>
      <c r="BG708" s="173"/>
      <c r="BH708" s="173"/>
      <c r="BI708" s="173"/>
      <c r="BJ708" s="173"/>
      <c r="BK708" s="173"/>
      <c r="BL708" s="173"/>
      <c r="BM708" s="173"/>
      <c r="BN708" s="173"/>
      <c r="BO708" s="173"/>
      <c r="BP708" s="173"/>
      <c r="BQ708" s="173"/>
      <c r="BR708" s="173"/>
      <c r="BS708" s="173"/>
      <c r="BT708" s="173"/>
      <c r="BU708" s="173"/>
      <c r="BV708" s="173"/>
      <c r="BW708" s="173"/>
      <c r="BX708" s="173"/>
      <c r="BY708" s="173"/>
      <c r="BZ708" s="173"/>
      <c r="CA708" s="173"/>
      <c r="CB708" s="173"/>
      <c r="CC708" s="173"/>
      <c r="CD708" s="173"/>
      <c r="CE708" s="173"/>
      <c r="CF708" s="173"/>
      <c r="CG708" s="173"/>
      <c r="CH708" s="173"/>
      <c r="CI708" s="173"/>
      <c r="CJ708" s="173"/>
      <c r="CK708" s="173"/>
      <c r="CL708" s="173"/>
      <c r="CM708" s="173"/>
      <c r="CN708" s="173"/>
      <c r="CO708" s="173"/>
      <c r="CP708" s="173"/>
      <c r="CQ708" s="173"/>
      <c r="CR708" s="173"/>
      <c r="CS708" s="173"/>
    </row>
    <row r="709" hidden="1">
      <c r="A709" s="59" t="s">
        <v>773</v>
      </c>
      <c r="B709" s="206" t="s">
        <v>2682</v>
      </c>
      <c r="C709" s="179" t="s">
        <v>2683</v>
      </c>
      <c r="D709" s="70" t="s">
        <v>2684</v>
      </c>
      <c r="E709" s="173"/>
      <c r="F709" s="168"/>
      <c r="G709" s="168"/>
      <c r="H709" s="168" t="s">
        <v>25</v>
      </c>
      <c r="I709" s="168" t="s">
        <v>25</v>
      </c>
      <c r="J709" s="168" t="s">
        <v>25</v>
      </c>
      <c r="K709" s="163" t="str">
        <f>VLOOKUP(C709,'Term Reference Guide'!$C:$C,1,false)</f>
        <v>GENEPIO:0100150</v>
      </c>
      <c r="L709" s="173"/>
      <c r="M709" s="173"/>
      <c r="N709" s="173"/>
      <c r="O709" s="173"/>
      <c r="P709" s="173"/>
      <c r="Q709" s="173"/>
      <c r="R709" s="173"/>
      <c r="S709" s="173"/>
      <c r="T709" s="173"/>
      <c r="U709" s="173"/>
      <c r="V709" s="173"/>
      <c r="W709" s="173"/>
      <c r="X709" s="173"/>
      <c r="Y709" s="173"/>
      <c r="Z709" s="173"/>
      <c r="AA709" s="173"/>
      <c r="AB709" s="173"/>
      <c r="AC709" s="173"/>
      <c r="AD709" s="173"/>
      <c r="AE709" s="173"/>
      <c r="AF709" s="173"/>
      <c r="AG709" s="173"/>
      <c r="AH709" s="173"/>
      <c r="AI709" s="173"/>
      <c r="AJ709" s="173"/>
      <c r="AK709" s="173"/>
      <c r="AL709" s="173"/>
      <c r="AM709" s="173"/>
      <c r="AN709" s="173"/>
      <c r="AO709" s="173"/>
      <c r="AP709" s="173"/>
      <c r="AQ709" s="173"/>
      <c r="AR709" s="173"/>
      <c r="AS709" s="173"/>
      <c r="AT709" s="173"/>
      <c r="AU709" s="173"/>
      <c r="AV709" s="173"/>
      <c r="AW709" s="173"/>
      <c r="AX709" s="173"/>
      <c r="AY709" s="173"/>
      <c r="AZ709" s="173"/>
      <c r="BA709" s="173"/>
      <c r="BB709" s="173"/>
      <c r="BC709" s="173"/>
      <c r="BD709" s="173"/>
      <c r="BE709" s="173"/>
      <c r="BF709" s="173"/>
      <c r="BG709" s="173"/>
      <c r="BH709" s="173"/>
      <c r="BI709" s="173"/>
      <c r="BJ709" s="173"/>
      <c r="BK709" s="173"/>
      <c r="BL709" s="173"/>
      <c r="BM709" s="173"/>
      <c r="BN709" s="173"/>
      <c r="BO709" s="173"/>
      <c r="BP709" s="173"/>
      <c r="BQ709" s="173"/>
      <c r="BR709" s="173"/>
      <c r="BS709" s="173"/>
      <c r="BT709" s="173"/>
      <c r="BU709" s="173"/>
      <c r="BV709" s="173"/>
      <c r="BW709" s="173"/>
      <c r="BX709" s="173"/>
      <c r="BY709" s="173"/>
      <c r="BZ709" s="173"/>
      <c r="CA709" s="173"/>
      <c r="CB709" s="173"/>
      <c r="CC709" s="173"/>
      <c r="CD709" s="173"/>
      <c r="CE709" s="173"/>
      <c r="CF709" s="173"/>
      <c r="CG709" s="173"/>
      <c r="CH709" s="173"/>
      <c r="CI709" s="173"/>
      <c r="CJ709" s="173"/>
      <c r="CK709" s="173"/>
      <c r="CL709" s="173"/>
      <c r="CM709" s="173"/>
      <c r="CN709" s="173"/>
      <c r="CO709" s="173"/>
      <c r="CP709" s="173"/>
      <c r="CQ709" s="173"/>
      <c r="CR709" s="173"/>
      <c r="CS709" s="173"/>
    </row>
    <row r="710" hidden="1">
      <c r="A710" s="59" t="s">
        <v>773</v>
      </c>
      <c r="B710" s="206" t="s">
        <v>2685</v>
      </c>
      <c r="C710" s="179" t="s">
        <v>2686</v>
      </c>
      <c r="D710" s="70" t="s">
        <v>2687</v>
      </c>
      <c r="E710" s="173"/>
      <c r="F710" s="168"/>
      <c r="G710" s="168"/>
      <c r="H710" s="168" t="s">
        <v>25</v>
      </c>
      <c r="I710" s="168" t="s">
        <v>25</v>
      </c>
      <c r="J710" s="168" t="s">
        <v>25</v>
      </c>
      <c r="K710" s="163" t="str">
        <f>VLOOKUP(C710,'Term Reference Guide'!$C:$C,1,false)</f>
        <v>GENEPIO:0001937</v>
      </c>
      <c r="L710" s="207"/>
      <c r="M710" s="207"/>
      <c r="N710" s="207"/>
      <c r="O710" s="207"/>
      <c r="P710" s="207"/>
      <c r="Q710" s="207"/>
      <c r="R710" s="207"/>
      <c r="S710" s="207"/>
      <c r="T710" s="207"/>
      <c r="U710" s="207"/>
      <c r="V710" s="207"/>
      <c r="W710" s="207"/>
      <c r="X710" s="207"/>
      <c r="Y710" s="207"/>
      <c r="Z710" s="207"/>
      <c r="AA710" s="207"/>
      <c r="AB710" s="207"/>
      <c r="AC710" s="207"/>
      <c r="AD710" s="207"/>
      <c r="AE710" s="207"/>
      <c r="AF710" s="207"/>
      <c r="AG710" s="207"/>
      <c r="AH710" s="207"/>
      <c r="AI710" s="207"/>
      <c r="AJ710" s="207"/>
      <c r="AK710" s="207"/>
      <c r="AL710" s="207"/>
      <c r="AM710" s="207"/>
      <c r="AN710" s="207"/>
      <c r="AO710" s="207"/>
      <c r="AP710" s="207"/>
      <c r="AQ710" s="207"/>
      <c r="AR710" s="207"/>
      <c r="AS710" s="207"/>
      <c r="AT710" s="207"/>
      <c r="AU710" s="207"/>
      <c r="AV710" s="207"/>
      <c r="AW710" s="207"/>
      <c r="AX710" s="207"/>
      <c r="AY710" s="207"/>
      <c r="AZ710" s="207"/>
      <c r="BA710" s="207"/>
      <c r="BB710" s="207"/>
      <c r="BC710" s="207"/>
      <c r="BD710" s="207"/>
      <c r="BE710" s="207"/>
      <c r="BF710" s="207"/>
      <c r="BG710" s="207"/>
      <c r="BH710" s="207"/>
      <c r="BI710" s="207"/>
      <c r="BJ710" s="207"/>
      <c r="BK710" s="207"/>
      <c r="BL710" s="207"/>
      <c r="BM710" s="207"/>
      <c r="BN710" s="207"/>
      <c r="BO710" s="207"/>
      <c r="BP710" s="207"/>
      <c r="BQ710" s="207"/>
      <c r="BR710" s="207"/>
      <c r="BS710" s="207"/>
      <c r="BT710" s="207"/>
      <c r="BU710" s="207"/>
      <c r="BV710" s="207"/>
      <c r="BW710" s="207"/>
      <c r="BX710" s="207"/>
      <c r="BY710" s="207"/>
      <c r="BZ710" s="207"/>
      <c r="CA710" s="207"/>
      <c r="CB710" s="207"/>
      <c r="CC710" s="207"/>
      <c r="CD710" s="207"/>
      <c r="CE710" s="207"/>
      <c r="CF710" s="207"/>
      <c r="CG710" s="207"/>
      <c r="CH710" s="207"/>
      <c r="CI710" s="207"/>
      <c r="CJ710" s="207"/>
      <c r="CK710" s="207"/>
      <c r="CL710" s="207"/>
      <c r="CM710" s="207"/>
      <c r="CN710" s="207"/>
      <c r="CO710" s="207"/>
      <c r="CP710" s="207"/>
      <c r="CQ710" s="207"/>
      <c r="CR710" s="207"/>
      <c r="CS710" s="207"/>
    </row>
    <row r="711" hidden="1">
      <c r="A711" s="59" t="s">
        <v>773</v>
      </c>
      <c r="B711" s="208" t="s">
        <v>2688</v>
      </c>
      <c r="C711" s="179" t="s">
        <v>2689</v>
      </c>
      <c r="D711" s="70" t="s">
        <v>2690</v>
      </c>
      <c r="E711" s="173"/>
      <c r="F711" s="168"/>
      <c r="G711" s="168"/>
      <c r="H711" s="168" t="s">
        <v>25</v>
      </c>
      <c r="I711" s="168" t="s">
        <v>25</v>
      </c>
      <c r="J711" s="168" t="s">
        <v>25</v>
      </c>
      <c r="K711" s="163" t="str">
        <f>VLOOKUP(C711,'Term Reference Guide'!$C:$C,1,false)</f>
        <v>OBI:0000689</v>
      </c>
      <c r="L711" s="173"/>
      <c r="M711" s="173"/>
      <c r="N711" s="173"/>
      <c r="O711" s="173"/>
      <c r="P711" s="173"/>
      <c r="Q711" s="173"/>
      <c r="R711" s="173"/>
      <c r="S711" s="173"/>
      <c r="T711" s="173"/>
      <c r="U711" s="173"/>
      <c r="V711" s="173"/>
      <c r="W711" s="173"/>
      <c r="X711" s="173"/>
      <c r="Y711" s="173"/>
      <c r="Z711" s="173"/>
      <c r="AA711" s="173"/>
      <c r="AB711" s="173"/>
      <c r="AC711" s="173"/>
      <c r="AD711" s="173"/>
      <c r="AE711" s="173"/>
      <c r="AF711" s="173"/>
      <c r="AG711" s="173"/>
      <c r="AH711" s="173"/>
      <c r="AI711" s="173"/>
      <c r="AJ711" s="173"/>
      <c r="AK711" s="173"/>
      <c r="AL711" s="173"/>
      <c r="AM711" s="173"/>
      <c r="AN711" s="173"/>
      <c r="AO711" s="173"/>
      <c r="AP711" s="173"/>
      <c r="AQ711" s="173"/>
      <c r="AR711" s="173"/>
      <c r="AS711" s="173"/>
      <c r="AT711" s="173"/>
      <c r="AU711" s="173"/>
      <c r="AV711" s="173"/>
      <c r="AW711" s="173"/>
      <c r="AX711" s="173"/>
      <c r="AY711" s="173"/>
      <c r="AZ711" s="173"/>
      <c r="BA711" s="173"/>
      <c r="BB711" s="173"/>
      <c r="BC711" s="173"/>
      <c r="BD711" s="173"/>
      <c r="BE711" s="173"/>
      <c r="BF711" s="173"/>
      <c r="BG711" s="173"/>
      <c r="BH711" s="173"/>
      <c r="BI711" s="173"/>
      <c r="BJ711" s="173"/>
      <c r="BK711" s="173"/>
      <c r="BL711" s="173"/>
      <c r="BM711" s="173"/>
      <c r="BN711" s="173"/>
      <c r="BO711" s="173"/>
      <c r="BP711" s="173"/>
      <c r="BQ711" s="173"/>
      <c r="BR711" s="173"/>
      <c r="BS711" s="173"/>
      <c r="BT711" s="173"/>
      <c r="BU711" s="173"/>
      <c r="BV711" s="173"/>
      <c r="BW711" s="173"/>
      <c r="BX711" s="173"/>
      <c r="BY711" s="173"/>
      <c r="BZ711" s="173"/>
      <c r="CA711" s="173"/>
      <c r="CB711" s="173"/>
      <c r="CC711" s="173"/>
      <c r="CD711" s="173"/>
      <c r="CE711" s="173"/>
      <c r="CF711" s="173"/>
      <c r="CG711" s="173"/>
      <c r="CH711" s="173"/>
      <c r="CI711" s="173"/>
      <c r="CJ711" s="173"/>
      <c r="CK711" s="173"/>
      <c r="CL711" s="173"/>
      <c r="CM711" s="173"/>
      <c r="CN711" s="173"/>
      <c r="CO711" s="173"/>
      <c r="CP711" s="173"/>
      <c r="CQ711" s="173"/>
      <c r="CR711" s="173"/>
      <c r="CS711" s="173"/>
    </row>
    <row r="712" hidden="1">
      <c r="A712" s="59" t="s">
        <v>773</v>
      </c>
      <c r="B712" s="208" t="s">
        <v>2691</v>
      </c>
      <c r="C712" s="179" t="s">
        <v>2692</v>
      </c>
      <c r="D712" s="70" t="s">
        <v>2693</v>
      </c>
      <c r="E712" s="173"/>
      <c r="F712" s="168"/>
      <c r="G712" s="168"/>
      <c r="H712" s="168" t="s">
        <v>25</v>
      </c>
      <c r="I712" s="168" t="s">
        <v>25</v>
      </c>
      <c r="J712" s="168" t="s">
        <v>25</v>
      </c>
      <c r="K712" s="163" t="str">
        <f>VLOOKUP(C712,'Term Reference Guide'!$C:$C,1,false)</f>
        <v>OBI:0000702</v>
      </c>
      <c r="L712" s="173"/>
      <c r="M712" s="173"/>
      <c r="N712" s="173"/>
      <c r="O712" s="173"/>
      <c r="P712" s="173"/>
      <c r="Q712" s="173"/>
      <c r="R712" s="173"/>
      <c r="S712" s="173"/>
      <c r="T712" s="173"/>
      <c r="U712" s="173"/>
      <c r="V712" s="173"/>
      <c r="W712" s="173"/>
      <c r="X712" s="173"/>
      <c r="Y712" s="173"/>
      <c r="Z712" s="173"/>
      <c r="AA712" s="173"/>
      <c r="AB712" s="173"/>
      <c r="AC712" s="173"/>
      <c r="AD712" s="173"/>
      <c r="AE712" s="173"/>
      <c r="AF712" s="173"/>
      <c r="AG712" s="173"/>
      <c r="AH712" s="173"/>
      <c r="AI712" s="173"/>
      <c r="AJ712" s="173"/>
      <c r="AK712" s="173"/>
      <c r="AL712" s="173"/>
      <c r="AM712" s="173"/>
      <c r="AN712" s="173"/>
      <c r="AO712" s="173"/>
      <c r="AP712" s="173"/>
      <c r="AQ712" s="173"/>
      <c r="AR712" s="173"/>
      <c r="AS712" s="173"/>
      <c r="AT712" s="173"/>
      <c r="AU712" s="173"/>
      <c r="AV712" s="173"/>
      <c r="AW712" s="173"/>
      <c r="AX712" s="173"/>
      <c r="AY712" s="173"/>
      <c r="AZ712" s="173"/>
      <c r="BA712" s="173"/>
      <c r="BB712" s="173"/>
      <c r="BC712" s="173"/>
      <c r="BD712" s="173"/>
      <c r="BE712" s="173"/>
      <c r="BF712" s="173"/>
      <c r="BG712" s="173"/>
      <c r="BH712" s="173"/>
      <c r="BI712" s="173"/>
      <c r="BJ712" s="173"/>
      <c r="BK712" s="173"/>
      <c r="BL712" s="173"/>
      <c r="BM712" s="173"/>
      <c r="BN712" s="173"/>
      <c r="BO712" s="173"/>
      <c r="BP712" s="173"/>
      <c r="BQ712" s="173"/>
      <c r="BR712" s="173"/>
      <c r="BS712" s="173"/>
      <c r="BT712" s="173"/>
      <c r="BU712" s="173"/>
      <c r="BV712" s="173"/>
      <c r="BW712" s="173"/>
      <c r="BX712" s="173"/>
      <c r="BY712" s="173"/>
      <c r="BZ712" s="173"/>
      <c r="CA712" s="173"/>
      <c r="CB712" s="173"/>
      <c r="CC712" s="173"/>
      <c r="CD712" s="173"/>
      <c r="CE712" s="173"/>
      <c r="CF712" s="173"/>
      <c r="CG712" s="173"/>
      <c r="CH712" s="173"/>
      <c r="CI712" s="173"/>
      <c r="CJ712" s="173"/>
      <c r="CK712" s="173"/>
      <c r="CL712" s="173"/>
      <c r="CM712" s="173"/>
      <c r="CN712" s="173"/>
      <c r="CO712" s="173"/>
      <c r="CP712" s="173"/>
      <c r="CQ712" s="173"/>
      <c r="CR712" s="173"/>
      <c r="CS712" s="173"/>
    </row>
    <row r="713" hidden="1">
      <c r="A713" s="59" t="s">
        <v>773</v>
      </c>
      <c r="B713" s="208" t="s">
        <v>2694</v>
      </c>
      <c r="C713" s="179" t="s">
        <v>2695</v>
      </c>
      <c r="D713" s="70" t="s">
        <v>2696</v>
      </c>
      <c r="E713" s="173"/>
      <c r="F713" s="168"/>
      <c r="G713" s="168"/>
      <c r="H713" s="168" t="s">
        <v>25</v>
      </c>
      <c r="I713" s="168" t="s">
        <v>25</v>
      </c>
      <c r="J713" s="168" t="s">
        <v>25</v>
      </c>
      <c r="K713" s="163" t="str">
        <f>VLOOKUP(C713,'Term Reference Guide'!$C:$C,1,false)</f>
        <v>GENEPIO:0100982</v>
      </c>
      <c r="L713" s="173"/>
      <c r="M713" s="173"/>
      <c r="N713" s="173"/>
      <c r="O713" s="173"/>
      <c r="P713" s="173"/>
      <c r="Q713" s="173"/>
      <c r="R713" s="173"/>
      <c r="S713" s="173"/>
      <c r="T713" s="173"/>
      <c r="U713" s="173"/>
      <c r="V713" s="173"/>
      <c r="W713" s="173"/>
      <c r="X713" s="173"/>
      <c r="Y713" s="173"/>
      <c r="Z713" s="173"/>
      <c r="AA713" s="173"/>
      <c r="AB713" s="173"/>
      <c r="AC713" s="173"/>
      <c r="AD713" s="173"/>
      <c r="AE713" s="173"/>
      <c r="AF713" s="173"/>
      <c r="AG713" s="173"/>
      <c r="AH713" s="173"/>
      <c r="AI713" s="173"/>
      <c r="AJ713" s="173"/>
      <c r="AK713" s="173"/>
      <c r="AL713" s="173"/>
      <c r="AM713" s="173"/>
      <c r="AN713" s="173"/>
      <c r="AO713" s="173"/>
      <c r="AP713" s="173"/>
      <c r="AQ713" s="173"/>
      <c r="AR713" s="173"/>
      <c r="AS713" s="173"/>
      <c r="AT713" s="173"/>
      <c r="AU713" s="173"/>
      <c r="AV713" s="173"/>
      <c r="AW713" s="173"/>
      <c r="AX713" s="173"/>
      <c r="AY713" s="173"/>
      <c r="AZ713" s="173"/>
      <c r="BA713" s="173"/>
      <c r="BB713" s="173"/>
      <c r="BC713" s="173"/>
      <c r="BD713" s="173"/>
      <c r="BE713" s="173"/>
      <c r="BF713" s="173"/>
      <c r="BG713" s="173"/>
      <c r="BH713" s="173"/>
      <c r="BI713" s="173"/>
      <c r="BJ713" s="173"/>
      <c r="BK713" s="173"/>
      <c r="BL713" s="173"/>
      <c r="BM713" s="173"/>
      <c r="BN713" s="173"/>
      <c r="BO713" s="173"/>
      <c r="BP713" s="173"/>
      <c r="BQ713" s="173"/>
      <c r="BR713" s="173"/>
      <c r="BS713" s="173"/>
      <c r="BT713" s="173"/>
      <c r="BU713" s="173"/>
      <c r="BV713" s="173"/>
      <c r="BW713" s="173"/>
      <c r="BX713" s="173"/>
      <c r="BY713" s="173"/>
      <c r="BZ713" s="173"/>
      <c r="CA713" s="173"/>
      <c r="CB713" s="173"/>
      <c r="CC713" s="173"/>
      <c r="CD713" s="173"/>
      <c r="CE713" s="173"/>
      <c r="CF713" s="173"/>
      <c r="CG713" s="173"/>
      <c r="CH713" s="173"/>
      <c r="CI713" s="173"/>
      <c r="CJ713" s="173"/>
      <c r="CK713" s="173"/>
      <c r="CL713" s="173"/>
      <c r="CM713" s="173"/>
      <c r="CN713" s="173"/>
      <c r="CO713" s="173"/>
      <c r="CP713" s="173"/>
      <c r="CQ713" s="173"/>
      <c r="CR713" s="173"/>
      <c r="CS713" s="173"/>
    </row>
    <row r="714" hidden="1">
      <c r="A714" s="59" t="s">
        <v>773</v>
      </c>
      <c r="B714" s="208" t="s">
        <v>2697</v>
      </c>
      <c r="C714" s="179" t="s">
        <v>2698</v>
      </c>
      <c r="D714" s="70" t="s">
        <v>2699</v>
      </c>
      <c r="E714" s="173"/>
      <c r="F714" s="168"/>
      <c r="G714" s="168"/>
      <c r="H714" s="168" t="s">
        <v>25</v>
      </c>
      <c r="I714" s="168" t="s">
        <v>25</v>
      </c>
      <c r="J714" s="168" t="s">
        <v>25</v>
      </c>
      <c r="K714" s="163" t="str">
        <f>VLOOKUP(C714,'Term Reference Guide'!$C:$C,1,false)</f>
        <v>GENEPIO:0001936</v>
      </c>
      <c r="L714" s="173"/>
      <c r="M714" s="173"/>
      <c r="N714" s="173"/>
      <c r="O714" s="173"/>
      <c r="P714" s="173"/>
      <c r="Q714" s="173"/>
      <c r="R714" s="173"/>
      <c r="S714" s="173"/>
      <c r="T714" s="173"/>
      <c r="U714" s="173"/>
      <c r="V714" s="173"/>
      <c r="W714" s="173"/>
      <c r="X714" s="173"/>
      <c r="Y714" s="173"/>
      <c r="Z714" s="173"/>
      <c r="AA714" s="173"/>
      <c r="AB714" s="173"/>
      <c r="AC714" s="173"/>
      <c r="AD714" s="173"/>
      <c r="AE714" s="173"/>
      <c r="AF714" s="173"/>
      <c r="AG714" s="173"/>
      <c r="AH714" s="173"/>
      <c r="AI714" s="173"/>
      <c r="AJ714" s="173"/>
      <c r="AK714" s="173"/>
      <c r="AL714" s="173"/>
      <c r="AM714" s="173"/>
      <c r="AN714" s="173"/>
      <c r="AO714" s="173"/>
      <c r="AP714" s="173"/>
      <c r="AQ714" s="173"/>
      <c r="AR714" s="173"/>
      <c r="AS714" s="173"/>
      <c r="AT714" s="173"/>
      <c r="AU714" s="173"/>
      <c r="AV714" s="173"/>
      <c r="AW714" s="173"/>
      <c r="AX714" s="173"/>
      <c r="AY714" s="173"/>
      <c r="AZ714" s="173"/>
      <c r="BA714" s="173"/>
      <c r="BB714" s="173"/>
      <c r="BC714" s="173"/>
      <c r="BD714" s="173"/>
      <c r="BE714" s="173"/>
      <c r="BF714" s="173"/>
      <c r="BG714" s="173"/>
      <c r="BH714" s="173"/>
      <c r="BI714" s="173"/>
      <c r="BJ714" s="173"/>
      <c r="BK714" s="173"/>
      <c r="BL714" s="173"/>
      <c r="BM714" s="173"/>
      <c r="BN714" s="173"/>
      <c r="BO714" s="173"/>
      <c r="BP714" s="173"/>
      <c r="BQ714" s="173"/>
      <c r="BR714" s="173"/>
      <c r="BS714" s="173"/>
      <c r="BT714" s="173"/>
      <c r="BU714" s="173"/>
      <c r="BV714" s="173"/>
      <c r="BW714" s="173"/>
      <c r="BX714" s="173"/>
      <c r="BY714" s="173"/>
      <c r="BZ714" s="173"/>
      <c r="CA714" s="173"/>
      <c r="CB714" s="173"/>
      <c r="CC714" s="173"/>
      <c r="CD714" s="173"/>
      <c r="CE714" s="173"/>
      <c r="CF714" s="173"/>
      <c r="CG714" s="173"/>
      <c r="CH714" s="173"/>
      <c r="CI714" s="173"/>
      <c r="CJ714" s="173"/>
      <c r="CK714" s="173"/>
      <c r="CL714" s="173"/>
      <c r="CM714" s="173"/>
      <c r="CN714" s="173"/>
      <c r="CO714" s="173"/>
      <c r="CP714" s="173"/>
      <c r="CQ714" s="173"/>
      <c r="CR714" s="173"/>
      <c r="CS714" s="173"/>
    </row>
    <row r="715" hidden="1">
      <c r="A715" s="59" t="s">
        <v>773</v>
      </c>
      <c r="B715" s="208" t="s">
        <v>2700</v>
      </c>
      <c r="C715" s="179" t="s">
        <v>2701</v>
      </c>
      <c r="D715" s="70" t="s">
        <v>2702</v>
      </c>
      <c r="E715" s="173"/>
      <c r="F715" s="168"/>
      <c r="G715" s="168"/>
      <c r="H715" s="168" t="s">
        <v>25</v>
      </c>
      <c r="I715" s="168" t="s">
        <v>25</v>
      </c>
      <c r="J715" s="168" t="s">
        <v>25</v>
      </c>
      <c r="K715" s="163" t="str">
        <f>VLOOKUP(C715,'Term Reference Guide'!$C:$C,1,false)</f>
        <v>GENEPIO:0001938</v>
      </c>
      <c r="L715" s="173"/>
      <c r="M715" s="173"/>
      <c r="N715" s="173"/>
      <c r="O715" s="173"/>
      <c r="P715" s="173"/>
      <c r="Q715" s="173"/>
      <c r="R715" s="173"/>
      <c r="S715" s="173"/>
      <c r="T715" s="173"/>
      <c r="U715" s="173"/>
      <c r="V715" s="173"/>
      <c r="W715" s="173"/>
      <c r="X715" s="173"/>
      <c r="Y715" s="173"/>
      <c r="Z715" s="173"/>
      <c r="AA715" s="173"/>
      <c r="AB715" s="173"/>
      <c r="AC715" s="173"/>
      <c r="AD715" s="173"/>
      <c r="AE715" s="173"/>
      <c r="AF715" s="173"/>
      <c r="AG715" s="173"/>
      <c r="AH715" s="173"/>
      <c r="AI715" s="173"/>
      <c r="AJ715" s="173"/>
      <c r="AK715" s="173"/>
      <c r="AL715" s="173"/>
      <c r="AM715" s="173"/>
      <c r="AN715" s="173"/>
      <c r="AO715" s="173"/>
      <c r="AP715" s="173"/>
      <c r="AQ715" s="173"/>
      <c r="AR715" s="173"/>
      <c r="AS715" s="173"/>
      <c r="AT715" s="173"/>
      <c r="AU715" s="173"/>
      <c r="AV715" s="173"/>
      <c r="AW715" s="173"/>
      <c r="AX715" s="173"/>
      <c r="AY715" s="173"/>
      <c r="AZ715" s="173"/>
      <c r="BA715" s="173"/>
      <c r="BB715" s="173"/>
      <c r="BC715" s="173"/>
      <c r="BD715" s="173"/>
      <c r="BE715" s="173"/>
      <c r="BF715" s="173"/>
      <c r="BG715" s="173"/>
      <c r="BH715" s="173"/>
      <c r="BI715" s="173"/>
      <c r="BJ715" s="173"/>
      <c r="BK715" s="173"/>
      <c r="BL715" s="173"/>
      <c r="BM715" s="173"/>
      <c r="BN715" s="173"/>
      <c r="BO715" s="173"/>
      <c r="BP715" s="173"/>
      <c r="BQ715" s="173"/>
      <c r="BR715" s="173"/>
      <c r="BS715" s="173"/>
      <c r="BT715" s="173"/>
      <c r="BU715" s="173"/>
      <c r="BV715" s="173"/>
      <c r="BW715" s="173"/>
      <c r="BX715" s="173"/>
      <c r="BY715" s="173"/>
      <c r="BZ715" s="173"/>
      <c r="CA715" s="173"/>
      <c r="CB715" s="173"/>
      <c r="CC715" s="173"/>
      <c r="CD715" s="173"/>
      <c r="CE715" s="173"/>
      <c r="CF715" s="173"/>
      <c r="CG715" s="173"/>
      <c r="CH715" s="173"/>
      <c r="CI715" s="173"/>
      <c r="CJ715" s="173"/>
      <c r="CK715" s="173"/>
      <c r="CL715" s="173"/>
      <c r="CM715" s="173"/>
      <c r="CN715" s="173"/>
      <c r="CO715" s="173"/>
      <c r="CP715" s="173"/>
      <c r="CQ715" s="173"/>
      <c r="CR715" s="173"/>
      <c r="CS715" s="173"/>
    </row>
    <row r="716" hidden="1">
      <c r="A716" s="59" t="s">
        <v>773</v>
      </c>
      <c r="B716" s="206" t="s">
        <v>2703</v>
      </c>
      <c r="C716" s="179" t="s">
        <v>2704</v>
      </c>
      <c r="D716" s="70" t="s">
        <v>2705</v>
      </c>
      <c r="E716" s="173"/>
      <c r="F716" s="168"/>
      <c r="G716" s="168"/>
      <c r="H716" s="168" t="s">
        <v>25</v>
      </c>
      <c r="I716" s="168" t="s">
        <v>25</v>
      </c>
      <c r="J716" s="168" t="s">
        <v>25</v>
      </c>
      <c r="K716" s="163" t="str">
        <f>VLOOKUP(C716,'Term Reference Guide'!$C:$C,1,false)</f>
        <v>OBI:0000696</v>
      </c>
      <c r="L716" s="173"/>
      <c r="M716" s="173"/>
      <c r="N716" s="173"/>
      <c r="O716" s="173"/>
      <c r="P716" s="173"/>
      <c r="Q716" s="173"/>
      <c r="R716" s="173"/>
      <c r="S716" s="173"/>
      <c r="T716" s="173"/>
      <c r="U716" s="173"/>
      <c r="V716" s="173"/>
      <c r="W716" s="173"/>
      <c r="X716" s="173"/>
      <c r="Y716" s="173"/>
      <c r="Z716" s="173"/>
      <c r="AA716" s="173"/>
      <c r="AB716" s="173"/>
      <c r="AC716" s="173"/>
      <c r="AD716" s="173"/>
      <c r="AE716" s="173"/>
      <c r="AF716" s="173"/>
      <c r="AG716" s="173"/>
      <c r="AH716" s="173"/>
      <c r="AI716" s="173"/>
      <c r="AJ716" s="173"/>
      <c r="AK716" s="173"/>
      <c r="AL716" s="173"/>
      <c r="AM716" s="173"/>
      <c r="AN716" s="173"/>
      <c r="AO716" s="173"/>
      <c r="AP716" s="173"/>
      <c r="AQ716" s="173"/>
      <c r="AR716" s="173"/>
      <c r="AS716" s="173"/>
      <c r="AT716" s="173"/>
      <c r="AU716" s="173"/>
      <c r="AV716" s="173"/>
      <c r="AW716" s="173"/>
      <c r="AX716" s="173"/>
      <c r="AY716" s="173"/>
      <c r="AZ716" s="173"/>
      <c r="BA716" s="173"/>
      <c r="BB716" s="173"/>
      <c r="BC716" s="173"/>
      <c r="BD716" s="173"/>
      <c r="BE716" s="173"/>
      <c r="BF716" s="173"/>
      <c r="BG716" s="173"/>
      <c r="BH716" s="173"/>
      <c r="BI716" s="173"/>
      <c r="BJ716" s="173"/>
      <c r="BK716" s="173"/>
      <c r="BL716" s="173"/>
      <c r="BM716" s="173"/>
      <c r="BN716" s="173"/>
      <c r="BO716" s="173"/>
      <c r="BP716" s="173"/>
      <c r="BQ716" s="173"/>
      <c r="BR716" s="173"/>
      <c r="BS716" s="173"/>
      <c r="BT716" s="173"/>
      <c r="BU716" s="173"/>
      <c r="BV716" s="173"/>
      <c r="BW716" s="173"/>
      <c r="BX716" s="173"/>
      <c r="BY716" s="173"/>
      <c r="BZ716" s="173"/>
      <c r="CA716" s="173"/>
      <c r="CB716" s="173"/>
      <c r="CC716" s="173"/>
      <c r="CD716" s="173"/>
      <c r="CE716" s="173"/>
      <c r="CF716" s="173"/>
      <c r="CG716" s="173"/>
      <c r="CH716" s="173"/>
      <c r="CI716" s="173"/>
      <c r="CJ716" s="173"/>
      <c r="CK716" s="173"/>
      <c r="CL716" s="173"/>
      <c r="CM716" s="173"/>
      <c r="CN716" s="173"/>
      <c r="CO716" s="173"/>
      <c r="CP716" s="173"/>
      <c r="CQ716" s="173"/>
      <c r="CR716" s="173"/>
      <c r="CS716" s="173"/>
    </row>
    <row r="717" hidden="1">
      <c r="A717" s="59" t="s">
        <v>773</v>
      </c>
      <c r="B717" s="206" t="s">
        <v>2706</v>
      </c>
      <c r="C717" s="179" t="s">
        <v>2707</v>
      </c>
      <c r="D717" s="70" t="s">
        <v>2708</v>
      </c>
      <c r="E717" s="173"/>
      <c r="F717" s="168"/>
      <c r="G717" s="168"/>
      <c r="H717" s="168" t="s">
        <v>25</v>
      </c>
      <c r="I717" s="168" t="s">
        <v>25</v>
      </c>
      <c r="J717" s="168" t="s">
        <v>25</v>
      </c>
      <c r="K717" s="163" t="str">
        <f>VLOOKUP(C717,'Term Reference Guide'!$C:$C,1,false)</f>
        <v>GENEPIO:0001929</v>
      </c>
      <c r="L717" s="173"/>
      <c r="M717" s="173"/>
      <c r="N717" s="173"/>
      <c r="O717" s="173"/>
      <c r="P717" s="173"/>
      <c r="Q717" s="173"/>
      <c r="R717" s="173"/>
      <c r="S717" s="173"/>
      <c r="T717" s="173"/>
      <c r="U717" s="173"/>
      <c r="V717" s="173"/>
      <c r="W717" s="173"/>
      <c r="X717" s="173"/>
      <c r="Y717" s="173"/>
      <c r="Z717" s="173"/>
      <c r="AA717" s="173"/>
      <c r="AB717" s="173"/>
      <c r="AC717" s="173"/>
      <c r="AD717" s="173"/>
      <c r="AE717" s="173"/>
      <c r="AF717" s="173"/>
      <c r="AG717" s="173"/>
      <c r="AH717" s="173"/>
      <c r="AI717" s="173"/>
      <c r="AJ717" s="173"/>
      <c r="AK717" s="173"/>
      <c r="AL717" s="173"/>
      <c r="AM717" s="173"/>
      <c r="AN717" s="173"/>
      <c r="AO717" s="173"/>
      <c r="AP717" s="173"/>
      <c r="AQ717" s="173"/>
      <c r="AR717" s="173"/>
      <c r="AS717" s="173"/>
      <c r="AT717" s="173"/>
      <c r="AU717" s="173"/>
      <c r="AV717" s="173"/>
      <c r="AW717" s="173"/>
      <c r="AX717" s="173"/>
      <c r="AY717" s="173"/>
      <c r="AZ717" s="173"/>
      <c r="BA717" s="173"/>
      <c r="BB717" s="173"/>
      <c r="BC717" s="173"/>
      <c r="BD717" s="173"/>
      <c r="BE717" s="173"/>
      <c r="BF717" s="173"/>
      <c r="BG717" s="173"/>
      <c r="BH717" s="173"/>
      <c r="BI717" s="173"/>
      <c r="BJ717" s="173"/>
      <c r="BK717" s="173"/>
      <c r="BL717" s="173"/>
      <c r="BM717" s="173"/>
      <c r="BN717" s="173"/>
      <c r="BO717" s="173"/>
      <c r="BP717" s="173"/>
      <c r="BQ717" s="173"/>
      <c r="BR717" s="173"/>
      <c r="BS717" s="173"/>
      <c r="BT717" s="173"/>
      <c r="BU717" s="173"/>
      <c r="BV717" s="173"/>
      <c r="BW717" s="173"/>
      <c r="BX717" s="173"/>
      <c r="BY717" s="173"/>
      <c r="BZ717" s="173"/>
      <c r="CA717" s="173"/>
      <c r="CB717" s="173"/>
      <c r="CC717" s="173"/>
      <c r="CD717" s="173"/>
      <c r="CE717" s="173"/>
      <c r="CF717" s="173"/>
      <c r="CG717" s="173"/>
      <c r="CH717" s="173"/>
      <c r="CI717" s="173"/>
      <c r="CJ717" s="173"/>
      <c r="CK717" s="173"/>
      <c r="CL717" s="173"/>
      <c r="CM717" s="173"/>
      <c r="CN717" s="173"/>
      <c r="CO717" s="173"/>
      <c r="CP717" s="173"/>
      <c r="CQ717" s="173"/>
      <c r="CR717" s="173"/>
      <c r="CS717" s="173"/>
    </row>
    <row r="718" hidden="1">
      <c r="A718" s="59" t="s">
        <v>773</v>
      </c>
      <c r="B718" s="206" t="s">
        <v>2709</v>
      </c>
      <c r="C718" s="179" t="s">
        <v>2710</v>
      </c>
      <c r="D718" s="70" t="s">
        <v>2711</v>
      </c>
      <c r="E718" s="173"/>
      <c r="F718" s="168"/>
      <c r="G718" s="168"/>
      <c r="H718" s="168" t="s">
        <v>25</v>
      </c>
      <c r="I718" s="168" t="s">
        <v>25</v>
      </c>
      <c r="J718" s="168" t="s">
        <v>25</v>
      </c>
      <c r="K718" s="163" t="str">
        <f>VLOOKUP(C718,'Term Reference Guide'!$C:$C,1,false)</f>
        <v>GENEPIO:0001930</v>
      </c>
      <c r="L718" s="173"/>
      <c r="M718" s="173"/>
      <c r="N718" s="173"/>
      <c r="O718" s="173"/>
      <c r="P718" s="173"/>
      <c r="Q718" s="173"/>
      <c r="R718" s="173"/>
      <c r="S718" s="173"/>
      <c r="T718" s="173"/>
      <c r="U718" s="173"/>
      <c r="V718" s="173"/>
      <c r="W718" s="173"/>
      <c r="X718" s="173"/>
      <c r="Y718" s="173"/>
      <c r="Z718" s="173"/>
      <c r="AA718" s="173"/>
      <c r="AB718" s="173"/>
      <c r="AC718" s="173"/>
      <c r="AD718" s="173"/>
      <c r="AE718" s="173"/>
      <c r="AF718" s="173"/>
      <c r="AG718" s="173"/>
      <c r="AH718" s="173"/>
      <c r="AI718" s="173"/>
      <c r="AJ718" s="173"/>
      <c r="AK718" s="173"/>
      <c r="AL718" s="173"/>
      <c r="AM718" s="173"/>
      <c r="AN718" s="173"/>
      <c r="AO718" s="173"/>
      <c r="AP718" s="173"/>
      <c r="AQ718" s="173"/>
      <c r="AR718" s="173"/>
      <c r="AS718" s="173"/>
      <c r="AT718" s="173"/>
      <c r="AU718" s="173"/>
      <c r="AV718" s="173"/>
      <c r="AW718" s="173"/>
      <c r="AX718" s="173"/>
      <c r="AY718" s="173"/>
      <c r="AZ718" s="173"/>
      <c r="BA718" s="173"/>
      <c r="BB718" s="173"/>
      <c r="BC718" s="173"/>
      <c r="BD718" s="173"/>
      <c r="BE718" s="173"/>
      <c r="BF718" s="173"/>
      <c r="BG718" s="173"/>
      <c r="BH718" s="173"/>
      <c r="BI718" s="173"/>
      <c r="BJ718" s="173"/>
      <c r="BK718" s="173"/>
      <c r="BL718" s="173"/>
      <c r="BM718" s="173"/>
      <c r="BN718" s="173"/>
      <c r="BO718" s="173"/>
      <c r="BP718" s="173"/>
      <c r="BQ718" s="173"/>
      <c r="BR718" s="173"/>
      <c r="BS718" s="173"/>
      <c r="BT718" s="173"/>
      <c r="BU718" s="173"/>
      <c r="BV718" s="173"/>
      <c r="BW718" s="173"/>
      <c r="BX718" s="173"/>
      <c r="BY718" s="173"/>
      <c r="BZ718" s="173"/>
      <c r="CA718" s="173"/>
      <c r="CB718" s="173"/>
      <c r="CC718" s="173"/>
      <c r="CD718" s="173"/>
      <c r="CE718" s="173"/>
      <c r="CF718" s="173"/>
      <c r="CG718" s="173"/>
      <c r="CH718" s="173"/>
      <c r="CI718" s="173"/>
      <c r="CJ718" s="173"/>
      <c r="CK718" s="173"/>
      <c r="CL718" s="173"/>
      <c r="CM718" s="173"/>
      <c r="CN718" s="173"/>
      <c r="CO718" s="173"/>
      <c r="CP718" s="173"/>
      <c r="CQ718" s="173"/>
      <c r="CR718" s="173"/>
      <c r="CS718" s="173"/>
    </row>
    <row r="719" hidden="1">
      <c r="A719" s="59" t="s">
        <v>773</v>
      </c>
      <c r="B719" s="208" t="s">
        <v>2712</v>
      </c>
      <c r="C719" s="179" t="s">
        <v>2713</v>
      </c>
      <c r="D719" s="70" t="s">
        <v>2714</v>
      </c>
      <c r="E719" s="173"/>
      <c r="F719" s="168"/>
      <c r="G719" s="168"/>
      <c r="H719" s="168" t="s">
        <v>25</v>
      </c>
      <c r="I719" s="168" t="s">
        <v>25</v>
      </c>
      <c r="J719" s="168" t="s">
        <v>25</v>
      </c>
      <c r="K719" s="163" t="str">
        <f>VLOOKUP(C719,'Term Reference Guide'!$C:$C,1,false)</f>
        <v>GENEPIO:0100984</v>
      </c>
      <c r="L719" s="173"/>
      <c r="M719" s="173"/>
      <c r="N719" s="173"/>
      <c r="O719" s="173"/>
      <c r="P719" s="173"/>
      <c r="Q719" s="173"/>
      <c r="R719" s="173"/>
      <c r="S719" s="173"/>
      <c r="T719" s="173"/>
      <c r="U719" s="173"/>
      <c r="V719" s="173"/>
      <c r="W719" s="173"/>
      <c r="X719" s="173"/>
      <c r="Y719" s="173"/>
      <c r="Z719" s="173"/>
      <c r="AA719" s="173"/>
      <c r="AB719" s="173"/>
      <c r="AC719" s="173"/>
      <c r="AD719" s="173"/>
      <c r="AE719" s="173"/>
      <c r="AF719" s="173"/>
      <c r="AG719" s="173"/>
      <c r="AH719" s="173"/>
      <c r="AI719" s="173"/>
      <c r="AJ719" s="173"/>
      <c r="AK719" s="173"/>
      <c r="AL719" s="173"/>
      <c r="AM719" s="173"/>
      <c r="AN719" s="173"/>
      <c r="AO719" s="173"/>
      <c r="AP719" s="173"/>
      <c r="AQ719" s="173"/>
      <c r="AR719" s="173"/>
      <c r="AS719" s="173"/>
      <c r="AT719" s="173"/>
      <c r="AU719" s="173"/>
      <c r="AV719" s="173"/>
      <c r="AW719" s="173"/>
      <c r="AX719" s="173"/>
      <c r="AY719" s="173"/>
      <c r="AZ719" s="173"/>
      <c r="BA719" s="173"/>
      <c r="BB719" s="173"/>
      <c r="BC719" s="173"/>
      <c r="BD719" s="173"/>
      <c r="BE719" s="173"/>
      <c r="BF719" s="173"/>
      <c r="BG719" s="173"/>
      <c r="BH719" s="173"/>
      <c r="BI719" s="173"/>
      <c r="BJ719" s="173"/>
      <c r="BK719" s="173"/>
      <c r="BL719" s="173"/>
      <c r="BM719" s="173"/>
      <c r="BN719" s="173"/>
      <c r="BO719" s="173"/>
      <c r="BP719" s="173"/>
      <c r="BQ719" s="173"/>
      <c r="BR719" s="173"/>
      <c r="BS719" s="173"/>
      <c r="BT719" s="173"/>
      <c r="BU719" s="173"/>
      <c r="BV719" s="173"/>
      <c r="BW719" s="173"/>
      <c r="BX719" s="173"/>
      <c r="BY719" s="173"/>
      <c r="BZ719" s="173"/>
      <c r="CA719" s="173"/>
      <c r="CB719" s="173"/>
      <c r="CC719" s="173"/>
      <c r="CD719" s="173"/>
      <c r="CE719" s="173"/>
      <c r="CF719" s="173"/>
      <c r="CG719" s="173"/>
      <c r="CH719" s="173"/>
      <c r="CI719" s="173"/>
      <c r="CJ719" s="173"/>
      <c r="CK719" s="173"/>
      <c r="CL719" s="173"/>
      <c r="CM719" s="173"/>
      <c r="CN719" s="173"/>
      <c r="CO719" s="173"/>
      <c r="CP719" s="173"/>
      <c r="CQ719" s="173"/>
      <c r="CR719" s="173"/>
      <c r="CS719" s="173"/>
    </row>
    <row r="720" hidden="1">
      <c r="A720" s="59" t="s">
        <v>773</v>
      </c>
      <c r="B720" s="208" t="s">
        <v>2715</v>
      </c>
      <c r="C720" s="179" t="s">
        <v>2716</v>
      </c>
      <c r="D720" s="70" t="s">
        <v>2717</v>
      </c>
      <c r="E720" s="173"/>
      <c r="F720" s="168"/>
      <c r="G720" s="168"/>
      <c r="H720" s="168" t="s">
        <v>25</v>
      </c>
      <c r="I720" s="168" t="s">
        <v>25</v>
      </c>
      <c r="J720" s="168" t="s">
        <v>25</v>
      </c>
      <c r="K720" s="163" t="str">
        <f>VLOOKUP(C720,'Term Reference Guide'!$C:$C,1,false)</f>
        <v>OBI:0002007</v>
      </c>
      <c r="L720" s="173"/>
      <c r="M720" s="173"/>
      <c r="N720" s="173"/>
      <c r="O720" s="173"/>
      <c r="P720" s="173"/>
      <c r="Q720" s="173"/>
      <c r="R720" s="173"/>
      <c r="S720" s="173"/>
      <c r="T720" s="173"/>
      <c r="U720" s="173"/>
      <c r="V720" s="173"/>
      <c r="W720" s="173"/>
      <c r="X720" s="173"/>
      <c r="Y720" s="173"/>
      <c r="Z720" s="173"/>
      <c r="AA720" s="173"/>
      <c r="AB720" s="173"/>
      <c r="AC720" s="173"/>
      <c r="AD720" s="173"/>
      <c r="AE720" s="173"/>
      <c r="AF720" s="173"/>
      <c r="AG720" s="173"/>
      <c r="AH720" s="173"/>
      <c r="AI720" s="173"/>
      <c r="AJ720" s="173"/>
      <c r="AK720" s="173"/>
      <c r="AL720" s="173"/>
      <c r="AM720" s="173"/>
      <c r="AN720" s="173"/>
      <c r="AO720" s="173"/>
      <c r="AP720" s="173"/>
      <c r="AQ720" s="173"/>
      <c r="AR720" s="173"/>
      <c r="AS720" s="173"/>
      <c r="AT720" s="173"/>
      <c r="AU720" s="173"/>
      <c r="AV720" s="173"/>
      <c r="AW720" s="173"/>
      <c r="AX720" s="173"/>
      <c r="AY720" s="173"/>
      <c r="AZ720" s="173"/>
      <c r="BA720" s="173"/>
      <c r="BB720" s="173"/>
      <c r="BC720" s="173"/>
      <c r="BD720" s="173"/>
      <c r="BE720" s="173"/>
      <c r="BF720" s="173"/>
      <c r="BG720" s="173"/>
      <c r="BH720" s="173"/>
      <c r="BI720" s="173"/>
      <c r="BJ720" s="173"/>
      <c r="BK720" s="173"/>
      <c r="BL720" s="173"/>
      <c r="BM720" s="173"/>
      <c r="BN720" s="173"/>
      <c r="BO720" s="173"/>
      <c r="BP720" s="173"/>
      <c r="BQ720" s="173"/>
      <c r="BR720" s="173"/>
      <c r="BS720" s="173"/>
      <c r="BT720" s="173"/>
      <c r="BU720" s="173"/>
      <c r="BV720" s="173"/>
      <c r="BW720" s="173"/>
      <c r="BX720" s="173"/>
      <c r="BY720" s="173"/>
      <c r="BZ720" s="173"/>
      <c r="CA720" s="173"/>
      <c r="CB720" s="173"/>
      <c r="CC720" s="173"/>
      <c r="CD720" s="173"/>
      <c r="CE720" s="173"/>
      <c r="CF720" s="173"/>
      <c r="CG720" s="173"/>
      <c r="CH720" s="173"/>
      <c r="CI720" s="173"/>
      <c r="CJ720" s="173"/>
      <c r="CK720" s="173"/>
      <c r="CL720" s="173"/>
      <c r="CM720" s="173"/>
      <c r="CN720" s="173"/>
      <c r="CO720" s="173"/>
      <c r="CP720" s="173"/>
      <c r="CQ720" s="173"/>
      <c r="CR720" s="173"/>
      <c r="CS720" s="173"/>
    </row>
    <row r="721" hidden="1">
      <c r="A721" s="59" t="s">
        <v>773</v>
      </c>
      <c r="B721" s="208" t="s">
        <v>2718</v>
      </c>
      <c r="C721" s="179" t="s">
        <v>2719</v>
      </c>
      <c r="D721" s="70" t="s">
        <v>2720</v>
      </c>
      <c r="E721" s="173"/>
      <c r="F721" s="168"/>
      <c r="G721" s="168"/>
      <c r="H721" s="168" t="s">
        <v>25</v>
      </c>
      <c r="I721" s="168" t="s">
        <v>25</v>
      </c>
      <c r="J721" s="168" t="s">
        <v>25</v>
      </c>
      <c r="K721" s="163" t="str">
        <f>VLOOKUP(C721,'Term Reference Guide'!$C:$C,1,false)</f>
        <v>OBI:0002024</v>
      </c>
      <c r="L721" s="173"/>
      <c r="M721" s="173"/>
      <c r="N721" s="173"/>
      <c r="O721" s="173"/>
      <c r="P721" s="173"/>
      <c r="Q721" s="173"/>
      <c r="R721" s="173"/>
      <c r="S721" s="173"/>
      <c r="T721" s="173"/>
      <c r="U721" s="173"/>
      <c r="V721" s="173"/>
      <c r="W721" s="173"/>
      <c r="X721" s="173"/>
      <c r="Y721" s="173"/>
      <c r="Z721" s="173"/>
      <c r="AA721" s="173"/>
      <c r="AB721" s="173"/>
      <c r="AC721" s="173"/>
      <c r="AD721" s="173"/>
      <c r="AE721" s="173"/>
      <c r="AF721" s="173"/>
      <c r="AG721" s="173"/>
      <c r="AH721" s="173"/>
      <c r="AI721" s="173"/>
      <c r="AJ721" s="173"/>
      <c r="AK721" s="173"/>
      <c r="AL721" s="173"/>
      <c r="AM721" s="173"/>
      <c r="AN721" s="173"/>
      <c r="AO721" s="173"/>
      <c r="AP721" s="173"/>
      <c r="AQ721" s="173"/>
      <c r="AR721" s="173"/>
      <c r="AS721" s="173"/>
      <c r="AT721" s="173"/>
      <c r="AU721" s="173"/>
      <c r="AV721" s="173"/>
      <c r="AW721" s="173"/>
      <c r="AX721" s="173"/>
      <c r="AY721" s="173"/>
      <c r="AZ721" s="173"/>
      <c r="BA721" s="173"/>
      <c r="BB721" s="173"/>
      <c r="BC721" s="173"/>
      <c r="BD721" s="173"/>
      <c r="BE721" s="173"/>
      <c r="BF721" s="173"/>
      <c r="BG721" s="173"/>
      <c r="BH721" s="173"/>
      <c r="BI721" s="173"/>
      <c r="BJ721" s="173"/>
      <c r="BK721" s="173"/>
      <c r="BL721" s="173"/>
      <c r="BM721" s="173"/>
      <c r="BN721" s="173"/>
      <c r="BO721" s="173"/>
      <c r="BP721" s="173"/>
      <c r="BQ721" s="173"/>
      <c r="BR721" s="173"/>
      <c r="BS721" s="173"/>
      <c r="BT721" s="173"/>
      <c r="BU721" s="173"/>
      <c r="BV721" s="173"/>
      <c r="BW721" s="173"/>
      <c r="BX721" s="173"/>
      <c r="BY721" s="173"/>
      <c r="BZ721" s="173"/>
      <c r="CA721" s="173"/>
      <c r="CB721" s="173"/>
      <c r="CC721" s="173"/>
      <c r="CD721" s="173"/>
      <c r="CE721" s="173"/>
      <c r="CF721" s="173"/>
      <c r="CG721" s="173"/>
      <c r="CH721" s="173"/>
      <c r="CI721" s="173"/>
      <c r="CJ721" s="173"/>
      <c r="CK721" s="173"/>
      <c r="CL721" s="173"/>
      <c r="CM721" s="173"/>
      <c r="CN721" s="173"/>
      <c r="CO721" s="173"/>
      <c r="CP721" s="173"/>
      <c r="CQ721" s="173"/>
      <c r="CR721" s="173"/>
      <c r="CS721" s="173"/>
    </row>
    <row r="722" hidden="1">
      <c r="A722" s="59" t="s">
        <v>773</v>
      </c>
      <c r="B722" s="208" t="s">
        <v>2721</v>
      </c>
      <c r="C722" s="179" t="s">
        <v>2722</v>
      </c>
      <c r="D722" s="70" t="s">
        <v>2723</v>
      </c>
      <c r="E722" s="173"/>
      <c r="F722" s="168"/>
      <c r="G722" s="168"/>
      <c r="H722" s="168" t="s">
        <v>25</v>
      </c>
      <c r="I722" s="168" t="s">
        <v>25</v>
      </c>
      <c r="J722" s="168" t="s">
        <v>25</v>
      </c>
      <c r="K722" s="163" t="str">
        <f>VLOOKUP(C722,'Term Reference Guide'!$C:$C,1,false)</f>
        <v>GENEPIO:0001928</v>
      </c>
      <c r="L722" s="173"/>
      <c r="M722" s="173"/>
      <c r="N722" s="173"/>
      <c r="O722" s="173"/>
      <c r="P722" s="173"/>
      <c r="Q722" s="173"/>
      <c r="R722" s="173"/>
      <c r="S722" s="173"/>
      <c r="T722" s="173"/>
      <c r="U722" s="173"/>
      <c r="V722" s="173"/>
      <c r="W722" s="173"/>
      <c r="X722" s="173"/>
      <c r="Y722" s="173"/>
      <c r="Z722" s="173"/>
      <c r="AA722" s="173"/>
      <c r="AB722" s="173"/>
      <c r="AC722" s="173"/>
      <c r="AD722" s="173"/>
      <c r="AE722" s="173"/>
      <c r="AF722" s="173"/>
      <c r="AG722" s="173"/>
      <c r="AH722" s="173"/>
      <c r="AI722" s="173"/>
      <c r="AJ722" s="173"/>
      <c r="AK722" s="173"/>
      <c r="AL722" s="173"/>
      <c r="AM722" s="173"/>
      <c r="AN722" s="173"/>
      <c r="AO722" s="173"/>
      <c r="AP722" s="173"/>
      <c r="AQ722" s="173"/>
      <c r="AR722" s="173"/>
      <c r="AS722" s="173"/>
      <c r="AT722" s="173"/>
      <c r="AU722" s="173"/>
      <c r="AV722" s="173"/>
      <c r="AW722" s="173"/>
      <c r="AX722" s="173"/>
      <c r="AY722" s="173"/>
      <c r="AZ722" s="173"/>
      <c r="BA722" s="173"/>
      <c r="BB722" s="173"/>
      <c r="BC722" s="173"/>
      <c r="BD722" s="173"/>
      <c r="BE722" s="173"/>
      <c r="BF722" s="173"/>
      <c r="BG722" s="173"/>
      <c r="BH722" s="173"/>
      <c r="BI722" s="173"/>
      <c r="BJ722" s="173"/>
      <c r="BK722" s="173"/>
      <c r="BL722" s="173"/>
      <c r="BM722" s="173"/>
      <c r="BN722" s="173"/>
      <c r="BO722" s="173"/>
      <c r="BP722" s="173"/>
      <c r="BQ722" s="173"/>
      <c r="BR722" s="173"/>
      <c r="BS722" s="173"/>
      <c r="BT722" s="173"/>
      <c r="BU722" s="173"/>
      <c r="BV722" s="173"/>
      <c r="BW722" s="173"/>
      <c r="BX722" s="173"/>
      <c r="BY722" s="173"/>
      <c r="BZ722" s="173"/>
      <c r="CA722" s="173"/>
      <c r="CB722" s="173"/>
      <c r="CC722" s="173"/>
      <c r="CD722" s="173"/>
      <c r="CE722" s="173"/>
      <c r="CF722" s="173"/>
      <c r="CG722" s="173"/>
      <c r="CH722" s="173"/>
      <c r="CI722" s="173"/>
      <c r="CJ722" s="173"/>
      <c r="CK722" s="173"/>
      <c r="CL722" s="173"/>
      <c r="CM722" s="173"/>
      <c r="CN722" s="173"/>
      <c r="CO722" s="173"/>
      <c r="CP722" s="173"/>
      <c r="CQ722" s="173"/>
      <c r="CR722" s="173"/>
      <c r="CS722" s="173"/>
    </row>
    <row r="723" hidden="1">
      <c r="A723" s="59" t="s">
        <v>773</v>
      </c>
      <c r="B723" s="208" t="s">
        <v>2724</v>
      </c>
      <c r="C723" s="179" t="s">
        <v>2725</v>
      </c>
      <c r="D723" s="70" t="s">
        <v>2726</v>
      </c>
      <c r="E723" s="173"/>
      <c r="F723" s="168"/>
      <c r="G723" s="168"/>
      <c r="H723" s="168" t="s">
        <v>25</v>
      </c>
      <c r="I723" s="168" t="s">
        <v>25</v>
      </c>
      <c r="J723" s="168" t="s">
        <v>25</v>
      </c>
      <c r="K723" s="163" t="str">
        <f>VLOOKUP(C723,'Term Reference Guide'!$C:$C,1,false)</f>
        <v>GENEPIO:0001931</v>
      </c>
      <c r="L723" s="173"/>
      <c r="M723" s="173"/>
      <c r="N723" s="173"/>
      <c r="O723" s="173"/>
      <c r="P723" s="173"/>
      <c r="Q723" s="173"/>
      <c r="R723" s="173"/>
      <c r="S723" s="173"/>
      <c r="T723" s="173"/>
      <c r="U723" s="173"/>
      <c r="V723" s="173"/>
      <c r="W723" s="173"/>
      <c r="X723" s="173"/>
      <c r="Y723" s="173"/>
      <c r="Z723" s="173"/>
      <c r="AA723" s="173"/>
      <c r="AB723" s="173"/>
      <c r="AC723" s="173"/>
      <c r="AD723" s="173"/>
      <c r="AE723" s="173"/>
      <c r="AF723" s="173"/>
      <c r="AG723" s="173"/>
      <c r="AH723" s="173"/>
      <c r="AI723" s="173"/>
      <c r="AJ723" s="173"/>
      <c r="AK723" s="173"/>
      <c r="AL723" s="173"/>
      <c r="AM723" s="173"/>
      <c r="AN723" s="173"/>
      <c r="AO723" s="173"/>
      <c r="AP723" s="173"/>
      <c r="AQ723" s="173"/>
      <c r="AR723" s="173"/>
      <c r="AS723" s="173"/>
      <c r="AT723" s="173"/>
      <c r="AU723" s="173"/>
      <c r="AV723" s="173"/>
      <c r="AW723" s="173"/>
      <c r="AX723" s="173"/>
      <c r="AY723" s="173"/>
      <c r="AZ723" s="173"/>
      <c r="BA723" s="173"/>
      <c r="BB723" s="173"/>
      <c r="BC723" s="173"/>
      <c r="BD723" s="173"/>
      <c r="BE723" s="173"/>
      <c r="BF723" s="173"/>
      <c r="BG723" s="173"/>
      <c r="BH723" s="173"/>
      <c r="BI723" s="173"/>
      <c r="BJ723" s="173"/>
      <c r="BK723" s="173"/>
      <c r="BL723" s="173"/>
      <c r="BM723" s="173"/>
      <c r="BN723" s="173"/>
      <c r="BO723" s="173"/>
      <c r="BP723" s="173"/>
      <c r="BQ723" s="173"/>
      <c r="BR723" s="173"/>
      <c r="BS723" s="173"/>
      <c r="BT723" s="173"/>
      <c r="BU723" s="173"/>
      <c r="BV723" s="173"/>
      <c r="BW723" s="173"/>
      <c r="BX723" s="173"/>
      <c r="BY723" s="173"/>
      <c r="BZ723" s="173"/>
      <c r="CA723" s="173"/>
      <c r="CB723" s="173"/>
      <c r="CC723" s="173"/>
      <c r="CD723" s="173"/>
      <c r="CE723" s="173"/>
      <c r="CF723" s="173"/>
      <c r="CG723" s="173"/>
      <c r="CH723" s="173"/>
      <c r="CI723" s="173"/>
      <c r="CJ723" s="173"/>
      <c r="CK723" s="173"/>
      <c r="CL723" s="173"/>
      <c r="CM723" s="173"/>
      <c r="CN723" s="173"/>
      <c r="CO723" s="173"/>
      <c r="CP723" s="173"/>
      <c r="CQ723" s="173"/>
      <c r="CR723" s="173"/>
      <c r="CS723" s="173"/>
    </row>
    <row r="724" hidden="1">
      <c r="A724" s="59" t="s">
        <v>773</v>
      </c>
      <c r="B724" s="208" t="s">
        <v>2727</v>
      </c>
      <c r="C724" s="179" t="s">
        <v>2728</v>
      </c>
      <c r="D724" s="70" t="s">
        <v>2729</v>
      </c>
      <c r="E724" s="173"/>
      <c r="F724" s="168"/>
      <c r="G724" s="168"/>
      <c r="H724" s="168" t="s">
        <v>25</v>
      </c>
      <c r="I724" s="168" t="s">
        <v>25</v>
      </c>
      <c r="J724" s="168" t="s">
        <v>25</v>
      </c>
      <c r="K724" s="163" t="str">
        <f>VLOOKUP(C724,'Term Reference Guide'!$C:$C,1,false)</f>
        <v>GENEPIO:0001932</v>
      </c>
      <c r="L724" s="173"/>
      <c r="M724" s="173"/>
      <c r="N724" s="173"/>
      <c r="O724" s="173"/>
      <c r="P724" s="173"/>
      <c r="Q724" s="173"/>
      <c r="R724" s="173"/>
      <c r="S724" s="173"/>
      <c r="T724" s="173"/>
      <c r="U724" s="173"/>
      <c r="V724" s="173"/>
      <c r="W724" s="173"/>
      <c r="X724" s="173"/>
      <c r="Y724" s="173"/>
      <c r="Z724" s="173"/>
      <c r="AA724" s="173"/>
      <c r="AB724" s="173"/>
      <c r="AC724" s="173"/>
      <c r="AD724" s="173"/>
      <c r="AE724" s="173"/>
      <c r="AF724" s="173"/>
      <c r="AG724" s="173"/>
      <c r="AH724" s="173"/>
      <c r="AI724" s="173"/>
      <c r="AJ724" s="173"/>
      <c r="AK724" s="173"/>
      <c r="AL724" s="173"/>
      <c r="AM724" s="173"/>
      <c r="AN724" s="173"/>
      <c r="AO724" s="173"/>
      <c r="AP724" s="173"/>
      <c r="AQ724" s="173"/>
      <c r="AR724" s="173"/>
      <c r="AS724" s="173"/>
      <c r="AT724" s="173"/>
      <c r="AU724" s="173"/>
      <c r="AV724" s="173"/>
      <c r="AW724" s="173"/>
      <c r="AX724" s="173"/>
      <c r="AY724" s="173"/>
      <c r="AZ724" s="173"/>
      <c r="BA724" s="173"/>
      <c r="BB724" s="173"/>
      <c r="BC724" s="173"/>
      <c r="BD724" s="173"/>
      <c r="BE724" s="173"/>
      <c r="BF724" s="173"/>
      <c r="BG724" s="173"/>
      <c r="BH724" s="173"/>
      <c r="BI724" s="173"/>
      <c r="BJ724" s="173"/>
      <c r="BK724" s="173"/>
      <c r="BL724" s="173"/>
      <c r="BM724" s="173"/>
      <c r="BN724" s="173"/>
      <c r="BO724" s="173"/>
      <c r="BP724" s="173"/>
      <c r="BQ724" s="173"/>
      <c r="BR724" s="173"/>
      <c r="BS724" s="173"/>
      <c r="BT724" s="173"/>
      <c r="BU724" s="173"/>
      <c r="BV724" s="173"/>
      <c r="BW724" s="173"/>
      <c r="BX724" s="173"/>
      <c r="BY724" s="173"/>
      <c r="BZ724" s="173"/>
      <c r="CA724" s="173"/>
      <c r="CB724" s="173"/>
      <c r="CC724" s="173"/>
      <c r="CD724" s="173"/>
      <c r="CE724" s="173"/>
      <c r="CF724" s="173"/>
      <c r="CG724" s="173"/>
      <c r="CH724" s="173"/>
      <c r="CI724" s="173"/>
      <c r="CJ724" s="173"/>
      <c r="CK724" s="173"/>
      <c r="CL724" s="173"/>
      <c r="CM724" s="173"/>
      <c r="CN724" s="173"/>
      <c r="CO724" s="173"/>
      <c r="CP724" s="173"/>
      <c r="CQ724" s="173"/>
      <c r="CR724" s="173"/>
      <c r="CS724" s="173"/>
    </row>
    <row r="725" hidden="1">
      <c r="A725" s="59" t="s">
        <v>773</v>
      </c>
      <c r="B725" s="208" t="s">
        <v>2730</v>
      </c>
      <c r="C725" s="179" t="s">
        <v>2731</v>
      </c>
      <c r="D725" s="70" t="s">
        <v>2729</v>
      </c>
      <c r="E725" s="173"/>
      <c r="F725" s="168"/>
      <c r="G725" s="168"/>
      <c r="H725" s="168" t="s">
        <v>25</v>
      </c>
      <c r="I725" s="168" t="s">
        <v>25</v>
      </c>
      <c r="J725" s="168" t="s">
        <v>25</v>
      </c>
      <c r="K725" s="163" t="str">
        <f>VLOOKUP(C725,'Term Reference Guide'!$C:$C,1,false)</f>
        <v>GENEPIO:0001933</v>
      </c>
      <c r="L725" s="173"/>
      <c r="M725" s="173"/>
      <c r="N725" s="173"/>
      <c r="O725" s="173"/>
      <c r="P725" s="173"/>
      <c r="Q725" s="173"/>
      <c r="R725" s="173"/>
      <c r="S725" s="173"/>
      <c r="T725" s="173"/>
      <c r="U725" s="173"/>
      <c r="V725" s="173"/>
      <c r="W725" s="173"/>
      <c r="X725" s="173"/>
      <c r="Y725" s="173"/>
      <c r="Z725" s="173"/>
      <c r="AA725" s="173"/>
      <c r="AB725" s="173"/>
      <c r="AC725" s="173"/>
      <c r="AD725" s="173"/>
      <c r="AE725" s="173"/>
      <c r="AF725" s="173"/>
      <c r="AG725" s="173"/>
      <c r="AH725" s="173"/>
      <c r="AI725" s="173"/>
      <c r="AJ725" s="173"/>
      <c r="AK725" s="173"/>
      <c r="AL725" s="173"/>
      <c r="AM725" s="173"/>
      <c r="AN725" s="173"/>
      <c r="AO725" s="173"/>
      <c r="AP725" s="173"/>
      <c r="AQ725" s="173"/>
      <c r="AR725" s="173"/>
      <c r="AS725" s="173"/>
      <c r="AT725" s="173"/>
      <c r="AU725" s="173"/>
      <c r="AV725" s="173"/>
      <c r="AW725" s="173"/>
      <c r="AX725" s="173"/>
      <c r="AY725" s="173"/>
      <c r="AZ725" s="173"/>
      <c r="BA725" s="173"/>
      <c r="BB725" s="173"/>
      <c r="BC725" s="173"/>
      <c r="BD725" s="173"/>
      <c r="BE725" s="173"/>
      <c r="BF725" s="173"/>
      <c r="BG725" s="173"/>
      <c r="BH725" s="173"/>
      <c r="BI725" s="173"/>
      <c r="BJ725" s="173"/>
      <c r="BK725" s="173"/>
      <c r="BL725" s="173"/>
      <c r="BM725" s="173"/>
      <c r="BN725" s="173"/>
      <c r="BO725" s="173"/>
      <c r="BP725" s="173"/>
      <c r="BQ725" s="173"/>
      <c r="BR725" s="173"/>
      <c r="BS725" s="173"/>
      <c r="BT725" s="173"/>
      <c r="BU725" s="173"/>
      <c r="BV725" s="173"/>
      <c r="BW725" s="173"/>
      <c r="BX725" s="173"/>
      <c r="BY725" s="173"/>
      <c r="BZ725" s="173"/>
      <c r="CA725" s="173"/>
      <c r="CB725" s="173"/>
      <c r="CC725" s="173"/>
      <c r="CD725" s="173"/>
      <c r="CE725" s="173"/>
      <c r="CF725" s="173"/>
      <c r="CG725" s="173"/>
      <c r="CH725" s="173"/>
      <c r="CI725" s="173"/>
      <c r="CJ725" s="173"/>
      <c r="CK725" s="173"/>
      <c r="CL725" s="173"/>
      <c r="CM725" s="173"/>
      <c r="CN725" s="173"/>
      <c r="CO725" s="173"/>
      <c r="CP725" s="173"/>
      <c r="CQ725" s="173"/>
      <c r="CR725" s="173"/>
      <c r="CS725" s="173"/>
    </row>
    <row r="726" hidden="1">
      <c r="A726" s="59" t="s">
        <v>773</v>
      </c>
      <c r="B726" s="206" t="s">
        <v>2732</v>
      </c>
      <c r="C726" s="179" t="s">
        <v>2733</v>
      </c>
      <c r="D726" s="70" t="s">
        <v>2734</v>
      </c>
      <c r="E726" s="173"/>
      <c r="F726" s="168"/>
      <c r="G726" s="168"/>
      <c r="H726" s="168" t="s">
        <v>25</v>
      </c>
      <c r="I726" s="168" t="s">
        <v>25</v>
      </c>
      <c r="J726" s="168" t="s">
        <v>25</v>
      </c>
      <c r="K726" s="163" t="str">
        <f>VLOOKUP(C726,'Term Reference Guide'!$C:$C,1,false)</f>
        <v>OBI:0000717</v>
      </c>
      <c r="L726" s="173"/>
      <c r="M726" s="173"/>
      <c r="N726" s="173"/>
      <c r="O726" s="173"/>
      <c r="P726" s="173"/>
      <c r="Q726" s="173"/>
      <c r="R726" s="173"/>
      <c r="S726" s="173"/>
      <c r="T726" s="173"/>
      <c r="U726" s="173"/>
      <c r="V726" s="173"/>
      <c r="W726" s="173"/>
      <c r="X726" s="173"/>
      <c r="Y726" s="173"/>
      <c r="Z726" s="173"/>
      <c r="AA726" s="173"/>
      <c r="AB726" s="173"/>
      <c r="AC726" s="173"/>
      <c r="AD726" s="173"/>
      <c r="AE726" s="173"/>
      <c r="AF726" s="173"/>
      <c r="AG726" s="173"/>
      <c r="AH726" s="173"/>
      <c r="AI726" s="173"/>
      <c r="AJ726" s="173"/>
      <c r="AK726" s="173"/>
      <c r="AL726" s="173"/>
      <c r="AM726" s="173"/>
      <c r="AN726" s="173"/>
      <c r="AO726" s="173"/>
      <c r="AP726" s="173"/>
      <c r="AQ726" s="173"/>
      <c r="AR726" s="173"/>
      <c r="AS726" s="173"/>
      <c r="AT726" s="173"/>
      <c r="AU726" s="173"/>
      <c r="AV726" s="173"/>
      <c r="AW726" s="173"/>
      <c r="AX726" s="173"/>
      <c r="AY726" s="173"/>
      <c r="AZ726" s="173"/>
      <c r="BA726" s="173"/>
      <c r="BB726" s="173"/>
      <c r="BC726" s="173"/>
      <c r="BD726" s="173"/>
      <c r="BE726" s="173"/>
      <c r="BF726" s="173"/>
      <c r="BG726" s="173"/>
      <c r="BH726" s="173"/>
      <c r="BI726" s="173"/>
      <c r="BJ726" s="173"/>
      <c r="BK726" s="173"/>
      <c r="BL726" s="173"/>
      <c r="BM726" s="173"/>
      <c r="BN726" s="173"/>
      <c r="BO726" s="173"/>
      <c r="BP726" s="173"/>
      <c r="BQ726" s="173"/>
      <c r="BR726" s="173"/>
      <c r="BS726" s="173"/>
      <c r="BT726" s="173"/>
      <c r="BU726" s="173"/>
      <c r="BV726" s="173"/>
      <c r="BW726" s="173"/>
      <c r="BX726" s="173"/>
      <c r="BY726" s="173"/>
      <c r="BZ726" s="173"/>
      <c r="CA726" s="173"/>
      <c r="CB726" s="173"/>
      <c r="CC726" s="173"/>
      <c r="CD726" s="173"/>
      <c r="CE726" s="173"/>
      <c r="CF726" s="173"/>
      <c r="CG726" s="173"/>
      <c r="CH726" s="173"/>
      <c r="CI726" s="173"/>
      <c r="CJ726" s="173"/>
      <c r="CK726" s="173"/>
      <c r="CL726" s="173"/>
      <c r="CM726" s="173"/>
      <c r="CN726" s="173"/>
      <c r="CO726" s="173"/>
      <c r="CP726" s="173"/>
      <c r="CQ726" s="173"/>
      <c r="CR726" s="173"/>
      <c r="CS726" s="173"/>
    </row>
    <row r="727" hidden="1">
      <c r="A727" s="59" t="s">
        <v>773</v>
      </c>
      <c r="B727" s="206" t="s">
        <v>2735</v>
      </c>
      <c r="C727" s="40" t="s">
        <v>2736</v>
      </c>
      <c r="D727" s="33" t="s">
        <v>2737</v>
      </c>
      <c r="E727" s="173"/>
      <c r="F727" s="168"/>
      <c r="G727" s="168"/>
      <c r="H727" s="168" t="s">
        <v>25</v>
      </c>
      <c r="I727" s="168" t="s">
        <v>25</v>
      </c>
      <c r="J727" s="168" t="s">
        <v>25</v>
      </c>
      <c r="K727" s="163" t="str">
        <f>VLOOKUP(C727,'Term Reference Guide'!$C:$C,1,false)</f>
        <v>GENEPIO:0100974</v>
      </c>
      <c r="L727" s="173"/>
      <c r="M727" s="173"/>
      <c r="N727" s="173"/>
      <c r="O727" s="173"/>
      <c r="P727" s="173"/>
      <c r="Q727" s="173"/>
      <c r="R727" s="173"/>
      <c r="S727" s="173"/>
      <c r="T727" s="173"/>
      <c r="U727" s="173"/>
      <c r="V727" s="173"/>
      <c r="W727" s="173"/>
      <c r="X727" s="173"/>
      <c r="Y727" s="173"/>
      <c r="Z727" s="173"/>
      <c r="AA727" s="173"/>
      <c r="AB727" s="173"/>
      <c r="AC727" s="173"/>
      <c r="AD727" s="173"/>
      <c r="AE727" s="173"/>
      <c r="AF727" s="173"/>
      <c r="AG727" s="173"/>
      <c r="AH727" s="173"/>
      <c r="AI727" s="173"/>
      <c r="AJ727" s="173"/>
      <c r="AK727" s="173"/>
      <c r="AL727" s="173"/>
      <c r="AM727" s="173"/>
      <c r="AN727" s="173"/>
      <c r="AO727" s="173"/>
      <c r="AP727" s="173"/>
      <c r="AQ727" s="173"/>
      <c r="AR727" s="173"/>
      <c r="AS727" s="173"/>
      <c r="AT727" s="173"/>
      <c r="AU727" s="173"/>
      <c r="AV727" s="173"/>
      <c r="AW727" s="173"/>
      <c r="AX727" s="173"/>
      <c r="AY727" s="173"/>
      <c r="AZ727" s="173"/>
      <c r="BA727" s="173"/>
      <c r="BB727" s="173"/>
      <c r="BC727" s="173"/>
      <c r="BD727" s="173"/>
      <c r="BE727" s="173"/>
      <c r="BF727" s="173"/>
      <c r="BG727" s="173"/>
      <c r="BH727" s="173"/>
      <c r="BI727" s="173"/>
      <c r="BJ727" s="173"/>
      <c r="BK727" s="173"/>
      <c r="BL727" s="173"/>
      <c r="BM727" s="173"/>
      <c r="BN727" s="173"/>
      <c r="BO727" s="173"/>
      <c r="BP727" s="173"/>
      <c r="BQ727" s="173"/>
      <c r="BR727" s="173"/>
      <c r="BS727" s="173"/>
      <c r="BT727" s="173"/>
      <c r="BU727" s="173"/>
      <c r="BV727" s="173"/>
      <c r="BW727" s="173"/>
      <c r="BX727" s="173"/>
      <c r="BY727" s="173"/>
      <c r="BZ727" s="173"/>
      <c r="CA727" s="173"/>
      <c r="CB727" s="173"/>
      <c r="CC727" s="173"/>
      <c r="CD727" s="173"/>
      <c r="CE727" s="173"/>
      <c r="CF727" s="173"/>
      <c r="CG727" s="173"/>
      <c r="CH727" s="173"/>
      <c r="CI727" s="173"/>
      <c r="CJ727" s="173"/>
      <c r="CK727" s="173"/>
      <c r="CL727" s="173"/>
      <c r="CM727" s="173"/>
      <c r="CN727" s="173"/>
      <c r="CO727" s="173"/>
      <c r="CP727" s="173"/>
      <c r="CQ727" s="173"/>
      <c r="CR727" s="173"/>
      <c r="CS727" s="173"/>
    </row>
    <row r="728" hidden="1">
      <c r="A728" s="59" t="s">
        <v>773</v>
      </c>
      <c r="B728" s="208" t="s">
        <v>2738</v>
      </c>
      <c r="C728" s="40" t="s">
        <v>2739</v>
      </c>
      <c r="D728" s="33" t="s">
        <v>2740</v>
      </c>
      <c r="E728" s="173"/>
      <c r="F728" s="168"/>
      <c r="G728" s="168"/>
      <c r="H728" s="168" t="s">
        <v>25</v>
      </c>
      <c r="I728" s="168" t="s">
        <v>25</v>
      </c>
      <c r="J728" s="168" t="s">
        <v>25</v>
      </c>
      <c r="K728" s="163" t="str">
        <f>VLOOKUP(C728,'Term Reference Guide'!$C:$C,1,false)</f>
        <v>GENEPIO:0100975</v>
      </c>
      <c r="L728" s="173"/>
      <c r="M728" s="173"/>
      <c r="N728" s="173"/>
      <c r="O728" s="173"/>
      <c r="P728" s="173"/>
      <c r="Q728" s="173"/>
      <c r="R728" s="173"/>
      <c r="S728" s="173"/>
      <c r="T728" s="173"/>
      <c r="U728" s="173"/>
      <c r="V728" s="173"/>
      <c r="W728" s="173"/>
      <c r="X728" s="173"/>
      <c r="Y728" s="173"/>
      <c r="Z728" s="173"/>
      <c r="AA728" s="173"/>
      <c r="AB728" s="173"/>
      <c r="AC728" s="173"/>
      <c r="AD728" s="173"/>
      <c r="AE728" s="173"/>
      <c r="AF728" s="173"/>
      <c r="AG728" s="173"/>
      <c r="AH728" s="173"/>
      <c r="AI728" s="173"/>
      <c r="AJ728" s="173"/>
      <c r="AK728" s="173"/>
      <c r="AL728" s="173"/>
      <c r="AM728" s="173"/>
      <c r="AN728" s="173"/>
      <c r="AO728" s="173"/>
      <c r="AP728" s="173"/>
      <c r="AQ728" s="173"/>
      <c r="AR728" s="173"/>
      <c r="AS728" s="173"/>
      <c r="AT728" s="173"/>
      <c r="AU728" s="173"/>
      <c r="AV728" s="173"/>
      <c r="AW728" s="173"/>
      <c r="AX728" s="173"/>
      <c r="AY728" s="173"/>
      <c r="AZ728" s="173"/>
      <c r="BA728" s="173"/>
      <c r="BB728" s="173"/>
      <c r="BC728" s="173"/>
      <c r="BD728" s="173"/>
      <c r="BE728" s="173"/>
      <c r="BF728" s="173"/>
      <c r="BG728" s="173"/>
      <c r="BH728" s="173"/>
      <c r="BI728" s="173"/>
      <c r="BJ728" s="173"/>
      <c r="BK728" s="173"/>
      <c r="BL728" s="173"/>
      <c r="BM728" s="173"/>
      <c r="BN728" s="173"/>
      <c r="BO728" s="173"/>
      <c r="BP728" s="173"/>
      <c r="BQ728" s="173"/>
      <c r="BR728" s="173"/>
      <c r="BS728" s="173"/>
      <c r="BT728" s="173"/>
      <c r="BU728" s="173"/>
      <c r="BV728" s="173"/>
      <c r="BW728" s="173"/>
      <c r="BX728" s="173"/>
      <c r="BY728" s="173"/>
      <c r="BZ728" s="173"/>
      <c r="CA728" s="173"/>
      <c r="CB728" s="173"/>
      <c r="CC728" s="173"/>
      <c r="CD728" s="173"/>
      <c r="CE728" s="173"/>
      <c r="CF728" s="173"/>
      <c r="CG728" s="173"/>
      <c r="CH728" s="173"/>
      <c r="CI728" s="173"/>
      <c r="CJ728" s="173"/>
      <c r="CK728" s="173"/>
      <c r="CL728" s="173"/>
      <c r="CM728" s="173"/>
      <c r="CN728" s="173"/>
      <c r="CO728" s="173"/>
      <c r="CP728" s="173"/>
      <c r="CQ728" s="173"/>
      <c r="CR728" s="173"/>
      <c r="CS728" s="173"/>
    </row>
    <row r="729" hidden="1">
      <c r="A729" s="59" t="s">
        <v>773</v>
      </c>
      <c r="B729" s="208" t="s">
        <v>2741</v>
      </c>
      <c r="C729" s="40" t="s">
        <v>2742</v>
      </c>
      <c r="D729" s="209" t="s">
        <v>2743</v>
      </c>
      <c r="E729" s="173"/>
      <c r="F729" s="168"/>
      <c r="G729" s="168"/>
      <c r="H729" s="168" t="s">
        <v>25</v>
      </c>
      <c r="I729" s="168" t="s">
        <v>25</v>
      </c>
      <c r="J729" s="168" t="s">
        <v>25</v>
      </c>
      <c r="K729" s="163" t="str">
        <f>VLOOKUP(C729,'Term Reference Guide'!$C:$C,1,false)</f>
        <v>GENEPIO:0100976</v>
      </c>
      <c r="L729" s="173"/>
      <c r="M729" s="173"/>
      <c r="N729" s="173"/>
      <c r="O729" s="173"/>
      <c r="P729" s="173"/>
      <c r="Q729" s="173"/>
      <c r="R729" s="173"/>
      <c r="S729" s="173"/>
      <c r="T729" s="173"/>
      <c r="U729" s="173"/>
      <c r="V729" s="173"/>
      <c r="W729" s="173"/>
      <c r="X729" s="173"/>
      <c r="Y729" s="173"/>
      <c r="Z729" s="173"/>
      <c r="AA729" s="173"/>
      <c r="AB729" s="173"/>
      <c r="AC729" s="173"/>
      <c r="AD729" s="173"/>
      <c r="AE729" s="173"/>
      <c r="AF729" s="173"/>
      <c r="AG729" s="173"/>
      <c r="AH729" s="173"/>
      <c r="AI729" s="173"/>
      <c r="AJ729" s="173"/>
      <c r="AK729" s="173"/>
      <c r="AL729" s="173"/>
      <c r="AM729" s="173"/>
      <c r="AN729" s="173"/>
      <c r="AO729" s="173"/>
      <c r="AP729" s="173"/>
      <c r="AQ729" s="173"/>
      <c r="AR729" s="173"/>
      <c r="AS729" s="173"/>
      <c r="AT729" s="173"/>
      <c r="AU729" s="173"/>
      <c r="AV729" s="173"/>
      <c r="AW729" s="173"/>
      <c r="AX729" s="173"/>
      <c r="AY729" s="173"/>
      <c r="AZ729" s="173"/>
      <c r="BA729" s="173"/>
      <c r="BB729" s="173"/>
      <c r="BC729" s="173"/>
      <c r="BD729" s="173"/>
      <c r="BE729" s="173"/>
      <c r="BF729" s="173"/>
      <c r="BG729" s="173"/>
      <c r="BH729" s="173"/>
      <c r="BI729" s="173"/>
      <c r="BJ729" s="173"/>
      <c r="BK729" s="173"/>
      <c r="BL729" s="173"/>
      <c r="BM729" s="173"/>
      <c r="BN729" s="173"/>
      <c r="BO729" s="173"/>
      <c r="BP729" s="173"/>
      <c r="BQ729" s="173"/>
      <c r="BR729" s="173"/>
      <c r="BS729" s="173"/>
      <c r="BT729" s="173"/>
      <c r="BU729" s="173"/>
      <c r="BV729" s="173"/>
      <c r="BW729" s="173"/>
      <c r="BX729" s="173"/>
      <c r="BY729" s="173"/>
      <c r="BZ729" s="173"/>
      <c r="CA729" s="173"/>
      <c r="CB729" s="173"/>
      <c r="CC729" s="173"/>
      <c r="CD729" s="173"/>
      <c r="CE729" s="173"/>
      <c r="CF729" s="173"/>
      <c r="CG729" s="173"/>
      <c r="CH729" s="173"/>
      <c r="CI729" s="173"/>
      <c r="CJ729" s="173"/>
      <c r="CK729" s="173"/>
      <c r="CL729" s="173"/>
      <c r="CM729" s="173"/>
      <c r="CN729" s="173"/>
      <c r="CO729" s="173"/>
      <c r="CP729" s="173"/>
      <c r="CQ729" s="173"/>
      <c r="CR729" s="173"/>
      <c r="CS729" s="173"/>
    </row>
    <row r="730" hidden="1">
      <c r="A730" s="59" t="s">
        <v>773</v>
      </c>
      <c r="B730" s="208" t="s">
        <v>2744</v>
      </c>
      <c r="C730" s="40" t="s">
        <v>2745</v>
      </c>
      <c r="D730" s="209" t="s">
        <v>2746</v>
      </c>
      <c r="E730" s="173"/>
      <c r="F730" s="168"/>
      <c r="G730" s="168"/>
      <c r="H730" s="168" t="s">
        <v>25</v>
      </c>
      <c r="I730" s="168" t="s">
        <v>25</v>
      </c>
      <c r="J730" s="168" t="s">
        <v>25</v>
      </c>
      <c r="K730" s="163" t="str">
        <f>VLOOKUP(C730,'Term Reference Guide'!$C:$C,1,false)</f>
        <v>GENEPIO:0100977</v>
      </c>
      <c r="L730" s="173"/>
      <c r="M730" s="173"/>
      <c r="N730" s="173"/>
      <c r="O730" s="173"/>
      <c r="P730" s="173"/>
      <c r="Q730" s="173"/>
      <c r="R730" s="173"/>
      <c r="S730" s="173"/>
      <c r="T730" s="173"/>
      <c r="U730" s="173"/>
      <c r="V730" s="173"/>
      <c r="W730" s="173"/>
      <c r="X730" s="173"/>
      <c r="Y730" s="173"/>
      <c r="Z730" s="173"/>
      <c r="AA730" s="173"/>
      <c r="AB730" s="173"/>
      <c r="AC730" s="173"/>
      <c r="AD730" s="173"/>
      <c r="AE730" s="173"/>
      <c r="AF730" s="173"/>
      <c r="AG730" s="173"/>
      <c r="AH730" s="173"/>
      <c r="AI730" s="173"/>
      <c r="AJ730" s="173"/>
      <c r="AK730" s="173"/>
      <c r="AL730" s="173"/>
      <c r="AM730" s="173"/>
      <c r="AN730" s="173"/>
      <c r="AO730" s="173"/>
      <c r="AP730" s="173"/>
      <c r="AQ730" s="173"/>
      <c r="AR730" s="173"/>
      <c r="AS730" s="173"/>
      <c r="AT730" s="173"/>
      <c r="AU730" s="173"/>
      <c r="AV730" s="173"/>
      <c r="AW730" s="173"/>
      <c r="AX730" s="173"/>
      <c r="AY730" s="173"/>
      <c r="AZ730" s="173"/>
      <c r="BA730" s="173"/>
      <c r="BB730" s="173"/>
      <c r="BC730" s="173"/>
      <c r="BD730" s="173"/>
      <c r="BE730" s="173"/>
      <c r="BF730" s="173"/>
      <c r="BG730" s="173"/>
      <c r="BH730" s="173"/>
      <c r="BI730" s="173"/>
      <c r="BJ730" s="173"/>
      <c r="BK730" s="173"/>
      <c r="BL730" s="173"/>
      <c r="BM730" s="173"/>
      <c r="BN730" s="173"/>
      <c r="BO730" s="173"/>
      <c r="BP730" s="173"/>
      <c r="BQ730" s="173"/>
      <c r="BR730" s="173"/>
      <c r="BS730" s="173"/>
      <c r="BT730" s="173"/>
      <c r="BU730" s="173"/>
      <c r="BV730" s="173"/>
      <c r="BW730" s="173"/>
      <c r="BX730" s="173"/>
      <c r="BY730" s="173"/>
      <c r="BZ730" s="173"/>
      <c r="CA730" s="173"/>
      <c r="CB730" s="173"/>
      <c r="CC730" s="173"/>
      <c r="CD730" s="173"/>
      <c r="CE730" s="173"/>
      <c r="CF730" s="173"/>
      <c r="CG730" s="173"/>
      <c r="CH730" s="173"/>
      <c r="CI730" s="173"/>
      <c r="CJ730" s="173"/>
      <c r="CK730" s="173"/>
      <c r="CL730" s="173"/>
      <c r="CM730" s="173"/>
      <c r="CN730" s="173"/>
      <c r="CO730" s="173"/>
      <c r="CP730" s="173"/>
      <c r="CQ730" s="173"/>
      <c r="CR730" s="173"/>
      <c r="CS730" s="173"/>
    </row>
    <row r="731" hidden="1">
      <c r="A731" s="59" t="s">
        <v>773</v>
      </c>
      <c r="B731" s="208" t="s">
        <v>2747</v>
      </c>
      <c r="C731" s="40" t="s">
        <v>2748</v>
      </c>
      <c r="D731" s="209" t="s">
        <v>2749</v>
      </c>
      <c r="E731" s="173"/>
      <c r="F731" s="168"/>
      <c r="G731" s="168"/>
      <c r="H731" s="168" t="s">
        <v>25</v>
      </c>
      <c r="I731" s="168" t="s">
        <v>25</v>
      </c>
      <c r="J731" s="168" t="s">
        <v>25</v>
      </c>
      <c r="K731" s="163" t="str">
        <f>VLOOKUP(C731,'Term Reference Guide'!$C:$C,1,false)</f>
        <v>GENEPIO:0100978</v>
      </c>
      <c r="L731" s="173"/>
      <c r="M731" s="173"/>
      <c r="N731" s="173"/>
      <c r="O731" s="173"/>
      <c r="P731" s="173"/>
      <c r="Q731" s="173"/>
      <c r="R731" s="173"/>
      <c r="S731" s="173"/>
      <c r="T731" s="173"/>
      <c r="U731" s="173"/>
      <c r="V731" s="173"/>
      <c r="W731" s="173"/>
      <c r="X731" s="173"/>
      <c r="Y731" s="173"/>
      <c r="Z731" s="173"/>
      <c r="AA731" s="173"/>
      <c r="AB731" s="173"/>
      <c r="AC731" s="173"/>
      <c r="AD731" s="173"/>
      <c r="AE731" s="173"/>
      <c r="AF731" s="173"/>
      <c r="AG731" s="173"/>
      <c r="AH731" s="173"/>
      <c r="AI731" s="173"/>
      <c r="AJ731" s="173"/>
      <c r="AK731" s="173"/>
      <c r="AL731" s="173"/>
      <c r="AM731" s="173"/>
      <c r="AN731" s="173"/>
      <c r="AO731" s="173"/>
      <c r="AP731" s="173"/>
      <c r="AQ731" s="173"/>
      <c r="AR731" s="173"/>
      <c r="AS731" s="173"/>
      <c r="AT731" s="173"/>
      <c r="AU731" s="173"/>
      <c r="AV731" s="173"/>
      <c r="AW731" s="173"/>
      <c r="AX731" s="173"/>
      <c r="AY731" s="173"/>
      <c r="AZ731" s="173"/>
      <c r="BA731" s="173"/>
      <c r="BB731" s="173"/>
      <c r="BC731" s="173"/>
      <c r="BD731" s="173"/>
      <c r="BE731" s="173"/>
      <c r="BF731" s="173"/>
      <c r="BG731" s="173"/>
      <c r="BH731" s="173"/>
      <c r="BI731" s="173"/>
      <c r="BJ731" s="173"/>
      <c r="BK731" s="173"/>
      <c r="BL731" s="173"/>
      <c r="BM731" s="173"/>
      <c r="BN731" s="173"/>
      <c r="BO731" s="173"/>
      <c r="BP731" s="173"/>
      <c r="BQ731" s="173"/>
      <c r="BR731" s="173"/>
      <c r="BS731" s="173"/>
      <c r="BT731" s="173"/>
      <c r="BU731" s="173"/>
      <c r="BV731" s="173"/>
      <c r="BW731" s="173"/>
      <c r="BX731" s="173"/>
      <c r="BY731" s="173"/>
      <c r="BZ731" s="173"/>
      <c r="CA731" s="173"/>
      <c r="CB731" s="173"/>
      <c r="CC731" s="173"/>
      <c r="CD731" s="173"/>
      <c r="CE731" s="173"/>
      <c r="CF731" s="173"/>
      <c r="CG731" s="173"/>
      <c r="CH731" s="173"/>
      <c r="CI731" s="173"/>
      <c r="CJ731" s="173"/>
      <c r="CK731" s="173"/>
      <c r="CL731" s="173"/>
      <c r="CM731" s="173"/>
      <c r="CN731" s="173"/>
      <c r="CO731" s="173"/>
      <c r="CP731" s="173"/>
      <c r="CQ731" s="173"/>
      <c r="CR731" s="173"/>
      <c r="CS731" s="173"/>
    </row>
    <row r="732" hidden="1">
      <c r="A732" s="59" t="s">
        <v>773</v>
      </c>
      <c r="B732" s="208" t="s">
        <v>2750</v>
      </c>
      <c r="C732" s="40" t="s">
        <v>2751</v>
      </c>
      <c r="D732" s="209" t="s">
        <v>2752</v>
      </c>
      <c r="E732" s="173"/>
      <c r="F732" s="168"/>
      <c r="G732" s="168"/>
      <c r="H732" s="168" t="s">
        <v>25</v>
      </c>
      <c r="I732" s="168" t="s">
        <v>25</v>
      </c>
      <c r="J732" s="168" t="s">
        <v>25</v>
      </c>
      <c r="K732" s="163" t="str">
        <f>VLOOKUP(C732,'Term Reference Guide'!$C:$C,1,false)</f>
        <v>GENEPIO:0100979</v>
      </c>
      <c r="L732" s="173"/>
      <c r="M732" s="173"/>
      <c r="N732" s="173"/>
      <c r="O732" s="173"/>
      <c r="P732" s="173"/>
      <c r="Q732" s="173"/>
      <c r="R732" s="173"/>
      <c r="S732" s="173"/>
      <c r="T732" s="173"/>
      <c r="U732" s="173"/>
      <c r="V732" s="173"/>
      <c r="W732" s="173"/>
      <c r="X732" s="173"/>
      <c r="Y732" s="173"/>
      <c r="Z732" s="173"/>
      <c r="AA732" s="173"/>
      <c r="AB732" s="173"/>
      <c r="AC732" s="173"/>
      <c r="AD732" s="173"/>
      <c r="AE732" s="173"/>
      <c r="AF732" s="173"/>
      <c r="AG732" s="173"/>
      <c r="AH732" s="173"/>
      <c r="AI732" s="173"/>
      <c r="AJ732" s="173"/>
      <c r="AK732" s="173"/>
      <c r="AL732" s="173"/>
      <c r="AM732" s="173"/>
      <c r="AN732" s="173"/>
      <c r="AO732" s="173"/>
      <c r="AP732" s="173"/>
      <c r="AQ732" s="173"/>
      <c r="AR732" s="173"/>
      <c r="AS732" s="173"/>
      <c r="AT732" s="173"/>
      <c r="AU732" s="173"/>
      <c r="AV732" s="173"/>
      <c r="AW732" s="173"/>
      <c r="AX732" s="173"/>
      <c r="AY732" s="173"/>
      <c r="AZ732" s="173"/>
      <c r="BA732" s="173"/>
      <c r="BB732" s="173"/>
      <c r="BC732" s="173"/>
      <c r="BD732" s="173"/>
      <c r="BE732" s="173"/>
      <c r="BF732" s="173"/>
      <c r="BG732" s="173"/>
      <c r="BH732" s="173"/>
      <c r="BI732" s="173"/>
      <c r="BJ732" s="173"/>
      <c r="BK732" s="173"/>
      <c r="BL732" s="173"/>
      <c r="BM732" s="173"/>
      <c r="BN732" s="173"/>
      <c r="BO732" s="173"/>
      <c r="BP732" s="173"/>
      <c r="BQ732" s="173"/>
      <c r="BR732" s="173"/>
      <c r="BS732" s="173"/>
      <c r="BT732" s="173"/>
      <c r="BU732" s="173"/>
      <c r="BV732" s="173"/>
      <c r="BW732" s="173"/>
      <c r="BX732" s="173"/>
      <c r="BY732" s="173"/>
      <c r="BZ732" s="173"/>
      <c r="CA732" s="173"/>
      <c r="CB732" s="173"/>
      <c r="CC732" s="173"/>
      <c r="CD732" s="173"/>
      <c r="CE732" s="173"/>
      <c r="CF732" s="173"/>
      <c r="CG732" s="173"/>
      <c r="CH732" s="173"/>
      <c r="CI732" s="173"/>
      <c r="CJ732" s="173"/>
      <c r="CK732" s="173"/>
      <c r="CL732" s="173"/>
      <c r="CM732" s="173"/>
      <c r="CN732" s="173"/>
      <c r="CO732" s="173"/>
      <c r="CP732" s="173"/>
      <c r="CQ732" s="173"/>
      <c r="CR732" s="173"/>
      <c r="CS732" s="173"/>
    </row>
    <row r="733" hidden="1">
      <c r="A733" s="59" t="s">
        <v>773</v>
      </c>
      <c r="B733" s="208" t="s">
        <v>2753</v>
      </c>
      <c r="C733" s="40" t="s">
        <v>2754</v>
      </c>
      <c r="D733" s="167" t="s">
        <v>2755</v>
      </c>
      <c r="E733" s="173"/>
      <c r="F733" s="168"/>
      <c r="G733" s="168"/>
      <c r="H733" s="168" t="s">
        <v>25</v>
      </c>
      <c r="I733" s="168" t="s">
        <v>25</v>
      </c>
      <c r="J733" s="168" t="s">
        <v>25</v>
      </c>
      <c r="K733" s="163" t="str">
        <f>VLOOKUP(C733,'Term Reference Guide'!$C:$C,1,false)</f>
        <v>GENEPIO:0100980</v>
      </c>
      <c r="L733" s="173"/>
      <c r="M733" s="173"/>
      <c r="N733" s="173"/>
      <c r="O733" s="173"/>
      <c r="P733" s="173"/>
      <c r="Q733" s="173"/>
      <c r="R733" s="173"/>
      <c r="S733" s="173"/>
      <c r="T733" s="173"/>
      <c r="U733" s="173"/>
      <c r="V733" s="173"/>
      <c r="W733" s="173"/>
      <c r="X733" s="173"/>
      <c r="Y733" s="173"/>
      <c r="Z733" s="173"/>
      <c r="AA733" s="173"/>
      <c r="AB733" s="173"/>
      <c r="AC733" s="173"/>
      <c r="AD733" s="173"/>
      <c r="AE733" s="173"/>
      <c r="AF733" s="173"/>
      <c r="AG733" s="173"/>
      <c r="AH733" s="173"/>
      <c r="AI733" s="173"/>
      <c r="AJ733" s="173"/>
      <c r="AK733" s="173"/>
      <c r="AL733" s="173"/>
      <c r="AM733" s="173"/>
      <c r="AN733" s="173"/>
      <c r="AO733" s="173"/>
      <c r="AP733" s="173"/>
      <c r="AQ733" s="173"/>
      <c r="AR733" s="173"/>
      <c r="AS733" s="173"/>
      <c r="AT733" s="173"/>
      <c r="AU733" s="173"/>
      <c r="AV733" s="173"/>
      <c r="AW733" s="173"/>
      <c r="AX733" s="173"/>
      <c r="AY733" s="173"/>
      <c r="AZ733" s="173"/>
      <c r="BA733" s="173"/>
      <c r="BB733" s="173"/>
      <c r="BC733" s="173"/>
      <c r="BD733" s="173"/>
      <c r="BE733" s="173"/>
      <c r="BF733" s="173"/>
      <c r="BG733" s="173"/>
      <c r="BH733" s="173"/>
      <c r="BI733" s="173"/>
      <c r="BJ733" s="173"/>
      <c r="BK733" s="173"/>
      <c r="BL733" s="173"/>
      <c r="BM733" s="173"/>
      <c r="BN733" s="173"/>
      <c r="BO733" s="173"/>
      <c r="BP733" s="173"/>
      <c r="BQ733" s="173"/>
      <c r="BR733" s="173"/>
      <c r="BS733" s="173"/>
      <c r="BT733" s="173"/>
      <c r="BU733" s="173"/>
      <c r="BV733" s="173"/>
      <c r="BW733" s="173"/>
      <c r="BX733" s="173"/>
      <c r="BY733" s="173"/>
      <c r="BZ733" s="173"/>
      <c r="CA733" s="173"/>
      <c r="CB733" s="173"/>
      <c r="CC733" s="173"/>
      <c r="CD733" s="173"/>
      <c r="CE733" s="173"/>
      <c r="CF733" s="173"/>
      <c r="CG733" s="173"/>
      <c r="CH733" s="173"/>
      <c r="CI733" s="173"/>
      <c r="CJ733" s="173"/>
      <c r="CK733" s="173"/>
      <c r="CL733" s="173"/>
      <c r="CM733" s="173"/>
      <c r="CN733" s="173"/>
      <c r="CO733" s="173"/>
      <c r="CP733" s="173"/>
      <c r="CQ733" s="173"/>
      <c r="CR733" s="173"/>
      <c r="CS733" s="173"/>
    </row>
    <row r="734" hidden="1">
      <c r="A734" s="59" t="s">
        <v>773</v>
      </c>
      <c r="B734" s="208" t="s">
        <v>2756</v>
      </c>
      <c r="C734" s="40" t="s">
        <v>2757</v>
      </c>
      <c r="D734" s="167" t="s">
        <v>2758</v>
      </c>
      <c r="E734" s="173"/>
      <c r="F734" s="168"/>
      <c r="G734" s="168"/>
      <c r="H734" s="168" t="s">
        <v>25</v>
      </c>
      <c r="I734" s="168" t="s">
        <v>25</v>
      </c>
      <c r="J734" s="168" t="s">
        <v>25</v>
      </c>
      <c r="K734" s="163" t="str">
        <f>VLOOKUP(C734,'Term Reference Guide'!$C:$C,1,false)</f>
        <v>GENEPIO:0100981</v>
      </c>
      <c r="L734" s="173"/>
      <c r="M734" s="173"/>
      <c r="N734" s="173"/>
      <c r="O734" s="173"/>
      <c r="P734" s="173"/>
      <c r="Q734" s="173"/>
      <c r="R734" s="173"/>
      <c r="S734" s="173"/>
      <c r="T734" s="173"/>
      <c r="U734" s="173"/>
      <c r="V734" s="173"/>
      <c r="W734" s="173"/>
      <c r="X734" s="173"/>
      <c r="Y734" s="173"/>
      <c r="Z734" s="173"/>
      <c r="AA734" s="173"/>
      <c r="AB734" s="173"/>
      <c r="AC734" s="173"/>
      <c r="AD734" s="173"/>
      <c r="AE734" s="173"/>
      <c r="AF734" s="173"/>
      <c r="AG734" s="173"/>
      <c r="AH734" s="173"/>
      <c r="AI734" s="173"/>
      <c r="AJ734" s="173"/>
      <c r="AK734" s="173"/>
      <c r="AL734" s="173"/>
      <c r="AM734" s="173"/>
      <c r="AN734" s="173"/>
      <c r="AO734" s="173"/>
      <c r="AP734" s="173"/>
      <c r="AQ734" s="173"/>
      <c r="AR734" s="173"/>
      <c r="AS734" s="173"/>
      <c r="AT734" s="173"/>
      <c r="AU734" s="173"/>
      <c r="AV734" s="173"/>
      <c r="AW734" s="173"/>
      <c r="AX734" s="173"/>
      <c r="AY734" s="173"/>
      <c r="AZ734" s="173"/>
      <c r="BA734" s="173"/>
      <c r="BB734" s="173"/>
      <c r="BC734" s="173"/>
      <c r="BD734" s="173"/>
      <c r="BE734" s="173"/>
      <c r="BF734" s="173"/>
      <c r="BG734" s="173"/>
      <c r="BH734" s="173"/>
      <c r="BI734" s="173"/>
      <c r="BJ734" s="173"/>
      <c r="BK734" s="173"/>
      <c r="BL734" s="173"/>
      <c r="BM734" s="173"/>
      <c r="BN734" s="173"/>
      <c r="BO734" s="173"/>
      <c r="BP734" s="173"/>
      <c r="BQ734" s="173"/>
      <c r="BR734" s="173"/>
      <c r="BS734" s="173"/>
      <c r="BT734" s="173"/>
      <c r="BU734" s="173"/>
      <c r="BV734" s="173"/>
      <c r="BW734" s="173"/>
      <c r="BX734" s="173"/>
      <c r="BY734" s="173"/>
      <c r="BZ734" s="173"/>
      <c r="CA734" s="173"/>
      <c r="CB734" s="173"/>
      <c r="CC734" s="173"/>
      <c r="CD734" s="173"/>
      <c r="CE734" s="173"/>
      <c r="CF734" s="173"/>
      <c r="CG734" s="173"/>
      <c r="CH734" s="173"/>
      <c r="CI734" s="173"/>
      <c r="CJ734" s="173"/>
      <c r="CK734" s="173"/>
      <c r="CL734" s="173"/>
      <c r="CM734" s="173"/>
      <c r="CN734" s="173"/>
      <c r="CO734" s="173"/>
      <c r="CP734" s="173"/>
      <c r="CQ734" s="173"/>
      <c r="CR734" s="173"/>
      <c r="CS734" s="173"/>
    </row>
    <row r="735">
      <c r="A735" s="173"/>
      <c r="B735" s="173"/>
      <c r="C735" s="173"/>
      <c r="D735" s="141"/>
      <c r="E735" s="173"/>
      <c r="F735" s="173"/>
      <c r="G735" s="173"/>
      <c r="H735" s="173"/>
      <c r="I735" s="173"/>
      <c r="J735" s="141"/>
      <c r="K735" s="163" t="str">
        <f>VLOOKUP(C735,'Term Reference Guide'!$C:$C,1,false)</f>
        <v>#N/A</v>
      </c>
      <c r="L735" s="173"/>
      <c r="M735" s="173"/>
      <c r="N735" s="173"/>
      <c r="O735" s="173"/>
      <c r="P735" s="173"/>
      <c r="Q735" s="173"/>
      <c r="R735" s="173"/>
      <c r="S735" s="173"/>
      <c r="T735" s="173"/>
      <c r="U735" s="173"/>
      <c r="V735" s="173"/>
      <c r="W735" s="173"/>
      <c r="X735" s="173"/>
      <c r="Y735" s="173"/>
      <c r="Z735" s="173"/>
      <c r="AA735" s="173"/>
      <c r="AB735" s="173"/>
      <c r="AC735" s="173"/>
      <c r="AD735" s="173"/>
      <c r="AE735" s="173"/>
      <c r="AF735" s="173"/>
      <c r="AG735" s="173"/>
      <c r="AH735" s="173"/>
      <c r="AI735" s="173"/>
      <c r="AJ735" s="173"/>
      <c r="AK735" s="173"/>
      <c r="AL735" s="173"/>
      <c r="AM735" s="173"/>
      <c r="AN735" s="173"/>
      <c r="AO735" s="173"/>
      <c r="AP735" s="173"/>
      <c r="AQ735" s="173"/>
      <c r="AR735" s="173"/>
      <c r="AS735" s="173"/>
      <c r="AT735" s="173"/>
      <c r="AU735" s="173"/>
      <c r="AV735" s="173"/>
      <c r="AW735" s="173"/>
      <c r="AX735" s="173"/>
      <c r="AY735" s="173"/>
      <c r="AZ735" s="173"/>
      <c r="BA735" s="173"/>
      <c r="BB735" s="173"/>
      <c r="BC735" s="173"/>
      <c r="BD735" s="173"/>
      <c r="BE735" s="173"/>
      <c r="BF735" s="173"/>
      <c r="BG735" s="173"/>
      <c r="BH735" s="173"/>
      <c r="BI735" s="173"/>
      <c r="BJ735" s="173"/>
      <c r="BK735" s="173"/>
      <c r="BL735" s="173"/>
      <c r="BM735" s="173"/>
      <c r="BN735" s="173"/>
      <c r="BO735" s="173"/>
      <c r="BP735" s="173"/>
      <c r="BQ735" s="173"/>
      <c r="BR735" s="173"/>
      <c r="BS735" s="173"/>
      <c r="BT735" s="173"/>
      <c r="BU735" s="173"/>
      <c r="BV735" s="173"/>
      <c r="BW735" s="173"/>
      <c r="BX735" s="173"/>
      <c r="BY735" s="173"/>
      <c r="BZ735" s="173"/>
      <c r="CA735" s="173"/>
      <c r="CB735" s="173"/>
      <c r="CC735" s="173"/>
      <c r="CD735" s="173"/>
      <c r="CE735" s="173"/>
      <c r="CF735" s="173"/>
      <c r="CG735" s="173"/>
      <c r="CH735" s="173"/>
      <c r="CI735" s="173"/>
      <c r="CJ735" s="173"/>
      <c r="CK735" s="173"/>
      <c r="CL735" s="173"/>
      <c r="CM735" s="173"/>
      <c r="CN735" s="173"/>
      <c r="CO735" s="173"/>
      <c r="CP735" s="173"/>
      <c r="CQ735" s="173"/>
      <c r="CR735" s="173"/>
      <c r="CS735" s="173"/>
    </row>
    <row r="736">
      <c r="A736" s="170" t="s">
        <v>778</v>
      </c>
      <c r="B736" s="156"/>
      <c r="C736" s="156"/>
      <c r="D736" s="139"/>
      <c r="E736" s="156"/>
      <c r="F736" s="156"/>
      <c r="G736" s="156"/>
      <c r="H736" s="164"/>
      <c r="I736" s="164"/>
      <c r="J736" s="171"/>
      <c r="K736" s="163" t="str">
        <f>VLOOKUP(C736,'Term Reference Guide'!$C:$C,1,false)</f>
        <v>#N/A</v>
      </c>
      <c r="L736" s="163"/>
      <c r="M736" s="163"/>
      <c r="N736" s="163"/>
      <c r="O736" s="163"/>
      <c r="P736" s="163"/>
      <c r="Q736" s="163"/>
      <c r="R736" s="163"/>
      <c r="S736" s="163"/>
      <c r="T736" s="163"/>
      <c r="U736" s="163"/>
      <c r="V736" s="163"/>
      <c r="W736" s="163"/>
      <c r="X736" s="163"/>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c r="BP736" s="41"/>
      <c r="BQ736" s="41"/>
      <c r="BR736" s="41"/>
      <c r="BS736" s="41"/>
      <c r="BT736" s="41"/>
      <c r="BU736" s="41"/>
      <c r="BV736" s="41"/>
      <c r="BW736" s="41"/>
      <c r="BX736" s="41"/>
      <c r="BY736" s="41"/>
      <c r="BZ736" s="41"/>
      <c r="CA736" s="41"/>
      <c r="CB736" s="41"/>
      <c r="CC736" s="41"/>
      <c r="CD736" s="41"/>
      <c r="CE736" s="41"/>
      <c r="CF736" s="41"/>
      <c r="CG736" s="41"/>
      <c r="CH736" s="41"/>
      <c r="CI736" s="41"/>
      <c r="CJ736" s="41"/>
      <c r="CK736" s="41"/>
      <c r="CL736" s="41"/>
      <c r="CM736" s="41"/>
      <c r="CN736" s="41"/>
      <c r="CO736" s="41"/>
      <c r="CP736" s="41"/>
      <c r="CQ736" s="41"/>
      <c r="CR736" s="41"/>
      <c r="CS736" s="41"/>
    </row>
    <row r="737" hidden="1">
      <c r="A737" s="59" t="s">
        <v>778</v>
      </c>
      <c r="B737" s="44" t="s">
        <v>2759</v>
      </c>
      <c r="C737" s="59" t="s">
        <v>2760</v>
      </c>
      <c r="D737" s="60" t="s">
        <v>2761</v>
      </c>
      <c r="E737" s="41"/>
      <c r="F737" s="168"/>
      <c r="G737" s="168"/>
      <c r="H737" s="168" t="s">
        <v>25</v>
      </c>
      <c r="I737" s="168" t="s">
        <v>25</v>
      </c>
      <c r="J737" s="168" t="s">
        <v>25</v>
      </c>
      <c r="K737" s="163" t="str">
        <f>VLOOKUP(C737,'Term Reference Guide'!$C:$C,1,false)</f>
        <v>OBI:0002767</v>
      </c>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c r="BP737" s="41"/>
      <c r="BQ737" s="41"/>
      <c r="BR737" s="41"/>
      <c r="BS737" s="41"/>
      <c r="BT737" s="41"/>
      <c r="BU737" s="41"/>
      <c r="BV737" s="41"/>
      <c r="BW737" s="41"/>
      <c r="BX737" s="41"/>
      <c r="BY737" s="41"/>
      <c r="BZ737" s="41"/>
      <c r="CA737" s="41"/>
      <c r="CB737" s="41"/>
      <c r="CC737" s="41"/>
      <c r="CD737" s="41"/>
      <c r="CE737" s="41"/>
      <c r="CF737" s="41"/>
      <c r="CG737" s="41"/>
      <c r="CH737" s="41"/>
      <c r="CI737" s="41"/>
      <c r="CJ737" s="41"/>
      <c r="CK737" s="41"/>
      <c r="CL737" s="41"/>
      <c r="CM737" s="41"/>
      <c r="CN737" s="41"/>
      <c r="CO737" s="41"/>
      <c r="CP737" s="41"/>
      <c r="CQ737" s="41"/>
      <c r="CR737" s="41"/>
      <c r="CS737" s="41"/>
    </row>
    <row r="738" ht="51.75" hidden="1" customHeight="1">
      <c r="A738" s="59" t="s">
        <v>778</v>
      </c>
      <c r="B738" s="44" t="s">
        <v>2762</v>
      </c>
      <c r="C738" s="59" t="s">
        <v>2763</v>
      </c>
      <c r="D738" s="60" t="s">
        <v>2764</v>
      </c>
      <c r="E738" s="41"/>
      <c r="F738" s="168"/>
      <c r="G738" s="168"/>
      <c r="H738" s="168"/>
      <c r="I738" s="168"/>
      <c r="J738" s="168"/>
      <c r="K738" s="163" t="str">
        <f>VLOOKUP(C738,'Term Reference Guide'!$C:$C,1,false)</f>
        <v>OBI:0002763</v>
      </c>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c r="BP738" s="41"/>
      <c r="BQ738" s="41"/>
      <c r="BR738" s="41"/>
      <c r="BS738" s="41"/>
      <c r="BT738" s="41"/>
      <c r="BU738" s="41"/>
      <c r="BV738" s="41"/>
      <c r="BW738" s="41"/>
      <c r="BX738" s="41"/>
      <c r="BY738" s="41"/>
      <c r="BZ738" s="41"/>
      <c r="CA738" s="41"/>
      <c r="CB738" s="41"/>
      <c r="CC738" s="41"/>
      <c r="CD738" s="41"/>
      <c r="CE738" s="41"/>
      <c r="CF738" s="41"/>
      <c r="CG738" s="41"/>
      <c r="CH738" s="41"/>
      <c r="CI738" s="41"/>
      <c r="CJ738" s="41"/>
      <c r="CK738" s="41"/>
      <c r="CL738" s="41"/>
      <c r="CM738" s="41"/>
      <c r="CN738" s="41"/>
      <c r="CO738" s="41"/>
      <c r="CP738" s="41"/>
      <c r="CQ738" s="41"/>
      <c r="CR738" s="41"/>
      <c r="CS738" s="41"/>
    </row>
    <row r="739" hidden="1">
      <c r="A739" s="59" t="s">
        <v>778</v>
      </c>
      <c r="B739" s="44" t="s">
        <v>782</v>
      </c>
      <c r="C739" s="59" t="s">
        <v>2765</v>
      </c>
      <c r="D739" s="60" t="s">
        <v>2766</v>
      </c>
      <c r="E739" s="41"/>
      <c r="F739" s="168"/>
      <c r="G739" s="168"/>
      <c r="H739" s="168" t="s">
        <v>25</v>
      </c>
      <c r="I739" s="168" t="s">
        <v>25</v>
      </c>
      <c r="J739" s="168" t="s">
        <v>25</v>
      </c>
      <c r="K739" s="163" t="str">
        <f>VLOOKUP(C739,'Term Reference Guide'!$C:$C,1,false)</f>
        <v>OBI:0002117</v>
      </c>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c r="BP739" s="41"/>
      <c r="BQ739" s="41"/>
      <c r="BR739" s="41"/>
      <c r="BS739" s="41"/>
      <c r="BT739" s="41"/>
      <c r="BU739" s="41"/>
      <c r="BV739" s="41"/>
      <c r="BW739" s="41"/>
      <c r="BX739" s="41"/>
      <c r="BY739" s="41"/>
      <c r="BZ739" s="41"/>
      <c r="CA739" s="41"/>
      <c r="CB739" s="41"/>
      <c r="CC739" s="41"/>
      <c r="CD739" s="41"/>
      <c r="CE739" s="41"/>
      <c r="CF739" s="41"/>
      <c r="CG739" s="41"/>
      <c r="CH739" s="41"/>
      <c r="CI739" s="41"/>
      <c r="CJ739" s="41"/>
      <c r="CK739" s="41"/>
      <c r="CL739" s="41"/>
      <c r="CM739" s="41"/>
      <c r="CN739" s="41"/>
      <c r="CO739" s="41"/>
      <c r="CP739" s="41"/>
      <c r="CQ739" s="41"/>
      <c r="CR739" s="41"/>
      <c r="CS739" s="41"/>
    </row>
    <row r="740" hidden="1">
      <c r="A740" s="59" t="s">
        <v>778</v>
      </c>
      <c r="B740" s="44" t="s">
        <v>2767</v>
      </c>
      <c r="C740" s="59" t="s">
        <v>2768</v>
      </c>
      <c r="D740" s="60" t="s">
        <v>2769</v>
      </c>
      <c r="E740" s="41"/>
      <c r="F740" s="168"/>
      <c r="G740" s="168"/>
      <c r="H740" s="168" t="s">
        <v>25</v>
      </c>
      <c r="I740" s="168" t="s">
        <v>25</v>
      </c>
      <c r="J740" s="168" t="s">
        <v>25</v>
      </c>
      <c r="K740" s="163" t="str">
        <f>VLOOKUP(C740,'Term Reference Guide'!$C:$C,1,false)</f>
        <v>OBI:0002623</v>
      </c>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c r="BP740" s="41"/>
      <c r="BQ740" s="41"/>
      <c r="BR740" s="41"/>
      <c r="BS740" s="41"/>
      <c r="BT740" s="41"/>
      <c r="BU740" s="41"/>
      <c r="BV740" s="41"/>
      <c r="BW740" s="41"/>
      <c r="BX740" s="41"/>
      <c r="BY740" s="41"/>
      <c r="BZ740" s="41"/>
      <c r="CA740" s="41"/>
      <c r="CB740" s="41"/>
      <c r="CC740" s="41"/>
      <c r="CD740" s="41"/>
      <c r="CE740" s="41"/>
      <c r="CF740" s="41"/>
      <c r="CG740" s="41"/>
      <c r="CH740" s="41"/>
      <c r="CI740" s="41"/>
      <c r="CJ740" s="41"/>
      <c r="CK740" s="41"/>
      <c r="CL740" s="41"/>
      <c r="CM740" s="41"/>
      <c r="CN740" s="41"/>
      <c r="CO740" s="41"/>
      <c r="CP740" s="41"/>
      <c r="CQ740" s="41"/>
      <c r="CR740" s="41"/>
      <c r="CS740" s="41"/>
    </row>
    <row r="741" hidden="1">
      <c r="A741" s="59" t="s">
        <v>778</v>
      </c>
      <c r="B741" s="179" t="s">
        <v>2770</v>
      </c>
      <c r="C741" s="179" t="s">
        <v>2771</v>
      </c>
      <c r="D741" s="70" t="s">
        <v>2772</v>
      </c>
      <c r="E741" s="173"/>
      <c r="F741" s="168"/>
      <c r="G741" s="168"/>
      <c r="H741" s="168" t="s">
        <v>25</v>
      </c>
      <c r="I741" s="168" t="s">
        <v>25</v>
      </c>
      <c r="J741" s="168" t="s">
        <v>25</v>
      </c>
      <c r="K741" s="163" t="str">
        <f>VLOOKUP(C741,'Term Reference Guide'!$C:$C,1,false)</f>
        <v>OBI:0002768</v>
      </c>
      <c r="L741" s="173"/>
      <c r="M741" s="173"/>
      <c r="N741" s="173"/>
      <c r="O741" s="173"/>
      <c r="P741" s="173"/>
      <c r="Q741" s="173"/>
      <c r="R741" s="173"/>
      <c r="S741" s="173"/>
      <c r="T741" s="173"/>
      <c r="U741" s="173"/>
      <c r="V741" s="173"/>
      <c r="W741" s="173"/>
      <c r="X741" s="173"/>
      <c r="Y741" s="173"/>
      <c r="Z741" s="173"/>
      <c r="AA741" s="173"/>
      <c r="AB741" s="173"/>
      <c r="AC741" s="173"/>
      <c r="AD741" s="173"/>
      <c r="AE741" s="173"/>
      <c r="AF741" s="173"/>
      <c r="AG741" s="173"/>
      <c r="AH741" s="173"/>
      <c r="AI741" s="173"/>
      <c r="AJ741" s="173"/>
      <c r="AK741" s="173"/>
      <c r="AL741" s="173"/>
      <c r="AM741" s="173"/>
      <c r="AN741" s="173"/>
      <c r="AO741" s="173"/>
      <c r="AP741" s="173"/>
      <c r="AQ741" s="173"/>
      <c r="AR741" s="173"/>
      <c r="AS741" s="173"/>
      <c r="AT741" s="173"/>
      <c r="AU741" s="173"/>
      <c r="AV741" s="173"/>
      <c r="AW741" s="173"/>
      <c r="AX741" s="173"/>
      <c r="AY741" s="173"/>
      <c r="AZ741" s="173"/>
      <c r="BA741" s="173"/>
      <c r="BB741" s="173"/>
      <c r="BC741" s="173"/>
      <c r="BD741" s="173"/>
      <c r="BE741" s="173"/>
      <c r="BF741" s="173"/>
      <c r="BG741" s="173"/>
      <c r="BH741" s="173"/>
      <c r="BI741" s="173"/>
      <c r="BJ741" s="173"/>
      <c r="BK741" s="173"/>
      <c r="BL741" s="173"/>
      <c r="BM741" s="173"/>
      <c r="BN741" s="173"/>
      <c r="BO741" s="173"/>
      <c r="BP741" s="173"/>
      <c r="BQ741" s="173"/>
      <c r="BR741" s="173"/>
      <c r="BS741" s="173"/>
      <c r="BT741" s="173"/>
      <c r="BU741" s="173"/>
      <c r="BV741" s="173"/>
      <c r="BW741" s="173"/>
      <c r="BX741" s="173"/>
      <c r="BY741" s="173"/>
      <c r="BZ741" s="173"/>
      <c r="CA741" s="173"/>
      <c r="CB741" s="173"/>
      <c r="CC741" s="173"/>
      <c r="CD741" s="173"/>
      <c r="CE741" s="173"/>
      <c r="CF741" s="173"/>
      <c r="CG741" s="173"/>
      <c r="CH741" s="173"/>
      <c r="CI741" s="173"/>
      <c r="CJ741" s="173"/>
      <c r="CK741" s="173"/>
      <c r="CL741" s="173"/>
      <c r="CM741" s="173"/>
      <c r="CN741" s="173"/>
      <c r="CO741" s="173"/>
      <c r="CP741" s="173"/>
      <c r="CQ741" s="173"/>
      <c r="CR741" s="173"/>
      <c r="CS741" s="173"/>
    </row>
    <row r="742">
      <c r="A742" s="173"/>
      <c r="B742" s="173"/>
      <c r="C742" s="173"/>
      <c r="D742" s="141"/>
      <c r="E742" s="173"/>
      <c r="F742" s="173"/>
      <c r="G742" s="173"/>
      <c r="H742" s="173"/>
      <c r="I742" s="173"/>
      <c r="J742" s="141"/>
      <c r="K742" s="163" t="str">
        <f>VLOOKUP(C742,'Term Reference Guide'!$C:$C,1,false)</f>
        <v>#N/A</v>
      </c>
      <c r="L742" s="173"/>
      <c r="M742" s="173"/>
      <c r="N742" s="173"/>
      <c r="O742" s="173"/>
      <c r="P742" s="173"/>
      <c r="Q742" s="173"/>
      <c r="R742" s="173"/>
      <c r="S742" s="173"/>
      <c r="T742" s="173"/>
      <c r="U742" s="173"/>
      <c r="V742" s="173"/>
      <c r="W742" s="173"/>
      <c r="X742" s="173"/>
      <c r="Y742" s="173"/>
      <c r="Z742" s="173"/>
      <c r="AA742" s="173"/>
      <c r="AB742" s="173"/>
      <c r="AC742" s="173"/>
      <c r="AD742" s="173"/>
      <c r="AE742" s="173"/>
      <c r="AF742" s="173"/>
      <c r="AG742" s="173"/>
      <c r="AH742" s="173"/>
      <c r="AI742" s="173"/>
      <c r="AJ742" s="173"/>
      <c r="AK742" s="173"/>
      <c r="AL742" s="173"/>
      <c r="AM742" s="173"/>
      <c r="AN742" s="173"/>
      <c r="AO742" s="173"/>
      <c r="AP742" s="173"/>
      <c r="AQ742" s="173"/>
      <c r="AR742" s="173"/>
      <c r="AS742" s="173"/>
      <c r="AT742" s="173"/>
      <c r="AU742" s="173"/>
      <c r="AV742" s="173"/>
      <c r="AW742" s="173"/>
      <c r="AX742" s="173"/>
      <c r="AY742" s="173"/>
      <c r="AZ742" s="173"/>
      <c r="BA742" s="173"/>
      <c r="BB742" s="173"/>
      <c r="BC742" s="173"/>
      <c r="BD742" s="173"/>
      <c r="BE742" s="173"/>
      <c r="BF742" s="173"/>
      <c r="BG742" s="173"/>
      <c r="BH742" s="173"/>
      <c r="BI742" s="173"/>
      <c r="BJ742" s="173"/>
      <c r="BK742" s="173"/>
      <c r="BL742" s="173"/>
      <c r="BM742" s="173"/>
      <c r="BN742" s="173"/>
      <c r="BO742" s="173"/>
      <c r="BP742" s="173"/>
      <c r="BQ742" s="173"/>
      <c r="BR742" s="173"/>
      <c r="BS742" s="173"/>
      <c r="BT742" s="173"/>
      <c r="BU742" s="173"/>
      <c r="BV742" s="173"/>
      <c r="BW742" s="173"/>
      <c r="BX742" s="173"/>
      <c r="BY742" s="173"/>
      <c r="BZ742" s="173"/>
      <c r="CA742" s="173"/>
      <c r="CB742" s="173"/>
      <c r="CC742" s="173"/>
      <c r="CD742" s="173"/>
      <c r="CE742" s="173"/>
      <c r="CF742" s="173"/>
      <c r="CG742" s="173"/>
      <c r="CH742" s="173"/>
      <c r="CI742" s="173"/>
      <c r="CJ742" s="173"/>
      <c r="CK742" s="173"/>
      <c r="CL742" s="173"/>
      <c r="CM742" s="173"/>
      <c r="CN742" s="173"/>
      <c r="CO742" s="173"/>
      <c r="CP742" s="173"/>
      <c r="CQ742" s="173"/>
      <c r="CR742" s="173"/>
      <c r="CS742" s="173"/>
    </row>
    <row r="743">
      <c r="A743" s="173"/>
      <c r="B743" s="173"/>
      <c r="C743" s="173"/>
      <c r="D743" s="141"/>
      <c r="E743" s="173"/>
      <c r="F743" s="173"/>
      <c r="G743" s="173"/>
      <c r="H743" s="173"/>
      <c r="I743" s="173"/>
      <c r="J743" s="141"/>
      <c r="K743" s="163" t="str">
        <f>VLOOKUP(C743,'Term Reference Guide'!$C:$C,1,false)</f>
        <v>#N/A</v>
      </c>
      <c r="L743" s="173"/>
      <c r="M743" s="173"/>
      <c r="N743" s="173"/>
      <c r="O743" s="173"/>
      <c r="P743" s="173"/>
      <c r="Q743" s="173"/>
      <c r="R743" s="173"/>
      <c r="S743" s="173"/>
      <c r="T743" s="173"/>
      <c r="U743" s="173"/>
      <c r="V743" s="173"/>
      <c r="W743" s="173"/>
      <c r="X743" s="173"/>
      <c r="Y743" s="173"/>
      <c r="Z743" s="173"/>
      <c r="AA743" s="173"/>
      <c r="AB743" s="173"/>
      <c r="AC743" s="173"/>
      <c r="AD743" s="173"/>
      <c r="AE743" s="173"/>
      <c r="AF743" s="173"/>
      <c r="AG743" s="173"/>
      <c r="AH743" s="173"/>
      <c r="AI743" s="173"/>
      <c r="AJ743" s="173"/>
      <c r="AK743" s="173"/>
      <c r="AL743" s="173"/>
      <c r="AM743" s="173"/>
      <c r="AN743" s="173"/>
      <c r="AO743" s="173"/>
      <c r="AP743" s="173"/>
      <c r="AQ743" s="173"/>
      <c r="AR743" s="173"/>
      <c r="AS743" s="173"/>
      <c r="AT743" s="173"/>
      <c r="AU743" s="173"/>
      <c r="AV743" s="173"/>
      <c r="AW743" s="173"/>
      <c r="AX743" s="173"/>
      <c r="AY743" s="173"/>
      <c r="AZ743" s="173"/>
      <c r="BA743" s="173"/>
      <c r="BB743" s="173"/>
      <c r="BC743" s="173"/>
      <c r="BD743" s="173"/>
      <c r="BE743" s="173"/>
      <c r="BF743" s="173"/>
      <c r="BG743" s="173"/>
      <c r="BH743" s="173"/>
      <c r="BI743" s="173"/>
      <c r="BJ743" s="173"/>
      <c r="BK743" s="173"/>
      <c r="BL743" s="173"/>
      <c r="BM743" s="173"/>
      <c r="BN743" s="173"/>
      <c r="BO743" s="173"/>
      <c r="BP743" s="173"/>
      <c r="BQ743" s="173"/>
      <c r="BR743" s="173"/>
      <c r="BS743" s="173"/>
      <c r="BT743" s="173"/>
      <c r="BU743" s="173"/>
      <c r="BV743" s="173"/>
      <c r="BW743" s="173"/>
      <c r="BX743" s="173"/>
      <c r="BY743" s="173"/>
      <c r="BZ743" s="173"/>
      <c r="CA743" s="173"/>
      <c r="CB743" s="173"/>
      <c r="CC743" s="173"/>
      <c r="CD743" s="173"/>
      <c r="CE743" s="173"/>
      <c r="CF743" s="173"/>
      <c r="CG743" s="173"/>
      <c r="CH743" s="173"/>
      <c r="CI743" s="173"/>
      <c r="CJ743" s="173"/>
      <c r="CK743" s="173"/>
      <c r="CL743" s="173"/>
      <c r="CM743" s="173"/>
      <c r="CN743" s="173"/>
      <c r="CO743" s="173"/>
      <c r="CP743" s="173"/>
      <c r="CQ743" s="173"/>
      <c r="CR743" s="173"/>
      <c r="CS743" s="173"/>
    </row>
    <row r="744">
      <c r="A744" s="170" t="s">
        <v>807</v>
      </c>
      <c r="B744" s="156"/>
      <c r="C744" s="156"/>
      <c r="D744" s="139"/>
      <c r="E744" s="156"/>
      <c r="F744" s="156"/>
      <c r="G744" s="156"/>
      <c r="H744" s="164"/>
      <c r="I744" s="164"/>
      <c r="J744" s="171"/>
      <c r="K744" s="163" t="str">
        <f>VLOOKUP(C744,'Term Reference Guide'!$C:$C,1,false)</f>
        <v>#N/A</v>
      </c>
      <c r="L744" s="163"/>
      <c r="M744" s="163"/>
      <c r="N744" s="163"/>
      <c r="O744" s="163"/>
      <c r="P744" s="163"/>
      <c r="Q744" s="163"/>
      <c r="R744" s="163"/>
      <c r="S744" s="163"/>
      <c r="T744" s="163"/>
      <c r="U744" s="163"/>
      <c r="V744" s="163"/>
      <c r="W744" s="163"/>
      <c r="X744" s="163"/>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c r="BP744" s="41"/>
      <c r="BQ744" s="41"/>
      <c r="BR744" s="41"/>
      <c r="BS744" s="41"/>
      <c r="BT744" s="41"/>
      <c r="BU744" s="41"/>
      <c r="BV744" s="41"/>
      <c r="BW744" s="41"/>
      <c r="BX744" s="41"/>
      <c r="BY744" s="41"/>
      <c r="BZ744" s="41"/>
      <c r="CA744" s="41"/>
      <c r="CB744" s="41"/>
      <c r="CC744" s="41"/>
      <c r="CD744" s="41"/>
      <c r="CE744" s="41"/>
      <c r="CF744" s="41"/>
      <c r="CG744" s="41"/>
      <c r="CH744" s="41"/>
      <c r="CI744" s="41"/>
      <c r="CJ744" s="41"/>
      <c r="CK744" s="41"/>
      <c r="CL744" s="41"/>
      <c r="CM744" s="41"/>
      <c r="CN744" s="41"/>
      <c r="CO744" s="41"/>
      <c r="CP744" s="41"/>
      <c r="CQ744" s="41"/>
      <c r="CR744" s="41"/>
      <c r="CS744" s="41"/>
    </row>
    <row r="745" hidden="1">
      <c r="A745" s="179" t="s">
        <v>807</v>
      </c>
      <c r="B745" s="179" t="s">
        <v>2773</v>
      </c>
      <c r="C745" s="180" t="s">
        <v>2774</v>
      </c>
      <c r="D745" s="33" t="s">
        <v>2775</v>
      </c>
      <c r="E745" s="179" t="s">
        <v>2776</v>
      </c>
      <c r="F745" s="168"/>
      <c r="G745" s="168"/>
      <c r="H745" s="168" t="s">
        <v>25</v>
      </c>
      <c r="I745" s="168" t="s">
        <v>25</v>
      </c>
      <c r="J745" s="168" t="s">
        <v>25</v>
      </c>
      <c r="K745" s="163" t="str">
        <f>VLOOKUP(C745,'Term Reference Guide'!$C:$C,1,false)</f>
        <v>GENEPIO:0100847</v>
      </c>
      <c r="L745" s="173"/>
      <c r="M745" s="173"/>
      <c r="N745" s="173"/>
      <c r="O745" s="173"/>
      <c r="P745" s="173"/>
      <c r="Q745" s="173"/>
      <c r="R745" s="173"/>
      <c r="S745" s="173"/>
      <c r="T745" s="173"/>
      <c r="U745" s="173"/>
      <c r="V745" s="173"/>
      <c r="W745" s="173"/>
      <c r="X745" s="173"/>
      <c r="Y745" s="173"/>
      <c r="Z745" s="173"/>
      <c r="AA745" s="173"/>
      <c r="AB745" s="173"/>
      <c r="AC745" s="173"/>
      <c r="AD745" s="173"/>
      <c r="AE745" s="173"/>
      <c r="AF745" s="173"/>
      <c r="AG745" s="173"/>
      <c r="AH745" s="173"/>
      <c r="AI745" s="173"/>
      <c r="AJ745" s="173"/>
      <c r="AK745" s="173"/>
      <c r="AL745" s="173"/>
      <c r="AM745" s="173"/>
      <c r="AN745" s="173"/>
      <c r="AO745" s="173"/>
      <c r="AP745" s="173"/>
      <c r="AQ745" s="173"/>
      <c r="AR745" s="173"/>
      <c r="AS745" s="173"/>
      <c r="AT745" s="173"/>
      <c r="AU745" s="173"/>
      <c r="AV745" s="173"/>
      <c r="AW745" s="173"/>
      <c r="AX745" s="173"/>
      <c r="AY745" s="173"/>
      <c r="AZ745" s="173"/>
      <c r="BA745" s="173"/>
      <c r="BB745" s="173"/>
      <c r="BC745" s="173"/>
      <c r="BD745" s="173"/>
      <c r="BE745" s="173"/>
      <c r="BF745" s="173"/>
      <c r="BG745" s="173"/>
      <c r="BH745" s="173"/>
      <c r="BI745" s="173"/>
      <c r="BJ745" s="173"/>
      <c r="BK745" s="173"/>
      <c r="BL745" s="173"/>
      <c r="BM745" s="173"/>
      <c r="BN745" s="173"/>
      <c r="BO745" s="173"/>
      <c r="BP745" s="173"/>
      <c r="BQ745" s="173"/>
      <c r="BR745" s="173"/>
      <c r="BS745" s="173"/>
      <c r="BT745" s="173"/>
      <c r="BU745" s="173"/>
      <c r="BV745" s="173"/>
      <c r="BW745" s="173"/>
      <c r="BX745" s="173"/>
      <c r="BY745" s="173"/>
      <c r="BZ745" s="173"/>
      <c r="CA745" s="173"/>
      <c r="CB745" s="173"/>
      <c r="CC745" s="173"/>
      <c r="CD745" s="173"/>
      <c r="CE745" s="173"/>
      <c r="CF745" s="173"/>
      <c r="CG745" s="173"/>
      <c r="CH745" s="173"/>
      <c r="CI745" s="173"/>
      <c r="CJ745" s="173"/>
      <c r="CK745" s="173"/>
      <c r="CL745" s="173"/>
      <c r="CM745" s="173"/>
      <c r="CN745" s="173"/>
      <c r="CO745" s="173"/>
      <c r="CP745" s="173"/>
      <c r="CQ745" s="173"/>
      <c r="CR745" s="173"/>
      <c r="CS745" s="173"/>
    </row>
    <row r="746" hidden="1">
      <c r="A746" s="179" t="s">
        <v>807</v>
      </c>
      <c r="B746" s="179" t="s">
        <v>2777</v>
      </c>
      <c r="C746" s="180" t="s">
        <v>2778</v>
      </c>
      <c r="D746" s="33" t="s">
        <v>2779</v>
      </c>
      <c r="E746" s="179" t="s">
        <v>2776</v>
      </c>
      <c r="F746" s="168"/>
      <c r="G746" s="168"/>
      <c r="H746" s="168" t="s">
        <v>25</v>
      </c>
      <c r="I746" s="168" t="s">
        <v>25</v>
      </c>
      <c r="J746" s="168" t="s">
        <v>25</v>
      </c>
      <c r="K746" s="163" t="str">
        <f>VLOOKUP(C746,'Term Reference Guide'!$C:$C,1,false)</f>
        <v>GENEPIO:0100848</v>
      </c>
      <c r="L746" s="173"/>
      <c r="M746" s="173"/>
      <c r="N746" s="173"/>
      <c r="O746" s="173"/>
      <c r="P746" s="173"/>
      <c r="Q746" s="173"/>
      <c r="R746" s="173"/>
      <c r="S746" s="173"/>
      <c r="T746" s="173"/>
      <c r="U746" s="173"/>
      <c r="V746" s="173"/>
      <c r="W746" s="173"/>
      <c r="X746" s="173"/>
      <c r="Y746" s="173"/>
      <c r="Z746" s="173"/>
      <c r="AA746" s="173"/>
      <c r="AB746" s="173"/>
      <c r="AC746" s="173"/>
      <c r="AD746" s="173"/>
      <c r="AE746" s="173"/>
      <c r="AF746" s="173"/>
      <c r="AG746" s="173"/>
      <c r="AH746" s="173"/>
      <c r="AI746" s="173"/>
      <c r="AJ746" s="173"/>
      <c r="AK746" s="173"/>
      <c r="AL746" s="173"/>
      <c r="AM746" s="173"/>
      <c r="AN746" s="173"/>
      <c r="AO746" s="173"/>
      <c r="AP746" s="173"/>
      <c r="AQ746" s="173"/>
      <c r="AR746" s="173"/>
      <c r="AS746" s="173"/>
      <c r="AT746" s="173"/>
      <c r="AU746" s="173"/>
      <c r="AV746" s="173"/>
      <c r="AW746" s="173"/>
      <c r="AX746" s="173"/>
      <c r="AY746" s="173"/>
      <c r="AZ746" s="173"/>
      <c r="BA746" s="173"/>
      <c r="BB746" s="173"/>
      <c r="BC746" s="173"/>
      <c r="BD746" s="173"/>
      <c r="BE746" s="173"/>
      <c r="BF746" s="173"/>
      <c r="BG746" s="173"/>
      <c r="BH746" s="173"/>
      <c r="BI746" s="173"/>
      <c r="BJ746" s="173"/>
      <c r="BK746" s="173"/>
      <c r="BL746" s="173"/>
      <c r="BM746" s="173"/>
      <c r="BN746" s="173"/>
      <c r="BO746" s="173"/>
      <c r="BP746" s="173"/>
      <c r="BQ746" s="173"/>
      <c r="BR746" s="173"/>
      <c r="BS746" s="173"/>
      <c r="BT746" s="173"/>
      <c r="BU746" s="173"/>
      <c r="BV746" s="173"/>
      <c r="BW746" s="173"/>
      <c r="BX746" s="173"/>
      <c r="BY746" s="173"/>
      <c r="BZ746" s="173"/>
      <c r="CA746" s="173"/>
      <c r="CB746" s="173"/>
      <c r="CC746" s="173"/>
      <c r="CD746" s="173"/>
      <c r="CE746" s="173"/>
      <c r="CF746" s="173"/>
      <c r="CG746" s="173"/>
      <c r="CH746" s="173"/>
      <c r="CI746" s="173"/>
      <c r="CJ746" s="173"/>
      <c r="CK746" s="173"/>
      <c r="CL746" s="173"/>
      <c r="CM746" s="173"/>
      <c r="CN746" s="173"/>
      <c r="CO746" s="173"/>
      <c r="CP746" s="173"/>
      <c r="CQ746" s="173"/>
      <c r="CR746" s="173"/>
      <c r="CS746" s="173"/>
    </row>
    <row r="747" hidden="1">
      <c r="A747" s="179" t="s">
        <v>807</v>
      </c>
      <c r="B747" s="179" t="s">
        <v>2780</v>
      </c>
      <c r="C747" s="180" t="s">
        <v>2781</v>
      </c>
      <c r="D747" s="33" t="s">
        <v>2782</v>
      </c>
      <c r="E747" s="179" t="s">
        <v>2776</v>
      </c>
      <c r="F747" s="168"/>
      <c r="G747" s="168"/>
      <c r="H747" s="168" t="s">
        <v>25</v>
      </c>
      <c r="I747" s="168" t="s">
        <v>25</v>
      </c>
      <c r="J747" s="168" t="s">
        <v>25</v>
      </c>
      <c r="K747" s="163" t="str">
        <f>VLOOKUP(C747,'Term Reference Guide'!$C:$C,1,false)</f>
        <v>GENEPIO:0100849</v>
      </c>
      <c r="L747" s="173"/>
      <c r="M747" s="173"/>
      <c r="N747" s="173"/>
      <c r="O747" s="173"/>
      <c r="P747" s="173"/>
      <c r="Q747" s="173"/>
      <c r="R747" s="173"/>
      <c r="S747" s="173"/>
      <c r="T747" s="173"/>
      <c r="U747" s="173"/>
      <c r="V747" s="173"/>
      <c r="W747" s="173"/>
      <c r="X747" s="173"/>
      <c r="Y747" s="173"/>
      <c r="Z747" s="173"/>
      <c r="AA747" s="173"/>
      <c r="AB747" s="173"/>
      <c r="AC747" s="173"/>
      <c r="AD747" s="173"/>
      <c r="AE747" s="173"/>
      <c r="AF747" s="173"/>
      <c r="AG747" s="173"/>
      <c r="AH747" s="173"/>
      <c r="AI747" s="173"/>
      <c r="AJ747" s="173"/>
      <c r="AK747" s="173"/>
      <c r="AL747" s="173"/>
      <c r="AM747" s="173"/>
      <c r="AN747" s="173"/>
      <c r="AO747" s="173"/>
      <c r="AP747" s="173"/>
      <c r="AQ747" s="173"/>
      <c r="AR747" s="173"/>
      <c r="AS747" s="173"/>
      <c r="AT747" s="173"/>
      <c r="AU747" s="173"/>
      <c r="AV747" s="173"/>
      <c r="AW747" s="173"/>
      <c r="AX747" s="173"/>
      <c r="AY747" s="173"/>
      <c r="AZ747" s="173"/>
      <c r="BA747" s="173"/>
      <c r="BB747" s="173"/>
      <c r="BC747" s="173"/>
      <c r="BD747" s="173"/>
      <c r="BE747" s="173"/>
      <c r="BF747" s="173"/>
      <c r="BG747" s="173"/>
      <c r="BH747" s="173"/>
      <c r="BI747" s="173"/>
      <c r="BJ747" s="173"/>
      <c r="BK747" s="173"/>
      <c r="BL747" s="173"/>
      <c r="BM747" s="173"/>
      <c r="BN747" s="173"/>
      <c r="BO747" s="173"/>
      <c r="BP747" s="173"/>
      <c r="BQ747" s="173"/>
      <c r="BR747" s="173"/>
      <c r="BS747" s="173"/>
      <c r="BT747" s="173"/>
      <c r="BU747" s="173"/>
      <c r="BV747" s="173"/>
      <c r="BW747" s="173"/>
      <c r="BX747" s="173"/>
      <c r="BY747" s="173"/>
      <c r="BZ747" s="173"/>
      <c r="CA747" s="173"/>
      <c r="CB747" s="173"/>
      <c r="CC747" s="173"/>
      <c r="CD747" s="173"/>
      <c r="CE747" s="173"/>
      <c r="CF747" s="173"/>
      <c r="CG747" s="173"/>
      <c r="CH747" s="173"/>
      <c r="CI747" s="173"/>
      <c r="CJ747" s="173"/>
      <c r="CK747" s="173"/>
      <c r="CL747" s="173"/>
      <c r="CM747" s="173"/>
      <c r="CN747" s="173"/>
      <c r="CO747" s="173"/>
      <c r="CP747" s="173"/>
      <c r="CQ747" s="173"/>
      <c r="CR747" s="173"/>
      <c r="CS747" s="173"/>
    </row>
    <row r="748" hidden="1">
      <c r="A748" s="179" t="s">
        <v>807</v>
      </c>
      <c r="B748" s="179" t="s">
        <v>2783</v>
      </c>
      <c r="C748" s="180" t="s">
        <v>2784</v>
      </c>
      <c r="D748" s="33" t="s">
        <v>2785</v>
      </c>
      <c r="E748" s="179" t="s">
        <v>2776</v>
      </c>
      <c r="F748" s="168"/>
      <c r="G748" s="168"/>
      <c r="H748" s="168" t="s">
        <v>25</v>
      </c>
      <c r="I748" s="168" t="s">
        <v>25</v>
      </c>
      <c r="J748" s="168" t="s">
        <v>25</v>
      </c>
      <c r="K748" s="163" t="str">
        <f>VLOOKUP(C748,'Term Reference Guide'!$C:$C,1,false)</f>
        <v>GENEPIO:0100850</v>
      </c>
      <c r="L748" s="173"/>
      <c r="M748" s="173"/>
      <c r="N748" s="173"/>
      <c r="O748" s="173"/>
      <c r="P748" s="173"/>
      <c r="Q748" s="173"/>
      <c r="R748" s="173"/>
      <c r="S748" s="173"/>
      <c r="T748" s="173"/>
      <c r="U748" s="173"/>
      <c r="V748" s="173"/>
      <c r="W748" s="173"/>
      <c r="X748" s="173"/>
      <c r="Y748" s="173"/>
      <c r="Z748" s="173"/>
      <c r="AA748" s="173"/>
      <c r="AB748" s="173"/>
      <c r="AC748" s="173"/>
      <c r="AD748" s="173"/>
      <c r="AE748" s="173"/>
      <c r="AF748" s="173"/>
      <c r="AG748" s="173"/>
      <c r="AH748" s="173"/>
      <c r="AI748" s="173"/>
      <c r="AJ748" s="173"/>
      <c r="AK748" s="173"/>
      <c r="AL748" s="173"/>
      <c r="AM748" s="173"/>
      <c r="AN748" s="173"/>
      <c r="AO748" s="173"/>
      <c r="AP748" s="173"/>
      <c r="AQ748" s="173"/>
      <c r="AR748" s="173"/>
      <c r="AS748" s="173"/>
      <c r="AT748" s="173"/>
      <c r="AU748" s="173"/>
      <c r="AV748" s="173"/>
      <c r="AW748" s="173"/>
      <c r="AX748" s="173"/>
      <c r="AY748" s="173"/>
      <c r="AZ748" s="173"/>
      <c r="BA748" s="173"/>
      <c r="BB748" s="173"/>
      <c r="BC748" s="173"/>
      <c r="BD748" s="173"/>
      <c r="BE748" s="173"/>
      <c r="BF748" s="173"/>
      <c r="BG748" s="173"/>
      <c r="BH748" s="173"/>
      <c r="BI748" s="173"/>
      <c r="BJ748" s="173"/>
      <c r="BK748" s="173"/>
      <c r="BL748" s="173"/>
      <c r="BM748" s="173"/>
      <c r="BN748" s="173"/>
      <c r="BO748" s="173"/>
      <c r="BP748" s="173"/>
      <c r="BQ748" s="173"/>
      <c r="BR748" s="173"/>
      <c r="BS748" s="173"/>
      <c r="BT748" s="173"/>
      <c r="BU748" s="173"/>
      <c r="BV748" s="173"/>
      <c r="BW748" s="173"/>
      <c r="BX748" s="173"/>
      <c r="BY748" s="173"/>
      <c r="BZ748" s="173"/>
      <c r="CA748" s="173"/>
      <c r="CB748" s="173"/>
      <c r="CC748" s="173"/>
      <c r="CD748" s="173"/>
      <c r="CE748" s="173"/>
      <c r="CF748" s="173"/>
      <c r="CG748" s="173"/>
      <c r="CH748" s="173"/>
      <c r="CI748" s="173"/>
      <c r="CJ748" s="173"/>
      <c r="CK748" s="173"/>
      <c r="CL748" s="173"/>
      <c r="CM748" s="173"/>
      <c r="CN748" s="173"/>
      <c r="CO748" s="173"/>
      <c r="CP748" s="173"/>
      <c r="CQ748" s="173"/>
      <c r="CR748" s="173"/>
      <c r="CS748" s="173"/>
    </row>
    <row r="749" hidden="1">
      <c r="A749" s="179" t="s">
        <v>807</v>
      </c>
      <c r="B749" s="179" t="s">
        <v>2786</v>
      </c>
      <c r="C749" s="180" t="s">
        <v>2787</v>
      </c>
      <c r="D749" s="33" t="s">
        <v>2788</v>
      </c>
      <c r="E749" s="179" t="s">
        <v>2776</v>
      </c>
      <c r="F749" s="168"/>
      <c r="G749" s="168"/>
      <c r="H749" s="168" t="s">
        <v>25</v>
      </c>
      <c r="I749" s="168" t="s">
        <v>25</v>
      </c>
      <c r="J749" s="168" t="s">
        <v>25</v>
      </c>
      <c r="K749" s="163" t="str">
        <f>VLOOKUP(C749,'Term Reference Guide'!$C:$C,1,false)</f>
        <v>GENEPIO:0100851</v>
      </c>
      <c r="L749" s="173"/>
      <c r="M749" s="173"/>
      <c r="N749" s="173"/>
      <c r="O749" s="173"/>
      <c r="P749" s="173"/>
      <c r="Q749" s="173"/>
      <c r="R749" s="173"/>
      <c r="S749" s="173"/>
      <c r="T749" s="173"/>
      <c r="U749" s="173"/>
      <c r="V749" s="173"/>
      <c r="W749" s="173"/>
      <c r="X749" s="173"/>
      <c r="Y749" s="173"/>
      <c r="Z749" s="173"/>
      <c r="AA749" s="173"/>
      <c r="AB749" s="173"/>
      <c r="AC749" s="173"/>
      <c r="AD749" s="173"/>
      <c r="AE749" s="173"/>
      <c r="AF749" s="173"/>
      <c r="AG749" s="173"/>
      <c r="AH749" s="173"/>
      <c r="AI749" s="173"/>
      <c r="AJ749" s="173"/>
      <c r="AK749" s="173"/>
      <c r="AL749" s="173"/>
      <c r="AM749" s="173"/>
      <c r="AN749" s="173"/>
      <c r="AO749" s="173"/>
      <c r="AP749" s="173"/>
      <c r="AQ749" s="173"/>
      <c r="AR749" s="173"/>
      <c r="AS749" s="173"/>
      <c r="AT749" s="173"/>
      <c r="AU749" s="173"/>
      <c r="AV749" s="173"/>
      <c r="AW749" s="173"/>
      <c r="AX749" s="173"/>
      <c r="AY749" s="173"/>
      <c r="AZ749" s="173"/>
      <c r="BA749" s="173"/>
      <c r="BB749" s="173"/>
      <c r="BC749" s="173"/>
      <c r="BD749" s="173"/>
      <c r="BE749" s="173"/>
      <c r="BF749" s="173"/>
      <c r="BG749" s="173"/>
      <c r="BH749" s="173"/>
      <c r="BI749" s="173"/>
      <c r="BJ749" s="173"/>
      <c r="BK749" s="173"/>
      <c r="BL749" s="173"/>
      <c r="BM749" s="173"/>
      <c r="BN749" s="173"/>
      <c r="BO749" s="173"/>
      <c r="BP749" s="173"/>
      <c r="BQ749" s="173"/>
      <c r="BR749" s="173"/>
      <c r="BS749" s="173"/>
      <c r="BT749" s="173"/>
      <c r="BU749" s="173"/>
      <c r="BV749" s="173"/>
      <c r="BW749" s="173"/>
      <c r="BX749" s="173"/>
      <c r="BY749" s="173"/>
      <c r="BZ749" s="173"/>
      <c r="CA749" s="173"/>
      <c r="CB749" s="173"/>
      <c r="CC749" s="173"/>
      <c r="CD749" s="173"/>
      <c r="CE749" s="173"/>
      <c r="CF749" s="173"/>
      <c r="CG749" s="173"/>
      <c r="CH749" s="173"/>
      <c r="CI749" s="173"/>
      <c r="CJ749" s="173"/>
      <c r="CK749" s="173"/>
      <c r="CL749" s="173"/>
      <c r="CM749" s="173"/>
      <c r="CN749" s="173"/>
      <c r="CO749" s="173"/>
      <c r="CP749" s="173"/>
      <c r="CQ749" s="173"/>
      <c r="CR749" s="173"/>
      <c r="CS749" s="173"/>
    </row>
    <row r="750" hidden="1">
      <c r="A750" s="179" t="s">
        <v>807</v>
      </c>
      <c r="B750" s="179" t="s">
        <v>2789</v>
      </c>
      <c r="C750" s="180" t="s">
        <v>2790</v>
      </c>
      <c r="D750" s="33" t="s">
        <v>2791</v>
      </c>
      <c r="E750" s="179" t="s">
        <v>2776</v>
      </c>
      <c r="F750" s="168"/>
      <c r="G750" s="168"/>
      <c r="H750" s="168" t="s">
        <v>25</v>
      </c>
      <c r="I750" s="168" t="s">
        <v>25</v>
      </c>
      <c r="J750" s="168" t="s">
        <v>25</v>
      </c>
      <c r="K750" s="163" t="str">
        <f>VLOOKUP(C750,'Term Reference Guide'!$C:$C,1,false)</f>
        <v>GENEPIO:0100852</v>
      </c>
      <c r="L750" s="173"/>
      <c r="M750" s="173"/>
      <c r="N750" s="173"/>
      <c r="O750" s="173"/>
      <c r="P750" s="173"/>
      <c r="Q750" s="173"/>
      <c r="R750" s="173"/>
      <c r="S750" s="173"/>
      <c r="T750" s="173"/>
      <c r="U750" s="173"/>
      <c r="V750" s="173"/>
      <c r="W750" s="173"/>
      <c r="X750" s="173"/>
      <c r="Y750" s="173"/>
      <c r="Z750" s="173"/>
      <c r="AA750" s="173"/>
      <c r="AB750" s="173"/>
      <c r="AC750" s="173"/>
      <c r="AD750" s="173"/>
      <c r="AE750" s="173"/>
      <c r="AF750" s="173"/>
      <c r="AG750" s="173"/>
      <c r="AH750" s="173"/>
      <c r="AI750" s="173"/>
      <c r="AJ750" s="173"/>
      <c r="AK750" s="173"/>
      <c r="AL750" s="173"/>
      <c r="AM750" s="173"/>
      <c r="AN750" s="173"/>
      <c r="AO750" s="173"/>
      <c r="AP750" s="173"/>
      <c r="AQ750" s="173"/>
      <c r="AR750" s="173"/>
      <c r="AS750" s="173"/>
      <c r="AT750" s="173"/>
      <c r="AU750" s="173"/>
      <c r="AV750" s="173"/>
      <c r="AW750" s="173"/>
      <c r="AX750" s="173"/>
      <c r="AY750" s="173"/>
      <c r="AZ750" s="173"/>
      <c r="BA750" s="173"/>
      <c r="BB750" s="173"/>
      <c r="BC750" s="173"/>
      <c r="BD750" s="173"/>
      <c r="BE750" s="173"/>
      <c r="BF750" s="173"/>
      <c r="BG750" s="173"/>
      <c r="BH750" s="173"/>
      <c r="BI750" s="173"/>
      <c r="BJ750" s="173"/>
      <c r="BK750" s="173"/>
      <c r="BL750" s="173"/>
      <c r="BM750" s="173"/>
      <c r="BN750" s="173"/>
      <c r="BO750" s="173"/>
      <c r="BP750" s="173"/>
      <c r="BQ750" s="173"/>
      <c r="BR750" s="173"/>
      <c r="BS750" s="173"/>
      <c r="BT750" s="173"/>
      <c r="BU750" s="173"/>
      <c r="BV750" s="173"/>
      <c r="BW750" s="173"/>
      <c r="BX750" s="173"/>
      <c r="BY750" s="173"/>
      <c r="BZ750" s="173"/>
      <c r="CA750" s="173"/>
      <c r="CB750" s="173"/>
      <c r="CC750" s="173"/>
      <c r="CD750" s="173"/>
      <c r="CE750" s="173"/>
      <c r="CF750" s="173"/>
      <c r="CG750" s="173"/>
      <c r="CH750" s="173"/>
      <c r="CI750" s="173"/>
      <c r="CJ750" s="173"/>
      <c r="CK750" s="173"/>
      <c r="CL750" s="173"/>
      <c r="CM750" s="173"/>
      <c r="CN750" s="173"/>
      <c r="CO750" s="173"/>
      <c r="CP750" s="173"/>
      <c r="CQ750" s="173"/>
      <c r="CR750" s="173"/>
      <c r="CS750" s="173"/>
    </row>
    <row r="751" hidden="1">
      <c r="A751" s="179" t="s">
        <v>807</v>
      </c>
      <c r="B751" s="179" t="s">
        <v>2792</v>
      </c>
      <c r="C751" s="180" t="s">
        <v>2793</v>
      </c>
      <c r="D751" s="33" t="s">
        <v>2794</v>
      </c>
      <c r="E751" s="179" t="s">
        <v>2776</v>
      </c>
      <c r="F751" s="168"/>
      <c r="G751" s="168"/>
      <c r="H751" s="168" t="s">
        <v>25</v>
      </c>
      <c r="I751" s="168" t="s">
        <v>25</v>
      </c>
      <c r="J751" s="168" t="s">
        <v>25</v>
      </c>
      <c r="K751" s="163" t="str">
        <f>VLOOKUP(C751,'Term Reference Guide'!$C:$C,1,false)</f>
        <v>GENEPIO:0100853</v>
      </c>
      <c r="L751" s="173"/>
      <c r="M751" s="173"/>
      <c r="N751" s="173"/>
      <c r="O751" s="173"/>
      <c r="P751" s="173"/>
      <c r="Q751" s="173"/>
      <c r="R751" s="173"/>
      <c r="S751" s="173"/>
      <c r="T751" s="173"/>
      <c r="U751" s="173"/>
      <c r="V751" s="173"/>
      <c r="W751" s="173"/>
      <c r="X751" s="173"/>
      <c r="Y751" s="173"/>
      <c r="Z751" s="173"/>
      <c r="AA751" s="173"/>
      <c r="AB751" s="173"/>
      <c r="AC751" s="173"/>
      <c r="AD751" s="173"/>
      <c r="AE751" s="173"/>
      <c r="AF751" s="173"/>
      <c r="AG751" s="173"/>
      <c r="AH751" s="173"/>
      <c r="AI751" s="173"/>
      <c r="AJ751" s="173"/>
      <c r="AK751" s="173"/>
      <c r="AL751" s="173"/>
      <c r="AM751" s="173"/>
      <c r="AN751" s="173"/>
      <c r="AO751" s="173"/>
      <c r="AP751" s="173"/>
      <c r="AQ751" s="173"/>
      <c r="AR751" s="173"/>
      <c r="AS751" s="173"/>
      <c r="AT751" s="173"/>
      <c r="AU751" s="173"/>
      <c r="AV751" s="173"/>
      <c r="AW751" s="173"/>
      <c r="AX751" s="173"/>
      <c r="AY751" s="173"/>
      <c r="AZ751" s="173"/>
      <c r="BA751" s="173"/>
      <c r="BB751" s="173"/>
      <c r="BC751" s="173"/>
      <c r="BD751" s="173"/>
      <c r="BE751" s="173"/>
      <c r="BF751" s="173"/>
      <c r="BG751" s="173"/>
      <c r="BH751" s="173"/>
      <c r="BI751" s="173"/>
      <c r="BJ751" s="173"/>
      <c r="BK751" s="173"/>
      <c r="BL751" s="173"/>
      <c r="BM751" s="173"/>
      <c r="BN751" s="173"/>
      <c r="BO751" s="173"/>
      <c r="BP751" s="173"/>
      <c r="BQ751" s="173"/>
      <c r="BR751" s="173"/>
      <c r="BS751" s="173"/>
      <c r="BT751" s="173"/>
      <c r="BU751" s="173"/>
      <c r="BV751" s="173"/>
      <c r="BW751" s="173"/>
      <c r="BX751" s="173"/>
      <c r="BY751" s="173"/>
      <c r="BZ751" s="173"/>
      <c r="CA751" s="173"/>
      <c r="CB751" s="173"/>
      <c r="CC751" s="173"/>
      <c r="CD751" s="173"/>
      <c r="CE751" s="173"/>
      <c r="CF751" s="173"/>
      <c r="CG751" s="173"/>
      <c r="CH751" s="173"/>
      <c r="CI751" s="173"/>
      <c r="CJ751" s="173"/>
      <c r="CK751" s="173"/>
      <c r="CL751" s="173"/>
      <c r="CM751" s="173"/>
      <c r="CN751" s="173"/>
      <c r="CO751" s="173"/>
      <c r="CP751" s="173"/>
      <c r="CQ751" s="173"/>
      <c r="CR751" s="173"/>
      <c r="CS751" s="173"/>
    </row>
    <row r="752" hidden="1">
      <c r="A752" s="179" t="s">
        <v>807</v>
      </c>
      <c r="B752" s="179" t="s">
        <v>2795</v>
      </c>
      <c r="C752" s="180" t="s">
        <v>2796</v>
      </c>
      <c r="D752" s="33" t="s">
        <v>2797</v>
      </c>
      <c r="E752" s="179" t="s">
        <v>2776</v>
      </c>
      <c r="F752" s="168"/>
      <c r="G752" s="168"/>
      <c r="H752" s="168" t="s">
        <v>25</v>
      </c>
      <c r="I752" s="168" t="s">
        <v>25</v>
      </c>
      <c r="J752" s="168" t="s">
        <v>25</v>
      </c>
      <c r="K752" s="163" t="str">
        <f>VLOOKUP(C752,'Term Reference Guide'!$C:$C,1,false)</f>
        <v>GENEPIO:0100854</v>
      </c>
      <c r="L752" s="173"/>
      <c r="M752" s="173"/>
      <c r="N752" s="173"/>
      <c r="O752" s="173"/>
      <c r="P752" s="173"/>
      <c r="Q752" s="173"/>
      <c r="R752" s="173"/>
      <c r="S752" s="173"/>
      <c r="T752" s="173"/>
      <c r="U752" s="173"/>
      <c r="V752" s="173"/>
      <c r="W752" s="173"/>
      <c r="X752" s="173"/>
      <c r="Y752" s="173"/>
      <c r="Z752" s="173"/>
      <c r="AA752" s="173"/>
      <c r="AB752" s="173"/>
      <c r="AC752" s="173"/>
      <c r="AD752" s="173"/>
      <c r="AE752" s="173"/>
      <c r="AF752" s="173"/>
      <c r="AG752" s="173"/>
      <c r="AH752" s="173"/>
      <c r="AI752" s="173"/>
      <c r="AJ752" s="173"/>
      <c r="AK752" s="173"/>
      <c r="AL752" s="173"/>
      <c r="AM752" s="173"/>
      <c r="AN752" s="173"/>
      <c r="AO752" s="173"/>
      <c r="AP752" s="173"/>
      <c r="AQ752" s="173"/>
      <c r="AR752" s="173"/>
      <c r="AS752" s="173"/>
      <c r="AT752" s="173"/>
      <c r="AU752" s="173"/>
      <c r="AV752" s="173"/>
      <c r="AW752" s="173"/>
      <c r="AX752" s="173"/>
      <c r="AY752" s="173"/>
      <c r="AZ752" s="173"/>
      <c r="BA752" s="173"/>
      <c r="BB752" s="173"/>
      <c r="BC752" s="173"/>
      <c r="BD752" s="173"/>
      <c r="BE752" s="173"/>
      <c r="BF752" s="173"/>
      <c r="BG752" s="173"/>
      <c r="BH752" s="173"/>
      <c r="BI752" s="173"/>
      <c r="BJ752" s="173"/>
      <c r="BK752" s="173"/>
      <c r="BL752" s="173"/>
      <c r="BM752" s="173"/>
      <c r="BN752" s="173"/>
      <c r="BO752" s="173"/>
      <c r="BP752" s="173"/>
      <c r="BQ752" s="173"/>
      <c r="BR752" s="173"/>
      <c r="BS752" s="173"/>
      <c r="BT752" s="173"/>
      <c r="BU752" s="173"/>
      <c r="BV752" s="173"/>
      <c r="BW752" s="173"/>
      <c r="BX752" s="173"/>
      <c r="BY752" s="173"/>
      <c r="BZ752" s="173"/>
      <c r="CA752" s="173"/>
      <c r="CB752" s="173"/>
      <c r="CC752" s="173"/>
      <c r="CD752" s="173"/>
      <c r="CE752" s="173"/>
      <c r="CF752" s="173"/>
      <c r="CG752" s="173"/>
      <c r="CH752" s="173"/>
      <c r="CI752" s="173"/>
      <c r="CJ752" s="173"/>
      <c r="CK752" s="173"/>
      <c r="CL752" s="173"/>
      <c r="CM752" s="173"/>
      <c r="CN752" s="173"/>
      <c r="CO752" s="173"/>
      <c r="CP752" s="173"/>
      <c r="CQ752" s="173"/>
      <c r="CR752" s="173"/>
      <c r="CS752" s="173"/>
    </row>
    <row r="753" hidden="1">
      <c r="A753" s="179" t="s">
        <v>807</v>
      </c>
      <c r="B753" s="179" t="s">
        <v>2798</v>
      </c>
      <c r="C753" s="180" t="s">
        <v>2799</v>
      </c>
      <c r="D753" s="33" t="s">
        <v>2800</v>
      </c>
      <c r="E753" s="179" t="s">
        <v>2776</v>
      </c>
      <c r="F753" s="168"/>
      <c r="G753" s="168"/>
      <c r="H753" s="168" t="s">
        <v>25</v>
      </c>
      <c r="I753" s="168" t="s">
        <v>25</v>
      </c>
      <c r="J753" s="168" t="s">
        <v>25</v>
      </c>
      <c r="K753" s="163" t="str">
        <f>VLOOKUP(C753,'Term Reference Guide'!$C:$C,1,false)</f>
        <v>GENEPIO:0100855</v>
      </c>
      <c r="L753" s="173"/>
      <c r="M753" s="173"/>
      <c r="N753" s="173"/>
      <c r="O753" s="173"/>
      <c r="P753" s="173"/>
      <c r="Q753" s="173"/>
      <c r="R753" s="173"/>
      <c r="S753" s="173"/>
      <c r="T753" s="173"/>
      <c r="U753" s="173"/>
      <c r="V753" s="173"/>
      <c r="W753" s="173"/>
      <c r="X753" s="173"/>
      <c r="Y753" s="173"/>
      <c r="Z753" s="173"/>
      <c r="AA753" s="173"/>
      <c r="AB753" s="173"/>
      <c r="AC753" s="173"/>
      <c r="AD753" s="173"/>
      <c r="AE753" s="173"/>
      <c r="AF753" s="173"/>
      <c r="AG753" s="173"/>
      <c r="AH753" s="173"/>
      <c r="AI753" s="173"/>
      <c r="AJ753" s="173"/>
      <c r="AK753" s="173"/>
      <c r="AL753" s="173"/>
      <c r="AM753" s="173"/>
      <c r="AN753" s="173"/>
      <c r="AO753" s="173"/>
      <c r="AP753" s="173"/>
      <c r="AQ753" s="173"/>
      <c r="AR753" s="173"/>
      <c r="AS753" s="173"/>
      <c r="AT753" s="173"/>
      <c r="AU753" s="173"/>
      <c r="AV753" s="173"/>
      <c r="AW753" s="173"/>
      <c r="AX753" s="173"/>
      <c r="AY753" s="173"/>
      <c r="AZ753" s="173"/>
      <c r="BA753" s="173"/>
      <c r="BB753" s="173"/>
      <c r="BC753" s="173"/>
      <c r="BD753" s="173"/>
      <c r="BE753" s="173"/>
      <c r="BF753" s="173"/>
      <c r="BG753" s="173"/>
      <c r="BH753" s="173"/>
      <c r="BI753" s="173"/>
      <c r="BJ753" s="173"/>
      <c r="BK753" s="173"/>
      <c r="BL753" s="173"/>
      <c r="BM753" s="173"/>
      <c r="BN753" s="173"/>
      <c r="BO753" s="173"/>
      <c r="BP753" s="173"/>
      <c r="BQ753" s="173"/>
      <c r="BR753" s="173"/>
      <c r="BS753" s="173"/>
      <c r="BT753" s="173"/>
      <c r="BU753" s="173"/>
      <c r="BV753" s="173"/>
      <c r="BW753" s="173"/>
      <c r="BX753" s="173"/>
      <c r="BY753" s="173"/>
      <c r="BZ753" s="173"/>
      <c r="CA753" s="173"/>
      <c r="CB753" s="173"/>
      <c r="CC753" s="173"/>
      <c r="CD753" s="173"/>
      <c r="CE753" s="173"/>
      <c r="CF753" s="173"/>
      <c r="CG753" s="173"/>
      <c r="CH753" s="173"/>
      <c r="CI753" s="173"/>
      <c r="CJ753" s="173"/>
      <c r="CK753" s="173"/>
      <c r="CL753" s="173"/>
      <c r="CM753" s="173"/>
      <c r="CN753" s="173"/>
      <c r="CO753" s="173"/>
      <c r="CP753" s="173"/>
      <c r="CQ753" s="173"/>
      <c r="CR753" s="173"/>
      <c r="CS753" s="173"/>
    </row>
    <row r="754" hidden="1">
      <c r="A754" s="179" t="s">
        <v>807</v>
      </c>
      <c r="B754" s="179" t="s">
        <v>2801</v>
      </c>
      <c r="C754" s="180" t="s">
        <v>2802</v>
      </c>
      <c r="D754" s="33" t="s">
        <v>2803</v>
      </c>
      <c r="E754" s="179" t="s">
        <v>2776</v>
      </c>
      <c r="F754" s="168"/>
      <c r="G754" s="168"/>
      <c r="H754" s="168" t="s">
        <v>25</v>
      </c>
      <c r="I754" s="168" t="s">
        <v>25</v>
      </c>
      <c r="J754" s="168" t="s">
        <v>25</v>
      </c>
      <c r="K754" s="163" t="str">
        <f>VLOOKUP(C754,'Term Reference Guide'!$C:$C,1,false)</f>
        <v>GENEPIO:0100856</v>
      </c>
      <c r="L754" s="173"/>
      <c r="M754" s="173"/>
      <c r="N754" s="173"/>
      <c r="O754" s="173"/>
      <c r="P754" s="173"/>
      <c r="Q754" s="173"/>
      <c r="R754" s="173"/>
      <c r="S754" s="173"/>
      <c r="T754" s="173"/>
      <c r="U754" s="173"/>
      <c r="V754" s="173"/>
      <c r="W754" s="173"/>
      <c r="X754" s="173"/>
      <c r="Y754" s="173"/>
      <c r="Z754" s="173"/>
      <c r="AA754" s="173"/>
      <c r="AB754" s="173"/>
      <c r="AC754" s="173"/>
      <c r="AD754" s="173"/>
      <c r="AE754" s="173"/>
      <c r="AF754" s="173"/>
      <c r="AG754" s="173"/>
      <c r="AH754" s="173"/>
      <c r="AI754" s="173"/>
      <c r="AJ754" s="173"/>
      <c r="AK754" s="173"/>
      <c r="AL754" s="173"/>
      <c r="AM754" s="173"/>
      <c r="AN754" s="173"/>
      <c r="AO754" s="173"/>
      <c r="AP754" s="173"/>
      <c r="AQ754" s="173"/>
      <c r="AR754" s="173"/>
      <c r="AS754" s="173"/>
      <c r="AT754" s="173"/>
      <c r="AU754" s="173"/>
      <c r="AV754" s="173"/>
      <c r="AW754" s="173"/>
      <c r="AX754" s="173"/>
      <c r="AY754" s="173"/>
      <c r="AZ754" s="173"/>
      <c r="BA754" s="173"/>
      <c r="BB754" s="173"/>
      <c r="BC754" s="173"/>
      <c r="BD754" s="173"/>
      <c r="BE754" s="173"/>
      <c r="BF754" s="173"/>
      <c r="BG754" s="173"/>
      <c r="BH754" s="173"/>
      <c r="BI754" s="173"/>
      <c r="BJ754" s="173"/>
      <c r="BK754" s="173"/>
      <c r="BL754" s="173"/>
      <c r="BM754" s="173"/>
      <c r="BN754" s="173"/>
      <c r="BO754" s="173"/>
      <c r="BP754" s="173"/>
      <c r="BQ754" s="173"/>
      <c r="BR754" s="173"/>
      <c r="BS754" s="173"/>
      <c r="BT754" s="173"/>
      <c r="BU754" s="173"/>
      <c r="BV754" s="173"/>
      <c r="BW754" s="173"/>
      <c r="BX754" s="173"/>
      <c r="BY754" s="173"/>
      <c r="BZ754" s="173"/>
      <c r="CA754" s="173"/>
      <c r="CB754" s="173"/>
      <c r="CC754" s="173"/>
      <c r="CD754" s="173"/>
      <c r="CE754" s="173"/>
      <c r="CF754" s="173"/>
      <c r="CG754" s="173"/>
      <c r="CH754" s="173"/>
      <c r="CI754" s="173"/>
      <c r="CJ754" s="173"/>
      <c r="CK754" s="173"/>
      <c r="CL754" s="173"/>
      <c r="CM754" s="173"/>
      <c r="CN754" s="173"/>
      <c r="CO754" s="173"/>
      <c r="CP754" s="173"/>
      <c r="CQ754" s="173"/>
      <c r="CR754" s="173"/>
      <c r="CS754" s="173"/>
    </row>
    <row r="755" hidden="1">
      <c r="A755" s="179" t="s">
        <v>807</v>
      </c>
      <c r="B755" s="179" t="s">
        <v>2804</v>
      </c>
      <c r="C755" s="180" t="s">
        <v>2805</v>
      </c>
      <c r="D755" s="33" t="s">
        <v>2806</v>
      </c>
      <c r="E755" s="179" t="s">
        <v>2776</v>
      </c>
      <c r="F755" s="168"/>
      <c r="G755" s="168"/>
      <c r="H755" s="168" t="s">
        <v>25</v>
      </c>
      <c r="I755" s="168" t="s">
        <v>25</v>
      </c>
      <c r="J755" s="168" t="s">
        <v>25</v>
      </c>
      <c r="K755" s="163" t="str">
        <f>VLOOKUP(C755,'Term Reference Guide'!$C:$C,1,false)</f>
        <v>GENEPIO:0100857</v>
      </c>
      <c r="L755" s="173"/>
      <c r="M755" s="173"/>
      <c r="N755" s="173"/>
      <c r="O755" s="173"/>
      <c r="P755" s="173"/>
      <c r="Q755" s="173"/>
      <c r="R755" s="173"/>
      <c r="S755" s="173"/>
      <c r="T755" s="173"/>
      <c r="U755" s="173"/>
      <c r="V755" s="173"/>
      <c r="W755" s="173"/>
      <c r="X755" s="173"/>
      <c r="Y755" s="173"/>
      <c r="Z755" s="173"/>
      <c r="AA755" s="173"/>
      <c r="AB755" s="173"/>
      <c r="AC755" s="173"/>
      <c r="AD755" s="173"/>
      <c r="AE755" s="173"/>
      <c r="AF755" s="173"/>
      <c r="AG755" s="173"/>
      <c r="AH755" s="173"/>
      <c r="AI755" s="173"/>
      <c r="AJ755" s="173"/>
      <c r="AK755" s="173"/>
      <c r="AL755" s="173"/>
      <c r="AM755" s="173"/>
      <c r="AN755" s="173"/>
      <c r="AO755" s="173"/>
      <c r="AP755" s="173"/>
      <c r="AQ755" s="173"/>
      <c r="AR755" s="173"/>
      <c r="AS755" s="173"/>
      <c r="AT755" s="173"/>
      <c r="AU755" s="173"/>
      <c r="AV755" s="173"/>
      <c r="AW755" s="173"/>
      <c r="AX755" s="173"/>
      <c r="AY755" s="173"/>
      <c r="AZ755" s="173"/>
      <c r="BA755" s="173"/>
      <c r="BB755" s="173"/>
      <c r="BC755" s="173"/>
      <c r="BD755" s="173"/>
      <c r="BE755" s="173"/>
      <c r="BF755" s="173"/>
      <c r="BG755" s="173"/>
      <c r="BH755" s="173"/>
      <c r="BI755" s="173"/>
      <c r="BJ755" s="173"/>
      <c r="BK755" s="173"/>
      <c r="BL755" s="173"/>
      <c r="BM755" s="173"/>
      <c r="BN755" s="173"/>
      <c r="BO755" s="173"/>
      <c r="BP755" s="173"/>
      <c r="BQ755" s="173"/>
      <c r="BR755" s="173"/>
      <c r="BS755" s="173"/>
      <c r="BT755" s="173"/>
      <c r="BU755" s="173"/>
      <c r="BV755" s="173"/>
      <c r="BW755" s="173"/>
      <c r="BX755" s="173"/>
      <c r="BY755" s="173"/>
      <c r="BZ755" s="173"/>
      <c r="CA755" s="173"/>
      <c r="CB755" s="173"/>
      <c r="CC755" s="173"/>
      <c r="CD755" s="173"/>
      <c r="CE755" s="173"/>
      <c r="CF755" s="173"/>
      <c r="CG755" s="173"/>
      <c r="CH755" s="173"/>
      <c r="CI755" s="173"/>
      <c r="CJ755" s="173"/>
      <c r="CK755" s="173"/>
      <c r="CL755" s="173"/>
      <c r="CM755" s="173"/>
      <c r="CN755" s="173"/>
      <c r="CO755" s="173"/>
      <c r="CP755" s="173"/>
      <c r="CQ755" s="173"/>
      <c r="CR755" s="173"/>
      <c r="CS755" s="173"/>
    </row>
    <row r="756" hidden="1">
      <c r="A756" s="179" t="s">
        <v>807</v>
      </c>
      <c r="B756" s="179" t="s">
        <v>2807</v>
      </c>
      <c r="C756" s="180" t="s">
        <v>2808</v>
      </c>
      <c r="D756" s="33" t="s">
        <v>2809</v>
      </c>
      <c r="E756" s="179" t="s">
        <v>2776</v>
      </c>
      <c r="F756" s="168"/>
      <c r="G756" s="168"/>
      <c r="H756" s="168" t="s">
        <v>25</v>
      </c>
      <c r="I756" s="168" t="s">
        <v>25</v>
      </c>
      <c r="J756" s="168" t="s">
        <v>25</v>
      </c>
      <c r="K756" s="163" t="str">
        <f>VLOOKUP(C756,'Term Reference Guide'!$C:$C,1,false)</f>
        <v>GENEPIO:0100858</v>
      </c>
      <c r="L756" s="173"/>
      <c r="M756" s="173"/>
      <c r="N756" s="173"/>
      <c r="O756" s="173"/>
      <c r="P756" s="173"/>
      <c r="Q756" s="173"/>
      <c r="R756" s="173"/>
      <c r="S756" s="173"/>
      <c r="T756" s="173"/>
      <c r="U756" s="173"/>
      <c r="V756" s="173"/>
      <c r="W756" s="173"/>
      <c r="X756" s="173"/>
      <c r="Y756" s="173"/>
      <c r="Z756" s="173"/>
      <c r="AA756" s="173"/>
      <c r="AB756" s="173"/>
      <c r="AC756" s="173"/>
      <c r="AD756" s="173"/>
      <c r="AE756" s="173"/>
      <c r="AF756" s="173"/>
      <c r="AG756" s="173"/>
      <c r="AH756" s="173"/>
      <c r="AI756" s="173"/>
      <c r="AJ756" s="173"/>
      <c r="AK756" s="173"/>
      <c r="AL756" s="173"/>
      <c r="AM756" s="173"/>
      <c r="AN756" s="173"/>
      <c r="AO756" s="173"/>
      <c r="AP756" s="173"/>
      <c r="AQ756" s="173"/>
      <c r="AR756" s="173"/>
      <c r="AS756" s="173"/>
      <c r="AT756" s="173"/>
      <c r="AU756" s="173"/>
      <c r="AV756" s="173"/>
      <c r="AW756" s="173"/>
      <c r="AX756" s="173"/>
      <c r="AY756" s="173"/>
      <c r="AZ756" s="173"/>
      <c r="BA756" s="173"/>
      <c r="BB756" s="173"/>
      <c r="BC756" s="173"/>
      <c r="BD756" s="173"/>
      <c r="BE756" s="173"/>
      <c r="BF756" s="173"/>
      <c r="BG756" s="173"/>
      <c r="BH756" s="173"/>
      <c r="BI756" s="173"/>
      <c r="BJ756" s="173"/>
      <c r="BK756" s="173"/>
      <c r="BL756" s="173"/>
      <c r="BM756" s="173"/>
      <c r="BN756" s="173"/>
      <c r="BO756" s="173"/>
      <c r="BP756" s="173"/>
      <c r="BQ756" s="173"/>
      <c r="BR756" s="173"/>
      <c r="BS756" s="173"/>
      <c r="BT756" s="173"/>
      <c r="BU756" s="173"/>
      <c r="BV756" s="173"/>
      <c r="BW756" s="173"/>
      <c r="BX756" s="173"/>
      <c r="BY756" s="173"/>
      <c r="BZ756" s="173"/>
      <c r="CA756" s="173"/>
      <c r="CB756" s="173"/>
      <c r="CC756" s="173"/>
      <c r="CD756" s="173"/>
      <c r="CE756" s="173"/>
      <c r="CF756" s="173"/>
      <c r="CG756" s="173"/>
      <c r="CH756" s="173"/>
      <c r="CI756" s="173"/>
      <c r="CJ756" s="173"/>
      <c r="CK756" s="173"/>
      <c r="CL756" s="173"/>
      <c r="CM756" s="173"/>
      <c r="CN756" s="173"/>
      <c r="CO756" s="173"/>
      <c r="CP756" s="173"/>
      <c r="CQ756" s="173"/>
      <c r="CR756" s="173"/>
      <c r="CS756" s="173"/>
    </row>
    <row r="757" hidden="1">
      <c r="A757" s="179" t="s">
        <v>807</v>
      </c>
      <c r="B757" s="179" t="s">
        <v>2810</v>
      </c>
      <c r="C757" s="180" t="s">
        <v>2811</v>
      </c>
      <c r="D757" s="33" t="s">
        <v>2812</v>
      </c>
      <c r="E757" s="179" t="s">
        <v>2776</v>
      </c>
      <c r="F757" s="168"/>
      <c r="G757" s="168"/>
      <c r="H757" s="168" t="s">
        <v>25</v>
      </c>
      <c r="I757" s="168" t="s">
        <v>25</v>
      </c>
      <c r="J757" s="168" t="s">
        <v>25</v>
      </c>
      <c r="K757" s="163" t="str">
        <f>VLOOKUP(C757,'Term Reference Guide'!$C:$C,1,false)</f>
        <v>GENEPIO:0100859</v>
      </c>
      <c r="L757" s="173"/>
      <c r="M757" s="173"/>
      <c r="N757" s="173"/>
      <c r="O757" s="173"/>
      <c r="P757" s="173"/>
      <c r="Q757" s="173"/>
      <c r="R757" s="173"/>
      <c r="S757" s="173"/>
      <c r="T757" s="173"/>
      <c r="U757" s="173"/>
      <c r="V757" s="173"/>
      <c r="W757" s="173"/>
      <c r="X757" s="173"/>
      <c r="Y757" s="173"/>
      <c r="Z757" s="173"/>
      <c r="AA757" s="173"/>
      <c r="AB757" s="173"/>
      <c r="AC757" s="173"/>
      <c r="AD757" s="173"/>
      <c r="AE757" s="173"/>
      <c r="AF757" s="173"/>
      <c r="AG757" s="173"/>
      <c r="AH757" s="173"/>
      <c r="AI757" s="173"/>
      <c r="AJ757" s="173"/>
      <c r="AK757" s="173"/>
      <c r="AL757" s="173"/>
      <c r="AM757" s="173"/>
      <c r="AN757" s="173"/>
      <c r="AO757" s="173"/>
      <c r="AP757" s="173"/>
      <c r="AQ757" s="173"/>
      <c r="AR757" s="173"/>
      <c r="AS757" s="173"/>
      <c r="AT757" s="173"/>
      <c r="AU757" s="173"/>
      <c r="AV757" s="173"/>
      <c r="AW757" s="173"/>
      <c r="AX757" s="173"/>
      <c r="AY757" s="173"/>
      <c r="AZ757" s="173"/>
      <c r="BA757" s="173"/>
      <c r="BB757" s="173"/>
      <c r="BC757" s="173"/>
      <c r="BD757" s="173"/>
      <c r="BE757" s="173"/>
      <c r="BF757" s="173"/>
      <c r="BG757" s="173"/>
      <c r="BH757" s="173"/>
      <c r="BI757" s="173"/>
      <c r="BJ757" s="173"/>
      <c r="BK757" s="173"/>
      <c r="BL757" s="173"/>
      <c r="BM757" s="173"/>
      <c r="BN757" s="173"/>
      <c r="BO757" s="173"/>
      <c r="BP757" s="173"/>
      <c r="BQ757" s="173"/>
      <c r="BR757" s="173"/>
      <c r="BS757" s="173"/>
      <c r="BT757" s="173"/>
      <c r="BU757" s="173"/>
      <c r="BV757" s="173"/>
      <c r="BW757" s="173"/>
      <c r="BX757" s="173"/>
      <c r="BY757" s="173"/>
      <c r="BZ757" s="173"/>
      <c r="CA757" s="173"/>
      <c r="CB757" s="173"/>
      <c r="CC757" s="173"/>
      <c r="CD757" s="173"/>
      <c r="CE757" s="173"/>
      <c r="CF757" s="173"/>
      <c r="CG757" s="173"/>
      <c r="CH757" s="173"/>
      <c r="CI757" s="173"/>
      <c r="CJ757" s="173"/>
      <c r="CK757" s="173"/>
      <c r="CL757" s="173"/>
      <c r="CM757" s="173"/>
      <c r="CN757" s="173"/>
      <c r="CO757" s="173"/>
      <c r="CP757" s="173"/>
      <c r="CQ757" s="173"/>
      <c r="CR757" s="173"/>
      <c r="CS757" s="173"/>
    </row>
    <row r="758" hidden="1">
      <c r="A758" s="179" t="s">
        <v>807</v>
      </c>
      <c r="B758" s="179" t="s">
        <v>2813</v>
      </c>
      <c r="C758" s="180" t="s">
        <v>2814</v>
      </c>
      <c r="D758" s="33" t="s">
        <v>2815</v>
      </c>
      <c r="E758" s="179" t="s">
        <v>2776</v>
      </c>
      <c r="F758" s="168"/>
      <c r="G758" s="168"/>
      <c r="H758" s="168" t="s">
        <v>25</v>
      </c>
      <c r="I758" s="168" t="s">
        <v>25</v>
      </c>
      <c r="J758" s="168" t="s">
        <v>25</v>
      </c>
      <c r="K758" s="163" t="str">
        <f>VLOOKUP(C758,'Term Reference Guide'!$C:$C,1,false)</f>
        <v>GENEPIO:0100860</v>
      </c>
      <c r="L758" s="173"/>
      <c r="M758" s="173"/>
      <c r="N758" s="173"/>
      <c r="O758" s="173"/>
      <c r="P758" s="173"/>
      <c r="Q758" s="173"/>
      <c r="R758" s="173"/>
      <c r="S758" s="173"/>
      <c r="T758" s="173"/>
      <c r="U758" s="173"/>
      <c r="V758" s="173"/>
      <c r="W758" s="173"/>
      <c r="X758" s="173"/>
      <c r="Y758" s="173"/>
      <c r="Z758" s="173"/>
      <c r="AA758" s="173"/>
      <c r="AB758" s="173"/>
      <c r="AC758" s="173"/>
      <c r="AD758" s="173"/>
      <c r="AE758" s="173"/>
      <c r="AF758" s="173"/>
      <c r="AG758" s="173"/>
      <c r="AH758" s="173"/>
      <c r="AI758" s="173"/>
      <c r="AJ758" s="173"/>
      <c r="AK758" s="173"/>
      <c r="AL758" s="173"/>
      <c r="AM758" s="173"/>
      <c r="AN758" s="173"/>
      <c r="AO758" s="173"/>
      <c r="AP758" s="173"/>
      <c r="AQ758" s="173"/>
      <c r="AR758" s="173"/>
      <c r="AS758" s="173"/>
      <c r="AT758" s="173"/>
      <c r="AU758" s="173"/>
      <c r="AV758" s="173"/>
      <c r="AW758" s="173"/>
      <c r="AX758" s="173"/>
      <c r="AY758" s="173"/>
      <c r="AZ758" s="173"/>
      <c r="BA758" s="173"/>
      <c r="BB758" s="173"/>
      <c r="BC758" s="173"/>
      <c r="BD758" s="173"/>
      <c r="BE758" s="173"/>
      <c r="BF758" s="173"/>
      <c r="BG758" s="173"/>
      <c r="BH758" s="173"/>
      <c r="BI758" s="173"/>
      <c r="BJ758" s="173"/>
      <c r="BK758" s="173"/>
      <c r="BL758" s="173"/>
      <c r="BM758" s="173"/>
      <c r="BN758" s="173"/>
      <c r="BO758" s="173"/>
      <c r="BP758" s="173"/>
      <c r="BQ758" s="173"/>
      <c r="BR758" s="173"/>
      <c r="BS758" s="173"/>
      <c r="BT758" s="173"/>
      <c r="BU758" s="173"/>
      <c r="BV758" s="173"/>
      <c r="BW758" s="173"/>
      <c r="BX758" s="173"/>
      <c r="BY758" s="173"/>
      <c r="BZ758" s="173"/>
      <c r="CA758" s="173"/>
      <c r="CB758" s="173"/>
      <c r="CC758" s="173"/>
      <c r="CD758" s="173"/>
      <c r="CE758" s="173"/>
      <c r="CF758" s="173"/>
      <c r="CG758" s="173"/>
      <c r="CH758" s="173"/>
      <c r="CI758" s="173"/>
      <c r="CJ758" s="173"/>
      <c r="CK758" s="173"/>
      <c r="CL758" s="173"/>
      <c r="CM758" s="173"/>
      <c r="CN758" s="173"/>
      <c r="CO758" s="173"/>
      <c r="CP758" s="173"/>
      <c r="CQ758" s="173"/>
      <c r="CR758" s="173"/>
      <c r="CS758" s="173"/>
    </row>
    <row r="759" hidden="1">
      <c r="A759" s="179" t="s">
        <v>807</v>
      </c>
      <c r="B759" s="179" t="s">
        <v>2816</v>
      </c>
      <c r="C759" s="180" t="s">
        <v>2817</v>
      </c>
      <c r="D759" s="33" t="s">
        <v>2818</v>
      </c>
      <c r="E759" s="179" t="s">
        <v>2776</v>
      </c>
      <c r="F759" s="168"/>
      <c r="G759" s="168"/>
      <c r="H759" s="168" t="s">
        <v>25</v>
      </c>
      <c r="I759" s="168" t="s">
        <v>25</v>
      </c>
      <c r="J759" s="168" t="s">
        <v>25</v>
      </c>
      <c r="K759" s="163" t="str">
        <f>VLOOKUP(C759,'Term Reference Guide'!$C:$C,1,false)</f>
        <v>GENEPIO:0100861</v>
      </c>
      <c r="L759" s="173"/>
      <c r="M759" s="173"/>
      <c r="N759" s="173"/>
      <c r="O759" s="173"/>
      <c r="P759" s="173"/>
      <c r="Q759" s="173"/>
      <c r="R759" s="173"/>
      <c r="S759" s="173"/>
      <c r="T759" s="173"/>
      <c r="U759" s="173"/>
      <c r="V759" s="173"/>
      <c r="W759" s="173"/>
      <c r="X759" s="173"/>
      <c r="Y759" s="173"/>
      <c r="Z759" s="173"/>
      <c r="AA759" s="173"/>
      <c r="AB759" s="173"/>
      <c r="AC759" s="173"/>
      <c r="AD759" s="173"/>
      <c r="AE759" s="173"/>
      <c r="AF759" s="173"/>
      <c r="AG759" s="173"/>
      <c r="AH759" s="173"/>
      <c r="AI759" s="173"/>
      <c r="AJ759" s="173"/>
      <c r="AK759" s="173"/>
      <c r="AL759" s="173"/>
      <c r="AM759" s="173"/>
      <c r="AN759" s="173"/>
      <c r="AO759" s="173"/>
      <c r="AP759" s="173"/>
      <c r="AQ759" s="173"/>
      <c r="AR759" s="173"/>
      <c r="AS759" s="173"/>
      <c r="AT759" s="173"/>
      <c r="AU759" s="173"/>
      <c r="AV759" s="173"/>
      <c r="AW759" s="173"/>
      <c r="AX759" s="173"/>
      <c r="AY759" s="173"/>
      <c r="AZ759" s="173"/>
      <c r="BA759" s="173"/>
      <c r="BB759" s="173"/>
      <c r="BC759" s="173"/>
      <c r="BD759" s="173"/>
      <c r="BE759" s="173"/>
      <c r="BF759" s="173"/>
      <c r="BG759" s="173"/>
      <c r="BH759" s="173"/>
      <c r="BI759" s="173"/>
      <c r="BJ759" s="173"/>
      <c r="BK759" s="173"/>
      <c r="BL759" s="173"/>
      <c r="BM759" s="173"/>
      <c r="BN759" s="173"/>
      <c r="BO759" s="173"/>
      <c r="BP759" s="173"/>
      <c r="BQ759" s="173"/>
      <c r="BR759" s="173"/>
      <c r="BS759" s="173"/>
      <c r="BT759" s="173"/>
      <c r="BU759" s="173"/>
      <c r="BV759" s="173"/>
      <c r="BW759" s="173"/>
      <c r="BX759" s="173"/>
      <c r="BY759" s="173"/>
      <c r="BZ759" s="173"/>
      <c r="CA759" s="173"/>
      <c r="CB759" s="173"/>
      <c r="CC759" s="173"/>
      <c r="CD759" s="173"/>
      <c r="CE759" s="173"/>
      <c r="CF759" s="173"/>
      <c r="CG759" s="173"/>
      <c r="CH759" s="173"/>
      <c r="CI759" s="173"/>
      <c r="CJ759" s="173"/>
      <c r="CK759" s="173"/>
      <c r="CL759" s="173"/>
      <c r="CM759" s="173"/>
      <c r="CN759" s="173"/>
      <c r="CO759" s="173"/>
      <c r="CP759" s="173"/>
      <c r="CQ759" s="173"/>
      <c r="CR759" s="173"/>
      <c r="CS759" s="173"/>
    </row>
    <row r="760" hidden="1">
      <c r="A760" s="179" t="s">
        <v>807</v>
      </c>
      <c r="B760" s="179" t="s">
        <v>2819</v>
      </c>
      <c r="C760" s="180" t="s">
        <v>2820</v>
      </c>
      <c r="D760" s="33" t="s">
        <v>2821</v>
      </c>
      <c r="E760" s="179" t="s">
        <v>2776</v>
      </c>
      <c r="F760" s="168"/>
      <c r="G760" s="168"/>
      <c r="H760" s="168" t="s">
        <v>25</v>
      </c>
      <c r="I760" s="168" t="s">
        <v>25</v>
      </c>
      <c r="J760" s="168" t="s">
        <v>25</v>
      </c>
      <c r="K760" s="163" t="str">
        <f>VLOOKUP(C760,'Term Reference Guide'!$C:$C,1,false)</f>
        <v>GENEPIO:0100862</v>
      </c>
      <c r="L760" s="173"/>
      <c r="M760" s="173"/>
      <c r="N760" s="173"/>
      <c r="O760" s="173"/>
      <c r="P760" s="173"/>
      <c r="Q760" s="173"/>
      <c r="R760" s="173"/>
      <c r="S760" s="173"/>
      <c r="T760" s="173"/>
      <c r="U760" s="173"/>
      <c r="V760" s="173"/>
      <c r="W760" s="173"/>
      <c r="X760" s="173"/>
      <c r="Y760" s="173"/>
      <c r="Z760" s="173"/>
      <c r="AA760" s="173"/>
      <c r="AB760" s="173"/>
      <c r="AC760" s="173"/>
      <c r="AD760" s="173"/>
      <c r="AE760" s="173"/>
      <c r="AF760" s="173"/>
      <c r="AG760" s="173"/>
      <c r="AH760" s="173"/>
      <c r="AI760" s="173"/>
      <c r="AJ760" s="173"/>
      <c r="AK760" s="173"/>
      <c r="AL760" s="173"/>
      <c r="AM760" s="173"/>
      <c r="AN760" s="173"/>
      <c r="AO760" s="173"/>
      <c r="AP760" s="173"/>
      <c r="AQ760" s="173"/>
      <c r="AR760" s="173"/>
      <c r="AS760" s="173"/>
      <c r="AT760" s="173"/>
      <c r="AU760" s="173"/>
      <c r="AV760" s="173"/>
      <c r="AW760" s="173"/>
      <c r="AX760" s="173"/>
      <c r="AY760" s="173"/>
      <c r="AZ760" s="173"/>
      <c r="BA760" s="173"/>
      <c r="BB760" s="173"/>
      <c r="BC760" s="173"/>
      <c r="BD760" s="173"/>
      <c r="BE760" s="173"/>
      <c r="BF760" s="173"/>
      <c r="BG760" s="173"/>
      <c r="BH760" s="173"/>
      <c r="BI760" s="173"/>
      <c r="BJ760" s="173"/>
      <c r="BK760" s="173"/>
      <c r="BL760" s="173"/>
      <c r="BM760" s="173"/>
      <c r="BN760" s="173"/>
      <c r="BO760" s="173"/>
      <c r="BP760" s="173"/>
      <c r="BQ760" s="173"/>
      <c r="BR760" s="173"/>
      <c r="BS760" s="173"/>
      <c r="BT760" s="173"/>
      <c r="BU760" s="173"/>
      <c r="BV760" s="173"/>
      <c r="BW760" s="173"/>
      <c r="BX760" s="173"/>
      <c r="BY760" s="173"/>
      <c r="BZ760" s="173"/>
      <c r="CA760" s="173"/>
      <c r="CB760" s="173"/>
      <c r="CC760" s="173"/>
      <c r="CD760" s="173"/>
      <c r="CE760" s="173"/>
      <c r="CF760" s="173"/>
      <c r="CG760" s="173"/>
      <c r="CH760" s="173"/>
      <c r="CI760" s="173"/>
      <c r="CJ760" s="173"/>
      <c r="CK760" s="173"/>
      <c r="CL760" s="173"/>
      <c r="CM760" s="173"/>
      <c r="CN760" s="173"/>
      <c r="CO760" s="173"/>
      <c r="CP760" s="173"/>
      <c r="CQ760" s="173"/>
      <c r="CR760" s="173"/>
      <c r="CS760" s="173"/>
    </row>
    <row r="761" hidden="1">
      <c r="A761" s="179" t="s">
        <v>807</v>
      </c>
      <c r="B761" s="179" t="s">
        <v>2822</v>
      </c>
      <c r="C761" s="180" t="s">
        <v>2823</v>
      </c>
      <c r="D761" s="33" t="s">
        <v>2824</v>
      </c>
      <c r="E761" s="179" t="s">
        <v>2776</v>
      </c>
      <c r="F761" s="168"/>
      <c r="G761" s="168"/>
      <c r="H761" s="168" t="s">
        <v>25</v>
      </c>
      <c r="I761" s="168" t="s">
        <v>25</v>
      </c>
      <c r="J761" s="168" t="s">
        <v>25</v>
      </c>
      <c r="K761" s="163" t="str">
        <f>VLOOKUP(C761,'Term Reference Guide'!$C:$C,1,false)</f>
        <v>GENEPIO:0100863</v>
      </c>
      <c r="L761" s="173"/>
      <c r="M761" s="173"/>
      <c r="N761" s="173"/>
      <c r="O761" s="173"/>
      <c r="P761" s="173"/>
      <c r="Q761" s="173"/>
      <c r="R761" s="173"/>
      <c r="S761" s="173"/>
      <c r="T761" s="173"/>
      <c r="U761" s="173"/>
      <c r="V761" s="173"/>
      <c r="W761" s="173"/>
      <c r="X761" s="173"/>
      <c r="Y761" s="173"/>
      <c r="Z761" s="173"/>
      <c r="AA761" s="173"/>
      <c r="AB761" s="173"/>
      <c r="AC761" s="173"/>
      <c r="AD761" s="173"/>
      <c r="AE761" s="173"/>
      <c r="AF761" s="173"/>
      <c r="AG761" s="173"/>
      <c r="AH761" s="173"/>
      <c r="AI761" s="173"/>
      <c r="AJ761" s="173"/>
      <c r="AK761" s="173"/>
      <c r="AL761" s="173"/>
      <c r="AM761" s="173"/>
      <c r="AN761" s="173"/>
      <c r="AO761" s="173"/>
      <c r="AP761" s="173"/>
      <c r="AQ761" s="173"/>
      <c r="AR761" s="173"/>
      <c r="AS761" s="173"/>
      <c r="AT761" s="173"/>
      <c r="AU761" s="173"/>
      <c r="AV761" s="173"/>
      <c r="AW761" s="173"/>
      <c r="AX761" s="173"/>
      <c r="AY761" s="173"/>
      <c r="AZ761" s="173"/>
      <c r="BA761" s="173"/>
      <c r="BB761" s="173"/>
      <c r="BC761" s="173"/>
      <c r="BD761" s="173"/>
      <c r="BE761" s="173"/>
      <c r="BF761" s="173"/>
      <c r="BG761" s="173"/>
      <c r="BH761" s="173"/>
      <c r="BI761" s="173"/>
      <c r="BJ761" s="173"/>
      <c r="BK761" s="173"/>
      <c r="BL761" s="173"/>
      <c r="BM761" s="173"/>
      <c r="BN761" s="173"/>
      <c r="BO761" s="173"/>
      <c r="BP761" s="173"/>
      <c r="BQ761" s="173"/>
      <c r="BR761" s="173"/>
      <c r="BS761" s="173"/>
      <c r="BT761" s="173"/>
      <c r="BU761" s="173"/>
      <c r="BV761" s="173"/>
      <c r="BW761" s="173"/>
      <c r="BX761" s="173"/>
      <c r="BY761" s="173"/>
      <c r="BZ761" s="173"/>
      <c r="CA761" s="173"/>
      <c r="CB761" s="173"/>
      <c r="CC761" s="173"/>
      <c r="CD761" s="173"/>
      <c r="CE761" s="173"/>
      <c r="CF761" s="173"/>
      <c r="CG761" s="173"/>
      <c r="CH761" s="173"/>
      <c r="CI761" s="173"/>
      <c r="CJ761" s="173"/>
      <c r="CK761" s="173"/>
      <c r="CL761" s="173"/>
      <c r="CM761" s="173"/>
      <c r="CN761" s="173"/>
      <c r="CO761" s="173"/>
      <c r="CP761" s="173"/>
      <c r="CQ761" s="173"/>
      <c r="CR761" s="173"/>
      <c r="CS761" s="173"/>
    </row>
    <row r="762" hidden="1">
      <c r="A762" s="179" t="s">
        <v>807</v>
      </c>
      <c r="B762" s="179" t="s">
        <v>2825</v>
      </c>
      <c r="C762" s="180" t="s">
        <v>2826</v>
      </c>
      <c r="D762" s="33" t="s">
        <v>2821</v>
      </c>
      <c r="E762" s="179" t="s">
        <v>2776</v>
      </c>
      <c r="F762" s="168"/>
      <c r="G762" s="168"/>
      <c r="H762" s="168" t="s">
        <v>25</v>
      </c>
      <c r="I762" s="168" t="s">
        <v>25</v>
      </c>
      <c r="J762" s="168" t="s">
        <v>25</v>
      </c>
      <c r="K762" s="163" t="str">
        <f>VLOOKUP(C762,'Term Reference Guide'!$C:$C,1,false)</f>
        <v>GENEPIO:0100864</v>
      </c>
      <c r="L762" s="173"/>
      <c r="M762" s="173"/>
      <c r="N762" s="173"/>
      <c r="O762" s="173"/>
      <c r="P762" s="173"/>
      <c r="Q762" s="173"/>
      <c r="R762" s="173"/>
      <c r="S762" s="173"/>
      <c r="T762" s="173"/>
      <c r="U762" s="173"/>
      <c r="V762" s="173"/>
      <c r="W762" s="173"/>
      <c r="X762" s="173"/>
      <c r="Y762" s="173"/>
      <c r="Z762" s="173"/>
      <c r="AA762" s="173"/>
      <c r="AB762" s="173"/>
      <c r="AC762" s="173"/>
      <c r="AD762" s="173"/>
      <c r="AE762" s="173"/>
      <c r="AF762" s="173"/>
      <c r="AG762" s="173"/>
      <c r="AH762" s="173"/>
      <c r="AI762" s="173"/>
      <c r="AJ762" s="173"/>
      <c r="AK762" s="173"/>
      <c r="AL762" s="173"/>
      <c r="AM762" s="173"/>
      <c r="AN762" s="173"/>
      <c r="AO762" s="173"/>
      <c r="AP762" s="173"/>
      <c r="AQ762" s="173"/>
      <c r="AR762" s="173"/>
      <c r="AS762" s="173"/>
      <c r="AT762" s="173"/>
      <c r="AU762" s="173"/>
      <c r="AV762" s="173"/>
      <c r="AW762" s="173"/>
      <c r="AX762" s="173"/>
      <c r="AY762" s="173"/>
      <c r="AZ762" s="173"/>
      <c r="BA762" s="173"/>
      <c r="BB762" s="173"/>
      <c r="BC762" s="173"/>
      <c r="BD762" s="173"/>
      <c r="BE762" s="173"/>
      <c r="BF762" s="173"/>
      <c r="BG762" s="173"/>
      <c r="BH762" s="173"/>
      <c r="BI762" s="173"/>
      <c r="BJ762" s="173"/>
      <c r="BK762" s="173"/>
      <c r="BL762" s="173"/>
      <c r="BM762" s="173"/>
      <c r="BN762" s="173"/>
      <c r="BO762" s="173"/>
      <c r="BP762" s="173"/>
      <c r="BQ762" s="173"/>
      <c r="BR762" s="173"/>
      <c r="BS762" s="173"/>
      <c r="BT762" s="173"/>
      <c r="BU762" s="173"/>
      <c r="BV762" s="173"/>
      <c r="BW762" s="173"/>
      <c r="BX762" s="173"/>
      <c r="BY762" s="173"/>
      <c r="BZ762" s="173"/>
      <c r="CA762" s="173"/>
      <c r="CB762" s="173"/>
      <c r="CC762" s="173"/>
      <c r="CD762" s="173"/>
      <c r="CE762" s="173"/>
      <c r="CF762" s="173"/>
      <c r="CG762" s="173"/>
      <c r="CH762" s="173"/>
      <c r="CI762" s="173"/>
      <c r="CJ762" s="173"/>
      <c r="CK762" s="173"/>
      <c r="CL762" s="173"/>
      <c r="CM762" s="173"/>
      <c r="CN762" s="173"/>
      <c r="CO762" s="173"/>
      <c r="CP762" s="173"/>
      <c r="CQ762" s="173"/>
      <c r="CR762" s="173"/>
      <c r="CS762" s="173"/>
    </row>
    <row r="763" hidden="1">
      <c r="A763" s="179" t="s">
        <v>807</v>
      </c>
      <c r="B763" s="179" t="s">
        <v>2827</v>
      </c>
      <c r="C763" s="180" t="s">
        <v>2828</v>
      </c>
      <c r="D763" s="33" t="s">
        <v>2829</v>
      </c>
      <c r="E763" s="179" t="s">
        <v>2776</v>
      </c>
      <c r="F763" s="168"/>
      <c r="G763" s="168"/>
      <c r="H763" s="168" t="s">
        <v>25</v>
      </c>
      <c r="I763" s="168" t="s">
        <v>25</v>
      </c>
      <c r="J763" s="168" t="s">
        <v>25</v>
      </c>
      <c r="K763" s="163" t="str">
        <f>VLOOKUP(C763,'Term Reference Guide'!$C:$C,1,false)</f>
        <v>GENEPIO:0100865</v>
      </c>
      <c r="L763" s="173"/>
      <c r="M763" s="173"/>
      <c r="N763" s="173"/>
      <c r="O763" s="173"/>
      <c r="P763" s="173"/>
      <c r="Q763" s="173"/>
      <c r="R763" s="173"/>
      <c r="S763" s="173"/>
      <c r="T763" s="173"/>
      <c r="U763" s="173"/>
      <c r="V763" s="173"/>
      <c r="W763" s="173"/>
      <c r="X763" s="173"/>
      <c r="Y763" s="173"/>
      <c r="Z763" s="173"/>
      <c r="AA763" s="173"/>
      <c r="AB763" s="173"/>
      <c r="AC763" s="173"/>
      <c r="AD763" s="173"/>
      <c r="AE763" s="173"/>
      <c r="AF763" s="173"/>
      <c r="AG763" s="173"/>
      <c r="AH763" s="173"/>
      <c r="AI763" s="173"/>
      <c r="AJ763" s="173"/>
      <c r="AK763" s="173"/>
      <c r="AL763" s="173"/>
      <c r="AM763" s="173"/>
      <c r="AN763" s="173"/>
      <c r="AO763" s="173"/>
      <c r="AP763" s="173"/>
      <c r="AQ763" s="173"/>
      <c r="AR763" s="173"/>
      <c r="AS763" s="173"/>
      <c r="AT763" s="173"/>
      <c r="AU763" s="173"/>
      <c r="AV763" s="173"/>
      <c r="AW763" s="173"/>
      <c r="AX763" s="173"/>
      <c r="AY763" s="173"/>
      <c r="AZ763" s="173"/>
      <c r="BA763" s="173"/>
      <c r="BB763" s="173"/>
      <c r="BC763" s="173"/>
      <c r="BD763" s="173"/>
      <c r="BE763" s="173"/>
      <c r="BF763" s="173"/>
      <c r="BG763" s="173"/>
      <c r="BH763" s="173"/>
      <c r="BI763" s="173"/>
      <c r="BJ763" s="173"/>
      <c r="BK763" s="173"/>
      <c r="BL763" s="173"/>
      <c r="BM763" s="173"/>
      <c r="BN763" s="173"/>
      <c r="BO763" s="173"/>
      <c r="BP763" s="173"/>
      <c r="BQ763" s="173"/>
      <c r="BR763" s="173"/>
      <c r="BS763" s="173"/>
      <c r="BT763" s="173"/>
      <c r="BU763" s="173"/>
      <c r="BV763" s="173"/>
      <c r="BW763" s="173"/>
      <c r="BX763" s="173"/>
      <c r="BY763" s="173"/>
      <c r="BZ763" s="173"/>
      <c r="CA763" s="173"/>
      <c r="CB763" s="173"/>
      <c r="CC763" s="173"/>
      <c r="CD763" s="173"/>
      <c r="CE763" s="173"/>
      <c r="CF763" s="173"/>
      <c r="CG763" s="173"/>
      <c r="CH763" s="173"/>
      <c r="CI763" s="173"/>
      <c r="CJ763" s="173"/>
      <c r="CK763" s="173"/>
      <c r="CL763" s="173"/>
      <c r="CM763" s="173"/>
      <c r="CN763" s="173"/>
      <c r="CO763" s="173"/>
      <c r="CP763" s="173"/>
      <c r="CQ763" s="173"/>
      <c r="CR763" s="173"/>
      <c r="CS763" s="173"/>
    </row>
    <row r="764" hidden="1">
      <c r="A764" s="179" t="s">
        <v>807</v>
      </c>
      <c r="B764" s="179" t="s">
        <v>2830</v>
      </c>
      <c r="C764" s="180" t="s">
        <v>2831</v>
      </c>
      <c r="D764" s="33" t="s">
        <v>2832</v>
      </c>
      <c r="E764" s="179" t="s">
        <v>2776</v>
      </c>
      <c r="F764" s="168"/>
      <c r="G764" s="168"/>
      <c r="H764" s="168" t="s">
        <v>25</v>
      </c>
      <c r="I764" s="168" t="s">
        <v>25</v>
      </c>
      <c r="J764" s="168" t="s">
        <v>25</v>
      </c>
      <c r="K764" s="163" t="str">
        <f>VLOOKUP(C764,'Term Reference Guide'!$C:$C,1,false)</f>
        <v>GENEPIO:0100866</v>
      </c>
      <c r="L764" s="207"/>
      <c r="M764" s="207"/>
      <c r="N764" s="207"/>
      <c r="O764" s="207"/>
      <c r="P764" s="207"/>
      <c r="Q764" s="207"/>
      <c r="R764" s="207"/>
      <c r="S764" s="207"/>
      <c r="T764" s="207"/>
      <c r="U764" s="207"/>
      <c r="V764" s="207"/>
      <c r="W764" s="207"/>
      <c r="X764" s="207"/>
      <c r="Y764" s="207"/>
      <c r="Z764" s="207"/>
      <c r="AA764" s="207"/>
      <c r="AB764" s="207"/>
      <c r="AC764" s="207"/>
      <c r="AD764" s="207"/>
      <c r="AE764" s="207"/>
      <c r="AF764" s="207"/>
      <c r="AG764" s="207"/>
      <c r="AH764" s="207"/>
      <c r="AI764" s="207"/>
      <c r="AJ764" s="207"/>
      <c r="AK764" s="207"/>
      <c r="AL764" s="207"/>
      <c r="AM764" s="207"/>
      <c r="AN764" s="207"/>
      <c r="AO764" s="207"/>
      <c r="AP764" s="207"/>
      <c r="AQ764" s="207"/>
      <c r="AR764" s="207"/>
      <c r="AS764" s="207"/>
      <c r="AT764" s="207"/>
      <c r="AU764" s="207"/>
      <c r="AV764" s="207"/>
      <c r="AW764" s="207"/>
      <c r="AX764" s="207"/>
      <c r="AY764" s="207"/>
      <c r="AZ764" s="207"/>
      <c r="BA764" s="207"/>
      <c r="BB764" s="207"/>
      <c r="BC764" s="207"/>
      <c r="BD764" s="207"/>
      <c r="BE764" s="207"/>
      <c r="BF764" s="207"/>
      <c r="BG764" s="207"/>
      <c r="BH764" s="207"/>
      <c r="BI764" s="207"/>
      <c r="BJ764" s="207"/>
      <c r="BK764" s="207"/>
      <c r="BL764" s="207"/>
      <c r="BM764" s="207"/>
      <c r="BN764" s="207"/>
      <c r="BO764" s="207"/>
      <c r="BP764" s="207"/>
      <c r="BQ764" s="207"/>
      <c r="BR764" s="207"/>
      <c r="BS764" s="207"/>
      <c r="BT764" s="207"/>
      <c r="BU764" s="207"/>
      <c r="BV764" s="207"/>
      <c r="BW764" s="207"/>
      <c r="BX764" s="207"/>
      <c r="BY764" s="207"/>
      <c r="BZ764" s="207"/>
      <c r="CA764" s="207"/>
      <c r="CB764" s="207"/>
      <c r="CC764" s="207"/>
      <c r="CD764" s="207"/>
      <c r="CE764" s="207"/>
      <c r="CF764" s="207"/>
      <c r="CG764" s="207"/>
      <c r="CH764" s="207"/>
      <c r="CI764" s="207"/>
      <c r="CJ764" s="207"/>
      <c r="CK764" s="207"/>
      <c r="CL764" s="207"/>
      <c r="CM764" s="207"/>
      <c r="CN764" s="207"/>
      <c r="CO764" s="207"/>
      <c r="CP764" s="207"/>
      <c r="CQ764" s="207"/>
      <c r="CR764" s="207"/>
      <c r="CS764" s="207"/>
    </row>
    <row r="765" hidden="1">
      <c r="A765" s="179" t="s">
        <v>807</v>
      </c>
      <c r="B765" s="179" t="s">
        <v>2833</v>
      </c>
      <c r="C765" s="180" t="s">
        <v>2834</v>
      </c>
      <c r="D765" s="33" t="s">
        <v>2835</v>
      </c>
      <c r="E765" s="179" t="s">
        <v>2776</v>
      </c>
      <c r="F765" s="168"/>
      <c r="G765" s="168"/>
      <c r="H765" s="168" t="s">
        <v>25</v>
      </c>
      <c r="I765" s="168" t="s">
        <v>25</v>
      </c>
      <c r="J765" s="168" t="s">
        <v>25</v>
      </c>
      <c r="K765" s="163" t="str">
        <f>VLOOKUP(C765,'Term Reference Guide'!$C:$C,1,false)</f>
        <v>GENEPIO:0100867</v>
      </c>
      <c r="L765" s="207"/>
      <c r="M765" s="207"/>
      <c r="N765" s="207"/>
      <c r="O765" s="207"/>
      <c r="P765" s="207"/>
      <c r="Q765" s="207"/>
      <c r="R765" s="207"/>
      <c r="S765" s="207"/>
      <c r="T765" s="207"/>
      <c r="U765" s="207"/>
      <c r="V765" s="207"/>
      <c r="W765" s="207"/>
      <c r="X765" s="207"/>
      <c r="Y765" s="207"/>
      <c r="Z765" s="207"/>
      <c r="AA765" s="207"/>
      <c r="AB765" s="207"/>
      <c r="AC765" s="207"/>
      <c r="AD765" s="207"/>
      <c r="AE765" s="207"/>
      <c r="AF765" s="207"/>
      <c r="AG765" s="207"/>
      <c r="AH765" s="207"/>
      <c r="AI765" s="207"/>
      <c r="AJ765" s="207"/>
      <c r="AK765" s="207"/>
      <c r="AL765" s="207"/>
      <c r="AM765" s="207"/>
      <c r="AN765" s="207"/>
      <c r="AO765" s="207"/>
      <c r="AP765" s="207"/>
      <c r="AQ765" s="207"/>
      <c r="AR765" s="207"/>
      <c r="AS765" s="207"/>
      <c r="AT765" s="207"/>
      <c r="AU765" s="207"/>
      <c r="AV765" s="207"/>
      <c r="AW765" s="207"/>
      <c r="AX765" s="207"/>
      <c r="AY765" s="207"/>
      <c r="AZ765" s="207"/>
      <c r="BA765" s="207"/>
      <c r="BB765" s="207"/>
      <c r="BC765" s="207"/>
      <c r="BD765" s="207"/>
      <c r="BE765" s="207"/>
      <c r="BF765" s="207"/>
      <c r="BG765" s="207"/>
      <c r="BH765" s="207"/>
      <c r="BI765" s="207"/>
      <c r="BJ765" s="207"/>
      <c r="BK765" s="207"/>
      <c r="BL765" s="207"/>
      <c r="BM765" s="207"/>
      <c r="BN765" s="207"/>
      <c r="BO765" s="207"/>
      <c r="BP765" s="207"/>
      <c r="BQ765" s="207"/>
      <c r="BR765" s="207"/>
      <c r="BS765" s="207"/>
      <c r="BT765" s="207"/>
      <c r="BU765" s="207"/>
      <c r="BV765" s="207"/>
      <c r="BW765" s="207"/>
      <c r="BX765" s="207"/>
      <c r="BY765" s="207"/>
      <c r="BZ765" s="207"/>
      <c r="CA765" s="207"/>
      <c r="CB765" s="207"/>
      <c r="CC765" s="207"/>
      <c r="CD765" s="207"/>
      <c r="CE765" s="207"/>
      <c r="CF765" s="207"/>
      <c r="CG765" s="207"/>
      <c r="CH765" s="207"/>
      <c r="CI765" s="207"/>
      <c r="CJ765" s="207"/>
      <c r="CK765" s="207"/>
      <c r="CL765" s="207"/>
      <c r="CM765" s="207"/>
      <c r="CN765" s="207"/>
      <c r="CO765" s="207"/>
      <c r="CP765" s="207"/>
      <c r="CQ765" s="207"/>
      <c r="CR765" s="207"/>
      <c r="CS765" s="207"/>
    </row>
    <row r="766" hidden="1">
      <c r="A766" s="179" t="s">
        <v>807</v>
      </c>
      <c r="B766" s="179" t="s">
        <v>2836</v>
      </c>
      <c r="C766" s="180" t="s">
        <v>2837</v>
      </c>
      <c r="D766" s="33" t="s">
        <v>2838</v>
      </c>
      <c r="E766" s="179" t="s">
        <v>2776</v>
      </c>
      <c r="F766" s="168"/>
      <c r="G766" s="168"/>
      <c r="H766" s="168" t="s">
        <v>25</v>
      </c>
      <c r="I766" s="168" t="s">
        <v>25</v>
      </c>
      <c r="J766" s="168" t="s">
        <v>25</v>
      </c>
      <c r="K766" s="163" t="str">
        <f>VLOOKUP(C766,'Term Reference Guide'!$C:$C,1,false)</f>
        <v>GENEPIO:0100868</v>
      </c>
      <c r="L766" s="207"/>
      <c r="M766" s="207"/>
      <c r="N766" s="207"/>
      <c r="O766" s="207"/>
      <c r="P766" s="207"/>
      <c r="Q766" s="207"/>
      <c r="R766" s="207"/>
      <c r="S766" s="207"/>
      <c r="T766" s="207"/>
      <c r="U766" s="207"/>
      <c r="V766" s="207"/>
      <c r="W766" s="207"/>
      <c r="X766" s="207"/>
      <c r="Y766" s="207"/>
      <c r="Z766" s="207"/>
      <c r="AA766" s="207"/>
      <c r="AB766" s="207"/>
      <c r="AC766" s="207"/>
      <c r="AD766" s="207"/>
      <c r="AE766" s="207"/>
      <c r="AF766" s="207"/>
      <c r="AG766" s="207"/>
      <c r="AH766" s="207"/>
      <c r="AI766" s="207"/>
      <c r="AJ766" s="207"/>
      <c r="AK766" s="207"/>
      <c r="AL766" s="207"/>
      <c r="AM766" s="207"/>
      <c r="AN766" s="207"/>
      <c r="AO766" s="207"/>
      <c r="AP766" s="207"/>
      <c r="AQ766" s="207"/>
      <c r="AR766" s="207"/>
      <c r="AS766" s="207"/>
      <c r="AT766" s="207"/>
      <c r="AU766" s="207"/>
      <c r="AV766" s="207"/>
      <c r="AW766" s="207"/>
      <c r="AX766" s="207"/>
      <c r="AY766" s="207"/>
      <c r="AZ766" s="207"/>
      <c r="BA766" s="207"/>
      <c r="BB766" s="207"/>
      <c r="BC766" s="207"/>
      <c r="BD766" s="207"/>
      <c r="BE766" s="207"/>
      <c r="BF766" s="207"/>
      <c r="BG766" s="207"/>
      <c r="BH766" s="207"/>
      <c r="BI766" s="207"/>
      <c r="BJ766" s="207"/>
      <c r="BK766" s="207"/>
      <c r="BL766" s="207"/>
      <c r="BM766" s="207"/>
      <c r="BN766" s="207"/>
      <c r="BO766" s="207"/>
      <c r="BP766" s="207"/>
      <c r="BQ766" s="207"/>
      <c r="BR766" s="207"/>
      <c r="BS766" s="207"/>
      <c r="BT766" s="207"/>
      <c r="BU766" s="207"/>
      <c r="BV766" s="207"/>
      <c r="BW766" s="207"/>
      <c r="BX766" s="207"/>
      <c r="BY766" s="207"/>
      <c r="BZ766" s="207"/>
      <c r="CA766" s="207"/>
      <c r="CB766" s="207"/>
      <c r="CC766" s="207"/>
      <c r="CD766" s="207"/>
      <c r="CE766" s="207"/>
      <c r="CF766" s="207"/>
      <c r="CG766" s="207"/>
      <c r="CH766" s="207"/>
      <c r="CI766" s="207"/>
      <c r="CJ766" s="207"/>
      <c r="CK766" s="207"/>
      <c r="CL766" s="207"/>
      <c r="CM766" s="207"/>
      <c r="CN766" s="207"/>
      <c r="CO766" s="207"/>
      <c r="CP766" s="207"/>
      <c r="CQ766" s="207"/>
      <c r="CR766" s="207"/>
      <c r="CS766" s="207"/>
    </row>
    <row r="767">
      <c r="A767" s="173"/>
      <c r="B767" s="173"/>
      <c r="C767" s="173"/>
      <c r="D767" s="141"/>
      <c r="E767" s="173"/>
      <c r="F767" s="173"/>
      <c r="G767" s="173"/>
      <c r="H767" s="173"/>
      <c r="I767" s="173"/>
      <c r="J767" s="141"/>
      <c r="K767" s="163" t="str">
        <f>VLOOKUP(C767,'Term Reference Guide'!$C:$C,1,false)</f>
        <v>#N/A</v>
      </c>
      <c r="L767" s="173"/>
      <c r="M767" s="173"/>
      <c r="N767" s="173"/>
      <c r="O767" s="173"/>
      <c r="P767" s="173"/>
      <c r="Q767" s="173"/>
      <c r="R767" s="173"/>
      <c r="S767" s="173"/>
      <c r="T767" s="173"/>
      <c r="U767" s="173"/>
      <c r="V767" s="173"/>
      <c r="W767" s="173"/>
      <c r="X767" s="173"/>
      <c r="Y767" s="173"/>
      <c r="Z767" s="173"/>
      <c r="AA767" s="173"/>
      <c r="AB767" s="173"/>
      <c r="AC767" s="173"/>
      <c r="AD767" s="173"/>
      <c r="AE767" s="173"/>
      <c r="AF767" s="173"/>
      <c r="AG767" s="173"/>
      <c r="AH767" s="173"/>
      <c r="AI767" s="173"/>
      <c r="AJ767" s="173"/>
      <c r="AK767" s="173"/>
      <c r="AL767" s="173"/>
      <c r="AM767" s="173"/>
      <c r="AN767" s="173"/>
      <c r="AO767" s="173"/>
      <c r="AP767" s="173"/>
      <c r="AQ767" s="173"/>
      <c r="AR767" s="173"/>
      <c r="AS767" s="173"/>
      <c r="AT767" s="173"/>
      <c r="AU767" s="173"/>
      <c r="AV767" s="173"/>
      <c r="AW767" s="173"/>
      <c r="AX767" s="173"/>
      <c r="AY767" s="173"/>
      <c r="AZ767" s="173"/>
      <c r="BA767" s="173"/>
      <c r="BB767" s="173"/>
      <c r="BC767" s="173"/>
      <c r="BD767" s="173"/>
      <c r="BE767" s="173"/>
      <c r="BF767" s="173"/>
      <c r="BG767" s="173"/>
      <c r="BH767" s="173"/>
      <c r="BI767" s="173"/>
      <c r="BJ767" s="173"/>
      <c r="BK767" s="173"/>
      <c r="BL767" s="173"/>
      <c r="BM767" s="173"/>
      <c r="BN767" s="173"/>
      <c r="BO767" s="173"/>
      <c r="BP767" s="173"/>
      <c r="BQ767" s="173"/>
      <c r="BR767" s="173"/>
      <c r="BS767" s="173"/>
      <c r="BT767" s="173"/>
      <c r="BU767" s="173"/>
      <c r="BV767" s="173"/>
      <c r="BW767" s="173"/>
      <c r="BX767" s="173"/>
      <c r="BY767" s="173"/>
      <c r="BZ767" s="173"/>
      <c r="CA767" s="173"/>
      <c r="CB767" s="173"/>
      <c r="CC767" s="173"/>
      <c r="CD767" s="173"/>
      <c r="CE767" s="173"/>
      <c r="CF767" s="173"/>
      <c r="CG767" s="173"/>
      <c r="CH767" s="173"/>
      <c r="CI767" s="173"/>
      <c r="CJ767" s="173"/>
      <c r="CK767" s="173"/>
      <c r="CL767" s="173"/>
      <c r="CM767" s="173"/>
      <c r="CN767" s="173"/>
      <c r="CO767" s="173"/>
      <c r="CP767" s="173"/>
      <c r="CQ767" s="173"/>
      <c r="CR767" s="173"/>
      <c r="CS767" s="173"/>
    </row>
    <row r="768">
      <c r="A768" s="210" t="s">
        <v>797</v>
      </c>
      <c r="B768" s="211"/>
      <c r="C768" s="211"/>
      <c r="D768" s="212"/>
      <c r="E768" s="211"/>
      <c r="F768" s="211"/>
      <c r="G768" s="211"/>
      <c r="H768" s="213"/>
      <c r="I768" s="213"/>
      <c r="J768" s="214"/>
      <c r="K768" s="163" t="str">
        <f>VLOOKUP(C768,'Term Reference Guide'!$C:$C,1,false)</f>
        <v>#N/A</v>
      </c>
      <c r="L768" s="215"/>
      <c r="M768" s="215"/>
      <c r="N768" s="215"/>
      <c r="O768" s="215"/>
      <c r="P768" s="215"/>
      <c r="Q768" s="215"/>
      <c r="R768" s="215"/>
      <c r="S768" s="215"/>
      <c r="T768" s="215"/>
      <c r="U768" s="215"/>
      <c r="V768" s="215"/>
      <c r="W768" s="215"/>
      <c r="X768" s="215"/>
      <c r="Y768" s="215"/>
      <c r="Z768" s="215"/>
      <c r="AA768" s="215"/>
      <c r="AB768" s="215"/>
      <c r="AC768" s="215"/>
      <c r="AD768" s="215"/>
      <c r="AE768" s="215"/>
      <c r="AF768" s="215"/>
      <c r="AG768" s="215"/>
      <c r="AH768" s="215"/>
      <c r="AI768" s="215"/>
      <c r="AJ768" s="215"/>
      <c r="AK768" s="215"/>
      <c r="AL768" s="215"/>
      <c r="AM768" s="215"/>
      <c r="AN768" s="215"/>
      <c r="AO768" s="215"/>
      <c r="AP768" s="215"/>
      <c r="AQ768" s="215"/>
      <c r="AR768" s="215"/>
      <c r="AS768" s="215"/>
      <c r="AT768" s="215"/>
      <c r="AU768" s="215"/>
      <c r="AV768" s="215"/>
      <c r="AW768" s="215"/>
      <c r="AX768" s="215"/>
      <c r="AY768" s="215"/>
      <c r="AZ768" s="215"/>
      <c r="BA768" s="215"/>
      <c r="BB768" s="215"/>
      <c r="BC768" s="215"/>
      <c r="BD768" s="215"/>
      <c r="BE768" s="215"/>
      <c r="BF768" s="215"/>
      <c r="BG768" s="215"/>
      <c r="BH768" s="215"/>
      <c r="BI768" s="215"/>
      <c r="BJ768" s="215"/>
      <c r="BK768" s="215"/>
      <c r="BL768" s="215"/>
      <c r="BM768" s="215"/>
      <c r="BN768" s="215"/>
      <c r="BO768" s="215"/>
      <c r="BP768" s="215"/>
      <c r="BQ768" s="215"/>
      <c r="BR768" s="215"/>
      <c r="BS768" s="215"/>
      <c r="BT768" s="215"/>
      <c r="BU768" s="215"/>
      <c r="BV768" s="215"/>
      <c r="BW768" s="215"/>
      <c r="BX768" s="215"/>
      <c r="BY768" s="215"/>
      <c r="BZ768" s="215"/>
      <c r="CA768" s="215"/>
      <c r="CB768" s="215"/>
      <c r="CC768" s="215"/>
      <c r="CD768" s="215"/>
      <c r="CE768" s="215"/>
      <c r="CF768" s="215"/>
      <c r="CG768" s="215"/>
      <c r="CH768" s="215"/>
      <c r="CI768" s="215"/>
      <c r="CJ768" s="215"/>
      <c r="CK768" s="215"/>
      <c r="CL768" s="215"/>
      <c r="CM768" s="215"/>
      <c r="CN768" s="215"/>
      <c r="CO768" s="215"/>
      <c r="CP768" s="215"/>
      <c r="CQ768" s="215"/>
      <c r="CR768" s="215"/>
      <c r="CS768" s="215"/>
    </row>
    <row r="769" hidden="1">
      <c r="A769" s="173" t="s">
        <v>797</v>
      </c>
      <c r="B769" s="179" t="s">
        <v>801</v>
      </c>
      <c r="C769" s="179" t="s">
        <v>2839</v>
      </c>
      <c r="D769" s="70" t="s">
        <v>2840</v>
      </c>
      <c r="E769" s="173"/>
      <c r="F769" s="168"/>
      <c r="G769" s="168"/>
      <c r="H769" s="168" t="s">
        <v>25</v>
      </c>
      <c r="I769" s="168" t="s">
        <v>25</v>
      </c>
      <c r="J769" s="168" t="s">
        <v>25</v>
      </c>
      <c r="K769" s="163" t="str">
        <f>VLOOKUP(C769,'Term Reference Guide'!$C:$C,1,false)</f>
        <v>GENEPIO:0001950</v>
      </c>
      <c r="L769" s="173"/>
      <c r="M769" s="173"/>
      <c r="N769" s="173"/>
      <c r="O769" s="173"/>
      <c r="P769" s="173"/>
      <c r="Q769" s="173"/>
      <c r="R769" s="173"/>
      <c r="S769" s="173"/>
      <c r="T769" s="173"/>
      <c r="U769" s="173"/>
      <c r="V769" s="173"/>
      <c r="W769" s="173"/>
      <c r="X769" s="173"/>
      <c r="Y769" s="173"/>
      <c r="Z769" s="173"/>
      <c r="AA769" s="173"/>
      <c r="AB769" s="173"/>
      <c r="AC769" s="173"/>
      <c r="AD769" s="173"/>
      <c r="AE769" s="173"/>
      <c r="AF769" s="173"/>
      <c r="AG769" s="173"/>
      <c r="AH769" s="173"/>
      <c r="AI769" s="173"/>
      <c r="AJ769" s="173"/>
      <c r="AK769" s="173"/>
      <c r="AL769" s="173"/>
      <c r="AM769" s="173"/>
      <c r="AN769" s="173"/>
      <c r="AO769" s="173"/>
      <c r="AP769" s="173"/>
      <c r="AQ769" s="173"/>
      <c r="AR769" s="173"/>
      <c r="AS769" s="173"/>
      <c r="AT769" s="173"/>
      <c r="AU769" s="173"/>
      <c r="AV769" s="173"/>
      <c r="AW769" s="173"/>
      <c r="AX769" s="173"/>
      <c r="AY769" s="173"/>
      <c r="AZ769" s="173"/>
      <c r="BA769" s="173"/>
      <c r="BB769" s="173"/>
      <c r="BC769" s="173"/>
      <c r="BD769" s="173"/>
      <c r="BE769" s="173"/>
      <c r="BF769" s="173"/>
      <c r="BG769" s="173"/>
      <c r="BH769" s="173"/>
      <c r="BI769" s="173"/>
      <c r="BJ769" s="173"/>
      <c r="BK769" s="173"/>
      <c r="BL769" s="173"/>
      <c r="BM769" s="173"/>
      <c r="BN769" s="173"/>
      <c r="BO769" s="173"/>
      <c r="BP769" s="173"/>
      <c r="BQ769" s="173"/>
      <c r="BR769" s="173"/>
      <c r="BS769" s="173"/>
      <c r="BT769" s="173"/>
      <c r="BU769" s="173"/>
      <c r="BV769" s="173"/>
      <c r="BW769" s="173"/>
      <c r="BX769" s="173"/>
      <c r="BY769" s="173"/>
      <c r="BZ769" s="173"/>
      <c r="CA769" s="173"/>
      <c r="CB769" s="173"/>
      <c r="CC769" s="173"/>
      <c r="CD769" s="173"/>
      <c r="CE769" s="173"/>
      <c r="CF769" s="173"/>
      <c r="CG769" s="173"/>
      <c r="CH769" s="173"/>
      <c r="CI769" s="173"/>
      <c r="CJ769" s="173"/>
      <c r="CK769" s="173"/>
      <c r="CL769" s="173"/>
      <c r="CM769" s="173"/>
      <c r="CN769" s="173"/>
      <c r="CO769" s="173"/>
      <c r="CP769" s="173"/>
      <c r="CQ769" s="173"/>
      <c r="CR769" s="173"/>
      <c r="CS769" s="173"/>
    </row>
    <row r="770" hidden="1">
      <c r="A770" s="173" t="s">
        <v>797</v>
      </c>
      <c r="B770" s="179" t="s">
        <v>2841</v>
      </c>
      <c r="C770" s="38" t="s">
        <v>2842</v>
      </c>
      <c r="D770" s="70" t="s">
        <v>2843</v>
      </c>
      <c r="E770" s="173"/>
      <c r="F770" s="168"/>
      <c r="G770" s="168"/>
      <c r="H770" s="168" t="s">
        <v>25</v>
      </c>
      <c r="I770" s="168" t="s">
        <v>25</v>
      </c>
      <c r="J770" s="168" t="s">
        <v>25</v>
      </c>
      <c r="K770" s="163" t="str">
        <f>VLOOKUP(C770,'Term Reference Guide'!$C:$C,1,false)</f>
        <v>GENEPIO:0101020</v>
      </c>
      <c r="L770" s="173"/>
      <c r="M770" s="173"/>
      <c r="N770" s="173"/>
      <c r="O770" s="173"/>
      <c r="P770" s="173"/>
      <c r="Q770" s="173"/>
      <c r="R770" s="173"/>
      <c r="S770" s="173"/>
      <c r="T770" s="173"/>
      <c r="U770" s="173"/>
      <c r="V770" s="173"/>
      <c r="W770" s="173"/>
      <c r="X770" s="173"/>
      <c r="Y770" s="173"/>
      <c r="Z770" s="173"/>
      <c r="AA770" s="173"/>
      <c r="AB770" s="173"/>
      <c r="AC770" s="173"/>
      <c r="AD770" s="173"/>
      <c r="AE770" s="173"/>
      <c r="AF770" s="173"/>
      <c r="AG770" s="173"/>
      <c r="AH770" s="173"/>
      <c r="AI770" s="173"/>
      <c r="AJ770" s="173"/>
      <c r="AK770" s="173"/>
      <c r="AL770" s="173"/>
      <c r="AM770" s="173"/>
      <c r="AN770" s="173"/>
      <c r="AO770" s="173"/>
      <c r="AP770" s="173"/>
      <c r="AQ770" s="173"/>
      <c r="AR770" s="173"/>
      <c r="AS770" s="173"/>
      <c r="AT770" s="173"/>
      <c r="AU770" s="173"/>
      <c r="AV770" s="173"/>
      <c r="AW770" s="173"/>
      <c r="AX770" s="173"/>
      <c r="AY770" s="173"/>
      <c r="AZ770" s="173"/>
      <c r="BA770" s="173"/>
      <c r="BB770" s="173"/>
      <c r="BC770" s="173"/>
      <c r="BD770" s="173"/>
      <c r="BE770" s="173"/>
      <c r="BF770" s="173"/>
      <c r="BG770" s="173"/>
      <c r="BH770" s="173"/>
      <c r="BI770" s="173"/>
      <c r="BJ770" s="173"/>
      <c r="BK770" s="173"/>
      <c r="BL770" s="173"/>
      <c r="BM770" s="173"/>
      <c r="BN770" s="173"/>
      <c r="BO770" s="173"/>
      <c r="BP770" s="173"/>
      <c r="BQ770" s="173"/>
      <c r="BR770" s="173"/>
      <c r="BS770" s="173"/>
      <c r="BT770" s="173"/>
      <c r="BU770" s="173"/>
      <c r="BV770" s="173"/>
      <c r="BW770" s="173"/>
      <c r="BX770" s="173"/>
      <c r="BY770" s="173"/>
      <c r="BZ770" s="173"/>
      <c r="CA770" s="173"/>
      <c r="CB770" s="173"/>
      <c r="CC770" s="173"/>
      <c r="CD770" s="173"/>
      <c r="CE770" s="173"/>
      <c r="CF770" s="173"/>
      <c r="CG770" s="173"/>
      <c r="CH770" s="173"/>
      <c r="CI770" s="173"/>
      <c r="CJ770" s="173"/>
      <c r="CK770" s="173"/>
      <c r="CL770" s="173"/>
      <c r="CM770" s="173"/>
      <c r="CN770" s="173"/>
      <c r="CO770" s="173"/>
      <c r="CP770" s="173"/>
      <c r="CQ770" s="173"/>
      <c r="CR770" s="173"/>
      <c r="CS770" s="173"/>
    </row>
    <row r="771">
      <c r="A771" s="173"/>
      <c r="B771" s="173"/>
      <c r="C771" s="173"/>
      <c r="D771" s="141"/>
      <c r="E771" s="173"/>
      <c r="F771" s="173"/>
      <c r="G771" s="173"/>
      <c r="H771" s="173"/>
      <c r="I771" s="173"/>
      <c r="J771" s="141"/>
      <c r="K771" s="163" t="str">
        <f>VLOOKUP(C771,'Term Reference Guide'!$C:$C,1,false)</f>
        <v>#N/A</v>
      </c>
      <c r="L771" s="173"/>
      <c r="M771" s="173"/>
      <c r="N771" s="173"/>
      <c r="O771" s="173"/>
      <c r="P771" s="173"/>
      <c r="Q771" s="173"/>
      <c r="R771" s="173"/>
      <c r="S771" s="173"/>
      <c r="T771" s="173"/>
      <c r="U771" s="173"/>
      <c r="V771" s="173"/>
      <c r="W771" s="173"/>
      <c r="X771" s="173"/>
      <c r="Y771" s="173"/>
      <c r="Z771" s="173"/>
      <c r="AA771" s="173"/>
      <c r="AB771" s="173"/>
      <c r="AC771" s="173"/>
      <c r="AD771" s="173"/>
      <c r="AE771" s="173"/>
      <c r="AF771" s="173"/>
      <c r="AG771" s="173"/>
      <c r="AH771" s="173"/>
      <c r="AI771" s="173"/>
      <c r="AJ771" s="173"/>
      <c r="AK771" s="173"/>
      <c r="AL771" s="173"/>
      <c r="AM771" s="173"/>
      <c r="AN771" s="173"/>
      <c r="AO771" s="173"/>
      <c r="AP771" s="173"/>
      <c r="AQ771" s="173"/>
      <c r="AR771" s="173"/>
      <c r="AS771" s="173"/>
      <c r="AT771" s="173"/>
      <c r="AU771" s="173"/>
      <c r="AV771" s="173"/>
      <c r="AW771" s="173"/>
      <c r="AX771" s="173"/>
      <c r="AY771" s="173"/>
      <c r="AZ771" s="173"/>
      <c r="BA771" s="173"/>
      <c r="BB771" s="173"/>
      <c r="BC771" s="173"/>
      <c r="BD771" s="173"/>
      <c r="BE771" s="173"/>
      <c r="BF771" s="173"/>
      <c r="BG771" s="173"/>
      <c r="BH771" s="173"/>
      <c r="BI771" s="173"/>
      <c r="BJ771" s="173"/>
      <c r="BK771" s="173"/>
      <c r="BL771" s="173"/>
      <c r="BM771" s="173"/>
      <c r="BN771" s="173"/>
      <c r="BO771" s="173"/>
      <c r="BP771" s="173"/>
      <c r="BQ771" s="173"/>
      <c r="BR771" s="173"/>
      <c r="BS771" s="173"/>
      <c r="BT771" s="173"/>
      <c r="BU771" s="173"/>
      <c r="BV771" s="173"/>
      <c r="BW771" s="173"/>
      <c r="BX771" s="173"/>
      <c r="BY771" s="173"/>
      <c r="BZ771" s="173"/>
      <c r="CA771" s="173"/>
      <c r="CB771" s="173"/>
      <c r="CC771" s="173"/>
      <c r="CD771" s="173"/>
      <c r="CE771" s="173"/>
      <c r="CF771" s="173"/>
      <c r="CG771" s="173"/>
      <c r="CH771" s="173"/>
      <c r="CI771" s="173"/>
      <c r="CJ771" s="173"/>
      <c r="CK771" s="173"/>
      <c r="CL771" s="173"/>
      <c r="CM771" s="173"/>
      <c r="CN771" s="173"/>
      <c r="CO771" s="173"/>
      <c r="CP771" s="173"/>
      <c r="CQ771" s="173"/>
      <c r="CR771" s="173"/>
      <c r="CS771" s="173"/>
    </row>
    <row r="772">
      <c r="A772" s="200" t="s">
        <v>828</v>
      </c>
      <c r="C772" s="201"/>
      <c r="D772" s="202"/>
      <c r="E772" s="201"/>
      <c r="F772" s="201"/>
      <c r="G772" s="201"/>
      <c r="H772" s="216"/>
      <c r="I772" s="216"/>
      <c r="J772" s="217"/>
      <c r="K772" s="163" t="str">
        <f>VLOOKUP(C772,'Term Reference Guide'!$C:$C,1,false)</f>
        <v>#N/A</v>
      </c>
      <c r="L772" s="218"/>
      <c r="M772" s="218"/>
      <c r="N772" s="218"/>
      <c r="O772" s="218"/>
      <c r="P772" s="218"/>
      <c r="Q772" s="218"/>
      <c r="R772" s="218"/>
      <c r="S772" s="218"/>
      <c r="T772" s="218"/>
      <c r="U772" s="218"/>
      <c r="V772" s="218"/>
      <c r="W772" s="218"/>
      <c r="X772" s="218"/>
      <c r="Y772" s="173"/>
      <c r="Z772" s="173"/>
      <c r="AA772" s="173"/>
      <c r="AB772" s="173"/>
      <c r="AC772" s="173"/>
      <c r="AD772" s="173"/>
      <c r="AE772" s="173"/>
      <c r="AF772" s="173"/>
      <c r="AG772" s="173"/>
      <c r="AH772" s="173"/>
      <c r="AI772" s="173"/>
      <c r="AJ772" s="173"/>
      <c r="AK772" s="173"/>
      <c r="AL772" s="173"/>
      <c r="AM772" s="173"/>
      <c r="AN772" s="173"/>
      <c r="AO772" s="173"/>
      <c r="AP772" s="173"/>
      <c r="AQ772" s="173"/>
      <c r="AR772" s="173"/>
      <c r="AS772" s="173"/>
      <c r="AT772" s="173"/>
      <c r="AU772" s="173"/>
      <c r="AV772" s="173"/>
      <c r="AW772" s="173"/>
      <c r="AX772" s="173"/>
      <c r="AY772" s="173"/>
      <c r="AZ772" s="173"/>
      <c r="BA772" s="173"/>
      <c r="BB772" s="173"/>
      <c r="BC772" s="173"/>
      <c r="BD772" s="173"/>
      <c r="BE772" s="173"/>
      <c r="BF772" s="173"/>
      <c r="BG772" s="173"/>
      <c r="BH772" s="173"/>
      <c r="BI772" s="173"/>
      <c r="BJ772" s="173"/>
      <c r="BK772" s="173"/>
      <c r="BL772" s="173"/>
      <c r="BM772" s="173"/>
      <c r="BN772" s="173"/>
      <c r="BO772" s="173"/>
      <c r="BP772" s="173"/>
      <c r="BQ772" s="173"/>
      <c r="BR772" s="173"/>
      <c r="BS772" s="173"/>
      <c r="BT772" s="173"/>
      <c r="BU772" s="173"/>
      <c r="BV772" s="173"/>
      <c r="BW772" s="173"/>
      <c r="BX772" s="173"/>
      <c r="BY772" s="173"/>
      <c r="BZ772" s="173"/>
      <c r="CA772" s="173"/>
      <c r="CB772" s="173"/>
      <c r="CC772" s="173"/>
      <c r="CD772" s="173"/>
      <c r="CE772" s="173"/>
      <c r="CF772" s="173"/>
      <c r="CG772" s="173"/>
      <c r="CH772" s="173"/>
      <c r="CI772" s="173"/>
      <c r="CJ772" s="173"/>
      <c r="CK772" s="173"/>
      <c r="CL772" s="173"/>
      <c r="CM772" s="173"/>
      <c r="CN772" s="173"/>
      <c r="CO772" s="173"/>
      <c r="CP772" s="173"/>
      <c r="CQ772" s="173"/>
      <c r="CR772" s="173"/>
      <c r="CS772" s="173"/>
    </row>
    <row r="773" hidden="1">
      <c r="A773" s="67" t="s">
        <v>828</v>
      </c>
      <c r="B773" s="219" t="s">
        <v>2844</v>
      </c>
      <c r="C773" s="67" t="s">
        <v>2845</v>
      </c>
      <c r="D773" s="68" t="s">
        <v>2846</v>
      </c>
      <c r="E773" s="67" t="s">
        <v>2847</v>
      </c>
      <c r="F773" s="168"/>
      <c r="G773" s="168"/>
      <c r="H773" s="168" t="s">
        <v>25</v>
      </c>
      <c r="I773" s="168" t="s">
        <v>25</v>
      </c>
      <c r="J773" s="168" t="s">
        <v>25</v>
      </c>
      <c r="K773" s="163" t="str">
        <f>VLOOKUP(C773,'Term Reference Guide'!$C:$C,1,false)</f>
        <v>GENEPIO:0100562</v>
      </c>
      <c r="L773" s="67"/>
      <c r="M773" s="67"/>
      <c r="N773" s="67"/>
      <c r="O773" s="67"/>
      <c r="P773" s="67"/>
      <c r="Q773" s="67"/>
      <c r="R773" s="67"/>
      <c r="S773" s="67"/>
      <c r="T773" s="67"/>
      <c r="U773" s="67"/>
      <c r="V773" s="67"/>
      <c r="W773" s="67"/>
      <c r="X773" s="67"/>
      <c r="Y773" s="173"/>
      <c r="Z773" s="173"/>
      <c r="AA773" s="173"/>
      <c r="AB773" s="173"/>
      <c r="AC773" s="173"/>
      <c r="AD773" s="173"/>
      <c r="AE773" s="173"/>
      <c r="AF773" s="173"/>
      <c r="AG773" s="173"/>
      <c r="AH773" s="173"/>
      <c r="AI773" s="173"/>
      <c r="AJ773" s="173"/>
      <c r="AK773" s="173"/>
      <c r="AL773" s="173"/>
      <c r="AM773" s="173"/>
      <c r="AN773" s="173"/>
      <c r="AO773" s="173"/>
      <c r="AP773" s="173"/>
      <c r="AQ773" s="173"/>
      <c r="AR773" s="173"/>
      <c r="AS773" s="173"/>
      <c r="AT773" s="173"/>
      <c r="AU773" s="173"/>
      <c r="AV773" s="173"/>
      <c r="AW773" s="173"/>
      <c r="AX773" s="173"/>
      <c r="AY773" s="173"/>
      <c r="AZ773" s="173"/>
      <c r="BA773" s="173"/>
      <c r="BB773" s="173"/>
      <c r="BC773" s="173"/>
      <c r="BD773" s="173"/>
      <c r="BE773" s="173"/>
      <c r="BF773" s="173"/>
      <c r="BG773" s="173"/>
      <c r="BH773" s="173"/>
      <c r="BI773" s="173"/>
      <c r="BJ773" s="173"/>
      <c r="BK773" s="173"/>
      <c r="BL773" s="173"/>
      <c r="BM773" s="173"/>
      <c r="BN773" s="173"/>
      <c r="BO773" s="173"/>
      <c r="BP773" s="173"/>
      <c r="BQ773" s="173"/>
      <c r="BR773" s="173"/>
      <c r="BS773" s="173"/>
      <c r="BT773" s="173"/>
      <c r="BU773" s="173"/>
      <c r="BV773" s="173"/>
      <c r="BW773" s="173"/>
      <c r="BX773" s="173"/>
      <c r="BY773" s="173"/>
      <c r="BZ773" s="173"/>
      <c r="CA773" s="173"/>
      <c r="CB773" s="173"/>
      <c r="CC773" s="173"/>
      <c r="CD773" s="173"/>
      <c r="CE773" s="173"/>
      <c r="CF773" s="173"/>
      <c r="CG773" s="173"/>
      <c r="CH773" s="173"/>
      <c r="CI773" s="173"/>
      <c r="CJ773" s="173"/>
      <c r="CK773" s="173"/>
      <c r="CL773" s="173"/>
      <c r="CM773" s="173"/>
      <c r="CN773" s="173"/>
      <c r="CO773" s="173"/>
      <c r="CP773" s="173"/>
      <c r="CQ773" s="173"/>
      <c r="CR773" s="173"/>
      <c r="CS773" s="173"/>
    </row>
    <row r="774" hidden="1">
      <c r="A774" s="67" t="s">
        <v>828</v>
      </c>
      <c r="B774" s="219" t="s">
        <v>2848</v>
      </c>
      <c r="C774" s="67" t="s">
        <v>2849</v>
      </c>
      <c r="D774" s="68" t="s">
        <v>2850</v>
      </c>
      <c r="E774" s="67" t="s">
        <v>2851</v>
      </c>
      <c r="F774" s="168"/>
      <c r="G774" s="168"/>
      <c r="H774" s="168" t="s">
        <v>25</v>
      </c>
      <c r="I774" s="168" t="s">
        <v>25</v>
      </c>
      <c r="J774" s="168" t="s">
        <v>25</v>
      </c>
      <c r="K774" s="163" t="str">
        <f>VLOOKUP(C774,'Term Reference Guide'!$C:$C,1,false)</f>
        <v>GENEPIO:0100563</v>
      </c>
      <c r="L774" s="67"/>
      <c r="M774" s="67"/>
      <c r="N774" s="67"/>
      <c r="O774" s="67"/>
      <c r="P774" s="67"/>
      <c r="Q774" s="67"/>
      <c r="R774" s="67"/>
      <c r="S774" s="220"/>
      <c r="T774" s="220"/>
      <c r="U774" s="220"/>
      <c r="V774" s="220"/>
      <c r="W774" s="220"/>
      <c r="X774" s="220"/>
      <c r="Y774" s="173"/>
      <c r="Z774" s="173"/>
      <c r="AA774" s="173"/>
      <c r="AB774" s="173"/>
      <c r="AC774" s="173"/>
      <c r="AD774" s="173"/>
      <c r="AE774" s="173"/>
      <c r="AF774" s="173"/>
      <c r="AG774" s="173"/>
      <c r="AH774" s="173"/>
      <c r="AI774" s="173"/>
      <c r="AJ774" s="173"/>
      <c r="AK774" s="173"/>
      <c r="AL774" s="173"/>
      <c r="AM774" s="173"/>
      <c r="AN774" s="173"/>
      <c r="AO774" s="173"/>
      <c r="AP774" s="173"/>
      <c r="AQ774" s="173"/>
      <c r="AR774" s="173"/>
      <c r="AS774" s="173"/>
      <c r="AT774" s="173"/>
      <c r="AU774" s="173"/>
      <c r="AV774" s="173"/>
      <c r="AW774" s="173"/>
      <c r="AX774" s="173"/>
      <c r="AY774" s="173"/>
      <c r="AZ774" s="173"/>
      <c r="BA774" s="173"/>
      <c r="BB774" s="173"/>
      <c r="BC774" s="173"/>
      <c r="BD774" s="173"/>
      <c r="BE774" s="173"/>
      <c r="BF774" s="173"/>
      <c r="BG774" s="173"/>
      <c r="BH774" s="173"/>
      <c r="BI774" s="173"/>
      <c r="BJ774" s="173"/>
      <c r="BK774" s="173"/>
      <c r="BL774" s="173"/>
      <c r="BM774" s="173"/>
      <c r="BN774" s="173"/>
      <c r="BO774" s="173"/>
      <c r="BP774" s="173"/>
      <c r="BQ774" s="173"/>
      <c r="BR774" s="173"/>
      <c r="BS774" s="173"/>
      <c r="BT774" s="173"/>
      <c r="BU774" s="173"/>
      <c r="BV774" s="173"/>
      <c r="BW774" s="173"/>
      <c r="BX774" s="173"/>
      <c r="BY774" s="173"/>
      <c r="BZ774" s="173"/>
      <c r="CA774" s="173"/>
      <c r="CB774" s="173"/>
      <c r="CC774" s="173"/>
      <c r="CD774" s="173"/>
      <c r="CE774" s="173"/>
      <c r="CF774" s="173"/>
      <c r="CG774" s="173"/>
      <c r="CH774" s="173"/>
      <c r="CI774" s="173"/>
      <c r="CJ774" s="173"/>
      <c r="CK774" s="173"/>
      <c r="CL774" s="173"/>
      <c r="CM774" s="173"/>
      <c r="CN774" s="173"/>
      <c r="CO774" s="173"/>
      <c r="CP774" s="173"/>
      <c r="CQ774" s="173"/>
      <c r="CR774" s="173"/>
      <c r="CS774" s="173"/>
    </row>
    <row r="775" hidden="1">
      <c r="A775" s="67" t="s">
        <v>828</v>
      </c>
      <c r="B775" s="219" t="s">
        <v>832</v>
      </c>
      <c r="C775" s="67" t="s">
        <v>2852</v>
      </c>
      <c r="D775" s="68" t="s">
        <v>2853</v>
      </c>
      <c r="E775" s="67" t="s">
        <v>2854</v>
      </c>
      <c r="F775" s="168"/>
      <c r="G775" s="168"/>
      <c r="H775" s="168" t="s">
        <v>25</v>
      </c>
      <c r="I775" s="168" t="s">
        <v>25</v>
      </c>
      <c r="J775" s="168" t="s">
        <v>25</v>
      </c>
      <c r="K775" s="163" t="str">
        <f>VLOOKUP(C775,'Term Reference Guide'!$C:$C,1,false)</f>
        <v>GENEPIO:0100564</v>
      </c>
      <c r="L775" s="67"/>
      <c r="M775" s="67"/>
      <c r="N775" s="67"/>
      <c r="O775" s="67"/>
      <c r="P775" s="67"/>
      <c r="Q775" s="67"/>
      <c r="R775" s="67"/>
      <c r="S775" s="67"/>
      <c r="T775" s="220"/>
      <c r="U775" s="220"/>
      <c r="V775" s="220"/>
      <c r="W775" s="220"/>
      <c r="X775" s="220"/>
      <c r="Y775" s="173"/>
      <c r="Z775" s="173"/>
      <c r="AA775" s="173"/>
      <c r="AB775" s="173"/>
      <c r="AC775" s="173"/>
      <c r="AD775" s="173"/>
      <c r="AE775" s="173"/>
      <c r="AF775" s="173"/>
      <c r="AG775" s="173"/>
      <c r="AH775" s="173"/>
      <c r="AI775" s="173"/>
      <c r="AJ775" s="173"/>
      <c r="AK775" s="173"/>
      <c r="AL775" s="173"/>
      <c r="AM775" s="173"/>
      <c r="AN775" s="173"/>
      <c r="AO775" s="173"/>
      <c r="AP775" s="173"/>
      <c r="AQ775" s="173"/>
      <c r="AR775" s="173"/>
      <c r="AS775" s="173"/>
      <c r="AT775" s="173"/>
      <c r="AU775" s="173"/>
      <c r="AV775" s="173"/>
      <c r="AW775" s="173"/>
      <c r="AX775" s="173"/>
      <c r="AY775" s="173"/>
      <c r="AZ775" s="173"/>
      <c r="BA775" s="173"/>
      <c r="BB775" s="173"/>
      <c r="BC775" s="173"/>
      <c r="BD775" s="173"/>
      <c r="BE775" s="173"/>
      <c r="BF775" s="173"/>
      <c r="BG775" s="173"/>
      <c r="BH775" s="173"/>
      <c r="BI775" s="173"/>
      <c r="BJ775" s="173"/>
      <c r="BK775" s="173"/>
      <c r="BL775" s="173"/>
      <c r="BM775" s="173"/>
      <c r="BN775" s="173"/>
      <c r="BO775" s="173"/>
      <c r="BP775" s="173"/>
      <c r="BQ775" s="173"/>
      <c r="BR775" s="173"/>
      <c r="BS775" s="173"/>
      <c r="BT775" s="173"/>
      <c r="BU775" s="173"/>
      <c r="BV775" s="173"/>
      <c r="BW775" s="173"/>
      <c r="BX775" s="173"/>
      <c r="BY775" s="173"/>
      <c r="BZ775" s="173"/>
      <c r="CA775" s="173"/>
      <c r="CB775" s="173"/>
      <c r="CC775" s="173"/>
      <c r="CD775" s="173"/>
      <c r="CE775" s="173"/>
      <c r="CF775" s="173"/>
      <c r="CG775" s="173"/>
      <c r="CH775" s="173"/>
      <c r="CI775" s="173"/>
      <c r="CJ775" s="173"/>
      <c r="CK775" s="173"/>
      <c r="CL775" s="173"/>
      <c r="CM775" s="173"/>
      <c r="CN775" s="173"/>
      <c r="CO775" s="173"/>
      <c r="CP775" s="173"/>
      <c r="CQ775" s="173"/>
      <c r="CR775" s="173"/>
      <c r="CS775" s="173"/>
    </row>
    <row r="776" hidden="1">
      <c r="A776" s="67" t="s">
        <v>828</v>
      </c>
      <c r="B776" s="219" t="s">
        <v>2855</v>
      </c>
      <c r="C776" s="67" t="s">
        <v>2856</v>
      </c>
      <c r="D776" s="68" t="s">
        <v>2857</v>
      </c>
      <c r="E776" s="67" t="s">
        <v>2858</v>
      </c>
      <c r="F776" s="168"/>
      <c r="G776" s="168"/>
      <c r="H776" s="168" t="s">
        <v>25</v>
      </c>
      <c r="I776" s="168" t="s">
        <v>25</v>
      </c>
      <c r="J776" s="168" t="s">
        <v>25</v>
      </c>
      <c r="K776" s="163" t="str">
        <f>VLOOKUP(C776,'Term Reference Guide'!$C:$C,1,false)</f>
        <v>GENEPIO:0100565</v>
      </c>
      <c r="L776" s="67"/>
      <c r="M776" s="67"/>
      <c r="N776" s="67"/>
      <c r="O776" s="67"/>
      <c r="P776" s="67"/>
      <c r="Q776" s="67"/>
      <c r="R776" s="67"/>
      <c r="S776" s="67"/>
      <c r="T776" s="67"/>
      <c r="U776" s="67"/>
      <c r="V776" s="67"/>
      <c r="W776" s="67"/>
      <c r="X776" s="67"/>
      <c r="Y776" s="173"/>
      <c r="Z776" s="173"/>
      <c r="AA776" s="173"/>
      <c r="AB776" s="173"/>
      <c r="AC776" s="173"/>
      <c r="AD776" s="173"/>
      <c r="AE776" s="173"/>
      <c r="AF776" s="173"/>
      <c r="AG776" s="173"/>
      <c r="AH776" s="173"/>
      <c r="AI776" s="173"/>
      <c r="AJ776" s="173"/>
      <c r="AK776" s="173"/>
      <c r="AL776" s="173"/>
      <c r="AM776" s="173"/>
      <c r="AN776" s="173"/>
      <c r="AO776" s="173"/>
      <c r="AP776" s="173"/>
      <c r="AQ776" s="173"/>
      <c r="AR776" s="173"/>
      <c r="AS776" s="173"/>
      <c r="AT776" s="173"/>
      <c r="AU776" s="173"/>
      <c r="AV776" s="173"/>
      <c r="AW776" s="173"/>
      <c r="AX776" s="173"/>
      <c r="AY776" s="173"/>
      <c r="AZ776" s="173"/>
      <c r="BA776" s="173"/>
      <c r="BB776" s="173"/>
      <c r="BC776" s="173"/>
      <c r="BD776" s="173"/>
      <c r="BE776" s="173"/>
      <c r="BF776" s="173"/>
      <c r="BG776" s="173"/>
      <c r="BH776" s="173"/>
      <c r="BI776" s="173"/>
      <c r="BJ776" s="173"/>
      <c r="BK776" s="173"/>
      <c r="BL776" s="173"/>
      <c r="BM776" s="173"/>
      <c r="BN776" s="173"/>
      <c r="BO776" s="173"/>
      <c r="BP776" s="173"/>
      <c r="BQ776" s="173"/>
      <c r="BR776" s="173"/>
      <c r="BS776" s="173"/>
      <c r="BT776" s="173"/>
      <c r="BU776" s="173"/>
      <c r="BV776" s="173"/>
      <c r="BW776" s="173"/>
      <c r="BX776" s="173"/>
      <c r="BY776" s="173"/>
      <c r="BZ776" s="173"/>
      <c r="CA776" s="173"/>
      <c r="CB776" s="173"/>
      <c r="CC776" s="173"/>
      <c r="CD776" s="173"/>
      <c r="CE776" s="173"/>
      <c r="CF776" s="173"/>
      <c r="CG776" s="173"/>
      <c r="CH776" s="173"/>
      <c r="CI776" s="173"/>
      <c r="CJ776" s="173"/>
      <c r="CK776" s="173"/>
      <c r="CL776" s="173"/>
      <c r="CM776" s="173"/>
      <c r="CN776" s="173"/>
      <c r="CO776" s="173"/>
      <c r="CP776" s="173"/>
      <c r="CQ776" s="173"/>
      <c r="CR776" s="173"/>
      <c r="CS776" s="173"/>
    </row>
    <row r="777" hidden="1">
      <c r="A777" s="67" t="s">
        <v>828</v>
      </c>
      <c r="B777" s="219" t="s">
        <v>2859</v>
      </c>
      <c r="C777" s="219" t="s">
        <v>2860</v>
      </c>
      <c r="D777" s="68" t="s">
        <v>2861</v>
      </c>
      <c r="E777" s="67" t="s">
        <v>2862</v>
      </c>
      <c r="F777" s="168"/>
      <c r="G777" s="168"/>
      <c r="H777" s="168" t="s">
        <v>25</v>
      </c>
      <c r="I777" s="168" t="s">
        <v>25</v>
      </c>
      <c r="J777" s="168" t="s">
        <v>25</v>
      </c>
      <c r="K777" s="163" t="str">
        <f>VLOOKUP(C777,'Term Reference Guide'!$C:$C,1,false)</f>
        <v>GENEPIO:0100566</v>
      </c>
      <c r="L777" s="67"/>
      <c r="M777" s="67"/>
      <c r="N777" s="67"/>
      <c r="O777" s="67"/>
      <c r="P777" s="67"/>
      <c r="Q777" s="67"/>
      <c r="R777" s="67"/>
      <c r="S777" s="67"/>
      <c r="T777" s="220"/>
      <c r="U777" s="220"/>
      <c r="V777" s="220"/>
      <c r="W777" s="220"/>
      <c r="X777" s="220"/>
      <c r="Y777" s="173"/>
      <c r="Z777" s="173"/>
      <c r="AA777" s="173"/>
      <c r="AB777" s="173"/>
      <c r="AC777" s="173"/>
      <c r="AD777" s="173"/>
      <c r="AE777" s="173"/>
      <c r="AF777" s="173"/>
      <c r="AG777" s="173"/>
      <c r="AH777" s="173"/>
      <c r="AI777" s="173"/>
      <c r="AJ777" s="173"/>
      <c r="AK777" s="173"/>
      <c r="AL777" s="173"/>
      <c r="AM777" s="173"/>
      <c r="AN777" s="173"/>
      <c r="AO777" s="173"/>
      <c r="AP777" s="173"/>
      <c r="AQ777" s="173"/>
      <c r="AR777" s="173"/>
      <c r="AS777" s="173"/>
      <c r="AT777" s="173"/>
      <c r="AU777" s="173"/>
      <c r="AV777" s="173"/>
      <c r="AW777" s="173"/>
      <c r="AX777" s="173"/>
      <c r="AY777" s="173"/>
      <c r="AZ777" s="173"/>
      <c r="BA777" s="173"/>
      <c r="BB777" s="173"/>
      <c r="BC777" s="173"/>
      <c r="BD777" s="173"/>
      <c r="BE777" s="173"/>
      <c r="BF777" s="173"/>
      <c r="BG777" s="173"/>
      <c r="BH777" s="173"/>
      <c r="BI777" s="173"/>
      <c r="BJ777" s="173"/>
      <c r="BK777" s="173"/>
      <c r="BL777" s="173"/>
      <c r="BM777" s="173"/>
      <c r="BN777" s="173"/>
      <c r="BO777" s="173"/>
      <c r="BP777" s="173"/>
      <c r="BQ777" s="173"/>
      <c r="BR777" s="173"/>
      <c r="BS777" s="173"/>
      <c r="BT777" s="173"/>
      <c r="BU777" s="173"/>
      <c r="BV777" s="173"/>
      <c r="BW777" s="173"/>
      <c r="BX777" s="173"/>
      <c r="BY777" s="173"/>
      <c r="BZ777" s="173"/>
      <c r="CA777" s="173"/>
      <c r="CB777" s="173"/>
      <c r="CC777" s="173"/>
      <c r="CD777" s="173"/>
      <c r="CE777" s="173"/>
      <c r="CF777" s="173"/>
      <c r="CG777" s="173"/>
      <c r="CH777" s="173"/>
      <c r="CI777" s="173"/>
      <c r="CJ777" s="173"/>
      <c r="CK777" s="173"/>
      <c r="CL777" s="173"/>
      <c r="CM777" s="173"/>
      <c r="CN777" s="173"/>
      <c r="CO777" s="173"/>
      <c r="CP777" s="173"/>
      <c r="CQ777" s="173"/>
      <c r="CR777" s="173"/>
      <c r="CS777" s="173"/>
    </row>
    <row r="778" hidden="1">
      <c r="A778" s="67" t="s">
        <v>828</v>
      </c>
      <c r="B778" s="219" t="s">
        <v>2863</v>
      </c>
      <c r="C778" s="67" t="s">
        <v>2864</v>
      </c>
      <c r="D778" s="68" t="s">
        <v>2865</v>
      </c>
      <c r="E778" s="67" t="s">
        <v>2866</v>
      </c>
      <c r="F778" s="168"/>
      <c r="G778" s="168"/>
      <c r="H778" s="168" t="s">
        <v>25</v>
      </c>
      <c r="I778" s="168" t="s">
        <v>25</v>
      </c>
      <c r="J778" s="168" t="s">
        <v>25</v>
      </c>
      <c r="K778" s="163" t="str">
        <f>VLOOKUP(C778,'Term Reference Guide'!$C:$C,1,false)</f>
        <v>GENEPIO:0100567</v>
      </c>
      <c r="L778" s="67"/>
      <c r="M778" s="67"/>
      <c r="N778" s="67"/>
      <c r="O778" s="67"/>
      <c r="P778" s="67"/>
      <c r="Q778" s="220"/>
      <c r="R778" s="220"/>
      <c r="S778" s="220"/>
      <c r="T778" s="220"/>
      <c r="U778" s="220"/>
      <c r="V778" s="220"/>
      <c r="W778" s="220"/>
      <c r="X778" s="220"/>
      <c r="Y778" s="173"/>
      <c r="Z778" s="173"/>
      <c r="AA778" s="173"/>
      <c r="AB778" s="173"/>
      <c r="AC778" s="173"/>
      <c r="AD778" s="173"/>
      <c r="AE778" s="173"/>
      <c r="AF778" s="173"/>
      <c r="AG778" s="173"/>
      <c r="AH778" s="173"/>
      <c r="AI778" s="173"/>
      <c r="AJ778" s="173"/>
      <c r="AK778" s="173"/>
      <c r="AL778" s="173"/>
      <c r="AM778" s="173"/>
      <c r="AN778" s="173"/>
      <c r="AO778" s="173"/>
      <c r="AP778" s="173"/>
      <c r="AQ778" s="173"/>
      <c r="AR778" s="173"/>
      <c r="AS778" s="173"/>
      <c r="AT778" s="173"/>
      <c r="AU778" s="173"/>
      <c r="AV778" s="173"/>
      <c r="AW778" s="173"/>
      <c r="AX778" s="173"/>
      <c r="AY778" s="173"/>
      <c r="AZ778" s="173"/>
      <c r="BA778" s="173"/>
      <c r="BB778" s="173"/>
      <c r="BC778" s="173"/>
      <c r="BD778" s="173"/>
      <c r="BE778" s="173"/>
      <c r="BF778" s="173"/>
      <c r="BG778" s="173"/>
      <c r="BH778" s="173"/>
      <c r="BI778" s="173"/>
      <c r="BJ778" s="173"/>
      <c r="BK778" s="173"/>
      <c r="BL778" s="173"/>
      <c r="BM778" s="173"/>
      <c r="BN778" s="173"/>
      <c r="BO778" s="173"/>
      <c r="BP778" s="173"/>
      <c r="BQ778" s="173"/>
      <c r="BR778" s="173"/>
      <c r="BS778" s="173"/>
      <c r="BT778" s="173"/>
      <c r="BU778" s="173"/>
      <c r="BV778" s="173"/>
      <c r="BW778" s="173"/>
      <c r="BX778" s="173"/>
      <c r="BY778" s="173"/>
      <c r="BZ778" s="173"/>
      <c r="CA778" s="173"/>
      <c r="CB778" s="173"/>
      <c r="CC778" s="173"/>
      <c r="CD778" s="173"/>
      <c r="CE778" s="173"/>
      <c r="CF778" s="173"/>
      <c r="CG778" s="173"/>
      <c r="CH778" s="173"/>
      <c r="CI778" s="173"/>
      <c r="CJ778" s="173"/>
      <c r="CK778" s="173"/>
      <c r="CL778" s="173"/>
      <c r="CM778" s="173"/>
      <c r="CN778" s="173"/>
      <c r="CO778" s="173"/>
      <c r="CP778" s="173"/>
      <c r="CQ778" s="173"/>
      <c r="CR778" s="173"/>
      <c r="CS778" s="173"/>
    </row>
    <row r="779">
      <c r="A779" s="221"/>
      <c r="B779" s="222"/>
      <c r="C779" s="222"/>
      <c r="D779" s="223"/>
      <c r="E779" s="222"/>
      <c r="F779" s="222"/>
      <c r="G779" s="222"/>
      <c r="H779" s="222"/>
      <c r="I779" s="222"/>
      <c r="J779" s="223"/>
      <c r="K779" s="163" t="str">
        <f>VLOOKUP(C779,'Term Reference Guide'!$C:$C,1,false)</f>
        <v>#N/A</v>
      </c>
      <c r="L779" s="222"/>
      <c r="M779" s="222"/>
      <c r="N779" s="222"/>
      <c r="O779" s="222"/>
      <c r="P779" s="222"/>
      <c r="Q779" s="222"/>
      <c r="R779" s="222"/>
      <c r="S779" s="222"/>
      <c r="T779" s="222"/>
      <c r="U779" s="222"/>
      <c r="V779" s="222"/>
      <c r="W779" s="222"/>
      <c r="X779" s="222"/>
      <c r="Y779" s="173"/>
      <c r="Z779" s="173"/>
      <c r="AA779" s="173"/>
      <c r="AB779" s="173"/>
      <c r="AC779" s="173"/>
      <c r="AD779" s="173"/>
      <c r="AE779" s="173"/>
      <c r="AF779" s="173"/>
      <c r="AG779" s="173"/>
      <c r="AH779" s="173"/>
      <c r="AI779" s="173"/>
      <c r="AJ779" s="173"/>
      <c r="AK779" s="173"/>
      <c r="AL779" s="173"/>
      <c r="AM779" s="173"/>
      <c r="AN779" s="173"/>
      <c r="AO779" s="173"/>
      <c r="AP779" s="173"/>
      <c r="AQ779" s="173"/>
      <c r="AR779" s="173"/>
      <c r="AS779" s="173"/>
      <c r="AT779" s="173"/>
      <c r="AU779" s="173"/>
      <c r="AV779" s="173"/>
      <c r="AW779" s="173"/>
      <c r="AX779" s="173"/>
      <c r="AY779" s="173"/>
      <c r="AZ779" s="173"/>
      <c r="BA779" s="173"/>
      <c r="BB779" s="173"/>
      <c r="BC779" s="173"/>
      <c r="BD779" s="173"/>
      <c r="BE779" s="173"/>
      <c r="BF779" s="173"/>
      <c r="BG779" s="173"/>
      <c r="BH779" s="173"/>
      <c r="BI779" s="173"/>
      <c r="BJ779" s="173"/>
      <c r="BK779" s="173"/>
      <c r="BL779" s="173"/>
      <c r="BM779" s="173"/>
      <c r="BN779" s="173"/>
      <c r="BO779" s="173"/>
      <c r="BP779" s="173"/>
      <c r="BQ779" s="173"/>
      <c r="BR779" s="173"/>
      <c r="BS779" s="173"/>
      <c r="BT779" s="173"/>
      <c r="BU779" s="173"/>
      <c r="BV779" s="173"/>
      <c r="BW779" s="173"/>
      <c r="BX779" s="173"/>
      <c r="BY779" s="173"/>
      <c r="BZ779" s="173"/>
      <c r="CA779" s="173"/>
      <c r="CB779" s="173"/>
      <c r="CC779" s="173"/>
      <c r="CD779" s="173"/>
      <c r="CE779" s="173"/>
      <c r="CF779" s="173"/>
      <c r="CG779" s="173"/>
      <c r="CH779" s="173"/>
      <c r="CI779" s="173"/>
      <c r="CJ779" s="173"/>
      <c r="CK779" s="173"/>
      <c r="CL779" s="173"/>
      <c r="CM779" s="173"/>
      <c r="CN779" s="173"/>
      <c r="CO779" s="173"/>
      <c r="CP779" s="173"/>
      <c r="CQ779" s="173"/>
      <c r="CR779" s="173"/>
      <c r="CS779" s="173"/>
    </row>
    <row r="780">
      <c r="A780" s="200" t="s">
        <v>833</v>
      </c>
      <c r="B780" s="201"/>
      <c r="C780" s="201"/>
      <c r="D780" s="202"/>
      <c r="E780" s="201"/>
      <c r="F780" s="201"/>
      <c r="G780" s="201"/>
      <c r="H780" s="216"/>
      <c r="I780" s="216"/>
      <c r="J780" s="217"/>
      <c r="K780" s="163" t="str">
        <f>VLOOKUP(C780,'Term Reference Guide'!$C:$C,1,false)</f>
        <v>#N/A</v>
      </c>
      <c r="L780" s="218"/>
      <c r="M780" s="218"/>
      <c r="N780" s="218"/>
      <c r="O780" s="218"/>
      <c r="P780" s="218"/>
      <c r="Q780" s="218"/>
      <c r="R780" s="218"/>
      <c r="S780" s="218"/>
      <c r="T780" s="218"/>
      <c r="U780" s="218"/>
      <c r="V780" s="218"/>
      <c r="W780" s="218"/>
      <c r="X780" s="218"/>
      <c r="Y780" s="173"/>
      <c r="Z780" s="173"/>
      <c r="AA780" s="173"/>
      <c r="AB780" s="173"/>
      <c r="AC780" s="173"/>
      <c r="AD780" s="173"/>
      <c r="AE780" s="173"/>
      <c r="AF780" s="173"/>
      <c r="AG780" s="173"/>
      <c r="AH780" s="173"/>
      <c r="AI780" s="173"/>
      <c r="AJ780" s="173"/>
      <c r="AK780" s="173"/>
      <c r="AL780" s="173"/>
      <c r="AM780" s="173"/>
      <c r="AN780" s="173"/>
      <c r="AO780" s="173"/>
      <c r="AP780" s="173"/>
      <c r="AQ780" s="173"/>
      <c r="AR780" s="173"/>
      <c r="AS780" s="173"/>
      <c r="AT780" s="173"/>
      <c r="AU780" s="173"/>
      <c r="AV780" s="173"/>
      <c r="AW780" s="173"/>
      <c r="AX780" s="173"/>
      <c r="AY780" s="173"/>
      <c r="AZ780" s="173"/>
      <c r="BA780" s="173"/>
      <c r="BB780" s="173"/>
      <c r="BC780" s="173"/>
      <c r="BD780" s="173"/>
      <c r="BE780" s="173"/>
      <c r="BF780" s="173"/>
      <c r="BG780" s="173"/>
      <c r="BH780" s="173"/>
      <c r="BI780" s="173"/>
      <c r="BJ780" s="173"/>
      <c r="BK780" s="173"/>
      <c r="BL780" s="173"/>
      <c r="BM780" s="173"/>
      <c r="BN780" s="173"/>
      <c r="BO780" s="173"/>
      <c r="BP780" s="173"/>
      <c r="BQ780" s="173"/>
      <c r="BR780" s="173"/>
      <c r="BS780" s="173"/>
      <c r="BT780" s="173"/>
      <c r="BU780" s="173"/>
      <c r="BV780" s="173"/>
      <c r="BW780" s="173"/>
      <c r="BX780" s="173"/>
      <c r="BY780" s="173"/>
      <c r="BZ780" s="173"/>
      <c r="CA780" s="173"/>
      <c r="CB780" s="173"/>
      <c r="CC780" s="173"/>
      <c r="CD780" s="173"/>
      <c r="CE780" s="173"/>
      <c r="CF780" s="173"/>
      <c r="CG780" s="173"/>
      <c r="CH780" s="173"/>
      <c r="CI780" s="173"/>
      <c r="CJ780" s="173"/>
      <c r="CK780" s="173"/>
      <c r="CL780" s="173"/>
      <c r="CM780" s="173"/>
      <c r="CN780" s="173"/>
      <c r="CO780" s="173"/>
      <c r="CP780" s="173"/>
      <c r="CQ780" s="173"/>
      <c r="CR780" s="173"/>
      <c r="CS780" s="173"/>
    </row>
    <row r="781" hidden="1">
      <c r="A781" s="67" t="s">
        <v>833</v>
      </c>
      <c r="B781" s="67" t="s">
        <v>2867</v>
      </c>
      <c r="C781" s="219" t="s">
        <v>2868</v>
      </c>
      <c r="D781" s="68" t="s">
        <v>2869</v>
      </c>
      <c r="E781" s="67"/>
      <c r="F781" s="168"/>
      <c r="G781" s="168"/>
      <c r="H781" s="168" t="s">
        <v>25</v>
      </c>
      <c r="I781" s="168" t="s">
        <v>25</v>
      </c>
      <c r="J781" s="168" t="s">
        <v>25</v>
      </c>
      <c r="K781" s="163" t="str">
        <f>VLOOKUP(C781,'Term Reference Guide'!$C:$C,1,false)</f>
        <v>GENEPIO:0100568</v>
      </c>
      <c r="L781" s="220"/>
      <c r="M781" s="220"/>
      <c r="N781" s="220"/>
      <c r="O781" s="220"/>
      <c r="P781" s="220"/>
      <c r="Q781" s="220"/>
      <c r="R781" s="220"/>
      <c r="S781" s="220"/>
      <c r="T781" s="220"/>
      <c r="U781" s="220"/>
      <c r="V781" s="220"/>
      <c r="W781" s="220"/>
      <c r="X781" s="220"/>
      <c r="Y781" s="173"/>
      <c r="Z781" s="173"/>
      <c r="AA781" s="173"/>
      <c r="AB781" s="173"/>
      <c r="AC781" s="173"/>
      <c r="AD781" s="173"/>
      <c r="AE781" s="173"/>
      <c r="AF781" s="173"/>
      <c r="AG781" s="173"/>
      <c r="AH781" s="173"/>
      <c r="AI781" s="173"/>
      <c r="AJ781" s="173"/>
      <c r="AK781" s="173"/>
      <c r="AL781" s="173"/>
      <c r="AM781" s="173"/>
      <c r="AN781" s="173"/>
      <c r="AO781" s="173"/>
      <c r="AP781" s="173"/>
      <c r="AQ781" s="173"/>
      <c r="AR781" s="173"/>
      <c r="AS781" s="173"/>
      <c r="AT781" s="173"/>
      <c r="AU781" s="173"/>
      <c r="AV781" s="173"/>
      <c r="AW781" s="173"/>
      <c r="AX781" s="173"/>
      <c r="AY781" s="173"/>
      <c r="AZ781" s="173"/>
      <c r="BA781" s="173"/>
      <c r="BB781" s="173"/>
      <c r="BC781" s="173"/>
      <c r="BD781" s="173"/>
      <c r="BE781" s="173"/>
      <c r="BF781" s="173"/>
      <c r="BG781" s="173"/>
      <c r="BH781" s="173"/>
      <c r="BI781" s="173"/>
      <c r="BJ781" s="173"/>
      <c r="BK781" s="173"/>
      <c r="BL781" s="173"/>
      <c r="BM781" s="173"/>
      <c r="BN781" s="173"/>
      <c r="BO781" s="173"/>
      <c r="BP781" s="173"/>
      <c r="BQ781" s="173"/>
      <c r="BR781" s="173"/>
      <c r="BS781" s="173"/>
      <c r="BT781" s="173"/>
      <c r="BU781" s="173"/>
      <c r="BV781" s="173"/>
      <c r="BW781" s="173"/>
      <c r="BX781" s="173"/>
      <c r="BY781" s="173"/>
      <c r="BZ781" s="173"/>
      <c r="CA781" s="173"/>
      <c r="CB781" s="173"/>
      <c r="CC781" s="173"/>
      <c r="CD781" s="173"/>
      <c r="CE781" s="173"/>
      <c r="CF781" s="173"/>
      <c r="CG781" s="173"/>
      <c r="CH781" s="173"/>
      <c r="CI781" s="173"/>
      <c r="CJ781" s="173"/>
      <c r="CK781" s="173"/>
      <c r="CL781" s="173"/>
      <c r="CM781" s="173"/>
      <c r="CN781" s="173"/>
      <c r="CO781" s="173"/>
      <c r="CP781" s="173"/>
      <c r="CQ781" s="173"/>
      <c r="CR781" s="173"/>
      <c r="CS781" s="173"/>
    </row>
    <row r="782" hidden="1">
      <c r="A782" s="67" t="s">
        <v>833</v>
      </c>
      <c r="B782" s="219" t="s">
        <v>2870</v>
      </c>
      <c r="C782" s="219" t="s">
        <v>2871</v>
      </c>
      <c r="D782" s="68" t="s">
        <v>2872</v>
      </c>
      <c r="E782" s="67"/>
      <c r="F782" s="168"/>
      <c r="G782" s="168"/>
      <c r="H782" s="168" t="s">
        <v>25</v>
      </c>
      <c r="I782" s="168" t="s">
        <v>25</v>
      </c>
      <c r="J782" s="168" t="s">
        <v>25</v>
      </c>
      <c r="K782" s="163" t="str">
        <f>VLOOKUP(C782,'Term Reference Guide'!$C:$C,1,false)</f>
        <v>GENEPIO:0100569</v>
      </c>
      <c r="L782" s="220"/>
      <c r="M782" s="220"/>
      <c r="N782" s="220"/>
      <c r="O782" s="220"/>
      <c r="P782" s="220"/>
      <c r="Q782" s="220"/>
      <c r="R782" s="220"/>
      <c r="S782" s="220"/>
      <c r="T782" s="220"/>
      <c r="U782" s="220"/>
      <c r="V782" s="220"/>
      <c r="W782" s="220"/>
      <c r="X782" s="220"/>
      <c r="Y782" s="173"/>
      <c r="Z782" s="173"/>
      <c r="AA782" s="173"/>
      <c r="AB782" s="173"/>
      <c r="AC782" s="173"/>
      <c r="AD782" s="173"/>
      <c r="AE782" s="173"/>
      <c r="AF782" s="173"/>
      <c r="AG782" s="173"/>
      <c r="AH782" s="173"/>
      <c r="AI782" s="173"/>
      <c r="AJ782" s="173"/>
      <c r="AK782" s="173"/>
      <c r="AL782" s="173"/>
      <c r="AM782" s="173"/>
      <c r="AN782" s="173"/>
      <c r="AO782" s="173"/>
      <c r="AP782" s="173"/>
      <c r="AQ782" s="173"/>
      <c r="AR782" s="173"/>
      <c r="AS782" s="173"/>
      <c r="AT782" s="173"/>
      <c r="AU782" s="173"/>
      <c r="AV782" s="173"/>
      <c r="AW782" s="173"/>
      <c r="AX782" s="173"/>
      <c r="AY782" s="173"/>
      <c r="AZ782" s="173"/>
      <c r="BA782" s="173"/>
      <c r="BB782" s="173"/>
      <c r="BC782" s="173"/>
      <c r="BD782" s="173"/>
      <c r="BE782" s="173"/>
      <c r="BF782" s="173"/>
      <c r="BG782" s="173"/>
      <c r="BH782" s="173"/>
      <c r="BI782" s="173"/>
      <c r="BJ782" s="173"/>
      <c r="BK782" s="173"/>
      <c r="BL782" s="173"/>
      <c r="BM782" s="173"/>
      <c r="BN782" s="173"/>
      <c r="BO782" s="173"/>
      <c r="BP782" s="173"/>
      <c r="BQ782" s="173"/>
      <c r="BR782" s="173"/>
      <c r="BS782" s="173"/>
      <c r="BT782" s="173"/>
      <c r="BU782" s="173"/>
      <c r="BV782" s="173"/>
      <c r="BW782" s="173"/>
      <c r="BX782" s="173"/>
      <c r="BY782" s="173"/>
      <c r="BZ782" s="173"/>
      <c r="CA782" s="173"/>
      <c r="CB782" s="173"/>
      <c r="CC782" s="173"/>
      <c r="CD782" s="173"/>
      <c r="CE782" s="173"/>
      <c r="CF782" s="173"/>
      <c r="CG782" s="173"/>
      <c r="CH782" s="173"/>
      <c r="CI782" s="173"/>
      <c r="CJ782" s="173"/>
      <c r="CK782" s="173"/>
      <c r="CL782" s="173"/>
      <c r="CM782" s="173"/>
      <c r="CN782" s="173"/>
      <c r="CO782" s="173"/>
      <c r="CP782" s="173"/>
      <c r="CQ782" s="173"/>
      <c r="CR782" s="173"/>
      <c r="CS782" s="173"/>
    </row>
    <row r="783" hidden="1">
      <c r="A783" s="67" t="s">
        <v>833</v>
      </c>
      <c r="B783" s="219" t="s">
        <v>836</v>
      </c>
      <c r="C783" s="219" t="s">
        <v>2873</v>
      </c>
      <c r="D783" s="68" t="s">
        <v>2874</v>
      </c>
      <c r="E783" s="67"/>
      <c r="F783" s="168"/>
      <c r="G783" s="168"/>
      <c r="H783" s="168" t="s">
        <v>25</v>
      </c>
      <c r="I783" s="168" t="s">
        <v>25</v>
      </c>
      <c r="J783" s="168" t="s">
        <v>25</v>
      </c>
      <c r="K783" s="163" t="str">
        <f>VLOOKUP(C783,'Term Reference Guide'!$C:$C,1,false)</f>
        <v>GENEPIO:0100570</v>
      </c>
      <c r="L783" s="67"/>
      <c r="M783" s="220"/>
      <c r="N783" s="220"/>
      <c r="O783" s="220"/>
      <c r="P783" s="220"/>
      <c r="Q783" s="220"/>
      <c r="R783" s="220"/>
      <c r="S783" s="220"/>
      <c r="T783" s="220"/>
      <c r="U783" s="220"/>
      <c r="V783" s="220"/>
      <c r="W783" s="220"/>
      <c r="X783" s="220"/>
      <c r="Y783" s="173"/>
      <c r="Z783" s="173"/>
      <c r="AA783" s="173"/>
      <c r="AB783" s="173"/>
      <c r="AC783" s="173"/>
      <c r="AD783" s="173"/>
      <c r="AE783" s="173"/>
      <c r="AF783" s="173"/>
      <c r="AG783" s="173"/>
      <c r="AH783" s="173"/>
      <c r="AI783" s="173"/>
      <c r="AJ783" s="173"/>
      <c r="AK783" s="173"/>
      <c r="AL783" s="173"/>
      <c r="AM783" s="173"/>
      <c r="AN783" s="173"/>
      <c r="AO783" s="173"/>
      <c r="AP783" s="173"/>
      <c r="AQ783" s="173"/>
      <c r="AR783" s="173"/>
      <c r="AS783" s="173"/>
      <c r="AT783" s="173"/>
      <c r="AU783" s="173"/>
      <c r="AV783" s="173"/>
      <c r="AW783" s="173"/>
      <c r="AX783" s="173"/>
      <c r="AY783" s="173"/>
      <c r="AZ783" s="173"/>
      <c r="BA783" s="173"/>
      <c r="BB783" s="173"/>
      <c r="BC783" s="173"/>
      <c r="BD783" s="173"/>
      <c r="BE783" s="173"/>
      <c r="BF783" s="173"/>
      <c r="BG783" s="173"/>
      <c r="BH783" s="173"/>
      <c r="BI783" s="173"/>
      <c r="BJ783" s="173"/>
      <c r="BK783" s="173"/>
      <c r="BL783" s="173"/>
      <c r="BM783" s="173"/>
      <c r="BN783" s="173"/>
      <c r="BO783" s="173"/>
      <c r="BP783" s="173"/>
      <c r="BQ783" s="173"/>
      <c r="BR783" s="173"/>
      <c r="BS783" s="173"/>
      <c r="BT783" s="173"/>
      <c r="BU783" s="173"/>
      <c r="BV783" s="173"/>
      <c r="BW783" s="173"/>
      <c r="BX783" s="173"/>
      <c r="BY783" s="173"/>
      <c r="BZ783" s="173"/>
      <c r="CA783" s="173"/>
      <c r="CB783" s="173"/>
      <c r="CC783" s="173"/>
      <c r="CD783" s="173"/>
      <c r="CE783" s="173"/>
      <c r="CF783" s="173"/>
      <c r="CG783" s="173"/>
      <c r="CH783" s="173"/>
      <c r="CI783" s="173"/>
      <c r="CJ783" s="173"/>
      <c r="CK783" s="173"/>
      <c r="CL783" s="173"/>
      <c r="CM783" s="173"/>
      <c r="CN783" s="173"/>
      <c r="CO783" s="173"/>
      <c r="CP783" s="173"/>
      <c r="CQ783" s="173"/>
      <c r="CR783" s="173"/>
      <c r="CS783" s="173"/>
    </row>
    <row r="784" hidden="1">
      <c r="A784" s="67" t="s">
        <v>833</v>
      </c>
      <c r="B784" s="219" t="s">
        <v>2875</v>
      </c>
      <c r="C784" s="219" t="s">
        <v>2876</v>
      </c>
      <c r="D784" s="68" t="s">
        <v>2877</v>
      </c>
      <c r="E784" s="67"/>
      <c r="F784" s="168"/>
      <c r="G784" s="168"/>
      <c r="H784" s="168" t="s">
        <v>25</v>
      </c>
      <c r="I784" s="168" t="s">
        <v>25</v>
      </c>
      <c r="J784" s="168" t="s">
        <v>25</v>
      </c>
      <c r="K784" s="163" t="str">
        <f>VLOOKUP(C784,'Term Reference Guide'!$C:$C,1,false)</f>
        <v>GENEPIO:0100571</v>
      </c>
      <c r="L784" s="220"/>
      <c r="M784" s="220"/>
      <c r="N784" s="220"/>
      <c r="O784" s="220"/>
      <c r="P784" s="220"/>
      <c r="Q784" s="220"/>
      <c r="R784" s="220"/>
      <c r="S784" s="220"/>
      <c r="T784" s="220"/>
      <c r="U784" s="220"/>
      <c r="V784" s="220"/>
      <c r="W784" s="220"/>
      <c r="X784" s="220"/>
      <c r="Y784" s="173"/>
      <c r="Z784" s="173"/>
      <c r="AA784" s="173"/>
      <c r="AB784" s="173"/>
      <c r="AC784" s="173"/>
      <c r="AD784" s="173"/>
      <c r="AE784" s="173"/>
      <c r="AF784" s="173"/>
      <c r="AG784" s="173"/>
      <c r="AH784" s="173"/>
      <c r="AI784" s="173"/>
      <c r="AJ784" s="173"/>
      <c r="AK784" s="173"/>
      <c r="AL784" s="173"/>
      <c r="AM784" s="173"/>
      <c r="AN784" s="173"/>
      <c r="AO784" s="173"/>
      <c r="AP784" s="173"/>
      <c r="AQ784" s="173"/>
      <c r="AR784" s="173"/>
      <c r="AS784" s="173"/>
      <c r="AT784" s="173"/>
      <c r="AU784" s="173"/>
      <c r="AV784" s="173"/>
      <c r="AW784" s="173"/>
      <c r="AX784" s="173"/>
      <c r="AY784" s="173"/>
      <c r="AZ784" s="173"/>
      <c r="BA784" s="173"/>
      <c r="BB784" s="173"/>
      <c r="BC784" s="173"/>
      <c r="BD784" s="173"/>
      <c r="BE784" s="173"/>
      <c r="BF784" s="173"/>
      <c r="BG784" s="173"/>
      <c r="BH784" s="173"/>
      <c r="BI784" s="173"/>
      <c r="BJ784" s="173"/>
      <c r="BK784" s="173"/>
      <c r="BL784" s="173"/>
      <c r="BM784" s="173"/>
      <c r="BN784" s="173"/>
      <c r="BO784" s="173"/>
      <c r="BP784" s="173"/>
      <c r="BQ784" s="173"/>
      <c r="BR784" s="173"/>
      <c r="BS784" s="173"/>
      <c r="BT784" s="173"/>
      <c r="BU784" s="173"/>
      <c r="BV784" s="173"/>
      <c r="BW784" s="173"/>
      <c r="BX784" s="173"/>
      <c r="BY784" s="173"/>
      <c r="BZ784" s="173"/>
      <c r="CA784" s="173"/>
      <c r="CB784" s="173"/>
      <c r="CC784" s="173"/>
      <c r="CD784" s="173"/>
      <c r="CE784" s="173"/>
      <c r="CF784" s="173"/>
      <c r="CG784" s="173"/>
      <c r="CH784" s="173"/>
      <c r="CI784" s="173"/>
      <c r="CJ784" s="173"/>
      <c r="CK784" s="173"/>
      <c r="CL784" s="173"/>
      <c r="CM784" s="173"/>
      <c r="CN784" s="173"/>
      <c r="CO784" s="173"/>
      <c r="CP784" s="173"/>
      <c r="CQ784" s="173"/>
      <c r="CR784" s="173"/>
      <c r="CS784" s="173"/>
    </row>
    <row r="785" hidden="1">
      <c r="A785" s="67" t="s">
        <v>833</v>
      </c>
      <c r="B785" s="219" t="s">
        <v>2878</v>
      </c>
      <c r="C785" s="219" t="s">
        <v>2879</v>
      </c>
      <c r="D785" s="68" t="s">
        <v>2880</v>
      </c>
      <c r="E785" s="67"/>
      <c r="F785" s="168"/>
      <c r="G785" s="168"/>
      <c r="H785" s="168" t="s">
        <v>25</v>
      </c>
      <c r="I785" s="168" t="s">
        <v>25</v>
      </c>
      <c r="J785" s="168" t="s">
        <v>25</v>
      </c>
      <c r="K785" s="163" t="str">
        <f>VLOOKUP(C785,'Term Reference Guide'!$C:$C,1,false)</f>
        <v>GENEPIO:0100572</v>
      </c>
      <c r="L785" s="220"/>
      <c r="M785" s="220"/>
      <c r="N785" s="220"/>
      <c r="O785" s="220"/>
      <c r="P785" s="220"/>
      <c r="Q785" s="220"/>
      <c r="R785" s="220"/>
      <c r="S785" s="220"/>
      <c r="T785" s="220"/>
      <c r="U785" s="220"/>
      <c r="V785" s="220"/>
      <c r="W785" s="220"/>
      <c r="X785" s="220"/>
      <c r="Y785" s="173"/>
      <c r="Z785" s="173"/>
      <c r="AA785" s="173"/>
      <c r="AB785" s="173"/>
      <c r="AC785" s="173"/>
      <c r="AD785" s="173"/>
      <c r="AE785" s="173"/>
      <c r="AF785" s="173"/>
      <c r="AG785" s="173"/>
      <c r="AH785" s="173"/>
      <c r="AI785" s="173"/>
      <c r="AJ785" s="173"/>
      <c r="AK785" s="173"/>
      <c r="AL785" s="173"/>
      <c r="AM785" s="173"/>
      <c r="AN785" s="173"/>
      <c r="AO785" s="173"/>
      <c r="AP785" s="173"/>
      <c r="AQ785" s="173"/>
      <c r="AR785" s="173"/>
      <c r="AS785" s="173"/>
      <c r="AT785" s="173"/>
      <c r="AU785" s="173"/>
      <c r="AV785" s="173"/>
      <c r="AW785" s="173"/>
      <c r="AX785" s="173"/>
      <c r="AY785" s="173"/>
      <c r="AZ785" s="173"/>
      <c r="BA785" s="173"/>
      <c r="BB785" s="173"/>
      <c r="BC785" s="173"/>
      <c r="BD785" s="173"/>
      <c r="BE785" s="173"/>
      <c r="BF785" s="173"/>
      <c r="BG785" s="173"/>
      <c r="BH785" s="173"/>
      <c r="BI785" s="173"/>
      <c r="BJ785" s="173"/>
      <c r="BK785" s="173"/>
      <c r="BL785" s="173"/>
      <c r="BM785" s="173"/>
      <c r="BN785" s="173"/>
      <c r="BO785" s="173"/>
      <c r="BP785" s="173"/>
      <c r="BQ785" s="173"/>
      <c r="BR785" s="173"/>
      <c r="BS785" s="173"/>
      <c r="BT785" s="173"/>
      <c r="BU785" s="173"/>
      <c r="BV785" s="173"/>
      <c r="BW785" s="173"/>
      <c r="BX785" s="173"/>
      <c r="BY785" s="173"/>
      <c r="BZ785" s="173"/>
      <c r="CA785" s="173"/>
      <c r="CB785" s="173"/>
      <c r="CC785" s="173"/>
      <c r="CD785" s="173"/>
      <c r="CE785" s="173"/>
      <c r="CF785" s="173"/>
      <c r="CG785" s="173"/>
      <c r="CH785" s="173"/>
      <c r="CI785" s="173"/>
      <c r="CJ785" s="173"/>
      <c r="CK785" s="173"/>
      <c r="CL785" s="173"/>
      <c r="CM785" s="173"/>
      <c r="CN785" s="173"/>
      <c r="CO785" s="173"/>
      <c r="CP785" s="173"/>
      <c r="CQ785" s="173"/>
      <c r="CR785" s="173"/>
      <c r="CS785" s="173"/>
    </row>
    <row r="786" hidden="1">
      <c r="A786" s="67" t="s">
        <v>833</v>
      </c>
      <c r="B786" s="219" t="s">
        <v>2881</v>
      </c>
      <c r="C786" s="219" t="s">
        <v>2882</v>
      </c>
      <c r="D786" s="68" t="s">
        <v>2883</v>
      </c>
      <c r="E786" s="67"/>
      <c r="F786" s="168"/>
      <c r="G786" s="168"/>
      <c r="H786" s="168" t="s">
        <v>25</v>
      </c>
      <c r="I786" s="168" t="s">
        <v>25</v>
      </c>
      <c r="J786" s="168" t="s">
        <v>25</v>
      </c>
      <c r="K786" s="163" t="str">
        <f>VLOOKUP(C786,'Term Reference Guide'!$C:$C,1,false)</f>
        <v>GENEPIO:0100573</v>
      </c>
      <c r="L786" s="220"/>
      <c r="M786" s="220"/>
      <c r="N786" s="220"/>
      <c r="O786" s="220"/>
      <c r="P786" s="220"/>
      <c r="Q786" s="220"/>
      <c r="R786" s="220"/>
      <c r="S786" s="220"/>
      <c r="T786" s="220"/>
      <c r="U786" s="220"/>
      <c r="V786" s="220"/>
      <c r="W786" s="220"/>
      <c r="X786" s="220"/>
      <c r="Y786" s="173"/>
      <c r="Z786" s="173"/>
      <c r="AA786" s="173"/>
      <c r="AB786" s="173"/>
      <c r="AC786" s="173"/>
      <c r="AD786" s="173"/>
      <c r="AE786" s="173"/>
      <c r="AF786" s="173"/>
      <c r="AG786" s="173"/>
      <c r="AH786" s="173"/>
      <c r="AI786" s="173"/>
      <c r="AJ786" s="173"/>
      <c r="AK786" s="173"/>
      <c r="AL786" s="173"/>
      <c r="AM786" s="173"/>
      <c r="AN786" s="173"/>
      <c r="AO786" s="173"/>
      <c r="AP786" s="173"/>
      <c r="AQ786" s="173"/>
      <c r="AR786" s="173"/>
      <c r="AS786" s="173"/>
      <c r="AT786" s="173"/>
      <c r="AU786" s="173"/>
      <c r="AV786" s="173"/>
      <c r="AW786" s="173"/>
      <c r="AX786" s="173"/>
      <c r="AY786" s="173"/>
      <c r="AZ786" s="173"/>
      <c r="BA786" s="173"/>
      <c r="BB786" s="173"/>
      <c r="BC786" s="173"/>
      <c r="BD786" s="173"/>
      <c r="BE786" s="173"/>
      <c r="BF786" s="173"/>
      <c r="BG786" s="173"/>
      <c r="BH786" s="173"/>
      <c r="BI786" s="173"/>
      <c r="BJ786" s="173"/>
      <c r="BK786" s="173"/>
      <c r="BL786" s="173"/>
      <c r="BM786" s="173"/>
      <c r="BN786" s="173"/>
      <c r="BO786" s="173"/>
      <c r="BP786" s="173"/>
      <c r="BQ786" s="173"/>
      <c r="BR786" s="173"/>
      <c r="BS786" s="173"/>
      <c r="BT786" s="173"/>
      <c r="BU786" s="173"/>
      <c r="BV786" s="173"/>
      <c r="BW786" s="173"/>
      <c r="BX786" s="173"/>
      <c r="BY786" s="173"/>
      <c r="BZ786" s="173"/>
      <c r="CA786" s="173"/>
      <c r="CB786" s="173"/>
      <c r="CC786" s="173"/>
      <c r="CD786" s="173"/>
      <c r="CE786" s="173"/>
      <c r="CF786" s="173"/>
      <c r="CG786" s="173"/>
      <c r="CH786" s="173"/>
      <c r="CI786" s="173"/>
      <c r="CJ786" s="173"/>
      <c r="CK786" s="173"/>
      <c r="CL786" s="173"/>
      <c r="CM786" s="173"/>
      <c r="CN786" s="173"/>
      <c r="CO786" s="173"/>
      <c r="CP786" s="173"/>
      <c r="CQ786" s="173"/>
      <c r="CR786" s="173"/>
      <c r="CS786" s="173"/>
    </row>
    <row r="787" hidden="1">
      <c r="A787" s="67" t="s">
        <v>833</v>
      </c>
      <c r="B787" s="219" t="s">
        <v>2884</v>
      </c>
      <c r="C787" s="219" t="s">
        <v>2885</v>
      </c>
      <c r="D787" s="68" t="s">
        <v>2886</v>
      </c>
      <c r="E787" s="67"/>
      <c r="F787" s="168"/>
      <c r="G787" s="168"/>
      <c r="H787" s="168" t="s">
        <v>25</v>
      </c>
      <c r="I787" s="168" t="s">
        <v>25</v>
      </c>
      <c r="J787" s="168" t="s">
        <v>25</v>
      </c>
      <c r="K787" s="163" t="str">
        <f>VLOOKUP(C787,'Term Reference Guide'!$C:$C,1,false)</f>
        <v>GENEPIO:0100574</v>
      </c>
      <c r="L787" s="220"/>
      <c r="M787" s="220"/>
      <c r="N787" s="220"/>
      <c r="O787" s="220"/>
      <c r="P787" s="220"/>
      <c r="Q787" s="220"/>
      <c r="R787" s="220"/>
      <c r="S787" s="220"/>
      <c r="T787" s="220"/>
      <c r="U787" s="220"/>
      <c r="V787" s="220"/>
      <c r="W787" s="220"/>
      <c r="X787" s="220"/>
      <c r="Y787" s="173"/>
      <c r="Z787" s="173"/>
      <c r="AA787" s="173"/>
      <c r="AB787" s="173"/>
      <c r="AC787" s="173"/>
      <c r="AD787" s="173"/>
      <c r="AE787" s="173"/>
      <c r="AF787" s="173"/>
      <c r="AG787" s="173"/>
      <c r="AH787" s="173"/>
      <c r="AI787" s="173"/>
      <c r="AJ787" s="173"/>
      <c r="AK787" s="173"/>
      <c r="AL787" s="173"/>
      <c r="AM787" s="173"/>
      <c r="AN787" s="173"/>
      <c r="AO787" s="173"/>
      <c r="AP787" s="173"/>
      <c r="AQ787" s="173"/>
      <c r="AR787" s="173"/>
      <c r="AS787" s="173"/>
      <c r="AT787" s="173"/>
      <c r="AU787" s="173"/>
      <c r="AV787" s="173"/>
      <c r="AW787" s="173"/>
      <c r="AX787" s="173"/>
      <c r="AY787" s="173"/>
      <c r="AZ787" s="173"/>
      <c r="BA787" s="173"/>
      <c r="BB787" s="173"/>
      <c r="BC787" s="173"/>
      <c r="BD787" s="173"/>
      <c r="BE787" s="173"/>
      <c r="BF787" s="173"/>
      <c r="BG787" s="173"/>
      <c r="BH787" s="173"/>
      <c r="BI787" s="173"/>
      <c r="BJ787" s="173"/>
      <c r="BK787" s="173"/>
      <c r="BL787" s="173"/>
      <c r="BM787" s="173"/>
      <c r="BN787" s="173"/>
      <c r="BO787" s="173"/>
      <c r="BP787" s="173"/>
      <c r="BQ787" s="173"/>
      <c r="BR787" s="173"/>
      <c r="BS787" s="173"/>
      <c r="BT787" s="173"/>
      <c r="BU787" s="173"/>
      <c r="BV787" s="173"/>
      <c r="BW787" s="173"/>
      <c r="BX787" s="173"/>
      <c r="BY787" s="173"/>
      <c r="BZ787" s="173"/>
      <c r="CA787" s="173"/>
      <c r="CB787" s="173"/>
      <c r="CC787" s="173"/>
      <c r="CD787" s="173"/>
      <c r="CE787" s="173"/>
      <c r="CF787" s="173"/>
      <c r="CG787" s="173"/>
      <c r="CH787" s="173"/>
      <c r="CI787" s="173"/>
      <c r="CJ787" s="173"/>
      <c r="CK787" s="173"/>
      <c r="CL787" s="173"/>
      <c r="CM787" s="173"/>
      <c r="CN787" s="173"/>
      <c r="CO787" s="173"/>
      <c r="CP787" s="173"/>
      <c r="CQ787" s="173"/>
      <c r="CR787" s="173"/>
      <c r="CS787" s="173"/>
    </row>
    <row r="788" hidden="1">
      <c r="A788" s="67" t="s">
        <v>833</v>
      </c>
      <c r="B788" s="219" t="s">
        <v>2887</v>
      </c>
      <c r="C788" s="219" t="s">
        <v>2888</v>
      </c>
      <c r="D788" s="68" t="s">
        <v>2889</v>
      </c>
      <c r="E788" s="67"/>
      <c r="F788" s="168"/>
      <c r="G788" s="168"/>
      <c r="H788" s="168" t="s">
        <v>25</v>
      </c>
      <c r="I788" s="168" t="s">
        <v>25</v>
      </c>
      <c r="J788" s="168" t="s">
        <v>25</v>
      </c>
      <c r="K788" s="163" t="str">
        <f>VLOOKUP(C788,'Term Reference Guide'!$C:$C,1,false)</f>
        <v>GENEPIO:0100575</v>
      </c>
      <c r="L788" s="220"/>
      <c r="M788" s="220"/>
      <c r="N788" s="220"/>
      <c r="O788" s="220"/>
      <c r="P788" s="220"/>
      <c r="Q788" s="220"/>
      <c r="R788" s="220"/>
      <c r="S788" s="220"/>
      <c r="T788" s="220"/>
      <c r="U788" s="220"/>
      <c r="V788" s="220"/>
      <c r="W788" s="220"/>
      <c r="X788" s="220"/>
      <c r="Y788" s="173"/>
      <c r="Z788" s="173"/>
      <c r="AA788" s="173"/>
      <c r="AB788" s="173"/>
      <c r="AC788" s="173"/>
      <c r="AD788" s="173"/>
      <c r="AE788" s="173"/>
      <c r="AF788" s="173"/>
      <c r="AG788" s="173"/>
      <c r="AH788" s="173"/>
      <c r="AI788" s="173"/>
      <c r="AJ788" s="173"/>
      <c r="AK788" s="173"/>
      <c r="AL788" s="173"/>
      <c r="AM788" s="173"/>
      <c r="AN788" s="173"/>
      <c r="AO788" s="173"/>
      <c r="AP788" s="173"/>
      <c r="AQ788" s="173"/>
      <c r="AR788" s="173"/>
      <c r="AS788" s="173"/>
      <c r="AT788" s="173"/>
      <c r="AU788" s="173"/>
      <c r="AV788" s="173"/>
      <c r="AW788" s="173"/>
      <c r="AX788" s="173"/>
      <c r="AY788" s="173"/>
      <c r="AZ788" s="173"/>
      <c r="BA788" s="173"/>
      <c r="BB788" s="173"/>
      <c r="BC788" s="173"/>
      <c r="BD788" s="173"/>
      <c r="BE788" s="173"/>
      <c r="BF788" s="173"/>
      <c r="BG788" s="173"/>
      <c r="BH788" s="173"/>
      <c r="BI788" s="173"/>
      <c r="BJ788" s="173"/>
      <c r="BK788" s="173"/>
      <c r="BL788" s="173"/>
      <c r="BM788" s="173"/>
      <c r="BN788" s="173"/>
      <c r="BO788" s="173"/>
      <c r="BP788" s="173"/>
      <c r="BQ788" s="173"/>
      <c r="BR788" s="173"/>
      <c r="BS788" s="173"/>
      <c r="BT788" s="173"/>
      <c r="BU788" s="173"/>
      <c r="BV788" s="173"/>
      <c r="BW788" s="173"/>
      <c r="BX788" s="173"/>
      <c r="BY788" s="173"/>
      <c r="BZ788" s="173"/>
      <c r="CA788" s="173"/>
      <c r="CB788" s="173"/>
      <c r="CC788" s="173"/>
      <c r="CD788" s="173"/>
      <c r="CE788" s="173"/>
      <c r="CF788" s="173"/>
      <c r="CG788" s="173"/>
      <c r="CH788" s="173"/>
      <c r="CI788" s="173"/>
      <c r="CJ788" s="173"/>
      <c r="CK788" s="173"/>
      <c r="CL788" s="173"/>
      <c r="CM788" s="173"/>
      <c r="CN788" s="173"/>
      <c r="CO788" s="173"/>
      <c r="CP788" s="173"/>
      <c r="CQ788" s="173"/>
      <c r="CR788" s="173"/>
      <c r="CS788" s="173"/>
    </row>
    <row r="789">
      <c r="A789" s="173"/>
      <c r="B789" s="173"/>
      <c r="C789" s="173"/>
      <c r="D789" s="141"/>
      <c r="E789" s="173"/>
      <c r="F789" s="173"/>
      <c r="G789" s="173"/>
      <c r="H789" s="173"/>
      <c r="I789" s="173"/>
      <c r="J789" s="141"/>
      <c r="K789" s="163" t="str">
        <f>VLOOKUP(C789,'Term Reference Guide'!$C:$C,1,false)</f>
        <v>#N/A</v>
      </c>
      <c r="L789" s="173"/>
      <c r="M789" s="173"/>
      <c r="N789" s="173"/>
      <c r="O789" s="173"/>
      <c r="P789" s="173"/>
      <c r="Q789" s="173"/>
      <c r="R789" s="173"/>
      <c r="S789" s="173"/>
      <c r="T789" s="173"/>
      <c r="U789" s="173"/>
      <c r="V789" s="173"/>
      <c r="W789" s="173"/>
      <c r="X789" s="173"/>
      <c r="Y789" s="173"/>
      <c r="Z789" s="173"/>
      <c r="AA789" s="173"/>
      <c r="AB789" s="173"/>
      <c r="AC789" s="173"/>
      <c r="AD789" s="173"/>
      <c r="AE789" s="173"/>
      <c r="AF789" s="173"/>
      <c r="AG789" s="173"/>
      <c r="AH789" s="173"/>
      <c r="AI789" s="173"/>
      <c r="AJ789" s="173"/>
      <c r="AK789" s="173"/>
      <c r="AL789" s="173"/>
      <c r="AM789" s="173"/>
      <c r="AN789" s="173"/>
      <c r="AO789" s="173"/>
      <c r="AP789" s="173"/>
      <c r="AQ789" s="173"/>
      <c r="AR789" s="173"/>
      <c r="AS789" s="173"/>
      <c r="AT789" s="173"/>
      <c r="AU789" s="173"/>
      <c r="AV789" s="173"/>
      <c r="AW789" s="173"/>
      <c r="AX789" s="173"/>
      <c r="AY789" s="173"/>
      <c r="AZ789" s="173"/>
      <c r="BA789" s="173"/>
      <c r="BB789" s="173"/>
      <c r="BC789" s="173"/>
      <c r="BD789" s="173"/>
      <c r="BE789" s="173"/>
      <c r="BF789" s="173"/>
      <c r="BG789" s="173"/>
      <c r="BH789" s="173"/>
      <c r="BI789" s="173"/>
      <c r="BJ789" s="173"/>
      <c r="BK789" s="173"/>
      <c r="BL789" s="173"/>
      <c r="BM789" s="173"/>
      <c r="BN789" s="173"/>
      <c r="BO789" s="173"/>
      <c r="BP789" s="173"/>
      <c r="BQ789" s="173"/>
      <c r="BR789" s="173"/>
      <c r="BS789" s="173"/>
      <c r="BT789" s="173"/>
      <c r="BU789" s="173"/>
      <c r="BV789" s="173"/>
      <c r="BW789" s="173"/>
      <c r="BX789" s="173"/>
      <c r="BY789" s="173"/>
      <c r="BZ789" s="173"/>
      <c r="CA789" s="173"/>
      <c r="CB789" s="173"/>
      <c r="CC789" s="173"/>
      <c r="CD789" s="173"/>
      <c r="CE789" s="173"/>
      <c r="CF789" s="173"/>
      <c r="CG789" s="173"/>
      <c r="CH789" s="173"/>
      <c r="CI789" s="173"/>
      <c r="CJ789" s="173"/>
      <c r="CK789" s="173"/>
      <c r="CL789" s="173"/>
      <c r="CM789" s="173"/>
      <c r="CN789" s="173"/>
      <c r="CO789" s="173"/>
      <c r="CP789" s="173"/>
      <c r="CQ789" s="173"/>
      <c r="CR789" s="173"/>
      <c r="CS789" s="173"/>
    </row>
    <row r="790">
      <c r="A790" s="200" t="s">
        <v>1031</v>
      </c>
      <c r="B790" s="201"/>
      <c r="C790" s="201"/>
      <c r="D790" s="202"/>
      <c r="E790" s="201"/>
      <c r="F790" s="201"/>
      <c r="G790" s="201"/>
      <c r="H790" s="216"/>
      <c r="I790" s="216"/>
      <c r="J790" s="217"/>
      <c r="K790" s="163" t="str">
        <f>VLOOKUP(C790,'Term Reference Guide'!$C:$C,1,false)</f>
        <v>#N/A</v>
      </c>
      <c r="L790" s="218"/>
      <c r="M790" s="218"/>
      <c r="N790" s="218"/>
      <c r="O790" s="218"/>
      <c r="P790" s="218"/>
      <c r="Q790" s="218"/>
      <c r="R790" s="218"/>
      <c r="S790" s="218"/>
      <c r="T790" s="218"/>
      <c r="U790" s="218"/>
      <c r="V790" s="218"/>
      <c r="W790" s="218"/>
      <c r="X790" s="218"/>
      <c r="Y790" s="173"/>
      <c r="Z790" s="173"/>
      <c r="AA790" s="173"/>
      <c r="AB790" s="173"/>
      <c r="AC790" s="173"/>
      <c r="AD790" s="173"/>
      <c r="AE790" s="173"/>
      <c r="AF790" s="173"/>
      <c r="AG790" s="173"/>
      <c r="AH790" s="173"/>
      <c r="AI790" s="173"/>
      <c r="AJ790" s="173"/>
      <c r="AK790" s="173"/>
      <c r="AL790" s="173"/>
      <c r="AM790" s="173"/>
      <c r="AN790" s="173"/>
      <c r="AO790" s="173"/>
      <c r="AP790" s="173"/>
      <c r="AQ790" s="173"/>
      <c r="AR790" s="173"/>
      <c r="AS790" s="173"/>
      <c r="AT790" s="173"/>
      <c r="AU790" s="173"/>
      <c r="AV790" s="173"/>
      <c r="AW790" s="173"/>
      <c r="AX790" s="173"/>
      <c r="AY790" s="173"/>
      <c r="AZ790" s="173"/>
      <c r="BA790" s="173"/>
      <c r="BB790" s="173"/>
      <c r="BC790" s="173"/>
      <c r="BD790" s="173"/>
      <c r="BE790" s="173"/>
      <c r="BF790" s="173"/>
      <c r="BG790" s="173"/>
      <c r="BH790" s="173"/>
      <c r="BI790" s="173"/>
      <c r="BJ790" s="173"/>
      <c r="BK790" s="173"/>
      <c r="BL790" s="173"/>
      <c r="BM790" s="173"/>
      <c r="BN790" s="173"/>
      <c r="BO790" s="173"/>
      <c r="BP790" s="173"/>
      <c r="BQ790" s="173"/>
      <c r="BR790" s="173"/>
      <c r="BS790" s="173"/>
      <c r="BT790" s="173"/>
      <c r="BU790" s="173"/>
      <c r="BV790" s="173"/>
      <c r="BW790" s="173"/>
      <c r="BX790" s="173"/>
      <c r="BY790" s="173"/>
      <c r="BZ790" s="173"/>
      <c r="CA790" s="173"/>
      <c r="CB790" s="173"/>
      <c r="CC790" s="173"/>
      <c r="CD790" s="173"/>
      <c r="CE790" s="173"/>
      <c r="CF790" s="173"/>
      <c r="CG790" s="173"/>
      <c r="CH790" s="173"/>
      <c r="CI790" s="173"/>
      <c r="CJ790" s="173"/>
      <c r="CK790" s="173"/>
      <c r="CL790" s="173"/>
      <c r="CM790" s="173"/>
      <c r="CN790" s="173"/>
      <c r="CO790" s="173"/>
      <c r="CP790" s="173"/>
      <c r="CQ790" s="173"/>
      <c r="CR790" s="173"/>
      <c r="CS790" s="173"/>
    </row>
    <row r="791" hidden="1">
      <c r="A791" s="173" t="str">
        <f t="shared" ref="A791:A792" si="21">A$790</f>
        <v>diagnostic target presence</v>
      </c>
      <c r="B791" s="179" t="s">
        <v>2890</v>
      </c>
      <c r="C791" s="224" t="s">
        <v>2891</v>
      </c>
      <c r="D791" s="70" t="s">
        <v>2892</v>
      </c>
      <c r="E791" s="179" t="s">
        <v>2893</v>
      </c>
      <c r="F791" s="168"/>
      <c r="G791" s="168"/>
      <c r="H791" s="168" t="s">
        <v>25</v>
      </c>
      <c r="I791" s="168" t="s">
        <v>25</v>
      </c>
      <c r="J791" s="168" t="s">
        <v>25</v>
      </c>
      <c r="K791" s="163" t="str">
        <f>VLOOKUP(C791,'Term Reference Guide'!$C:$C,1,false)</f>
        <v>GENEPIO:0100987</v>
      </c>
      <c r="L791" s="173"/>
      <c r="M791" s="173"/>
      <c r="N791" s="173"/>
      <c r="O791" s="173"/>
      <c r="P791" s="173"/>
      <c r="Q791" s="173"/>
      <c r="R791" s="173"/>
      <c r="S791" s="173"/>
      <c r="T791" s="173"/>
      <c r="U791" s="173"/>
      <c r="V791" s="173"/>
      <c r="W791" s="173"/>
      <c r="X791" s="173"/>
      <c r="Y791" s="173"/>
      <c r="Z791" s="173"/>
      <c r="AA791" s="173"/>
      <c r="AB791" s="173"/>
      <c r="AC791" s="173"/>
      <c r="AD791" s="173"/>
      <c r="AE791" s="173"/>
      <c r="AF791" s="173"/>
      <c r="AG791" s="173"/>
      <c r="AH791" s="173"/>
      <c r="AI791" s="173"/>
      <c r="AJ791" s="173"/>
      <c r="AK791" s="173"/>
      <c r="AL791" s="173"/>
      <c r="AM791" s="173"/>
      <c r="AN791" s="173"/>
      <c r="AO791" s="173"/>
      <c r="AP791" s="173"/>
      <c r="AQ791" s="173"/>
      <c r="AR791" s="173"/>
      <c r="AS791" s="173"/>
      <c r="AT791" s="173"/>
      <c r="AU791" s="173"/>
      <c r="AV791" s="173"/>
      <c r="AW791" s="173"/>
      <c r="AX791" s="173"/>
      <c r="AY791" s="173"/>
      <c r="AZ791" s="173"/>
      <c r="BA791" s="173"/>
      <c r="BB791" s="173"/>
      <c r="BC791" s="173"/>
      <c r="BD791" s="173"/>
      <c r="BE791" s="173"/>
      <c r="BF791" s="173"/>
      <c r="BG791" s="173"/>
      <c r="BH791" s="173"/>
      <c r="BI791" s="173"/>
      <c r="BJ791" s="173"/>
      <c r="BK791" s="173"/>
      <c r="BL791" s="173"/>
      <c r="BM791" s="173"/>
      <c r="BN791" s="173"/>
      <c r="BO791" s="173"/>
      <c r="BP791" s="173"/>
      <c r="BQ791" s="173"/>
      <c r="BR791" s="173"/>
      <c r="BS791" s="173"/>
      <c r="BT791" s="173"/>
      <c r="BU791" s="173"/>
      <c r="BV791" s="173"/>
      <c r="BW791" s="173"/>
      <c r="BX791" s="173"/>
      <c r="BY791" s="173"/>
      <c r="BZ791" s="173"/>
      <c r="CA791" s="173"/>
      <c r="CB791" s="173"/>
      <c r="CC791" s="173"/>
      <c r="CD791" s="173"/>
      <c r="CE791" s="173"/>
      <c r="CF791" s="173"/>
      <c r="CG791" s="173"/>
      <c r="CH791" s="173"/>
      <c r="CI791" s="173"/>
      <c r="CJ791" s="173"/>
      <c r="CK791" s="173"/>
      <c r="CL791" s="173"/>
      <c r="CM791" s="173"/>
      <c r="CN791" s="173"/>
      <c r="CO791" s="173"/>
      <c r="CP791" s="173"/>
      <c r="CQ791" s="173"/>
      <c r="CR791" s="173"/>
      <c r="CS791" s="173"/>
    </row>
    <row r="792" hidden="1">
      <c r="A792" s="173" t="str">
        <f t="shared" si="21"/>
        <v>diagnostic target presence</v>
      </c>
      <c r="B792" s="179" t="s">
        <v>2894</v>
      </c>
      <c r="C792" s="224" t="s">
        <v>2895</v>
      </c>
      <c r="D792" s="70" t="s">
        <v>2896</v>
      </c>
      <c r="E792" s="179" t="s">
        <v>2897</v>
      </c>
      <c r="F792" s="168"/>
      <c r="G792" s="168"/>
      <c r="H792" s="168" t="s">
        <v>25</v>
      </c>
      <c r="I792" s="168" t="s">
        <v>25</v>
      </c>
      <c r="J792" s="168" t="s">
        <v>25</v>
      </c>
      <c r="K792" s="163" t="str">
        <f>VLOOKUP(C792,'Term Reference Guide'!$C:$C,1,false)</f>
        <v>GENEPIO:0100988</v>
      </c>
      <c r="L792" s="173"/>
      <c r="M792" s="173"/>
      <c r="N792" s="173"/>
      <c r="O792" s="173"/>
      <c r="P792" s="173"/>
      <c r="Q792" s="173"/>
      <c r="R792" s="173"/>
      <c r="S792" s="173"/>
      <c r="T792" s="173"/>
      <c r="U792" s="173"/>
      <c r="V792" s="173"/>
      <c r="W792" s="173"/>
      <c r="X792" s="173"/>
      <c r="Y792" s="173"/>
      <c r="Z792" s="173"/>
      <c r="AA792" s="173"/>
      <c r="AB792" s="173"/>
      <c r="AC792" s="173"/>
      <c r="AD792" s="173"/>
      <c r="AE792" s="173"/>
      <c r="AF792" s="173"/>
      <c r="AG792" s="173"/>
      <c r="AH792" s="173"/>
      <c r="AI792" s="173"/>
      <c r="AJ792" s="173"/>
      <c r="AK792" s="173"/>
      <c r="AL792" s="173"/>
      <c r="AM792" s="173"/>
      <c r="AN792" s="173"/>
      <c r="AO792" s="173"/>
      <c r="AP792" s="173"/>
      <c r="AQ792" s="173"/>
      <c r="AR792" s="173"/>
      <c r="AS792" s="173"/>
      <c r="AT792" s="173"/>
      <c r="AU792" s="173"/>
      <c r="AV792" s="173"/>
      <c r="AW792" s="173"/>
      <c r="AX792" s="173"/>
      <c r="AY792" s="173"/>
      <c r="AZ792" s="173"/>
      <c r="BA792" s="173"/>
      <c r="BB792" s="173"/>
      <c r="BC792" s="173"/>
      <c r="BD792" s="173"/>
      <c r="BE792" s="173"/>
      <c r="BF792" s="173"/>
      <c r="BG792" s="173"/>
      <c r="BH792" s="173"/>
      <c r="BI792" s="173"/>
      <c r="BJ792" s="173"/>
      <c r="BK792" s="173"/>
      <c r="BL792" s="173"/>
      <c r="BM792" s="173"/>
      <c r="BN792" s="173"/>
      <c r="BO792" s="173"/>
      <c r="BP792" s="173"/>
      <c r="BQ792" s="173"/>
      <c r="BR792" s="173"/>
      <c r="BS792" s="173"/>
      <c r="BT792" s="173"/>
      <c r="BU792" s="173"/>
      <c r="BV792" s="173"/>
      <c r="BW792" s="173"/>
      <c r="BX792" s="173"/>
      <c r="BY792" s="173"/>
      <c r="BZ792" s="173"/>
      <c r="CA792" s="173"/>
      <c r="CB792" s="173"/>
      <c r="CC792" s="173"/>
      <c r="CD792" s="173"/>
      <c r="CE792" s="173"/>
      <c r="CF792" s="173"/>
      <c r="CG792" s="173"/>
      <c r="CH792" s="173"/>
      <c r="CI792" s="173"/>
      <c r="CJ792" s="173"/>
      <c r="CK792" s="173"/>
      <c r="CL792" s="173"/>
      <c r="CM792" s="173"/>
      <c r="CN792" s="173"/>
      <c r="CO792" s="173"/>
      <c r="CP792" s="173"/>
      <c r="CQ792" s="173"/>
      <c r="CR792" s="173"/>
      <c r="CS792" s="173"/>
    </row>
    <row r="793">
      <c r="A793" s="41"/>
      <c r="B793" s="41"/>
      <c r="C793" s="41"/>
      <c r="D793" s="45"/>
      <c r="E793" s="41"/>
      <c r="F793" s="41"/>
      <c r="G793" s="41"/>
      <c r="H793" s="41"/>
      <c r="I793" s="41"/>
      <c r="J793" s="45"/>
      <c r="K793" s="163" t="str">
        <f>VLOOKUP(C793,'Term Reference Guide'!$C:$C,1,false)</f>
        <v>#N/A</v>
      </c>
      <c r="L793" s="41"/>
      <c r="M793" s="41"/>
      <c r="N793" s="41"/>
      <c r="O793" s="41"/>
      <c r="P793" s="41"/>
      <c r="Q793" s="41"/>
      <c r="R793" s="41"/>
      <c r="S793" s="41"/>
      <c r="T793" s="41"/>
      <c r="U793" s="41"/>
      <c r="V793" s="41"/>
      <c r="W793" s="41"/>
      <c r="X793" s="41"/>
      <c r="Y793" s="41"/>
      <c r="Z793" s="41"/>
      <c r="AA793" s="41"/>
      <c r="AB793" s="41"/>
      <c r="AC793" s="173"/>
      <c r="AD793" s="173"/>
      <c r="AE793" s="173"/>
      <c r="AF793" s="173"/>
      <c r="AG793" s="173"/>
      <c r="AH793" s="173"/>
      <c r="AI793" s="173"/>
      <c r="AJ793" s="173"/>
      <c r="AK793" s="173"/>
      <c r="AL793" s="173"/>
      <c r="AM793" s="173"/>
      <c r="AN793" s="173"/>
      <c r="AO793" s="173"/>
      <c r="AP793" s="173"/>
      <c r="AQ793" s="173"/>
      <c r="AR793" s="173"/>
      <c r="AS793" s="173"/>
      <c r="AT793" s="173"/>
      <c r="AU793" s="173"/>
      <c r="AV793" s="173"/>
      <c r="AW793" s="173"/>
      <c r="AX793" s="173"/>
      <c r="AY793" s="173"/>
      <c r="AZ793" s="173"/>
      <c r="BA793" s="173"/>
      <c r="BB793" s="173"/>
      <c r="BC793" s="173"/>
      <c r="BD793" s="173"/>
      <c r="BE793" s="173"/>
      <c r="BF793" s="173"/>
      <c r="BG793" s="173"/>
      <c r="BH793" s="173"/>
      <c r="BI793" s="173"/>
      <c r="BJ793" s="173"/>
      <c r="BK793" s="173"/>
      <c r="BL793" s="173"/>
      <c r="BM793" s="173"/>
      <c r="BN793" s="173"/>
      <c r="BO793" s="173"/>
      <c r="BP793" s="173"/>
      <c r="BQ793" s="173"/>
      <c r="BR793" s="173"/>
      <c r="BS793" s="173"/>
      <c r="BT793" s="173"/>
      <c r="BU793" s="173"/>
      <c r="BV793" s="173"/>
      <c r="BW793" s="173"/>
      <c r="BX793" s="173"/>
      <c r="BY793" s="173"/>
      <c r="BZ793" s="173"/>
      <c r="CA793" s="173"/>
      <c r="CB793" s="173"/>
      <c r="CC793" s="173"/>
      <c r="CD793" s="173"/>
      <c r="CE793" s="173"/>
      <c r="CF793" s="173"/>
      <c r="CG793" s="173"/>
      <c r="CH793" s="173"/>
      <c r="CI793" s="173"/>
      <c r="CJ793" s="173"/>
      <c r="CK793" s="173"/>
      <c r="CL793" s="173"/>
      <c r="CM793" s="173"/>
      <c r="CN793" s="173"/>
      <c r="CO793" s="173"/>
      <c r="CP793" s="173"/>
      <c r="CQ793" s="173"/>
      <c r="CR793" s="173"/>
      <c r="CS793" s="173"/>
    </row>
    <row r="794">
      <c r="A794" s="200" t="s">
        <v>1040</v>
      </c>
      <c r="B794" s="201"/>
      <c r="C794" s="201"/>
      <c r="D794" s="202"/>
      <c r="E794" s="201"/>
      <c r="F794" s="201"/>
      <c r="G794" s="201"/>
      <c r="H794" s="216"/>
      <c r="I794" s="216"/>
      <c r="J794" s="217"/>
      <c r="K794" s="163" t="str">
        <f>VLOOKUP(C794,'Term Reference Guide'!$C:$C,1,false)</f>
        <v>#N/A</v>
      </c>
      <c r="L794" s="218"/>
      <c r="M794" s="218"/>
      <c r="N794" s="218"/>
      <c r="O794" s="218"/>
      <c r="P794" s="218"/>
      <c r="Q794" s="218"/>
      <c r="R794" s="218"/>
      <c r="S794" s="218"/>
      <c r="T794" s="218"/>
      <c r="U794" s="218"/>
      <c r="V794" s="218"/>
      <c r="W794" s="218"/>
      <c r="X794" s="218"/>
      <c r="Y794" s="173"/>
      <c r="Z794" s="173"/>
      <c r="AA794" s="173"/>
      <c r="AB794" s="173"/>
      <c r="AC794" s="173"/>
      <c r="AD794" s="173"/>
      <c r="AE794" s="173"/>
      <c r="AF794" s="173"/>
      <c r="AG794" s="173"/>
      <c r="AH794" s="173"/>
      <c r="AI794" s="173"/>
      <c r="AJ794" s="173"/>
      <c r="AK794" s="173"/>
      <c r="AL794" s="173"/>
      <c r="AM794" s="173"/>
      <c r="AN794" s="173"/>
      <c r="AO794" s="173"/>
      <c r="AP794" s="173"/>
      <c r="AQ794" s="173"/>
      <c r="AR794" s="173"/>
      <c r="AS794" s="173"/>
      <c r="AT794" s="173"/>
      <c r="AU794" s="173"/>
      <c r="AV794" s="173"/>
      <c r="AW794" s="173"/>
      <c r="AX794" s="173"/>
      <c r="AY794" s="173"/>
      <c r="AZ794" s="173"/>
      <c r="BA794" s="173"/>
      <c r="BB794" s="173"/>
      <c r="BC794" s="173"/>
      <c r="BD794" s="173"/>
      <c r="BE794" s="173"/>
      <c r="BF794" s="173"/>
      <c r="BG794" s="173"/>
      <c r="BH794" s="173"/>
      <c r="BI794" s="173"/>
      <c r="BJ794" s="173"/>
      <c r="BK794" s="173"/>
      <c r="BL794" s="173"/>
      <c r="BM794" s="173"/>
      <c r="BN794" s="173"/>
      <c r="BO794" s="173"/>
      <c r="BP794" s="173"/>
      <c r="BQ794" s="173"/>
      <c r="BR794" s="173"/>
      <c r="BS794" s="173"/>
      <c r="BT794" s="173"/>
      <c r="BU794" s="173"/>
      <c r="BV794" s="173"/>
      <c r="BW794" s="173"/>
      <c r="BX794" s="173"/>
      <c r="BY794" s="173"/>
      <c r="BZ794" s="173"/>
      <c r="CA794" s="173"/>
      <c r="CB794" s="173"/>
      <c r="CC794" s="173"/>
      <c r="CD794" s="173"/>
      <c r="CE794" s="173"/>
      <c r="CF794" s="173"/>
      <c r="CG794" s="173"/>
      <c r="CH794" s="173"/>
      <c r="CI794" s="173"/>
      <c r="CJ794" s="173"/>
      <c r="CK794" s="173"/>
      <c r="CL794" s="173"/>
      <c r="CM794" s="173"/>
      <c r="CN794" s="173"/>
      <c r="CO794" s="173"/>
      <c r="CP794" s="173"/>
      <c r="CQ794" s="173"/>
      <c r="CR794" s="173"/>
      <c r="CS794" s="173"/>
    </row>
    <row r="795">
      <c r="A795" s="173" t="str">
        <f t="shared" ref="A795:A801" si="22">A$794</f>
        <v>diagnostic measurement unit</v>
      </c>
      <c r="B795" s="179" t="s">
        <v>2453</v>
      </c>
      <c r="C795" s="179" t="s">
        <v>2367</v>
      </c>
      <c r="D795" s="70" t="s">
        <v>2454</v>
      </c>
      <c r="E795" s="173"/>
      <c r="F795" s="168"/>
      <c r="G795" s="168"/>
      <c r="H795" s="168" t="s">
        <v>25</v>
      </c>
      <c r="I795" s="168" t="s">
        <v>25</v>
      </c>
      <c r="J795" s="168" t="s">
        <v>25</v>
      </c>
      <c r="K795" s="163" t="str">
        <f>VLOOKUP(C795,'Term Reference Guide'!$C:$C,1,false)</f>
        <v>#N/A</v>
      </c>
      <c r="L795" s="173"/>
      <c r="M795" s="173"/>
      <c r="N795" s="173"/>
      <c r="O795" s="173"/>
      <c r="P795" s="173"/>
      <c r="Q795" s="173"/>
      <c r="R795" s="173"/>
      <c r="S795" s="173"/>
      <c r="T795" s="173"/>
      <c r="U795" s="173"/>
      <c r="V795" s="173"/>
      <c r="W795" s="173"/>
      <c r="X795" s="173"/>
      <c r="Y795" s="173"/>
      <c r="Z795" s="173"/>
      <c r="AA795" s="173"/>
      <c r="AB795" s="173"/>
      <c r="AC795" s="173"/>
      <c r="AD795" s="173"/>
      <c r="AE795" s="173"/>
      <c r="AF795" s="173"/>
      <c r="AG795" s="173"/>
      <c r="AH795" s="173"/>
      <c r="AI795" s="173"/>
      <c r="AJ795" s="173"/>
      <c r="AK795" s="173"/>
      <c r="AL795" s="173"/>
      <c r="AM795" s="173"/>
      <c r="AN795" s="173"/>
      <c r="AO795" s="173"/>
      <c r="AP795" s="173"/>
      <c r="AQ795" s="173"/>
      <c r="AR795" s="173"/>
      <c r="AS795" s="173"/>
      <c r="AT795" s="173"/>
      <c r="AU795" s="173"/>
      <c r="AV795" s="173"/>
      <c r="AW795" s="173"/>
      <c r="AX795" s="173"/>
      <c r="AY795" s="173"/>
      <c r="AZ795" s="173"/>
      <c r="BA795" s="173"/>
      <c r="BB795" s="173"/>
      <c r="BC795" s="173"/>
      <c r="BD795" s="173"/>
      <c r="BE795" s="173"/>
      <c r="BF795" s="173"/>
      <c r="BG795" s="173"/>
      <c r="BH795" s="173"/>
      <c r="BI795" s="173"/>
      <c r="BJ795" s="173"/>
      <c r="BK795" s="173"/>
      <c r="BL795" s="173"/>
      <c r="BM795" s="173"/>
      <c r="BN795" s="173"/>
      <c r="BO795" s="173"/>
      <c r="BP795" s="173"/>
      <c r="BQ795" s="173"/>
      <c r="BR795" s="173"/>
      <c r="BS795" s="173"/>
      <c r="BT795" s="173"/>
      <c r="BU795" s="173"/>
      <c r="BV795" s="173"/>
      <c r="BW795" s="173"/>
      <c r="BX795" s="173"/>
      <c r="BY795" s="173"/>
      <c r="BZ795" s="173"/>
      <c r="CA795" s="173"/>
      <c r="CB795" s="173"/>
      <c r="CC795" s="173"/>
      <c r="CD795" s="173"/>
      <c r="CE795" s="173"/>
      <c r="CF795" s="173"/>
      <c r="CG795" s="173"/>
      <c r="CH795" s="173"/>
      <c r="CI795" s="173"/>
      <c r="CJ795" s="173"/>
      <c r="CK795" s="173"/>
      <c r="CL795" s="173"/>
      <c r="CM795" s="173"/>
      <c r="CN795" s="173"/>
      <c r="CO795" s="173"/>
      <c r="CP795" s="173"/>
      <c r="CQ795" s="173"/>
      <c r="CR795" s="173"/>
      <c r="CS795" s="173"/>
    </row>
    <row r="796" hidden="1">
      <c r="A796" s="173" t="str">
        <f t="shared" si="22"/>
        <v>diagnostic measurement unit</v>
      </c>
      <c r="B796" s="179" t="s">
        <v>608</v>
      </c>
      <c r="C796" s="179" t="s">
        <v>2898</v>
      </c>
      <c r="D796" s="70" t="s">
        <v>2899</v>
      </c>
      <c r="E796" s="173"/>
      <c r="F796" s="168"/>
      <c r="G796" s="168"/>
      <c r="H796" s="168" t="s">
        <v>25</v>
      </c>
      <c r="I796" s="168" t="s">
        <v>25</v>
      </c>
      <c r="J796" s="168" t="s">
        <v>25</v>
      </c>
      <c r="K796" s="163" t="str">
        <f>VLOOKUP(C796,'Term Reference Guide'!$C:$C,1,false)</f>
        <v>GENEPIO:0100657</v>
      </c>
      <c r="L796" s="173"/>
      <c r="M796" s="173"/>
      <c r="N796" s="173"/>
      <c r="O796" s="173"/>
      <c r="P796" s="173"/>
      <c r="Q796" s="173"/>
      <c r="R796" s="173"/>
      <c r="S796" s="173"/>
      <c r="T796" s="173"/>
      <c r="U796" s="173"/>
      <c r="V796" s="173"/>
      <c r="W796" s="173"/>
      <c r="X796" s="173"/>
      <c r="Y796" s="173"/>
      <c r="Z796" s="173"/>
      <c r="AA796" s="173"/>
      <c r="AB796" s="173"/>
      <c r="AC796" s="173"/>
      <c r="AD796" s="173"/>
      <c r="AE796" s="173"/>
      <c r="AF796" s="173"/>
      <c r="AG796" s="173"/>
      <c r="AH796" s="173"/>
      <c r="AI796" s="173"/>
      <c r="AJ796" s="173"/>
      <c r="AK796" s="173"/>
      <c r="AL796" s="173"/>
      <c r="AM796" s="173"/>
      <c r="AN796" s="173"/>
      <c r="AO796" s="173"/>
      <c r="AP796" s="173"/>
      <c r="AQ796" s="173"/>
      <c r="AR796" s="173"/>
      <c r="AS796" s="173"/>
      <c r="AT796" s="173"/>
      <c r="AU796" s="173"/>
      <c r="AV796" s="173"/>
      <c r="AW796" s="173"/>
      <c r="AX796" s="173"/>
      <c r="AY796" s="173"/>
      <c r="AZ796" s="173"/>
      <c r="BA796" s="173"/>
      <c r="BB796" s="173"/>
      <c r="BC796" s="173"/>
      <c r="BD796" s="173"/>
      <c r="BE796" s="173"/>
      <c r="BF796" s="173"/>
      <c r="BG796" s="173"/>
      <c r="BH796" s="173"/>
      <c r="BI796" s="173"/>
      <c r="BJ796" s="173"/>
      <c r="BK796" s="173"/>
      <c r="BL796" s="173"/>
      <c r="BM796" s="173"/>
      <c r="BN796" s="173"/>
      <c r="BO796" s="173"/>
      <c r="BP796" s="173"/>
      <c r="BQ796" s="173"/>
      <c r="BR796" s="173"/>
      <c r="BS796" s="173"/>
      <c r="BT796" s="173"/>
      <c r="BU796" s="173"/>
      <c r="BV796" s="173"/>
      <c r="BW796" s="173"/>
      <c r="BX796" s="173"/>
      <c r="BY796" s="173"/>
      <c r="BZ796" s="173"/>
      <c r="CA796" s="173"/>
      <c r="CB796" s="173"/>
      <c r="CC796" s="173"/>
      <c r="CD796" s="173"/>
      <c r="CE796" s="173"/>
      <c r="CF796" s="173"/>
      <c r="CG796" s="173"/>
      <c r="CH796" s="173"/>
      <c r="CI796" s="173"/>
      <c r="CJ796" s="173"/>
      <c r="CK796" s="173"/>
      <c r="CL796" s="173"/>
      <c r="CM796" s="173"/>
      <c r="CN796" s="173"/>
      <c r="CO796" s="173"/>
      <c r="CP796" s="173"/>
      <c r="CQ796" s="173"/>
      <c r="CR796" s="173"/>
      <c r="CS796" s="173"/>
    </row>
    <row r="797" hidden="1">
      <c r="A797" s="173" t="str">
        <f t="shared" si="22"/>
        <v>diagnostic measurement unit</v>
      </c>
      <c r="B797" s="179" t="s">
        <v>2465</v>
      </c>
      <c r="C797" s="179" t="s">
        <v>2466</v>
      </c>
      <c r="D797" s="70" t="s">
        <v>2467</v>
      </c>
      <c r="E797" s="173"/>
      <c r="F797" s="168"/>
      <c r="G797" s="168"/>
      <c r="H797" s="168" t="s">
        <v>25</v>
      </c>
      <c r="I797" s="168" t="s">
        <v>25</v>
      </c>
      <c r="J797" s="168" t="s">
        <v>25</v>
      </c>
      <c r="K797" s="163" t="str">
        <f>VLOOKUP(C797,'Term Reference Guide'!$C:$C,1,false)</f>
        <v>UO:0000213</v>
      </c>
      <c r="L797" s="173"/>
      <c r="M797" s="173"/>
      <c r="N797" s="173"/>
      <c r="O797" s="173"/>
      <c r="P797" s="173"/>
      <c r="Q797" s="173"/>
      <c r="R797" s="173"/>
      <c r="S797" s="173"/>
      <c r="T797" s="173"/>
      <c r="U797" s="173"/>
      <c r="V797" s="173"/>
      <c r="W797" s="173"/>
      <c r="X797" s="173"/>
      <c r="Y797" s="173"/>
      <c r="Z797" s="173"/>
      <c r="AA797" s="173"/>
      <c r="AB797" s="173"/>
      <c r="AC797" s="173"/>
      <c r="AD797" s="173"/>
      <c r="AE797" s="173"/>
      <c r="AF797" s="173"/>
      <c r="AG797" s="173"/>
      <c r="AH797" s="173"/>
      <c r="AI797" s="173"/>
      <c r="AJ797" s="173"/>
      <c r="AK797" s="173"/>
      <c r="AL797" s="173"/>
      <c r="AM797" s="173"/>
      <c r="AN797" s="173"/>
      <c r="AO797" s="173"/>
      <c r="AP797" s="173"/>
      <c r="AQ797" s="173"/>
      <c r="AR797" s="173"/>
      <c r="AS797" s="173"/>
      <c r="AT797" s="173"/>
      <c r="AU797" s="173"/>
      <c r="AV797" s="173"/>
      <c r="AW797" s="173"/>
      <c r="AX797" s="173"/>
      <c r="AY797" s="173"/>
      <c r="AZ797" s="173"/>
      <c r="BA797" s="173"/>
      <c r="BB797" s="173"/>
      <c r="BC797" s="173"/>
      <c r="BD797" s="173"/>
      <c r="BE797" s="173"/>
      <c r="BF797" s="173"/>
      <c r="BG797" s="173"/>
      <c r="BH797" s="173"/>
      <c r="BI797" s="173"/>
      <c r="BJ797" s="173"/>
      <c r="BK797" s="173"/>
      <c r="BL797" s="173"/>
      <c r="BM797" s="173"/>
      <c r="BN797" s="173"/>
      <c r="BO797" s="173"/>
      <c r="BP797" s="173"/>
      <c r="BQ797" s="173"/>
      <c r="BR797" s="173"/>
      <c r="BS797" s="173"/>
      <c r="BT797" s="173"/>
      <c r="BU797" s="173"/>
      <c r="BV797" s="173"/>
      <c r="BW797" s="173"/>
      <c r="BX797" s="173"/>
      <c r="BY797" s="173"/>
      <c r="BZ797" s="173"/>
      <c r="CA797" s="173"/>
      <c r="CB797" s="173"/>
      <c r="CC797" s="173"/>
      <c r="CD797" s="173"/>
      <c r="CE797" s="173"/>
      <c r="CF797" s="173"/>
      <c r="CG797" s="173"/>
      <c r="CH797" s="173"/>
      <c r="CI797" s="173"/>
      <c r="CJ797" s="173"/>
      <c r="CK797" s="173"/>
      <c r="CL797" s="173"/>
      <c r="CM797" s="173"/>
      <c r="CN797" s="173"/>
      <c r="CO797" s="173"/>
      <c r="CP797" s="173"/>
      <c r="CQ797" s="173"/>
      <c r="CR797" s="173"/>
      <c r="CS797" s="173"/>
    </row>
    <row r="798">
      <c r="A798" s="173" t="str">
        <f t="shared" si="22"/>
        <v>diagnostic measurement unit</v>
      </c>
      <c r="B798" s="179" t="s">
        <v>2468</v>
      </c>
      <c r="C798" s="179" t="s">
        <v>2367</v>
      </c>
      <c r="D798" s="70" t="s">
        <v>2469</v>
      </c>
      <c r="E798" s="173"/>
      <c r="F798" s="168"/>
      <c r="G798" s="168"/>
      <c r="H798" s="168" t="s">
        <v>25</v>
      </c>
      <c r="I798" s="168" t="s">
        <v>25</v>
      </c>
      <c r="J798" s="168" t="s">
        <v>25</v>
      </c>
      <c r="K798" s="163" t="str">
        <f>VLOOKUP(C798,'Term Reference Guide'!$C:$C,1,false)</f>
        <v>#N/A</v>
      </c>
      <c r="L798" s="173"/>
      <c r="M798" s="173"/>
      <c r="N798" s="173"/>
      <c r="O798" s="173"/>
      <c r="P798" s="173"/>
      <c r="Q798" s="173"/>
      <c r="R798" s="173"/>
      <c r="S798" s="173"/>
      <c r="T798" s="173"/>
      <c r="U798" s="173"/>
      <c r="V798" s="173"/>
      <c r="W798" s="173"/>
      <c r="X798" s="173"/>
      <c r="Y798" s="173"/>
      <c r="Z798" s="173"/>
      <c r="AA798" s="173"/>
      <c r="AB798" s="173"/>
      <c r="AC798" s="173"/>
      <c r="AD798" s="173"/>
      <c r="AE798" s="173"/>
      <c r="AF798" s="173"/>
      <c r="AG798" s="173"/>
      <c r="AH798" s="173"/>
      <c r="AI798" s="173"/>
      <c r="AJ798" s="173"/>
      <c r="AK798" s="173"/>
      <c r="AL798" s="173"/>
      <c r="AM798" s="173"/>
      <c r="AN798" s="173"/>
      <c r="AO798" s="173"/>
      <c r="AP798" s="173"/>
      <c r="AQ798" s="173"/>
      <c r="AR798" s="173"/>
      <c r="AS798" s="173"/>
      <c r="AT798" s="173"/>
      <c r="AU798" s="173"/>
      <c r="AV798" s="173"/>
      <c r="AW798" s="173"/>
      <c r="AX798" s="173"/>
      <c r="AY798" s="173"/>
      <c r="AZ798" s="173"/>
      <c r="BA798" s="173"/>
      <c r="BB798" s="173"/>
      <c r="BC798" s="173"/>
      <c r="BD798" s="173"/>
      <c r="BE798" s="173"/>
      <c r="BF798" s="173"/>
      <c r="BG798" s="173"/>
      <c r="BH798" s="173"/>
      <c r="BI798" s="173"/>
      <c r="BJ798" s="173"/>
      <c r="BK798" s="173"/>
      <c r="BL798" s="173"/>
      <c r="BM798" s="173"/>
      <c r="BN798" s="173"/>
      <c r="BO798" s="173"/>
      <c r="BP798" s="173"/>
      <c r="BQ798" s="173"/>
      <c r="BR798" s="173"/>
      <c r="BS798" s="173"/>
      <c r="BT798" s="173"/>
      <c r="BU798" s="173"/>
      <c r="BV798" s="173"/>
      <c r="BW798" s="173"/>
      <c r="BX798" s="173"/>
      <c r="BY798" s="173"/>
      <c r="BZ798" s="173"/>
      <c r="CA798" s="173"/>
      <c r="CB798" s="173"/>
      <c r="CC798" s="173"/>
      <c r="CD798" s="173"/>
      <c r="CE798" s="173"/>
      <c r="CF798" s="173"/>
      <c r="CG798" s="173"/>
      <c r="CH798" s="173"/>
      <c r="CI798" s="173"/>
      <c r="CJ798" s="173"/>
      <c r="CK798" s="173"/>
      <c r="CL798" s="173"/>
      <c r="CM798" s="173"/>
      <c r="CN798" s="173"/>
      <c r="CO798" s="173"/>
      <c r="CP798" s="173"/>
      <c r="CQ798" s="173"/>
      <c r="CR798" s="173"/>
      <c r="CS798" s="173"/>
    </row>
    <row r="799">
      <c r="A799" s="173" t="str">
        <f t="shared" si="22"/>
        <v>diagnostic measurement unit</v>
      </c>
      <c r="B799" s="179" t="s">
        <v>2470</v>
      </c>
      <c r="C799" s="179" t="s">
        <v>2367</v>
      </c>
      <c r="D799" s="70" t="s">
        <v>2471</v>
      </c>
      <c r="E799" s="173"/>
      <c r="F799" s="168"/>
      <c r="G799" s="168"/>
      <c r="H799" s="168" t="s">
        <v>25</v>
      </c>
      <c r="I799" s="168" t="s">
        <v>25</v>
      </c>
      <c r="J799" s="168" t="s">
        <v>25</v>
      </c>
      <c r="K799" s="163" t="str">
        <f>VLOOKUP(C799,'Term Reference Guide'!$C:$C,1,false)</f>
        <v>#N/A</v>
      </c>
      <c r="L799" s="173"/>
      <c r="M799" s="173"/>
      <c r="N799" s="173"/>
      <c r="O799" s="173"/>
      <c r="P799" s="173"/>
      <c r="Q799" s="173"/>
      <c r="R799" s="173"/>
      <c r="S799" s="173"/>
      <c r="T799" s="173"/>
      <c r="U799" s="173"/>
      <c r="V799" s="173"/>
      <c r="W799" s="173"/>
      <c r="X799" s="173"/>
      <c r="Y799" s="173"/>
      <c r="Z799" s="173"/>
      <c r="AA799" s="173"/>
      <c r="AB799" s="173"/>
      <c r="AC799" s="173"/>
      <c r="AD799" s="173"/>
      <c r="AE799" s="173"/>
      <c r="AF799" s="173"/>
      <c r="AG799" s="173"/>
      <c r="AH799" s="173"/>
      <c r="AI799" s="173"/>
      <c r="AJ799" s="173"/>
      <c r="AK799" s="173"/>
      <c r="AL799" s="173"/>
      <c r="AM799" s="173"/>
      <c r="AN799" s="173"/>
      <c r="AO799" s="173"/>
      <c r="AP799" s="173"/>
      <c r="AQ799" s="173"/>
      <c r="AR799" s="173"/>
      <c r="AS799" s="173"/>
      <c r="AT799" s="173"/>
      <c r="AU799" s="173"/>
      <c r="AV799" s="173"/>
      <c r="AW799" s="173"/>
      <c r="AX799" s="173"/>
      <c r="AY799" s="173"/>
      <c r="AZ799" s="173"/>
      <c r="BA799" s="173"/>
      <c r="BB799" s="173"/>
      <c r="BC799" s="173"/>
      <c r="BD799" s="173"/>
      <c r="BE799" s="173"/>
      <c r="BF799" s="173"/>
      <c r="BG799" s="173"/>
      <c r="BH799" s="173"/>
      <c r="BI799" s="173"/>
      <c r="BJ799" s="173"/>
      <c r="BK799" s="173"/>
      <c r="BL799" s="173"/>
      <c r="BM799" s="173"/>
      <c r="BN799" s="173"/>
      <c r="BO799" s="173"/>
      <c r="BP799" s="173"/>
      <c r="BQ799" s="173"/>
      <c r="BR799" s="173"/>
      <c r="BS799" s="173"/>
      <c r="BT799" s="173"/>
      <c r="BU799" s="173"/>
      <c r="BV799" s="173"/>
      <c r="BW799" s="173"/>
      <c r="BX799" s="173"/>
      <c r="BY799" s="173"/>
      <c r="BZ799" s="173"/>
      <c r="CA799" s="173"/>
      <c r="CB799" s="173"/>
      <c r="CC799" s="173"/>
      <c r="CD799" s="173"/>
      <c r="CE799" s="173"/>
      <c r="CF799" s="173"/>
      <c r="CG799" s="173"/>
      <c r="CH799" s="173"/>
      <c r="CI799" s="173"/>
      <c r="CJ799" s="173"/>
      <c r="CK799" s="173"/>
      <c r="CL799" s="173"/>
      <c r="CM799" s="173"/>
      <c r="CN799" s="173"/>
      <c r="CO799" s="173"/>
      <c r="CP799" s="173"/>
      <c r="CQ799" s="173"/>
      <c r="CR799" s="173"/>
      <c r="CS799" s="173"/>
    </row>
    <row r="800">
      <c r="A800" s="173" t="str">
        <f t="shared" si="22"/>
        <v>diagnostic measurement unit</v>
      </c>
      <c r="B800" s="179" t="s">
        <v>622</v>
      </c>
      <c r="C800" s="179" t="s">
        <v>2367</v>
      </c>
      <c r="D800" s="70" t="s">
        <v>2472</v>
      </c>
      <c r="E800" s="173"/>
      <c r="F800" s="168"/>
      <c r="G800" s="168"/>
      <c r="H800" s="168" t="s">
        <v>25</v>
      </c>
      <c r="I800" s="168" t="s">
        <v>25</v>
      </c>
      <c r="J800" s="168" t="s">
        <v>25</v>
      </c>
      <c r="K800" s="163" t="str">
        <f>VLOOKUP(C800,'Term Reference Guide'!$C:$C,1,false)</f>
        <v>#N/A</v>
      </c>
      <c r="L800" s="173"/>
      <c r="M800" s="173"/>
      <c r="N800" s="173"/>
      <c r="O800" s="173"/>
      <c r="P800" s="173"/>
      <c r="Q800" s="173"/>
      <c r="R800" s="173"/>
      <c r="S800" s="173"/>
      <c r="T800" s="173"/>
      <c r="U800" s="173"/>
      <c r="V800" s="173"/>
      <c r="W800" s="173"/>
      <c r="X800" s="173"/>
      <c r="Y800" s="173"/>
      <c r="Z800" s="173"/>
      <c r="AA800" s="173"/>
      <c r="AB800" s="173"/>
      <c r="AC800" s="173"/>
      <c r="AD800" s="173"/>
      <c r="AE800" s="173"/>
      <c r="AF800" s="173"/>
      <c r="AG800" s="173"/>
      <c r="AH800" s="173"/>
      <c r="AI800" s="173"/>
      <c r="AJ800" s="173"/>
      <c r="AK800" s="173"/>
      <c r="AL800" s="173"/>
      <c r="AM800" s="173"/>
      <c r="AN800" s="173"/>
      <c r="AO800" s="173"/>
      <c r="AP800" s="173"/>
      <c r="AQ800" s="173"/>
      <c r="AR800" s="173"/>
      <c r="AS800" s="173"/>
      <c r="AT800" s="173"/>
      <c r="AU800" s="173"/>
      <c r="AV800" s="173"/>
      <c r="AW800" s="173"/>
      <c r="AX800" s="173"/>
      <c r="AY800" s="173"/>
      <c r="AZ800" s="173"/>
      <c r="BA800" s="173"/>
      <c r="BB800" s="173"/>
      <c r="BC800" s="173"/>
      <c r="BD800" s="173"/>
      <c r="BE800" s="173"/>
      <c r="BF800" s="173"/>
      <c r="BG800" s="173"/>
      <c r="BH800" s="173"/>
      <c r="BI800" s="173"/>
      <c r="BJ800" s="173"/>
      <c r="BK800" s="173"/>
      <c r="BL800" s="173"/>
      <c r="BM800" s="173"/>
      <c r="BN800" s="173"/>
      <c r="BO800" s="173"/>
      <c r="BP800" s="173"/>
      <c r="BQ800" s="173"/>
      <c r="BR800" s="173"/>
      <c r="BS800" s="173"/>
      <c r="BT800" s="173"/>
      <c r="BU800" s="173"/>
      <c r="BV800" s="173"/>
      <c r="BW800" s="173"/>
      <c r="BX800" s="173"/>
      <c r="BY800" s="173"/>
      <c r="BZ800" s="173"/>
      <c r="CA800" s="173"/>
      <c r="CB800" s="173"/>
      <c r="CC800" s="173"/>
      <c r="CD800" s="173"/>
      <c r="CE800" s="173"/>
      <c r="CF800" s="173"/>
      <c r="CG800" s="173"/>
      <c r="CH800" s="173"/>
      <c r="CI800" s="173"/>
      <c r="CJ800" s="173"/>
      <c r="CK800" s="173"/>
      <c r="CL800" s="173"/>
      <c r="CM800" s="173"/>
      <c r="CN800" s="173"/>
      <c r="CO800" s="173"/>
      <c r="CP800" s="173"/>
      <c r="CQ800" s="173"/>
      <c r="CR800" s="173"/>
      <c r="CS800" s="173"/>
    </row>
    <row r="801">
      <c r="A801" s="173" t="str">
        <f t="shared" si="22"/>
        <v>diagnostic measurement unit</v>
      </c>
      <c r="B801" s="179" t="s">
        <v>2473</v>
      </c>
      <c r="C801" s="179" t="s">
        <v>2367</v>
      </c>
      <c r="D801" s="70" t="s">
        <v>2474</v>
      </c>
      <c r="E801" s="173"/>
      <c r="F801" s="168"/>
      <c r="G801" s="168"/>
      <c r="H801" s="168" t="s">
        <v>25</v>
      </c>
      <c r="I801" s="168" t="s">
        <v>25</v>
      </c>
      <c r="J801" s="168" t="s">
        <v>25</v>
      </c>
      <c r="K801" s="163" t="str">
        <f>VLOOKUP(C801,'Term Reference Guide'!$C:$C,1,false)</f>
        <v>#N/A</v>
      </c>
      <c r="L801" s="173"/>
      <c r="M801" s="173"/>
      <c r="N801" s="173"/>
      <c r="O801" s="173"/>
      <c r="P801" s="173"/>
      <c r="Q801" s="173"/>
      <c r="R801" s="173"/>
      <c r="S801" s="173"/>
      <c r="T801" s="173"/>
      <c r="U801" s="173"/>
      <c r="V801" s="173"/>
      <c r="W801" s="173"/>
      <c r="X801" s="173"/>
      <c r="Y801" s="173"/>
      <c r="Z801" s="173"/>
      <c r="AA801" s="173"/>
      <c r="AB801" s="173"/>
      <c r="AC801" s="173"/>
      <c r="AD801" s="173"/>
      <c r="AE801" s="173"/>
      <c r="AF801" s="173"/>
      <c r="AG801" s="173"/>
      <c r="AH801" s="173"/>
      <c r="AI801" s="173"/>
      <c r="AJ801" s="173"/>
      <c r="AK801" s="173"/>
      <c r="AL801" s="173"/>
      <c r="AM801" s="173"/>
      <c r="AN801" s="173"/>
      <c r="AO801" s="173"/>
      <c r="AP801" s="173"/>
      <c r="AQ801" s="173"/>
      <c r="AR801" s="173"/>
      <c r="AS801" s="173"/>
      <c r="AT801" s="173"/>
      <c r="AU801" s="173"/>
      <c r="AV801" s="173"/>
      <c r="AW801" s="173"/>
      <c r="AX801" s="173"/>
      <c r="AY801" s="173"/>
      <c r="AZ801" s="173"/>
      <c r="BA801" s="173"/>
      <c r="BB801" s="173"/>
      <c r="BC801" s="173"/>
      <c r="BD801" s="173"/>
      <c r="BE801" s="173"/>
      <c r="BF801" s="173"/>
      <c r="BG801" s="173"/>
      <c r="BH801" s="173"/>
      <c r="BI801" s="173"/>
      <c r="BJ801" s="173"/>
      <c r="BK801" s="173"/>
      <c r="BL801" s="173"/>
      <c r="BM801" s="173"/>
      <c r="BN801" s="173"/>
      <c r="BO801" s="173"/>
      <c r="BP801" s="173"/>
      <c r="BQ801" s="173"/>
      <c r="BR801" s="173"/>
      <c r="BS801" s="173"/>
      <c r="BT801" s="173"/>
      <c r="BU801" s="173"/>
      <c r="BV801" s="173"/>
      <c r="BW801" s="173"/>
      <c r="BX801" s="173"/>
      <c r="BY801" s="173"/>
      <c r="BZ801" s="173"/>
      <c r="CA801" s="173"/>
      <c r="CB801" s="173"/>
      <c r="CC801" s="173"/>
      <c r="CD801" s="173"/>
      <c r="CE801" s="173"/>
      <c r="CF801" s="173"/>
      <c r="CG801" s="173"/>
      <c r="CH801" s="173"/>
      <c r="CI801" s="173"/>
      <c r="CJ801" s="173"/>
      <c r="CK801" s="173"/>
      <c r="CL801" s="173"/>
      <c r="CM801" s="173"/>
      <c r="CN801" s="173"/>
      <c r="CO801" s="173"/>
      <c r="CP801" s="173"/>
      <c r="CQ801" s="173"/>
      <c r="CR801" s="173"/>
      <c r="CS801" s="173"/>
    </row>
    <row r="802">
      <c r="A802" s="173"/>
      <c r="B802" s="173"/>
      <c r="C802" s="173"/>
      <c r="D802" s="141"/>
      <c r="E802" s="173"/>
      <c r="F802" s="173"/>
      <c r="G802" s="173"/>
      <c r="H802" s="173"/>
      <c r="I802" s="173"/>
      <c r="J802" s="141"/>
      <c r="K802" s="163" t="str">
        <f>VLOOKUP(C802,'Term Reference Guide'!$C:$C,1,false)</f>
        <v>#N/A</v>
      </c>
      <c r="L802" s="173"/>
      <c r="M802" s="173"/>
      <c r="N802" s="173"/>
      <c r="O802" s="173"/>
      <c r="P802" s="173"/>
      <c r="Q802" s="173"/>
      <c r="R802" s="173"/>
      <c r="S802" s="173"/>
      <c r="T802" s="173"/>
      <c r="U802" s="173"/>
      <c r="V802" s="173"/>
      <c r="W802" s="173"/>
      <c r="X802" s="173"/>
      <c r="Y802" s="173"/>
      <c r="Z802" s="173"/>
      <c r="AA802" s="173"/>
      <c r="AB802" s="173"/>
      <c r="AC802" s="173"/>
      <c r="AD802" s="173"/>
      <c r="AE802" s="173"/>
      <c r="AF802" s="173"/>
      <c r="AG802" s="173"/>
      <c r="AH802" s="173"/>
      <c r="AI802" s="173"/>
      <c r="AJ802" s="173"/>
      <c r="AK802" s="173"/>
      <c r="AL802" s="173"/>
      <c r="AM802" s="173"/>
      <c r="AN802" s="173"/>
      <c r="AO802" s="173"/>
      <c r="AP802" s="173"/>
      <c r="AQ802" s="173"/>
      <c r="AR802" s="173"/>
      <c r="AS802" s="173"/>
      <c r="AT802" s="173"/>
      <c r="AU802" s="173"/>
      <c r="AV802" s="173"/>
      <c r="AW802" s="173"/>
      <c r="AX802" s="173"/>
      <c r="AY802" s="173"/>
      <c r="AZ802" s="173"/>
      <c r="BA802" s="173"/>
      <c r="BB802" s="173"/>
      <c r="BC802" s="173"/>
      <c r="BD802" s="173"/>
      <c r="BE802" s="173"/>
      <c r="BF802" s="173"/>
      <c r="BG802" s="173"/>
      <c r="BH802" s="173"/>
      <c r="BI802" s="173"/>
      <c r="BJ802" s="173"/>
      <c r="BK802" s="173"/>
      <c r="BL802" s="173"/>
      <c r="BM802" s="173"/>
      <c r="BN802" s="173"/>
      <c r="BO802" s="173"/>
      <c r="BP802" s="173"/>
      <c r="BQ802" s="173"/>
      <c r="BR802" s="173"/>
      <c r="BS802" s="173"/>
      <c r="BT802" s="173"/>
      <c r="BU802" s="173"/>
      <c r="BV802" s="173"/>
      <c r="BW802" s="173"/>
      <c r="BX802" s="173"/>
      <c r="BY802" s="173"/>
      <c r="BZ802" s="173"/>
      <c r="CA802" s="173"/>
      <c r="CB802" s="173"/>
      <c r="CC802" s="173"/>
      <c r="CD802" s="173"/>
      <c r="CE802" s="173"/>
      <c r="CF802" s="173"/>
      <c r="CG802" s="173"/>
      <c r="CH802" s="173"/>
      <c r="CI802" s="173"/>
      <c r="CJ802" s="173"/>
      <c r="CK802" s="173"/>
      <c r="CL802" s="173"/>
      <c r="CM802" s="173"/>
      <c r="CN802" s="173"/>
      <c r="CO802" s="173"/>
      <c r="CP802" s="173"/>
      <c r="CQ802" s="173"/>
      <c r="CR802" s="173"/>
      <c r="CS802" s="173"/>
    </row>
    <row r="803">
      <c r="A803" s="200" t="s">
        <v>1045</v>
      </c>
      <c r="B803" s="201"/>
      <c r="C803" s="201"/>
      <c r="D803" s="202"/>
      <c r="E803" s="201"/>
      <c r="F803" s="201"/>
      <c r="G803" s="201"/>
      <c r="H803" s="216"/>
      <c r="I803" s="216"/>
      <c r="J803" s="217"/>
      <c r="K803" s="163" t="str">
        <f>VLOOKUP(C803,'Term Reference Guide'!$C:$C,1,false)</f>
        <v>#N/A</v>
      </c>
      <c r="L803" s="218"/>
      <c r="M803" s="218"/>
      <c r="N803" s="218"/>
      <c r="O803" s="218"/>
      <c r="P803" s="218"/>
      <c r="Q803" s="218"/>
      <c r="R803" s="218"/>
      <c r="S803" s="218"/>
      <c r="T803" s="218"/>
      <c r="U803" s="218"/>
      <c r="V803" s="218"/>
      <c r="W803" s="218"/>
      <c r="X803" s="218"/>
      <c r="Y803" s="173"/>
      <c r="Z803" s="173"/>
      <c r="AA803" s="173"/>
      <c r="AB803" s="173"/>
      <c r="AC803" s="173"/>
      <c r="AD803" s="173"/>
      <c r="AE803" s="173"/>
      <c r="AF803" s="173"/>
      <c r="AG803" s="173"/>
      <c r="AH803" s="173"/>
      <c r="AI803" s="173"/>
      <c r="AJ803" s="173"/>
      <c r="AK803" s="173"/>
      <c r="AL803" s="173"/>
      <c r="AM803" s="173"/>
      <c r="AN803" s="173"/>
      <c r="AO803" s="173"/>
      <c r="AP803" s="173"/>
      <c r="AQ803" s="173"/>
      <c r="AR803" s="173"/>
      <c r="AS803" s="173"/>
      <c r="AT803" s="173"/>
      <c r="AU803" s="173"/>
      <c r="AV803" s="173"/>
      <c r="AW803" s="173"/>
      <c r="AX803" s="173"/>
      <c r="AY803" s="173"/>
      <c r="AZ803" s="173"/>
      <c r="BA803" s="173"/>
      <c r="BB803" s="173"/>
      <c r="BC803" s="173"/>
      <c r="BD803" s="173"/>
      <c r="BE803" s="173"/>
      <c r="BF803" s="173"/>
      <c r="BG803" s="173"/>
      <c r="BH803" s="173"/>
      <c r="BI803" s="173"/>
      <c r="BJ803" s="173"/>
      <c r="BK803" s="173"/>
      <c r="BL803" s="173"/>
      <c r="BM803" s="173"/>
      <c r="BN803" s="173"/>
      <c r="BO803" s="173"/>
      <c r="BP803" s="173"/>
      <c r="BQ803" s="173"/>
      <c r="BR803" s="173"/>
      <c r="BS803" s="173"/>
      <c r="BT803" s="173"/>
      <c r="BU803" s="173"/>
      <c r="BV803" s="173"/>
      <c r="BW803" s="173"/>
      <c r="BX803" s="173"/>
      <c r="BY803" s="173"/>
      <c r="BZ803" s="173"/>
      <c r="CA803" s="173"/>
      <c r="CB803" s="173"/>
      <c r="CC803" s="173"/>
      <c r="CD803" s="173"/>
      <c r="CE803" s="173"/>
      <c r="CF803" s="173"/>
      <c r="CG803" s="173"/>
      <c r="CH803" s="173"/>
      <c r="CI803" s="173"/>
      <c r="CJ803" s="173"/>
      <c r="CK803" s="173"/>
      <c r="CL803" s="173"/>
      <c r="CM803" s="173"/>
      <c r="CN803" s="173"/>
      <c r="CO803" s="173"/>
      <c r="CP803" s="173"/>
      <c r="CQ803" s="173"/>
      <c r="CR803" s="173"/>
      <c r="CS803" s="173"/>
    </row>
    <row r="804" hidden="1">
      <c r="A804" s="173" t="str">
        <f t="shared" ref="A804:A806" si="23">A$803</f>
        <v>diagnostic measurement method</v>
      </c>
      <c r="B804" s="179" t="s">
        <v>2900</v>
      </c>
      <c r="C804" s="179" t="s">
        <v>2901</v>
      </c>
      <c r="D804" s="70" t="s">
        <v>2902</v>
      </c>
      <c r="E804" s="173"/>
      <c r="F804" s="168"/>
      <c r="G804" s="168"/>
      <c r="H804" s="168" t="s">
        <v>25</v>
      </c>
      <c r="I804" s="168" t="s">
        <v>25</v>
      </c>
      <c r="J804" s="168" t="s">
        <v>25</v>
      </c>
      <c r="K804" s="163" t="str">
        <f>VLOOKUP(C804,'Term Reference Guide'!$C:$C,1,false)</f>
        <v>OBI:0000893</v>
      </c>
      <c r="L804" s="173"/>
      <c r="M804" s="173"/>
      <c r="N804" s="173"/>
      <c r="O804" s="173"/>
      <c r="P804" s="173"/>
      <c r="Q804" s="173"/>
      <c r="R804" s="173"/>
      <c r="S804" s="173"/>
      <c r="T804" s="173"/>
      <c r="U804" s="173"/>
      <c r="V804" s="173"/>
      <c r="W804" s="173"/>
      <c r="X804" s="173"/>
      <c r="Y804" s="173"/>
      <c r="Z804" s="173"/>
      <c r="AA804" s="173"/>
      <c r="AB804" s="173"/>
      <c r="AC804" s="173"/>
      <c r="AD804" s="173"/>
      <c r="AE804" s="173"/>
      <c r="AF804" s="173"/>
      <c r="AG804" s="173"/>
      <c r="AH804" s="173"/>
      <c r="AI804" s="173"/>
      <c r="AJ804" s="173"/>
      <c r="AK804" s="173"/>
      <c r="AL804" s="173"/>
      <c r="AM804" s="173"/>
      <c r="AN804" s="173"/>
      <c r="AO804" s="173"/>
      <c r="AP804" s="173"/>
      <c r="AQ804" s="173"/>
      <c r="AR804" s="173"/>
      <c r="AS804" s="173"/>
      <c r="AT804" s="173"/>
      <c r="AU804" s="173"/>
      <c r="AV804" s="173"/>
      <c r="AW804" s="173"/>
      <c r="AX804" s="173"/>
      <c r="AY804" s="173"/>
      <c r="AZ804" s="173"/>
      <c r="BA804" s="173"/>
      <c r="BB804" s="173"/>
      <c r="BC804" s="173"/>
      <c r="BD804" s="173"/>
      <c r="BE804" s="173"/>
      <c r="BF804" s="173"/>
      <c r="BG804" s="173"/>
      <c r="BH804" s="173"/>
      <c r="BI804" s="173"/>
      <c r="BJ804" s="173"/>
      <c r="BK804" s="173"/>
      <c r="BL804" s="173"/>
      <c r="BM804" s="173"/>
      <c r="BN804" s="173"/>
      <c r="BO804" s="173"/>
      <c r="BP804" s="173"/>
      <c r="BQ804" s="173"/>
      <c r="BR804" s="173"/>
      <c r="BS804" s="173"/>
      <c r="BT804" s="173"/>
      <c r="BU804" s="173"/>
      <c r="BV804" s="173"/>
      <c r="BW804" s="173"/>
      <c r="BX804" s="173"/>
      <c r="BY804" s="173"/>
      <c r="BZ804" s="173"/>
      <c r="CA804" s="173"/>
      <c r="CB804" s="173"/>
      <c r="CC804" s="173"/>
      <c r="CD804" s="173"/>
      <c r="CE804" s="173"/>
      <c r="CF804" s="173"/>
      <c r="CG804" s="173"/>
      <c r="CH804" s="173"/>
      <c r="CI804" s="173"/>
      <c r="CJ804" s="173"/>
      <c r="CK804" s="173"/>
      <c r="CL804" s="173"/>
      <c r="CM804" s="173"/>
      <c r="CN804" s="173"/>
      <c r="CO804" s="173"/>
      <c r="CP804" s="173"/>
      <c r="CQ804" s="173"/>
      <c r="CR804" s="173"/>
      <c r="CS804" s="173"/>
    </row>
    <row r="805">
      <c r="A805" s="173" t="str">
        <f t="shared" si="23"/>
        <v>diagnostic measurement method</v>
      </c>
      <c r="B805" s="179" t="s">
        <v>2903</v>
      </c>
      <c r="C805" s="179" t="s">
        <v>2904</v>
      </c>
      <c r="D805" s="70" t="s">
        <v>2905</v>
      </c>
      <c r="E805" s="173"/>
      <c r="F805" s="168"/>
      <c r="G805" s="168"/>
      <c r="H805" s="168" t="s">
        <v>25</v>
      </c>
      <c r="I805" s="168" t="s">
        <v>25</v>
      </c>
      <c r="J805" s="168" t="s">
        <v>25</v>
      </c>
      <c r="K805" s="163" t="str">
        <f>VLOOKUP(C805,'Term Reference Guide'!$C:$C,1,false)</f>
        <v>#N/A</v>
      </c>
      <c r="L805" s="173"/>
      <c r="M805" s="173"/>
      <c r="N805" s="173"/>
      <c r="O805" s="173"/>
      <c r="P805" s="173"/>
      <c r="Q805" s="173"/>
      <c r="R805" s="173"/>
      <c r="S805" s="173"/>
      <c r="T805" s="173"/>
      <c r="U805" s="173"/>
      <c r="V805" s="173"/>
      <c r="W805" s="173"/>
      <c r="X805" s="173"/>
      <c r="Y805" s="173"/>
      <c r="Z805" s="173"/>
      <c r="AA805" s="173"/>
      <c r="AB805" s="173"/>
      <c r="AC805" s="173"/>
      <c r="AD805" s="173"/>
      <c r="AE805" s="173"/>
      <c r="AF805" s="173"/>
      <c r="AG805" s="173"/>
      <c r="AH805" s="173"/>
      <c r="AI805" s="173"/>
      <c r="AJ805" s="173"/>
      <c r="AK805" s="173"/>
      <c r="AL805" s="173"/>
      <c r="AM805" s="173"/>
      <c r="AN805" s="173"/>
      <c r="AO805" s="173"/>
      <c r="AP805" s="173"/>
      <c r="AQ805" s="173"/>
      <c r="AR805" s="173"/>
      <c r="AS805" s="173"/>
      <c r="AT805" s="173"/>
      <c r="AU805" s="173"/>
      <c r="AV805" s="173"/>
      <c r="AW805" s="173"/>
      <c r="AX805" s="173"/>
      <c r="AY805" s="173"/>
      <c r="AZ805" s="173"/>
      <c r="BA805" s="173"/>
      <c r="BB805" s="173"/>
      <c r="BC805" s="173"/>
      <c r="BD805" s="173"/>
      <c r="BE805" s="173"/>
      <c r="BF805" s="173"/>
      <c r="BG805" s="173"/>
      <c r="BH805" s="173"/>
      <c r="BI805" s="173"/>
      <c r="BJ805" s="173"/>
      <c r="BK805" s="173"/>
      <c r="BL805" s="173"/>
      <c r="BM805" s="173"/>
      <c r="BN805" s="173"/>
      <c r="BO805" s="173"/>
      <c r="BP805" s="173"/>
      <c r="BQ805" s="173"/>
      <c r="BR805" s="173"/>
      <c r="BS805" s="173"/>
      <c r="BT805" s="173"/>
      <c r="BU805" s="173"/>
      <c r="BV805" s="173"/>
      <c r="BW805" s="173"/>
      <c r="BX805" s="173"/>
      <c r="BY805" s="173"/>
      <c r="BZ805" s="173"/>
      <c r="CA805" s="173"/>
      <c r="CB805" s="173"/>
      <c r="CC805" s="173"/>
      <c r="CD805" s="173"/>
      <c r="CE805" s="173"/>
      <c r="CF805" s="173"/>
      <c r="CG805" s="173"/>
      <c r="CH805" s="173"/>
      <c r="CI805" s="173"/>
      <c r="CJ805" s="173"/>
      <c r="CK805" s="173"/>
      <c r="CL805" s="173"/>
      <c r="CM805" s="173"/>
      <c r="CN805" s="173"/>
      <c r="CO805" s="173"/>
      <c r="CP805" s="173"/>
      <c r="CQ805" s="173"/>
      <c r="CR805" s="173"/>
      <c r="CS805" s="173"/>
    </row>
    <row r="806">
      <c r="A806" s="173" t="str">
        <f t="shared" si="23"/>
        <v>diagnostic measurement method</v>
      </c>
      <c r="B806" s="179" t="s">
        <v>2906</v>
      </c>
      <c r="C806" s="179" t="s">
        <v>2904</v>
      </c>
      <c r="D806" s="70" t="s">
        <v>2907</v>
      </c>
      <c r="E806" s="173"/>
      <c r="F806" s="168"/>
      <c r="G806" s="168"/>
      <c r="H806" s="168" t="s">
        <v>25</v>
      </c>
      <c r="I806" s="168" t="s">
        <v>25</v>
      </c>
      <c r="J806" s="168" t="s">
        <v>25</v>
      </c>
      <c r="K806" s="163" t="str">
        <f>VLOOKUP(C806,'Term Reference Guide'!$C:$C,1,false)</f>
        <v>#N/A</v>
      </c>
      <c r="L806" s="173"/>
      <c r="M806" s="173"/>
      <c r="N806" s="173"/>
      <c r="O806" s="173"/>
      <c r="P806" s="173"/>
      <c r="Q806" s="173"/>
      <c r="R806" s="173"/>
      <c r="S806" s="173"/>
      <c r="T806" s="173"/>
      <c r="U806" s="173"/>
      <c r="V806" s="173"/>
      <c r="W806" s="173"/>
      <c r="X806" s="173"/>
      <c r="Y806" s="173"/>
      <c r="Z806" s="173"/>
      <c r="AA806" s="173"/>
      <c r="AB806" s="173"/>
      <c r="AC806" s="173"/>
      <c r="AD806" s="173"/>
      <c r="AE806" s="173"/>
      <c r="AF806" s="173"/>
      <c r="AG806" s="173"/>
      <c r="AH806" s="173"/>
      <c r="AI806" s="173"/>
      <c r="AJ806" s="173"/>
      <c r="AK806" s="173"/>
      <c r="AL806" s="173"/>
      <c r="AM806" s="173"/>
      <c r="AN806" s="173"/>
      <c r="AO806" s="173"/>
      <c r="AP806" s="173"/>
      <c r="AQ806" s="173"/>
      <c r="AR806" s="173"/>
      <c r="AS806" s="173"/>
      <c r="AT806" s="173"/>
      <c r="AU806" s="173"/>
      <c r="AV806" s="173"/>
      <c r="AW806" s="173"/>
      <c r="AX806" s="173"/>
      <c r="AY806" s="173"/>
      <c r="AZ806" s="173"/>
      <c r="BA806" s="173"/>
      <c r="BB806" s="173"/>
      <c r="BC806" s="173"/>
      <c r="BD806" s="173"/>
      <c r="BE806" s="173"/>
      <c r="BF806" s="173"/>
      <c r="BG806" s="173"/>
      <c r="BH806" s="173"/>
      <c r="BI806" s="173"/>
      <c r="BJ806" s="173"/>
      <c r="BK806" s="173"/>
      <c r="BL806" s="173"/>
      <c r="BM806" s="173"/>
      <c r="BN806" s="173"/>
      <c r="BO806" s="173"/>
      <c r="BP806" s="173"/>
      <c r="BQ806" s="173"/>
      <c r="BR806" s="173"/>
      <c r="BS806" s="173"/>
      <c r="BT806" s="173"/>
      <c r="BU806" s="173"/>
      <c r="BV806" s="173"/>
      <c r="BW806" s="173"/>
      <c r="BX806" s="173"/>
      <c r="BY806" s="173"/>
      <c r="BZ806" s="173"/>
      <c r="CA806" s="173"/>
      <c r="CB806" s="173"/>
      <c r="CC806" s="173"/>
      <c r="CD806" s="173"/>
      <c r="CE806" s="173"/>
      <c r="CF806" s="173"/>
      <c r="CG806" s="173"/>
      <c r="CH806" s="173"/>
      <c r="CI806" s="173"/>
      <c r="CJ806" s="173"/>
      <c r="CK806" s="173"/>
      <c r="CL806" s="173"/>
      <c r="CM806" s="173"/>
      <c r="CN806" s="173"/>
      <c r="CO806" s="173"/>
      <c r="CP806" s="173"/>
      <c r="CQ806" s="173"/>
      <c r="CR806" s="173"/>
      <c r="CS806" s="173"/>
    </row>
    <row r="807">
      <c r="A807" s="173"/>
      <c r="B807" s="173"/>
      <c r="C807" s="173"/>
      <c r="D807" s="141"/>
      <c r="E807" s="173"/>
      <c r="F807" s="173"/>
      <c r="G807" s="173"/>
      <c r="H807" s="173"/>
      <c r="I807" s="173"/>
      <c r="J807" s="141"/>
      <c r="K807" s="173"/>
      <c r="L807" s="173"/>
      <c r="M807" s="173"/>
      <c r="N807" s="173"/>
      <c r="O807" s="173"/>
      <c r="P807" s="173"/>
      <c r="Q807" s="173"/>
      <c r="R807" s="173"/>
      <c r="S807" s="173"/>
      <c r="T807" s="173"/>
      <c r="U807" s="173"/>
      <c r="V807" s="173"/>
      <c r="W807" s="173"/>
      <c r="X807" s="173"/>
      <c r="Y807" s="173"/>
      <c r="Z807" s="173"/>
      <c r="AA807" s="173"/>
      <c r="AB807" s="173"/>
      <c r="AC807" s="173"/>
      <c r="AD807" s="173"/>
      <c r="AE807" s="173"/>
      <c r="AF807" s="173"/>
      <c r="AG807" s="173"/>
      <c r="AH807" s="173"/>
      <c r="AI807" s="173"/>
      <c r="AJ807" s="173"/>
      <c r="AK807" s="173"/>
      <c r="AL807" s="173"/>
      <c r="AM807" s="173"/>
      <c r="AN807" s="173"/>
      <c r="AO807" s="173"/>
      <c r="AP807" s="173"/>
      <c r="AQ807" s="173"/>
      <c r="AR807" s="173"/>
      <c r="AS807" s="173"/>
      <c r="AT807" s="173"/>
      <c r="AU807" s="173"/>
      <c r="AV807" s="173"/>
      <c r="AW807" s="173"/>
      <c r="AX807" s="173"/>
      <c r="AY807" s="173"/>
      <c r="AZ807" s="173"/>
      <c r="BA807" s="173"/>
      <c r="BB807" s="173"/>
      <c r="BC807" s="173"/>
      <c r="BD807" s="173"/>
      <c r="BE807" s="173"/>
      <c r="BF807" s="173"/>
      <c r="BG807" s="173"/>
      <c r="BH807" s="173"/>
      <c r="BI807" s="173"/>
      <c r="BJ807" s="173"/>
      <c r="BK807" s="173"/>
      <c r="BL807" s="173"/>
      <c r="BM807" s="173"/>
      <c r="BN807" s="173"/>
      <c r="BO807" s="173"/>
      <c r="BP807" s="173"/>
      <c r="BQ807" s="173"/>
      <c r="BR807" s="173"/>
      <c r="BS807" s="173"/>
      <c r="BT807" s="173"/>
      <c r="BU807" s="173"/>
      <c r="BV807" s="173"/>
      <c r="BW807" s="173"/>
      <c r="BX807" s="173"/>
      <c r="BY807" s="173"/>
      <c r="BZ807" s="173"/>
      <c r="CA807" s="173"/>
      <c r="CB807" s="173"/>
      <c r="CC807" s="173"/>
      <c r="CD807" s="173"/>
      <c r="CE807" s="173"/>
      <c r="CF807" s="173"/>
      <c r="CG807" s="173"/>
      <c r="CH807" s="173"/>
      <c r="CI807" s="173"/>
      <c r="CJ807" s="173"/>
      <c r="CK807" s="173"/>
      <c r="CL807" s="173"/>
      <c r="CM807" s="173"/>
      <c r="CN807" s="173"/>
      <c r="CO807" s="173"/>
      <c r="CP807" s="173"/>
      <c r="CQ807" s="173"/>
      <c r="CR807" s="173"/>
      <c r="CS807" s="173"/>
    </row>
  </sheetData>
  <autoFilter ref="$A$1:$CS$806">
    <filterColumn colId="10">
      <filters>
        <filter val="#N/A"/>
        <filter val="ENVO:01000924"/>
      </filters>
    </filterColumn>
  </autoFilter>
  <mergeCells count="2">
    <mergeCell ref="F2:G2"/>
    <mergeCell ref="A772:B772"/>
  </mergeCells>
  <conditionalFormatting sqref="C1:C807">
    <cfRule type="colorScale" priority="1">
      <colorScale>
        <cfvo type="min"/>
        <cfvo type="max"/>
        <color rgb="FF57BB8A"/>
        <color rgb="FFFFFFFF"/>
      </colorScale>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37.0"/>
    <col customWidth="1" min="3" max="3" width="19.38"/>
    <col customWidth="1" min="4" max="4" width="38.25"/>
    <col customWidth="1" min="5" max="5" width="26.88"/>
    <col customWidth="1" min="6" max="6" width="64.13"/>
    <col customWidth="1" min="7" max="7" width="45.25"/>
    <col customWidth="1" min="8" max="8" width="40.25"/>
    <col customWidth="1" min="9" max="9" width="20.13"/>
  </cols>
  <sheetData>
    <row r="1">
      <c r="A1" s="225" t="s">
        <v>2908</v>
      </c>
      <c r="B1" s="225" t="s">
        <v>2909</v>
      </c>
      <c r="C1" s="225" t="s">
        <v>1060</v>
      </c>
      <c r="D1" s="226" t="s">
        <v>2910</v>
      </c>
      <c r="E1" s="226" t="s">
        <v>2911</v>
      </c>
      <c r="F1" s="226" t="s">
        <v>3</v>
      </c>
      <c r="G1" s="227" t="s">
        <v>2912</v>
      </c>
      <c r="H1" s="225" t="s">
        <v>2913</v>
      </c>
      <c r="I1" s="228"/>
      <c r="J1" s="228"/>
      <c r="K1" s="228"/>
      <c r="L1" s="228"/>
      <c r="M1" s="228"/>
      <c r="N1" s="228"/>
      <c r="O1" s="228"/>
      <c r="P1" s="228"/>
      <c r="Q1" s="228"/>
      <c r="R1" s="228"/>
      <c r="S1" s="228"/>
      <c r="T1" s="228"/>
      <c r="U1" s="228"/>
      <c r="V1" s="228"/>
      <c r="W1" s="228"/>
      <c r="X1" s="228"/>
      <c r="Y1" s="228"/>
      <c r="Z1" s="228"/>
      <c r="AA1" s="228"/>
      <c r="AB1" s="228"/>
      <c r="AC1" s="228"/>
    </row>
    <row r="2">
      <c r="A2" s="144" t="s">
        <v>18</v>
      </c>
      <c r="B2" s="144" t="s">
        <v>20</v>
      </c>
      <c r="C2" s="144" t="s">
        <v>21</v>
      </c>
      <c r="D2" s="70" t="s">
        <v>2914</v>
      </c>
      <c r="E2" s="70"/>
      <c r="F2" s="70" t="s">
        <v>22</v>
      </c>
      <c r="G2" s="229" t="s">
        <v>23</v>
      </c>
      <c r="H2" s="144" t="s">
        <v>24</v>
      </c>
    </row>
    <row r="3">
      <c r="A3" s="144" t="s">
        <v>18</v>
      </c>
      <c r="B3" s="144" t="s">
        <v>26</v>
      </c>
      <c r="D3" s="70"/>
      <c r="E3" s="70"/>
      <c r="F3" s="70" t="s">
        <v>2915</v>
      </c>
      <c r="G3" s="229" t="s">
        <v>29</v>
      </c>
      <c r="H3" s="144" t="s">
        <v>30</v>
      </c>
    </row>
    <row r="4">
      <c r="A4" s="144" t="s">
        <v>18</v>
      </c>
      <c r="B4" s="144" t="s">
        <v>45</v>
      </c>
      <c r="C4" s="113" t="s">
        <v>46</v>
      </c>
      <c r="D4" s="144" t="s">
        <v>2916</v>
      </c>
      <c r="E4" s="70"/>
      <c r="F4" s="70" t="s">
        <v>2917</v>
      </c>
      <c r="G4" s="229" t="s">
        <v>48</v>
      </c>
      <c r="H4" s="144" t="s">
        <v>49</v>
      </c>
    </row>
    <row r="5">
      <c r="A5" s="144" t="s">
        <v>18</v>
      </c>
      <c r="B5" s="144" t="s">
        <v>50</v>
      </c>
      <c r="C5" s="113" t="s">
        <v>51</v>
      </c>
      <c r="D5" s="70" t="s">
        <v>2918</v>
      </c>
      <c r="E5" s="70"/>
      <c r="F5" s="70" t="s">
        <v>2919</v>
      </c>
      <c r="G5" s="229" t="s">
        <v>2920</v>
      </c>
      <c r="H5" s="144" t="s">
        <v>2921</v>
      </c>
    </row>
    <row r="6">
      <c r="A6" s="144" t="s">
        <v>18</v>
      </c>
      <c r="B6" s="144" t="s">
        <v>2922</v>
      </c>
      <c r="C6" s="230"/>
      <c r="D6" s="144"/>
      <c r="E6" s="70"/>
      <c r="F6" s="70"/>
      <c r="G6" s="229"/>
      <c r="H6" s="144"/>
    </row>
    <row r="7">
      <c r="A7" s="144" t="s">
        <v>18</v>
      </c>
      <c r="B7" s="144" t="s">
        <v>66</v>
      </c>
      <c r="C7" s="230"/>
      <c r="D7" s="144"/>
      <c r="E7" s="70"/>
      <c r="F7" s="70"/>
      <c r="G7" s="229"/>
      <c r="H7" s="144"/>
    </row>
    <row r="8">
      <c r="A8" s="144" t="s">
        <v>18</v>
      </c>
      <c r="B8" s="144" t="s">
        <v>2923</v>
      </c>
      <c r="C8" s="230"/>
      <c r="D8" s="144"/>
      <c r="E8" s="70"/>
      <c r="F8" s="70"/>
      <c r="G8" s="229"/>
      <c r="H8" s="144"/>
    </row>
    <row r="9">
      <c r="A9" s="144" t="s">
        <v>18</v>
      </c>
      <c r="B9" s="144" t="s">
        <v>2924</v>
      </c>
      <c r="C9" s="230"/>
      <c r="D9" s="144"/>
      <c r="E9" s="70"/>
      <c r="F9" s="70"/>
      <c r="G9" s="229"/>
      <c r="H9" s="144"/>
    </row>
    <row r="10">
      <c r="A10" s="144" t="s">
        <v>18</v>
      </c>
      <c r="B10" s="144" t="s">
        <v>2925</v>
      </c>
      <c r="C10" s="230" t="s">
        <v>2926</v>
      </c>
      <c r="D10" s="144"/>
      <c r="E10" s="70"/>
      <c r="F10" s="70"/>
      <c r="G10" s="229"/>
      <c r="H10" s="144"/>
    </row>
    <row r="11">
      <c r="A11" s="144" t="s">
        <v>18</v>
      </c>
      <c r="B11" s="144" t="s">
        <v>76</v>
      </c>
      <c r="C11" s="230"/>
      <c r="D11" s="144"/>
      <c r="E11" s="70"/>
      <c r="F11" s="70"/>
      <c r="G11" s="229"/>
      <c r="H11" s="144"/>
    </row>
    <row r="12">
      <c r="A12" s="144" t="s">
        <v>18</v>
      </c>
      <c r="B12" s="144" t="s">
        <v>2927</v>
      </c>
      <c r="C12" s="230" t="s">
        <v>2928</v>
      </c>
      <c r="D12" s="144" t="s">
        <v>2929</v>
      </c>
      <c r="E12" s="70"/>
      <c r="F12" s="70" t="s">
        <v>2930</v>
      </c>
      <c r="G12" s="229" t="s">
        <v>2931</v>
      </c>
      <c r="H12" s="144" t="s">
        <v>2932</v>
      </c>
    </row>
    <row r="13">
      <c r="A13" s="231" t="s">
        <v>91</v>
      </c>
      <c r="B13" s="144" t="s">
        <v>81</v>
      </c>
      <c r="D13" s="70"/>
      <c r="E13" s="70"/>
      <c r="F13" s="70"/>
      <c r="G13" s="229"/>
      <c r="H13" s="144"/>
    </row>
    <row r="14">
      <c r="A14" s="231" t="s">
        <v>91</v>
      </c>
      <c r="B14" s="144" t="s">
        <v>86</v>
      </c>
      <c r="D14" s="70"/>
      <c r="E14" s="70"/>
      <c r="F14" s="70"/>
      <c r="G14" s="229"/>
      <c r="H14" s="144"/>
    </row>
    <row r="15">
      <c r="A15" s="231" t="s">
        <v>91</v>
      </c>
      <c r="B15" s="144" t="s">
        <v>2933</v>
      </c>
      <c r="D15" s="70" t="s">
        <v>2934</v>
      </c>
      <c r="E15" s="70"/>
      <c r="F15" s="70" t="s">
        <v>2935</v>
      </c>
      <c r="G15" s="229" t="s">
        <v>97</v>
      </c>
      <c r="H15" s="144" t="s">
        <v>98</v>
      </c>
    </row>
    <row r="16">
      <c r="A16" s="232" t="s">
        <v>91</v>
      </c>
      <c r="B16" s="233" t="s">
        <v>2936</v>
      </c>
      <c r="C16" s="234"/>
      <c r="D16" s="235"/>
      <c r="E16" s="235"/>
      <c r="F16" s="235" t="s">
        <v>2937</v>
      </c>
      <c r="G16" s="236" t="s">
        <v>2938</v>
      </c>
      <c r="H16" s="233" t="s">
        <v>2939</v>
      </c>
      <c r="I16" s="234"/>
      <c r="J16" s="234"/>
      <c r="K16" s="234"/>
      <c r="L16" s="234"/>
      <c r="M16" s="234"/>
      <c r="N16" s="234"/>
      <c r="O16" s="234"/>
      <c r="P16" s="234"/>
      <c r="Q16" s="234"/>
      <c r="R16" s="234"/>
      <c r="S16" s="234"/>
      <c r="T16" s="234"/>
      <c r="U16" s="234"/>
      <c r="V16" s="234"/>
      <c r="W16" s="234"/>
      <c r="X16" s="234"/>
      <c r="Y16" s="234"/>
      <c r="Z16" s="234"/>
      <c r="AA16" s="234"/>
      <c r="AB16" s="234"/>
      <c r="AC16" s="234"/>
    </row>
    <row r="17">
      <c r="A17" s="231" t="s">
        <v>91</v>
      </c>
      <c r="B17" s="144" t="s">
        <v>99</v>
      </c>
      <c r="C17" s="166" t="s">
        <v>100</v>
      </c>
      <c r="D17" s="144" t="s">
        <v>2940</v>
      </c>
      <c r="E17" s="237"/>
      <c r="F17" s="237" t="s">
        <v>101</v>
      </c>
      <c r="G17" s="238" t="s">
        <v>102</v>
      </c>
      <c r="H17" s="239" t="s">
        <v>103</v>
      </c>
    </row>
    <row r="18">
      <c r="A18" s="231" t="s">
        <v>91</v>
      </c>
      <c r="B18" s="144" t="s">
        <v>104</v>
      </c>
      <c r="C18" s="111" t="s">
        <v>105</v>
      </c>
      <c r="D18" s="144" t="s">
        <v>104</v>
      </c>
      <c r="E18" s="70" t="s">
        <v>2941</v>
      </c>
      <c r="F18" s="70" t="s">
        <v>106</v>
      </c>
      <c r="G18" s="240" t="s">
        <v>107</v>
      </c>
      <c r="H18" s="111" t="s">
        <v>108</v>
      </c>
    </row>
    <row r="19">
      <c r="A19" s="231" t="s">
        <v>91</v>
      </c>
      <c r="B19" s="144" t="s">
        <v>2942</v>
      </c>
      <c r="C19" s="166" t="s">
        <v>2943</v>
      </c>
      <c r="D19" s="144" t="s">
        <v>2944</v>
      </c>
      <c r="E19" s="237"/>
      <c r="F19" s="237" t="s">
        <v>2945</v>
      </c>
      <c r="G19" s="238" t="s">
        <v>112</v>
      </c>
      <c r="H19" s="241" t="s">
        <v>113</v>
      </c>
    </row>
    <row r="20">
      <c r="A20" s="231" t="s">
        <v>91</v>
      </c>
      <c r="B20" s="144" t="s">
        <v>2946</v>
      </c>
      <c r="C20" s="166" t="s">
        <v>115</v>
      </c>
      <c r="D20" s="144" t="s">
        <v>2947</v>
      </c>
      <c r="E20" s="237"/>
      <c r="F20" s="237" t="s">
        <v>116</v>
      </c>
      <c r="G20" s="242" t="s">
        <v>2948</v>
      </c>
      <c r="H20" s="166" t="s">
        <v>118</v>
      </c>
    </row>
    <row r="21">
      <c r="A21" s="231" t="s">
        <v>91</v>
      </c>
      <c r="B21" s="144" t="s">
        <v>2949</v>
      </c>
      <c r="C21" s="166" t="s">
        <v>120</v>
      </c>
      <c r="E21" s="237"/>
      <c r="F21" s="237" t="s">
        <v>121</v>
      </c>
      <c r="G21" s="243" t="s">
        <v>122</v>
      </c>
      <c r="H21" s="166" t="s">
        <v>123</v>
      </c>
    </row>
    <row r="22">
      <c r="A22" s="231" t="s">
        <v>91</v>
      </c>
      <c r="B22" s="144" t="s">
        <v>2950</v>
      </c>
      <c r="C22" s="166" t="s">
        <v>125</v>
      </c>
      <c r="D22" s="144" t="s">
        <v>2950</v>
      </c>
      <c r="E22" s="237"/>
      <c r="F22" s="237" t="s">
        <v>126</v>
      </c>
      <c r="G22" s="243" t="s">
        <v>127</v>
      </c>
      <c r="H22" s="166" t="s">
        <v>128</v>
      </c>
    </row>
    <row r="23">
      <c r="A23" s="244" t="s">
        <v>91</v>
      </c>
      <c r="B23" s="35" t="s">
        <v>2951</v>
      </c>
      <c r="C23" s="245" t="s">
        <v>130</v>
      </c>
      <c r="D23" s="33" t="s">
        <v>2952</v>
      </c>
      <c r="E23" s="64"/>
      <c r="F23" s="64" t="s">
        <v>131</v>
      </c>
      <c r="G23" s="246" t="s">
        <v>132</v>
      </c>
      <c r="H23" s="46" t="s">
        <v>133</v>
      </c>
      <c r="I23" s="18"/>
      <c r="J23" s="18"/>
      <c r="K23" s="18"/>
      <c r="L23" s="18"/>
      <c r="M23" s="18"/>
      <c r="N23" s="18"/>
      <c r="O23" s="18"/>
      <c r="P23" s="18"/>
      <c r="Q23" s="18"/>
      <c r="R23" s="18"/>
      <c r="S23" s="18"/>
      <c r="T23" s="18"/>
      <c r="U23" s="18"/>
      <c r="V23" s="18"/>
      <c r="W23" s="18"/>
      <c r="X23" s="18"/>
      <c r="Y23" s="18"/>
      <c r="Z23" s="18"/>
      <c r="AA23" s="18"/>
      <c r="AB23" s="18"/>
      <c r="AC23" s="18"/>
    </row>
    <row r="24">
      <c r="A24" s="231" t="s">
        <v>91</v>
      </c>
      <c r="B24" s="144" t="s">
        <v>154</v>
      </c>
      <c r="C24" s="144" t="s">
        <v>155</v>
      </c>
      <c r="D24" s="247" t="s">
        <v>2953</v>
      </c>
      <c r="E24" s="70"/>
      <c r="F24" s="70" t="s">
        <v>156</v>
      </c>
      <c r="G24" s="229" t="s">
        <v>2954</v>
      </c>
      <c r="H24" s="144" t="s">
        <v>158</v>
      </c>
    </row>
    <row r="25">
      <c r="A25" s="231" t="s">
        <v>91</v>
      </c>
      <c r="B25" s="144" t="s">
        <v>159</v>
      </c>
      <c r="C25" s="144" t="s">
        <v>160</v>
      </c>
      <c r="D25" s="70" t="s">
        <v>2955</v>
      </c>
      <c r="E25" s="70"/>
      <c r="F25" s="70" t="s">
        <v>161</v>
      </c>
      <c r="G25" s="229" t="s">
        <v>2956</v>
      </c>
      <c r="H25" s="144" t="s">
        <v>2957</v>
      </c>
    </row>
    <row r="26">
      <c r="A26" s="231" t="s">
        <v>91</v>
      </c>
      <c r="B26" s="144" t="s">
        <v>169</v>
      </c>
      <c r="C26" s="144"/>
      <c r="D26" s="247" t="s">
        <v>2958</v>
      </c>
      <c r="E26" s="70"/>
      <c r="F26" s="70" t="s">
        <v>171</v>
      </c>
      <c r="G26" s="229" t="s">
        <v>2959</v>
      </c>
      <c r="H26" s="248">
        <v>43918.0</v>
      </c>
    </row>
    <row r="27">
      <c r="A27" s="231" t="s">
        <v>91</v>
      </c>
      <c r="B27" s="144" t="s">
        <v>173</v>
      </c>
      <c r="C27" s="144" t="s">
        <v>174</v>
      </c>
      <c r="D27" s="247" t="s">
        <v>2960</v>
      </c>
      <c r="E27" s="70"/>
      <c r="F27" s="70" t="s">
        <v>2961</v>
      </c>
      <c r="G27" s="229" t="s">
        <v>2962</v>
      </c>
      <c r="H27" s="248">
        <v>43906.0</v>
      </c>
    </row>
    <row r="28">
      <c r="A28" s="231" t="s">
        <v>91</v>
      </c>
      <c r="B28" s="144" t="s">
        <v>2963</v>
      </c>
      <c r="D28" s="70"/>
      <c r="E28" s="70"/>
      <c r="F28" s="70"/>
      <c r="G28" s="229"/>
      <c r="H28" s="144"/>
    </row>
    <row r="29">
      <c r="A29" s="231" t="s">
        <v>91</v>
      </c>
      <c r="B29" s="144" t="s">
        <v>194</v>
      </c>
      <c r="D29" s="70"/>
      <c r="E29" s="70"/>
      <c r="F29" s="70"/>
      <c r="G29" s="229"/>
      <c r="H29" s="144"/>
    </row>
    <row r="30">
      <c r="A30" s="231" t="s">
        <v>91</v>
      </c>
      <c r="B30" s="144" t="s">
        <v>2964</v>
      </c>
      <c r="D30" s="70"/>
      <c r="E30" s="70"/>
      <c r="F30" s="70"/>
      <c r="G30" s="229"/>
      <c r="H30" s="144"/>
    </row>
    <row r="31">
      <c r="A31" s="231" t="s">
        <v>91</v>
      </c>
      <c r="B31" s="144" t="s">
        <v>1939</v>
      </c>
      <c r="D31" s="70"/>
      <c r="E31" s="70"/>
      <c r="F31" s="70"/>
      <c r="G31" s="229"/>
      <c r="H31" s="144"/>
    </row>
    <row r="32">
      <c r="A32" s="231" t="s">
        <v>91</v>
      </c>
      <c r="B32" s="144" t="s">
        <v>185</v>
      </c>
      <c r="D32" s="70" t="s">
        <v>2965</v>
      </c>
      <c r="E32" s="70" t="s">
        <v>2966</v>
      </c>
      <c r="F32" s="70" t="s">
        <v>187</v>
      </c>
      <c r="G32" s="229" t="s">
        <v>2967</v>
      </c>
      <c r="H32" s="144" t="s">
        <v>2968</v>
      </c>
    </row>
    <row r="33">
      <c r="A33" s="231" t="s">
        <v>91</v>
      </c>
      <c r="B33" s="144" t="s">
        <v>190</v>
      </c>
      <c r="D33" s="70" t="s">
        <v>2969</v>
      </c>
      <c r="E33" s="70" t="s">
        <v>2970</v>
      </c>
      <c r="F33" s="70" t="s">
        <v>192</v>
      </c>
      <c r="G33" s="229" t="s">
        <v>2971</v>
      </c>
      <c r="H33" s="144" t="s">
        <v>2968</v>
      </c>
    </row>
    <row r="34">
      <c r="A34" s="231" t="s">
        <v>91</v>
      </c>
      <c r="B34" s="144" t="s">
        <v>208</v>
      </c>
      <c r="C34" s="144" t="s">
        <v>209</v>
      </c>
      <c r="D34" s="141"/>
      <c r="E34" s="249"/>
      <c r="F34" s="249" t="s">
        <v>210</v>
      </c>
      <c r="G34" s="249" t="s">
        <v>211</v>
      </c>
      <c r="H34" s="250" t="s">
        <v>2972</v>
      </c>
    </row>
    <row r="35">
      <c r="A35" s="231" t="s">
        <v>91</v>
      </c>
      <c r="B35" s="144" t="s">
        <v>213</v>
      </c>
      <c r="C35" s="245" t="s">
        <v>214</v>
      </c>
      <c r="D35" s="70" t="s">
        <v>2973</v>
      </c>
      <c r="E35" s="70"/>
      <c r="F35" s="70" t="s">
        <v>215</v>
      </c>
      <c r="G35" s="229" t="s">
        <v>216</v>
      </c>
      <c r="H35" s="144" t="s">
        <v>2974</v>
      </c>
    </row>
    <row r="36">
      <c r="A36" s="231" t="s">
        <v>91</v>
      </c>
      <c r="B36" s="144" t="s">
        <v>218</v>
      </c>
      <c r="C36" s="245"/>
      <c r="D36" s="251" t="s">
        <v>2975</v>
      </c>
      <c r="E36" s="70" t="s">
        <v>2976</v>
      </c>
      <c r="F36" s="70" t="s">
        <v>220</v>
      </c>
      <c r="G36" s="229" t="s">
        <v>221</v>
      </c>
      <c r="H36" s="144">
        <v>5.0</v>
      </c>
    </row>
    <row r="37">
      <c r="A37" s="231" t="s">
        <v>91</v>
      </c>
      <c r="B37" s="144" t="s">
        <v>222</v>
      </c>
      <c r="C37" s="245"/>
      <c r="D37" s="251" t="s">
        <v>2977</v>
      </c>
      <c r="E37" s="70" t="s">
        <v>2976</v>
      </c>
      <c r="F37" s="70" t="s">
        <v>224</v>
      </c>
      <c r="G37" s="229" t="s">
        <v>206</v>
      </c>
      <c r="H37" s="144" t="s">
        <v>2978</v>
      </c>
    </row>
    <row r="38" ht="15.75" customHeight="1">
      <c r="A38" s="231" t="s">
        <v>91</v>
      </c>
      <c r="B38" s="144" t="s">
        <v>2979</v>
      </c>
      <c r="C38" s="245"/>
      <c r="D38" s="251"/>
      <c r="E38" s="70"/>
      <c r="F38" s="70"/>
      <c r="G38" s="229"/>
      <c r="H38" s="144"/>
    </row>
    <row r="39">
      <c r="A39" s="231" t="s">
        <v>91</v>
      </c>
      <c r="B39" s="252" t="s">
        <v>2980</v>
      </c>
      <c r="C39" s="245"/>
      <c r="D39" s="251"/>
      <c r="E39" s="70"/>
      <c r="F39" s="70"/>
      <c r="G39" s="229"/>
      <c r="H39" s="144"/>
    </row>
    <row r="40">
      <c r="A40" s="231" t="s">
        <v>91</v>
      </c>
      <c r="B40" s="144" t="s">
        <v>2981</v>
      </c>
      <c r="C40" s="245"/>
      <c r="D40" s="251"/>
      <c r="E40" s="70"/>
      <c r="F40" s="70"/>
      <c r="G40" s="229"/>
      <c r="H40" s="144"/>
    </row>
    <row r="41">
      <c r="A41" s="231" t="s">
        <v>91</v>
      </c>
      <c r="B41" s="144" t="s">
        <v>243</v>
      </c>
      <c r="C41" s="245"/>
      <c r="D41" s="251"/>
      <c r="E41" s="70"/>
      <c r="F41" s="70"/>
      <c r="G41" s="229"/>
      <c r="H41" s="144"/>
    </row>
    <row r="42">
      <c r="A42" s="231" t="s">
        <v>91</v>
      </c>
      <c r="B42" s="144" t="s">
        <v>248</v>
      </c>
      <c r="C42" s="245"/>
      <c r="D42" s="251"/>
      <c r="E42" s="70"/>
      <c r="F42" s="70"/>
      <c r="G42" s="229"/>
      <c r="H42" s="144"/>
    </row>
    <row r="43" ht="15.75" customHeight="1">
      <c r="A43" s="231" t="s">
        <v>91</v>
      </c>
      <c r="B43" s="144" t="s">
        <v>2982</v>
      </c>
      <c r="C43" s="245" t="s">
        <v>258</v>
      </c>
      <c r="D43" s="251" t="s">
        <v>2983</v>
      </c>
      <c r="E43" s="70"/>
      <c r="F43" s="70" t="s">
        <v>259</v>
      </c>
      <c r="G43" s="229" t="s">
        <v>2984</v>
      </c>
      <c r="H43" s="144" t="s">
        <v>2985</v>
      </c>
    </row>
    <row r="44" ht="15.0" customHeight="1">
      <c r="A44" s="231" t="s">
        <v>91</v>
      </c>
      <c r="B44" s="144" t="s">
        <v>262</v>
      </c>
      <c r="C44" s="245" t="s">
        <v>263</v>
      </c>
      <c r="D44" s="251" t="s">
        <v>2986</v>
      </c>
      <c r="E44" s="70"/>
      <c r="F44" s="70" t="s">
        <v>264</v>
      </c>
      <c r="G44" s="229" t="s">
        <v>2987</v>
      </c>
      <c r="H44" s="144" t="s">
        <v>2988</v>
      </c>
    </row>
    <row r="45" ht="14.25" customHeight="1">
      <c r="A45" s="231" t="s">
        <v>91</v>
      </c>
      <c r="B45" s="144" t="s">
        <v>267</v>
      </c>
      <c r="D45" s="141"/>
      <c r="E45" s="70"/>
      <c r="F45" s="70" t="s">
        <v>2989</v>
      </c>
      <c r="G45" s="229" t="s">
        <v>270</v>
      </c>
      <c r="H45" s="144" t="s">
        <v>2990</v>
      </c>
    </row>
    <row r="46">
      <c r="A46" s="231" t="s">
        <v>91</v>
      </c>
      <c r="B46" s="144" t="s">
        <v>287</v>
      </c>
      <c r="C46" s="109" t="s">
        <v>288</v>
      </c>
      <c r="D46" s="70" t="s">
        <v>2991</v>
      </c>
      <c r="E46" s="70"/>
      <c r="F46" s="70" t="s">
        <v>2992</v>
      </c>
      <c r="G46" s="229" t="s">
        <v>2993</v>
      </c>
      <c r="H46" s="144" t="s">
        <v>2994</v>
      </c>
    </row>
    <row r="47">
      <c r="A47" s="231" t="s">
        <v>91</v>
      </c>
      <c r="B47" s="144" t="s">
        <v>2995</v>
      </c>
      <c r="C47" s="109" t="s">
        <v>293</v>
      </c>
      <c r="D47" s="70" t="s">
        <v>2996</v>
      </c>
      <c r="E47" s="70" t="s">
        <v>2997</v>
      </c>
      <c r="F47" s="70" t="s">
        <v>2998</v>
      </c>
      <c r="G47" s="229" t="s">
        <v>2999</v>
      </c>
      <c r="H47" s="144" t="s">
        <v>3000</v>
      </c>
    </row>
    <row r="48">
      <c r="A48" s="231" t="s">
        <v>91</v>
      </c>
      <c r="B48" s="144" t="s">
        <v>3001</v>
      </c>
      <c r="D48" s="141"/>
      <c r="E48" s="141"/>
      <c r="F48" s="65"/>
      <c r="G48" s="65"/>
      <c r="H48" s="60"/>
    </row>
    <row r="49">
      <c r="A49" s="231" t="s">
        <v>91</v>
      </c>
      <c r="B49" s="144" t="s">
        <v>3002</v>
      </c>
      <c r="D49" s="141"/>
      <c r="E49" s="141"/>
      <c r="F49" s="65"/>
      <c r="G49" s="65"/>
      <c r="H49" s="60"/>
    </row>
    <row r="50">
      <c r="A50" s="231" t="s">
        <v>91</v>
      </c>
      <c r="B50" s="144" t="s">
        <v>3003</v>
      </c>
      <c r="D50" s="141"/>
      <c r="E50" s="141"/>
      <c r="F50" s="65"/>
      <c r="G50" s="65"/>
      <c r="H50" s="60"/>
    </row>
    <row r="51">
      <c r="A51" s="144"/>
      <c r="B51" s="144" t="s">
        <v>3004</v>
      </c>
      <c r="D51" s="141"/>
      <c r="E51" s="141"/>
      <c r="F51" s="65"/>
      <c r="G51" s="65"/>
      <c r="H51" s="60"/>
    </row>
    <row r="52">
      <c r="A52" s="144"/>
      <c r="B52" s="144" t="s">
        <v>3005</v>
      </c>
      <c r="D52" s="141"/>
      <c r="E52" s="141"/>
      <c r="F52" s="65"/>
      <c r="G52" s="65"/>
      <c r="H52" s="60"/>
    </row>
    <row r="53">
      <c r="A53" s="144"/>
      <c r="B53" s="144" t="s">
        <v>3006</v>
      </c>
      <c r="D53" s="141"/>
      <c r="E53" s="141"/>
      <c r="F53" s="65"/>
      <c r="G53" s="65"/>
      <c r="H53" s="60"/>
    </row>
    <row r="54">
      <c r="A54" s="144"/>
      <c r="B54" s="144"/>
      <c r="D54" s="141"/>
      <c r="E54" s="141"/>
      <c r="F54" s="65"/>
      <c r="G54" s="65"/>
      <c r="H54" s="60"/>
    </row>
    <row r="55" ht="15.0" customHeight="1">
      <c r="A55" s="144" t="s">
        <v>321</v>
      </c>
      <c r="B55" s="144" t="s">
        <v>3007</v>
      </c>
      <c r="D55" s="141"/>
      <c r="E55" s="141"/>
      <c r="F55" s="65" t="s">
        <v>353</v>
      </c>
      <c r="G55" s="65" t="s">
        <v>354</v>
      </c>
      <c r="H55" s="60" t="s">
        <v>355</v>
      </c>
    </row>
    <row r="56">
      <c r="A56" s="144" t="s">
        <v>321</v>
      </c>
      <c r="B56" s="144" t="s">
        <v>356</v>
      </c>
      <c r="D56" s="141"/>
      <c r="E56" s="141"/>
      <c r="F56" s="70" t="s">
        <v>358</v>
      </c>
      <c r="G56" s="83" t="s">
        <v>359</v>
      </c>
      <c r="H56" s="144" t="s">
        <v>360</v>
      </c>
    </row>
    <row r="57">
      <c r="A57" s="144" t="s">
        <v>321</v>
      </c>
      <c r="B57" s="144" t="s">
        <v>384</v>
      </c>
      <c r="C57" s="144" t="s">
        <v>385</v>
      </c>
      <c r="D57" s="144" t="s">
        <v>3008</v>
      </c>
      <c r="E57" s="70"/>
      <c r="F57" s="70" t="s">
        <v>386</v>
      </c>
      <c r="G57" s="229" t="s">
        <v>387</v>
      </c>
      <c r="H57" s="144">
        <v>7.4</v>
      </c>
    </row>
    <row r="58">
      <c r="A58" s="144"/>
      <c r="B58" s="144" t="s">
        <v>388</v>
      </c>
      <c r="D58" s="144"/>
      <c r="E58" s="70"/>
      <c r="F58" s="70"/>
      <c r="G58" s="229"/>
      <c r="H58" s="144"/>
    </row>
    <row r="59">
      <c r="A59" s="144" t="s">
        <v>321</v>
      </c>
      <c r="B59" s="144" t="s">
        <v>3009</v>
      </c>
      <c r="D59" s="144" t="s">
        <v>3010</v>
      </c>
      <c r="E59" s="70"/>
      <c r="F59" s="70" t="s">
        <v>3011</v>
      </c>
      <c r="G59" s="229" t="s">
        <v>396</v>
      </c>
      <c r="H59" s="144">
        <v>25.0</v>
      </c>
    </row>
    <row r="60">
      <c r="A60" s="144" t="s">
        <v>321</v>
      </c>
      <c r="B60" s="144" t="s">
        <v>3012</v>
      </c>
      <c r="D60" s="70" t="s">
        <v>3010</v>
      </c>
      <c r="E60" s="70"/>
      <c r="F60" s="70" t="s">
        <v>3013</v>
      </c>
      <c r="G60" s="229" t="s">
        <v>400</v>
      </c>
      <c r="H60" s="144" t="s">
        <v>3014</v>
      </c>
    </row>
    <row r="61">
      <c r="A61" s="144" t="s">
        <v>321</v>
      </c>
      <c r="B61" s="144" t="s">
        <v>3015</v>
      </c>
      <c r="D61" s="144"/>
      <c r="E61" s="70"/>
      <c r="F61" s="70"/>
      <c r="G61" s="245"/>
      <c r="H61" s="144"/>
    </row>
    <row r="62">
      <c r="A62" s="144" t="s">
        <v>321</v>
      </c>
      <c r="B62" s="144" t="s">
        <v>417</v>
      </c>
      <c r="D62" s="144"/>
      <c r="E62" s="70"/>
      <c r="F62" s="70"/>
      <c r="G62" s="245"/>
      <c r="H62" s="144"/>
    </row>
    <row r="63">
      <c r="A63" s="144" t="s">
        <v>321</v>
      </c>
      <c r="B63" s="144" t="s">
        <v>421</v>
      </c>
      <c r="D63" s="144"/>
      <c r="E63" s="70"/>
      <c r="F63" s="70"/>
      <c r="G63" s="245"/>
      <c r="H63" s="144"/>
    </row>
    <row r="64">
      <c r="A64" s="144" t="s">
        <v>321</v>
      </c>
      <c r="B64" s="144" t="s">
        <v>426</v>
      </c>
      <c r="D64" s="144"/>
      <c r="E64" s="70"/>
      <c r="F64" s="70"/>
      <c r="G64" s="245"/>
      <c r="H64" s="144"/>
    </row>
    <row r="65">
      <c r="A65" s="144" t="s">
        <v>321</v>
      </c>
      <c r="B65" s="144" t="s">
        <v>431</v>
      </c>
      <c r="D65" s="144"/>
      <c r="E65" s="70"/>
      <c r="F65" s="70"/>
      <c r="G65" s="245"/>
      <c r="H65" s="144"/>
    </row>
    <row r="66">
      <c r="A66" s="144" t="s">
        <v>321</v>
      </c>
      <c r="B66" s="144" t="s">
        <v>435</v>
      </c>
      <c r="D66" s="144"/>
      <c r="E66" s="70"/>
      <c r="F66" s="70"/>
      <c r="G66" s="245"/>
      <c r="H66" s="144"/>
    </row>
    <row r="67">
      <c r="A67" s="144" t="s">
        <v>321</v>
      </c>
      <c r="B67" s="144" t="s">
        <v>440</v>
      </c>
      <c r="D67" s="144"/>
      <c r="E67" s="70"/>
      <c r="F67" s="70"/>
      <c r="G67" s="245"/>
      <c r="H67" s="144"/>
    </row>
    <row r="68">
      <c r="A68" s="144" t="s">
        <v>321</v>
      </c>
      <c r="B68" s="144" t="s">
        <v>3016</v>
      </c>
      <c r="D68" s="144"/>
      <c r="E68" s="70"/>
      <c r="F68" s="70"/>
      <c r="G68" s="245"/>
      <c r="H68" s="144"/>
    </row>
    <row r="69">
      <c r="A69" s="144" t="s">
        <v>321</v>
      </c>
      <c r="B69" s="144" t="s">
        <v>3017</v>
      </c>
      <c r="D69" s="144"/>
      <c r="E69" s="70"/>
      <c r="F69" s="70"/>
      <c r="G69" s="245"/>
      <c r="H69" s="144"/>
    </row>
    <row r="70">
      <c r="A70" s="144" t="s">
        <v>321</v>
      </c>
      <c r="B70" s="144" t="s">
        <v>3018</v>
      </c>
      <c r="D70" s="144"/>
      <c r="E70" s="70"/>
      <c r="F70" s="70"/>
      <c r="G70" s="245"/>
      <c r="H70" s="144"/>
    </row>
    <row r="71">
      <c r="A71" s="144" t="s">
        <v>321</v>
      </c>
      <c r="B71" s="144" t="s">
        <v>459</v>
      </c>
      <c r="D71" s="144" t="s">
        <v>3019</v>
      </c>
      <c r="E71" s="70"/>
      <c r="F71" s="70" t="s">
        <v>461</v>
      </c>
      <c r="G71" s="245" t="s">
        <v>462</v>
      </c>
      <c r="H71" s="144">
        <v>26.0</v>
      </c>
    </row>
    <row r="72">
      <c r="A72" s="144" t="s">
        <v>321</v>
      </c>
      <c r="B72" s="144" t="s">
        <v>463</v>
      </c>
      <c r="D72" s="144" t="s">
        <v>3019</v>
      </c>
      <c r="E72" s="70"/>
      <c r="F72" s="70" t="s">
        <v>465</v>
      </c>
      <c r="G72" s="245" t="s">
        <v>466</v>
      </c>
      <c r="H72" s="144" t="s">
        <v>3020</v>
      </c>
    </row>
    <row r="73">
      <c r="A73" s="144" t="s">
        <v>321</v>
      </c>
      <c r="B73" s="144" t="s">
        <v>468</v>
      </c>
      <c r="D73" s="144"/>
      <c r="E73" s="141"/>
      <c r="F73" s="70"/>
      <c r="G73" s="245"/>
    </row>
    <row r="74">
      <c r="A74" s="144" t="s">
        <v>321</v>
      </c>
      <c r="B74" s="144" t="s">
        <v>486</v>
      </c>
      <c r="D74" s="144" t="s">
        <v>3021</v>
      </c>
      <c r="E74" s="141"/>
      <c r="F74" s="70" t="s">
        <v>3022</v>
      </c>
      <c r="G74" s="245" t="s">
        <v>3023</v>
      </c>
    </row>
    <row r="75">
      <c r="A75" s="144" t="s">
        <v>321</v>
      </c>
      <c r="B75" s="144" t="s">
        <v>490</v>
      </c>
      <c r="D75" s="144" t="s">
        <v>3021</v>
      </c>
      <c r="E75" s="141"/>
      <c r="F75" s="70" t="s">
        <v>492</v>
      </c>
      <c r="G75" s="245" t="s">
        <v>3024</v>
      </c>
    </row>
    <row r="76">
      <c r="A76" s="144" t="s">
        <v>321</v>
      </c>
      <c r="B76" s="144" t="s">
        <v>495</v>
      </c>
      <c r="D76" s="144"/>
      <c r="E76" s="141"/>
      <c r="F76" s="141"/>
      <c r="G76" s="253"/>
    </row>
    <row r="77">
      <c r="A77" s="144" t="s">
        <v>321</v>
      </c>
      <c r="B77" s="144" t="s">
        <v>3025</v>
      </c>
      <c r="D77" s="144" t="s">
        <v>3026</v>
      </c>
      <c r="E77" s="141"/>
      <c r="F77" s="141"/>
      <c r="G77" s="253"/>
    </row>
    <row r="78">
      <c r="A78" s="144" t="s">
        <v>321</v>
      </c>
      <c r="B78" s="144" t="s">
        <v>3027</v>
      </c>
      <c r="D78" s="144" t="s">
        <v>3026</v>
      </c>
      <c r="E78" s="141"/>
      <c r="F78" s="141"/>
      <c r="G78" s="253"/>
    </row>
    <row r="79">
      <c r="A79" s="144" t="s">
        <v>321</v>
      </c>
      <c r="B79" s="144" t="s">
        <v>3028</v>
      </c>
      <c r="D79" s="144"/>
      <c r="E79" s="141"/>
      <c r="F79" s="141"/>
      <c r="G79" s="253"/>
    </row>
    <row r="80">
      <c r="A80" s="144" t="s">
        <v>321</v>
      </c>
      <c r="B80" s="144" t="s">
        <v>526</v>
      </c>
      <c r="D80" s="144" t="s">
        <v>3029</v>
      </c>
      <c r="E80" s="141"/>
      <c r="F80" s="141"/>
      <c r="G80" s="253"/>
    </row>
    <row r="81">
      <c r="A81" s="144" t="s">
        <v>321</v>
      </c>
      <c r="B81" s="144" t="s">
        <v>530</v>
      </c>
      <c r="D81" s="144" t="s">
        <v>3029</v>
      </c>
      <c r="E81" s="141"/>
      <c r="F81" s="141"/>
      <c r="G81" s="253"/>
    </row>
    <row r="82">
      <c r="A82" s="144" t="s">
        <v>321</v>
      </c>
      <c r="B82" s="144" t="s">
        <v>535</v>
      </c>
      <c r="D82" s="141"/>
      <c r="E82" s="141"/>
      <c r="F82" s="141"/>
      <c r="G82" s="253"/>
    </row>
    <row r="83">
      <c r="A83" s="144" t="s">
        <v>321</v>
      </c>
      <c r="B83" s="144" t="s">
        <v>540</v>
      </c>
      <c r="D83" s="141"/>
      <c r="E83" s="141"/>
      <c r="F83" s="141"/>
      <c r="G83" s="253"/>
    </row>
    <row r="84">
      <c r="A84" s="144" t="s">
        <v>321</v>
      </c>
      <c r="B84" s="144" t="s">
        <v>544</v>
      </c>
      <c r="D84" s="141"/>
      <c r="E84" s="141"/>
      <c r="F84" s="141"/>
      <c r="G84" s="253"/>
    </row>
    <row r="85">
      <c r="A85" s="144" t="s">
        <v>321</v>
      </c>
      <c r="B85" s="144" t="s">
        <v>549</v>
      </c>
      <c r="D85" s="141"/>
      <c r="E85" s="141"/>
      <c r="F85" s="141"/>
      <c r="G85" s="253"/>
    </row>
    <row r="86">
      <c r="A86" s="144" t="s">
        <v>321</v>
      </c>
      <c r="B86" s="144" t="s">
        <v>554</v>
      </c>
      <c r="D86" s="141"/>
      <c r="E86" s="141"/>
      <c r="F86" s="141"/>
      <c r="G86" s="253"/>
    </row>
    <row r="87">
      <c r="A87" s="144" t="s">
        <v>321</v>
      </c>
      <c r="B87" s="144" t="s">
        <v>558</v>
      </c>
      <c r="D87" s="141"/>
      <c r="E87" s="141"/>
      <c r="F87" s="141"/>
      <c r="G87" s="253"/>
    </row>
    <row r="88">
      <c r="A88" s="144" t="s">
        <v>321</v>
      </c>
      <c r="B88" s="144" t="s">
        <v>563</v>
      </c>
      <c r="D88" s="141"/>
      <c r="E88" s="141"/>
      <c r="F88" s="141"/>
      <c r="G88" s="253"/>
    </row>
    <row r="89">
      <c r="A89" s="144" t="s">
        <v>321</v>
      </c>
      <c r="B89" s="144" t="s">
        <v>646</v>
      </c>
      <c r="D89" s="141"/>
      <c r="E89" s="141"/>
      <c r="F89" s="141"/>
      <c r="G89" s="253"/>
    </row>
    <row r="90">
      <c r="A90" s="144" t="s">
        <v>321</v>
      </c>
      <c r="B90" s="144" t="s">
        <v>649</v>
      </c>
      <c r="D90" s="141"/>
      <c r="E90" s="141"/>
      <c r="F90" s="141"/>
      <c r="G90" s="253"/>
    </row>
    <row r="91">
      <c r="A91" s="144" t="s">
        <v>321</v>
      </c>
      <c r="B91" s="144" t="s">
        <v>652</v>
      </c>
      <c r="D91" s="141"/>
      <c r="E91" s="141"/>
      <c r="F91" s="141"/>
      <c r="G91" s="253"/>
    </row>
    <row r="92">
      <c r="A92" s="144" t="s">
        <v>321</v>
      </c>
      <c r="B92" s="144" t="s">
        <v>655</v>
      </c>
      <c r="D92" s="141"/>
      <c r="E92" s="141"/>
      <c r="F92" s="141"/>
      <c r="G92" s="253"/>
    </row>
    <row r="93">
      <c r="A93" s="144" t="s">
        <v>321</v>
      </c>
      <c r="B93" s="144" t="s">
        <v>3030</v>
      </c>
      <c r="D93" s="141"/>
      <c r="E93" s="141"/>
      <c r="F93" s="141"/>
      <c r="G93" s="253"/>
    </row>
    <row r="94">
      <c r="A94" s="144" t="s">
        <v>321</v>
      </c>
      <c r="B94" s="144" t="s">
        <v>3031</v>
      </c>
      <c r="D94" s="141"/>
      <c r="E94" s="141"/>
      <c r="F94" s="141"/>
      <c r="G94" s="253"/>
    </row>
    <row r="95">
      <c r="A95" s="144" t="s">
        <v>321</v>
      </c>
      <c r="B95" s="144" t="s">
        <v>3032</v>
      </c>
      <c r="D95" s="141"/>
      <c r="E95" s="141"/>
      <c r="F95" s="141"/>
      <c r="G95" s="253"/>
    </row>
    <row r="96">
      <c r="A96" s="144" t="s">
        <v>321</v>
      </c>
      <c r="B96" s="144" t="s">
        <v>568</v>
      </c>
      <c r="D96" s="141"/>
      <c r="E96" s="141"/>
      <c r="F96" s="141"/>
      <c r="G96" s="253"/>
    </row>
    <row r="97">
      <c r="A97" s="144" t="s">
        <v>321</v>
      </c>
      <c r="B97" s="144" t="s">
        <v>572</v>
      </c>
      <c r="D97" s="141"/>
      <c r="E97" s="141"/>
      <c r="F97" s="141"/>
      <c r="G97" s="253"/>
    </row>
    <row r="98">
      <c r="A98" s="144" t="s">
        <v>321</v>
      </c>
      <c r="B98" s="144" t="s">
        <v>576</v>
      </c>
      <c r="D98" s="141"/>
      <c r="E98" s="141"/>
      <c r="F98" s="141"/>
      <c r="G98" s="253"/>
    </row>
    <row r="99">
      <c r="A99" s="144" t="s">
        <v>321</v>
      </c>
      <c r="B99" s="144" t="s">
        <v>3033</v>
      </c>
      <c r="D99" s="141"/>
      <c r="E99" s="141"/>
      <c r="F99" s="141"/>
      <c r="G99" s="253"/>
    </row>
    <row r="100">
      <c r="A100" s="144" t="s">
        <v>321</v>
      </c>
      <c r="B100" s="144" t="s">
        <v>3034</v>
      </c>
      <c r="D100" s="141"/>
      <c r="E100" s="141"/>
      <c r="F100" s="141"/>
      <c r="G100" s="253"/>
    </row>
    <row r="101">
      <c r="A101" s="144" t="s">
        <v>321</v>
      </c>
      <c r="B101" s="144" t="s">
        <v>3035</v>
      </c>
      <c r="D101" s="141"/>
      <c r="E101" s="141"/>
      <c r="F101" s="141"/>
      <c r="G101" s="253"/>
    </row>
    <row r="102">
      <c r="A102" s="144" t="s">
        <v>321</v>
      </c>
      <c r="B102" s="144" t="s">
        <v>3036</v>
      </c>
      <c r="D102" s="141"/>
      <c r="E102" s="141"/>
      <c r="F102" s="141"/>
      <c r="G102" s="253"/>
    </row>
    <row r="103">
      <c r="A103" s="144" t="s">
        <v>321</v>
      </c>
      <c r="B103" s="144" t="s">
        <v>3037</v>
      </c>
      <c r="D103" s="141"/>
      <c r="E103" s="141"/>
      <c r="F103" s="141"/>
      <c r="G103" s="253"/>
    </row>
    <row r="104">
      <c r="A104" s="144" t="s">
        <v>321</v>
      </c>
      <c r="B104" s="144" t="s">
        <v>614</v>
      </c>
      <c r="D104" s="141"/>
      <c r="E104" s="141"/>
      <c r="F104" s="141"/>
      <c r="G104" s="253"/>
    </row>
    <row r="105">
      <c r="A105" s="144" t="s">
        <v>321</v>
      </c>
      <c r="B105" s="144" t="s">
        <v>618</v>
      </c>
      <c r="D105" s="141"/>
      <c r="E105" s="141"/>
      <c r="F105" s="141"/>
      <c r="G105" s="253"/>
    </row>
    <row r="106">
      <c r="A106" s="144" t="s">
        <v>726</v>
      </c>
      <c r="B106" s="144" t="s">
        <v>3038</v>
      </c>
      <c r="C106" s="111" t="s">
        <v>729</v>
      </c>
      <c r="D106" s="70" t="s">
        <v>3039</v>
      </c>
      <c r="E106" s="70"/>
      <c r="F106" s="70" t="s">
        <v>730</v>
      </c>
      <c r="G106" s="229" t="s">
        <v>731</v>
      </c>
      <c r="H106" s="144" t="s">
        <v>2475</v>
      </c>
    </row>
    <row r="107">
      <c r="A107" s="144" t="s">
        <v>726</v>
      </c>
      <c r="B107" s="144" t="s">
        <v>733</v>
      </c>
      <c r="C107" s="144" t="s">
        <v>734</v>
      </c>
      <c r="D107" s="70" t="s">
        <v>3040</v>
      </c>
      <c r="E107" s="70"/>
      <c r="F107" s="70" t="s">
        <v>735</v>
      </c>
      <c r="G107" s="229" t="s">
        <v>3041</v>
      </c>
      <c r="H107" s="144" t="s">
        <v>3042</v>
      </c>
    </row>
    <row r="108">
      <c r="A108" s="144" t="s">
        <v>726</v>
      </c>
      <c r="B108" s="144" t="s">
        <v>750</v>
      </c>
      <c r="C108" s="144" t="s">
        <v>751</v>
      </c>
      <c r="D108" s="70" t="s">
        <v>3043</v>
      </c>
      <c r="E108" s="141"/>
      <c r="F108" s="70" t="s">
        <v>752</v>
      </c>
      <c r="G108" s="229" t="s">
        <v>3044</v>
      </c>
      <c r="H108" s="144" t="s">
        <v>754</v>
      </c>
    </row>
    <row r="109">
      <c r="A109" s="144" t="s">
        <v>726</v>
      </c>
      <c r="B109" s="144" t="s">
        <v>759</v>
      </c>
      <c r="C109" s="144" t="s">
        <v>760</v>
      </c>
      <c r="D109" s="70" t="s">
        <v>3045</v>
      </c>
      <c r="E109" s="70"/>
      <c r="F109" s="70" t="s">
        <v>761</v>
      </c>
      <c r="G109" s="229" t="s">
        <v>762</v>
      </c>
      <c r="H109" s="248">
        <v>44004.0</v>
      </c>
    </row>
    <row r="110">
      <c r="A110" s="144" t="s">
        <v>726</v>
      </c>
      <c r="B110" s="144" t="s">
        <v>763</v>
      </c>
      <c r="C110" s="144" t="s">
        <v>764</v>
      </c>
      <c r="D110" s="70" t="s">
        <v>763</v>
      </c>
      <c r="E110" s="70"/>
      <c r="F110" s="70" t="s">
        <v>765</v>
      </c>
      <c r="G110" s="229" t="s">
        <v>766</v>
      </c>
      <c r="H110" s="144" t="s">
        <v>767</v>
      </c>
    </row>
    <row r="111">
      <c r="A111" s="144" t="s">
        <v>726</v>
      </c>
      <c r="B111" s="144" t="s">
        <v>768</v>
      </c>
      <c r="C111" s="144" t="s">
        <v>769</v>
      </c>
      <c r="D111" s="141"/>
      <c r="E111" s="70"/>
      <c r="F111" s="70" t="s">
        <v>770</v>
      </c>
      <c r="G111" s="229" t="s">
        <v>771</v>
      </c>
      <c r="H111" s="144" t="s">
        <v>772</v>
      </c>
    </row>
    <row r="112">
      <c r="A112" s="144" t="s">
        <v>726</v>
      </c>
      <c r="B112" s="144" t="s">
        <v>773</v>
      </c>
      <c r="C112" s="144" t="s">
        <v>774</v>
      </c>
      <c r="D112" s="70" t="s">
        <v>3046</v>
      </c>
      <c r="E112" s="70"/>
      <c r="F112" s="70" t="s">
        <v>775</v>
      </c>
      <c r="G112" s="229" t="s">
        <v>776</v>
      </c>
      <c r="H112" s="144" t="s">
        <v>777</v>
      </c>
    </row>
    <row r="113">
      <c r="A113" s="144" t="s">
        <v>726</v>
      </c>
      <c r="B113" s="144" t="s">
        <v>3047</v>
      </c>
      <c r="C113" s="144" t="s">
        <v>3048</v>
      </c>
      <c r="D113" s="70"/>
      <c r="E113" s="70"/>
      <c r="F113" s="70"/>
      <c r="G113" s="229"/>
      <c r="H113" s="144"/>
    </row>
    <row r="114">
      <c r="A114" s="144" t="s">
        <v>726</v>
      </c>
      <c r="B114" s="144" t="s">
        <v>783</v>
      </c>
      <c r="C114" s="144" t="s">
        <v>784</v>
      </c>
      <c r="D114" s="70" t="s">
        <v>3049</v>
      </c>
      <c r="E114" s="70"/>
      <c r="F114" s="70" t="s">
        <v>785</v>
      </c>
      <c r="G114" s="229" t="s">
        <v>786</v>
      </c>
      <c r="H114" s="144" t="s">
        <v>787</v>
      </c>
    </row>
    <row r="115">
      <c r="A115" s="144" t="s">
        <v>726</v>
      </c>
      <c r="B115" s="144" t="s">
        <v>788</v>
      </c>
      <c r="C115" s="144" t="s">
        <v>789</v>
      </c>
      <c r="D115" s="70" t="s">
        <v>3050</v>
      </c>
      <c r="E115" s="70"/>
      <c r="F115" s="70" t="s">
        <v>790</v>
      </c>
      <c r="G115" s="229" t="s">
        <v>791</v>
      </c>
      <c r="H115" s="254" t="s">
        <v>3051</v>
      </c>
    </row>
    <row r="116">
      <c r="A116" s="144" t="s">
        <v>726</v>
      </c>
      <c r="B116" s="144" t="s">
        <v>807</v>
      </c>
      <c r="C116" s="144" t="s">
        <v>808</v>
      </c>
      <c r="D116" s="70" t="s">
        <v>807</v>
      </c>
      <c r="E116" s="70"/>
      <c r="F116" s="70" t="s">
        <v>809</v>
      </c>
      <c r="G116" s="229" t="s">
        <v>810</v>
      </c>
      <c r="H116" s="254" t="s">
        <v>3052</v>
      </c>
    </row>
    <row r="117">
      <c r="A117" s="144" t="s">
        <v>816</v>
      </c>
      <c r="B117" s="144" t="s">
        <v>842</v>
      </c>
      <c r="C117" s="144" t="s">
        <v>843</v>
      </c>
      <c r="D117" s="70" t="s">
        <v>3053</v>
      </c>
      <c r="E117" s="70"/>
      <c r="F117" s="70" t="s">
        <v>3054</v>
      </c>
      <c r="G117" s="229" t="s">
        <v>3055</v>
      </c>
      <c r="H117" s="144" t="s">
        <v>846</v>
      </c>
    </row>
    <row r="118">
      <c r="A118" s="144" t="s">
        <v>816</v>
      </c>
      <c r="B118" s="144" t="s">
        <v>847</v>
      </c>
      <c r="C118" s="144" t="s">
        <v>848</v>
      </c>
      <c r="D118" s="70" t="s">
        <v>3056</v>
      </c>
      <c r="E118" s="70"/>
      <c r="F118" s="70" t="s">
        <v>849</v>
      </c>
      <c r="G118" s="229" t="s">
        <v>850</v>
      </c>
      <c r="H118" s="144" t="s">
        <v>851</v>
      </c>
    </row>
    <row r="119">
      <c r="A119" s="144" t="s">
        <v>816</v>
      </c>
      <c r="B119" s="144" t="s">
        <v>852</v>
      </c>
      <c r="C119" s="144" t="s">
        <v>853</v>
      </c>
      <c r="D119" s="70" t="s">
        <v>3057</v>
      </c>
      <c r="E119" s="70"/>
      <c r="F119" s="70" t="s">
        <v>3058</v>
      </c>
      <c r="G119" s="229" t="s">
        <v>855</v>
      </c>
      <c r="H119" s="144" t="s">
        <v>856</v>
      </c>
    </row>
    <row r="120">
      <c r="A120" s="144" t="s">
        <v>816</v>
      </c>
      <c r="B120" s="144" t="s">
        <v>857</v>
      </c>
      <c r="C120" s="144" t="s">
        <v>858</v>
      </c>
      <c r="D120" s="70" t="s">
        <v>3059</v>
      </c>
      <c r="E120" s="70"/>
      <c r="F120" s="70" t="s">
        <v>859</v>
      </c>
      <c r="G120" s="229" t="s">
        <v>860</v>
      </c>
      <c r="H120" s="144">
        <v>1.3</v>
      </c>
    </row>
    <row r="121">
      <c r="A121" s="144" t="s">
        <v>816</v>
      </c>
      <c r="B121" s="144" t="s">
        <v>871</v>
      </c>
      <c r="C121" s="45" t="s">
        <v>872</v>
      </c>
      <c r="D121" s="65" t="s">
        <v>871</v>
      </c>
      <c r="E121" s="70"/>
      <c r="F121" s="70" t="s">
        <v>873</v>
      </c>
      <c r="G121" s="229" t="s">
        <v>315</v>
      </c>
      <c r="H121" s="255">
        <v>0.95</v>
      </c>
    </row>
    <row r="122">
      <c r="A122" s="144" t="s">
        <v>816</v>
      </c>
      <c r="B122" s="144" t="s">
        <v>874</v>
      </c>
      <c r="C122" s="45" t="s">
        <v>875</v>
      </c>
      <c r="D122" s="65" t="s">
        <v>874</v>
      </c>
      <c r="E122" s="70"/>
      <c r="F122" s="70" t="s">
        <v>876</v>
      </c>
      <c r="G122" s="229" t="s">
        <v>877</v>
      </c>
      <c r="H122" s="144" t="s">
        <v>3060</v>
      </c>
    </row>
    <row r="123">
      <c r="A123" s="144" t="s">
        <v>816</v>
      </c>
      <c r="B123" s="144" t="s">
        <v>878</v>
      </c>
      <c r="C123" s="45" t="s">
        <v>879</v>
      </c>
      <c r="D123" s="45" t="s">
        <v>878</v>
      </c>
      <c r="E123" s="70"/>
      <c r="F123" s="70" t="s">
        <v>880</v>
      </c>
      <c r="G123" s="229" t="s">
        <v>881</v>
      </c>
      <c r="H123" s="144" t="s">
        <v>3061</v>
      </c>
    </row>
    <row r="124">
      <c r="A124" s="144" t="s">
        <v>816</v>
      </c>
      <c r="B124" s="144" t="s">
        <v>886</v>
      </c>
      <c r="C124" s="111" t="s">
        <v>887</v>
      </c>
      <c r="D124" s="135" t="s">
        <v>886</v>
      </c>
      <c r="E124" s="70"/>
      <c r="F124" s="70" t="s">
        <v>888</v>
      </c>
      <c r="G124" s="229" t="s">
        <v>889</v>
      </c>
      <c r="H124" s="144">
        <v>387566.0</v>
      </c>
    </row>
    <row r="125">
      <c r="A125" s="144" t="s">
        <v>816</v>
      </c>
      <c r="B125" s="144" t="s">
        <v>917</v>
      </c>
      <c r="C125" s="111" t="s">
        <v>918</v>
      </c>
      <c r="D125" s="135" t="s">
        <v>917</v>
      </c>
      <c r="E125" s="70"/>
      <c r="F125" s="70" t="s">
        <v>3062</v>
      </c>
      <c r="G125" s="229" t="s">
        <v>889</v>
      </c>
      <c r="H125" s="144">
        <v>38677.0</v>
      </c>
    </row>
    <row r="126">
      <c r="A126" s="144" t="s">
        <v>816</v>
      </c>
      <c r="B126" s="144" t="s">
        <v>923</v>
      </c>
      <c r="C126" s="111" t="s">
        <v>924</v>
      </c>
      <c r="D126" s="65" t="s">
        <v>923</v>
      </c>
      <c r="E126" s="256"/>
      <c r="F126" s="256" t="s">
        <v>925</v>
      </c>
      <c r="G126" s="256" t="s">
        <v>926</v>
      </c>
      <c r="H126" s="256" t="s">
        <v>927</v>
      </c>
    </row>
    <row r="127">
      <c r="A127" s="144" t="s">
        <v>816</v>
      </c>
      <c r="B127" s="144" t="s">
        <v>933</v>
      </c>
      <c r="C127" s="257" t="s">
        <v>934</v>
      </c>
      <c r="D127" s="65" t="s">
        <v>3063</v>
      </c>
      <c r="E127" s="256"/>
      <c r="F127" s="256" t="s">
        <v>935</v>
      </c>
      <c r="G127" s="256" t="s">
        <v>936</v>
      </c>
      <c r="H127" s="258" t="s">
        <v>937</v>
      </c>
    </row>
    <row r="128">
      <c r="A128" s="144" t="s">
        <v>1022</v>
      </c>
      <c r="B128" s="144" t="s">
        <v>3064</v>
      </c>
      <c r="C128" s="144" t="s">
        <v>3065</v>
      </c>
      <c r="D128" s="259" t="s">
        <v>3066</v>
      </c>
      <c r="E128" s="70"/>
      <c r="F128" s="70" t="s">
        <v>1028</v>
      </c>
      <c r="G128" s="229" t="s">
        <v>1029</v>
      </c>
      <c r="H128" s="144" t="s">
        <v>1030</v>
      </c>
    </row>
    <row r="129">
      <c r="A129" s="144" t="s">
        <v>1022</v>
      </c>
      <c r="B129" s="144" t="s">
        <v>3067</v>
      </c>
      <c r="C129" s="144" t="s">
        <v>3068</v>
      </c>
      <c r="D129" s="260" t="s">
        <v>3069</v>
      </c>
      <c r="E129" s="70"/>
      <c r="F129" s="70" t="s">
        <v>3070</v>
      </c>
      <c r="G129" s="229" t="s">
        <v>3071</v>
      </c>
      <c r="H129" s="144">
        <v>21.0</v>
      </c>
    </row>
    <row r="130">
      <c r="A130" s="144" t="s">
        <v>1022</v>
      </c>
      <c r="B130" s="144" t="s">
        <v>3072</v>
      </c>
      <c r="C130" s="144" t="s">
        <v>3073</v>
      </c>
      <c r="D130" s="259" t="s">
        <v>3074</v>
      </c>
      <c r="E130" s="70"/>
      <c r="F130" s="70" t="s">
        <v>1028</v>
      </c>
      <c r="G130" s="229" t="s">
        <v>3075</v>
      </c>
      <c r="H130" s="144" t="s">
        <v>3076</v>
      </c>
    </row>
    <row r="131">
      <c r="A131" s="144" t="s">
        <v>1022</v>
      </c>
      <c r="B131" s="144" t="s">
        <v>3077</v>
      </c>
      <c r="C131" s="144" t="s">
        <v>3078</v>
      </c>
      <c r="D131" s="259" t="s">
        <v>3079</v>
      </c>
      <c r="E131" s="70"/>
      <c r="F131" s="70" t="s">
        <v>3070</v>
      </c>
      <c r="G131" s="229" t="s">
        <v>3080</v>
      </c>
      <c r="H131" s="144">
        <v>36.0</v>
      </c>
    </row>
    <row r="132">
      <c r="A132" s="144" t="s">
        <v>1022</v>
      </c>
      <c r="B132" s="144" t="s">
        <v>3081</v>
      </c>
      <c r="C132" s="144" t="s">
        <v>3082</v>
      </c>
      <c r="D132" s="259" t="s">
        <v>3083</v>
      </c>
      <c r="E132" s="70"/>
      <c r="F132" s="70" t="s">
        <v>1028</v>
      </c>
      <c r="G132" s="229" t="s">
        <v>3075</v>
      </c>
      <c r="H132" s="144" t="s">
        <v>3076</v>
      </c>
    </row>
    <row r="133">
      <c r="A133" s="144" t="s">
        <v>1022</v>
      </c>
      <c r="B133" s="144" t="s">
        <v>3084</v>
      </c>
      <c r="C133" s="144" t="s">
        <v>3085</v>
      </c>
      <c r="D133" s="260" t="s">
        <v>3086</v>
      </c>
      <c r="E133" s="70"/>
      <c r="F133" s="70" t="s">
        <v>3070</v>
      </c>
      <c r="G133" s="229" t="s">
        <v>3080</v>
      </c>
      <c r="H133" s="144">
        <v>30.0</v>
      </c>
    </row>
    <row r="134">
      <c r="A134" s="144" t="s">
        <v>1050</v>
      </c>
      <c r="B134" s="144" t="s">
        <v>1052</v>
      </c>
      <c r="C134" s="144" t="s">
        <v>1053</v>
      </c>
      <c r="D134" s="70" t="s">
        <v>3087</v>
      </c>
      <c r="E134" s="141"/>
      <c r="F134" s="70" t="s">
        <v>1054</v>
      </c>
      <c r="G134" s="229" t="s">
        <v>1055</v>
      </c>
      <c r="H134" s="144" t="s">
        <v>1056</v>
      </c>
    </row>
    <row r="135">
      <c r="A135" s="144" t="s">
        <v>1050</v>
      </c>
      <c r="B135" s="144" t="s">
        <v>3088</v>
      </c>
      <c r="C135" s="144" t="s">
        <v>3089</v>
      </c>
      <c r="D135" s="70" t="s">
        <v>3090</v>
      </c>
      <c r="E135" s="141"/>
      <c r="F135" s="70" t="s">
        <v>3091</v>
      </c>
      <c r="G135" s="229" t="s">
        <v>3092</v>
      </c>
      <c r="H135" s="144" t="s">
        <v>3093</v>
      </c>
    </row>
    <row r="136">
      <c r="D136" s="141"/>
      <c r="E136" s="141"/>
      <c r="F136" s="141"/>
      <c r="G136" s="253"/>
    </row>
    <row r="137">
      <c r="D137" s="141"/>
      <c r="E137" s="141"/>
      <c r="F137" s="141"/>
      <c r="G137" s="253"/>
    </row>
    <row r="138">
      <c r="D138" s="141"/>
      <c r="E138" s="141"/>
      <c r="F138" s="141"/>
      <c r="G138" s="253"/>
    </row>
    <row r="141">
      <c r="A141" s="231"/>
    </row>
    <row r="159">
      <c r="B159" s="135"/>
    </row>
    <row r="166">
      <c r="D166" s="141"/>
      <c r="E166" s="141"/>
      <c r="F166" s="141"/>
      <c r="G166" s="253"/>
    </row>
    <row r="167">
      <c r="D167" s="141"/>
      <c r="E167" s="141"/>
      <c r="F167" s="141"/>
      <c r="G167" s="253"/>
    </row>
    <row r="168">
      <c r="D168" s="141"/>
      <c r="E168" s="141"/>
      <c r="F168" s="141"/>
      <c r="G168" s="253"/>
    </row>
    <row r="169">
      <c r="D169" s="141"/>
      <c r="E169" s="141"/>
      <c r="F169" s="141"/>
      <c r="G169" s="253"/>
    </row>
    <row r="170">
      <c r="B170" s="252"/>
      <c r="D170" s="141"/>
      <c r="E170" s="141"/>
      <c r="F170" s="141"/>
      <c r="G170" s="253"/>
    </row>
    <row r="171">
      <c r="D171" s="141"/>
      <c r="E171" s="141"/>
      <c r="F171" s="141"/>
      <c r="G171" s="253"/>
    </row>
    <row r="172">
      <c r="D172" s="141"/>
      <c r="E172" s="141"/>
      <c r="F172" s="141"/>
      <c r="G172" s="253"/>
    </row>
    <row r="173">
      <c r="D173" s="141"/>
      <c r="E173" s="141"/>
      <c r="F173" s="141"/>
      <c r="G173" s="253"/>
    </row>
    <row r="174">
      <c r="D174" s="141"/>
      <c r="E174" s="141"/>
      <c r="F174" s="141"/>
      <c r="G174" s="253"/>
    </row>
    <row r="175">
      <c r="D175" s="141"/>
      <c r="E175" s="141"/>
      <c r="F175" s="141"/>
      <c r="G175" s="253"/>
    </row>
    <row r="176">
      <c r="D176" s="141"/>
      <c r="E176" s="141"/>
      <c r="F176" s="141"/>
      <c r="G176" s="253"/>
    </row>
    <row r="177">
      <c r="D177" s="141"/>
      <c r="E177" s="141"/>
      <c r="F177" s="141"/>
      <c r="G177" s="253"/>
    </row>
    <row r="178">
      <c r="D178" s="141"/>
      <c r="E178" s="141"/>
      <c r="F178" s="141"/>
      <c r="G178" s="253"/>
    </row>
    <row r="179">
      <c r="D179" s="141"/>
      <c r="E179" s="141"/>
      <c r="F179" s="141"/>
      <c r="G179" s="253"/>
    </row>
    <row r="180">
      <c r="D180" s="141"/>
      <c r="E180" s="141"/>
      <c r="F180" s="141"/>
      <c r="G180" s="253"/>
    </row>
    <row r="181">
      <c r="D181" s="141"/>
      <c r="E181" s="141"/>
      <c r="F181" s="141"/>
      <c r="G181" s="253"/>
    </row>
    <row r="182">
      <c r="D182" s="141"/>
      <c r="E182" s="141"/>
      <c r="F182" s="141"/>
      <c r="G182" s="253"/>
    </row>
    <row r="183">
      <c r="D183" s="141"/>
      <c r="E183" s="141"/>
      <c r="F183" s="141"/>
      <c r="G183" s="253"/>
    </row>
    <row r="184">
      <c r="D184" s="141"/>
      <c r="E184" s="141"/>
      <c r="F184" s="141"/>
      <c r="G184" s="253"/>
    </row>
    <row r="185">
      <c r="D185" s="141"/>
      <c r="E185" s="141"/>
      <c r="F185" s="141"/>
      <c r="G185" s="253"/>
    </row>
    <row r="186">
      <c r="D186" s="141"/>
      <c r="E186" s="141"/>
      <c r="F186" s="141"/>
      <c r="G186" s="253"/>
    </row>
    <row r="187">
      <c r="D187" s="141"/>
      <c r="E187" s="141"/>
      <c r="F187" s="141"/>
      <c r="G187" s="253"/>
    </row>
    <row r="188">
      <c r="D188" s="141"/>
      <c r="E188" s="141"/>
      <c r="F188" s="141"/>
      <c r="G188" s="253"/>
    </row>
    <row r="189">
      <c r="D189" s="141"/>
      <c r="E189" s="141"/>
      <c r="F189" s="141"/>
      <c r="G189" s="253"/>
    </row>
    <row r="190">
      <c r="D190" s="141"/>
      <c r="E190" s="141"/>
      <c r="F190" s="141"/>
      <c r="G190" s="253"/>
    </row>
    <row r="191">
      <c r="D191" s="141"/>
      <c r="E191" s="141"/>
      <c r="F191" s="141"/>
      <c r="G191" s="253"/>
    </row>
    <row r="192">
      <c r="D192" s="141"/>
      <c r="E192" s="141"/>
      <c r="F192" s="141"/>
      <c r="G192" s="253"/>
    </row>
    <row r="193">
      <c r="D193" s="141"/>
      <c r="E193" s="141"/>
      <c r="F193" s="141"/>
      <c r="G193" s="253"/>
    </row>
    <row r="194">
      <c r="D194" s="141"/>
      <c r="E194" s="141"/>
      <c r="F194" s="141"/>
      <c r="G194" s="253"/>
    </row>
    <row r="195">
      <c r="D195" s="141"/>
      <c r="E195" s="141"/>
      <c r="F195" s="141"/>
      <c r="G195" s="253"/>
    </row>
    <row r="196">
      <c r="D196" s="141"/>
      <c r="E196" s="141"/>
      <c r="F196" s="141"/>
      <c r="G196" s="253"/>
    </row>
    <row r="197">
      <c r="D197" s="141"/>
      <c r="E197" s="141"/>
      <c r="F197" s="141"/>
      <c r="G197" s="253"/>
    </row>
    <row r="198">
      <c r="D198" s="141"/>
      <c r="E198" s="141"/>
      <c r="F198" s="141"/>
      <c r="G198" s="253"/>
    </row>
    <row r="199">
      <c r="D199" s="141"/>
      <c r="E199" s="141"/>
      <c r="F199" s="141"/>
      <c r="G199" s="253"/>
    </row>
    <row r="200">
      <c r="D200" s="141"/>
      <c r="E200" s="141"/>
      <c r="F200" s="141"/>
      <c r="G200" s="253"/>
    </row>
    <row r="201">
      <c r="D201" s="141"/>
      <c r="E201" s="141"/>
      <c r="F201" s="141"/>
      <c r="G201" s="253"/>
    </row>
    <row r="202">
      <c r="D202" s="141"/>
      <c r="E202" s="141"/>
      <c r="F202" s="141"/>
      <c r="G202" s="253"/>
    </row>
    <row r="203">
      <c r="D203" s="141"/>
      <c r="E203" s="141"/>
      <c r="F203" s="141"/>
      <c r="G203" s="253"/>
    </row>
    <row r="204">
      <c r="D204" s="141"/>
      <c r="E204" s="141"/>
      <c r="F204" s="141"/>
      <c r="G204" s="253"/>
    </row>
    <row r="205">
      <c r="D205" s="141"/>
      <c r="E205" s="141"/>
      <c r="F205" s="141"/>
      <c r="G205" s="253"/>
    </row>
    <row r="206">
      <c r="D206" s="141"/>
      <c r="E206" s="141"/>
      <c r="F206" s="141"/>
      <c r="G206" s="253"/>
    </row>
    <row r="207">
      <c r="D207" s="141"/>
      <c r="E207" s="141"/>
      <c r="F207" s="141"/>
      <c r="G207" s="253"/>
    </row>
    <row r="208">
      <c r="D208" s="141"/>
      <c r="E208" s="141"/>
      <c r="F208" s="141"/>
      <c r="G208" s="253"/>
    </row>
    <row r="209">
      <c r="D209" s="141"/>
      <c r="E209" s="141"/>
      <c r="F209" s="141"/>
      <c r="G209" s="253"/>
    </row>
    <row r="210">
      <c r="D210" s="141"/>
      <c r="E210" s="141"/>
      <c r="F210" s="141"/>
      <c r="G210" s="253"/>
    </row>
    <row r="211">
      <c r="D211" s="141"/>
      <c r="E211" s="141"/>
      <c r="F211" s="141"/>
      <c r="G211" s="253"/>
    </row>
    <row r="212">
      <c r="D212" s="141"/>
      <c r="E212" s="141"/>
      <c r="F212" s="141"/>
      <c r="G212" s="253"/>
    </row>
    <row r="213">
      <c r="D213" s="141"/>
      <c r="E213" s="141"/>
      <c r="F213" s="141"/>
      <c r="G213" s="253"/>
    </row>
    <row r="214">
      <c r="D214" s="141"/>
      <c r="E214" s="141"/>
      <c r="F214" s="141"/>
      <c r="G214" s="253"/>
    </row>
    <row r="215">
      <c r="D215" s="141"/>
      <c r="E215" s="141"/>
      <c r="F215" s="141"/>
      <c r="G215" s="253"/>
    </row>
    <row r="216">
      <c r="D216" s="141"/>
      <c r="E216" s="141"/>
      <c r="F216" s="141"/>
      <c r="G216" s="253"/>
    </row>
    <row r="217">
      <c r="D217" s="141"/>
      <c r="E217" s="141"/>
      <c r="F217" s="141"/>
      <c r="G217" s="253"/>
    </row>
    <row r="218">
      <c r="D218" s="141"/>
      <c r="E218" s="141"/>
      <c r="F218" s="141"/>
      <c r="G218" s="253"/>
    </row>
    <row r="219">
      <c r="D219" s="141"/>
      <c r="E219" s="141"/>
      <c r="F219" s="141"/>
      <c r="G219" s="253"/>
    </row>
    <row r="220">
      <c r="D220" s="141"/>
      <c r="E220" s="141"/>
      <c r="F220" s="141"/>
      <c r="G220" s="253"/>
    </row>
    <row r="221">
      <c r="D221" s="141"/>
      <c r="E221" s="141"/>
      <c r="F221" s="141"/>
      <c r="G221" s="253"/>
    </row>
    <row r="222">
      <c r="D222" s="141"/>
      <c r="E222" s="141"/>
      <c r="F222" s="141"/>
      <c r="G222" s="253"/>
    </row>
    <row r="223">
      <c r="D223" s="141"/>
      <c r="E223" s="141"/>
      <c r="F223" s="141"/>
      <c r="G223" s="253"/>
    </row>
    <row r="224">
      <c r="D224" s="141"/>
      <c r="E224" s="141"/>
      <c r="F224" s="141"/>
      <c r="G224" s="253"/>
    </row>
    <row r="225">
      <c r="D225" s="141"/>
      <c r="E225" s="141"/>
      <c r="F225" s="141"/>
      <c r="G225" s="253"/>
    </row>
    <row r="226">
      <c r="D226" s="141"/>
      <c r="E226" s="141"/>
      <c r="F226" s="141"/>
      <c r="G226" s="253"/>
    </row>
    <row r="227">
      <c r="D227" s="141"/>
      <c r="E227" s="141"/>
      <c r="F227" s="141"/>
      <c r="G227" s="253"/>
    </row>
    <row r="228">
      <c r="D228" s="141"/>
      <c r="E228" s="141"/>
      <c r="F228" s="141"/>
      <c r="G228" s="253"/>
    </row>
    <row r="229">
      <c r="D229" s="141"/>
      <c r="E229" s="141"/>
      <c r="F229" s="141"/>
      <c r="G229" s="253"/>
    </row>
    <row r="230">
      <c r="D230" s="141"/>
      <c r="E230" s="141"/>
      <c r="F230" s="141"/>
      <c r="G230" s="253"/>
    </row>
    <row r="231">
      <c r="D231" s="141"/>
      <c r="E231" s="141"/>
      <c r="F231" s="141"/>
      <c r="G231" s="253"/>
    </row>
    <row r="232">
      <c r="D232" s="141"/>
      <c r="E232" s="141"/>
      <c r="F232" s="141"/>
      <c r="G232" s="253"/>
    </row>
    <row r="233">
      <c r="D233" s="141"/>
      <c r="E233" s="141"/>
      <c r="F233" s="141"/>
      <c r="G233" s="253"/>
    </row>
    <row r="234">
      <c r="D234" s="141"/>
      <c r="E234" s="141"/>
      <c r="F234" s="141"/>
      <c r="G234" s="253"/>
    </row>
    <row r="235">
      <c r="D235" s="141"/>
      <c r="E235" s="141"/>
      <c r="F235" s="141"/>
      <c r="G235" s="253"/>
    </row>
    <row r="236">
      <c r="D236" s="141"/>
      <c r="E236" s="141"/>
      <c r="F236" s="141"/>
      <c r="G236" s="253"/>
    </row>
    <row r="237">
      <c r="D237" s="141"/>
      <c r="E237" s="141"/>
      <c r="F237" s="141"/>
      <c r="G237" s="253"/>
    </row>
    <row r="238">
      <c r="D238" s="141"/>
      <c r="E238" s="141"/>
      <c r="F238" s="141"/>
      <c r="G238" s="253"/>
    </row>
    <row r="239">
      <c r="D239" s="141"/>
      <c r="E239" s="141"/>
      <c r="F239" s="141"/>
      <c r="G239" s="253"/>
    </row>
    <row r="240">
      <c r="D240" s="141"/>
      <c r="E240" s="141"/>
      <c r="F240" s="141"/>
      <c r="G240" s="253"/>
    </row>
    <row r="241">
      <c r="D241" s="141"/>
      <c r="E241" s="141"/>
      <c r="F241" s="141"/>
      <c r="G241" s="253"/>
    </row>
    <row r="242">
      <c r="D242" s="141"/>
      <c r="E242" s="141"/>
      <c r="F242" s="141"/>
      <c r="G242" s="253"/>
    </row>
    <row r="243">
      <c r="D243" s="141"/>
      <c r="E243" s="141"/>
      <c r="F243" s="141"/>
      <c r="G243" s="253"/>
    </row>
    <row r="244">
      <c r="D244" s="141"/>
      <c r="E244" s="141"/>
      <c r="F244" s="141"/>
      <c r="G244" s="253"/>
    </row>
    <row r="245">
      <c r="D245" s="141"/>
      <c r="E245" s="141"/>
      <c r="F245" s="141"/>
      <c r="G245" s="253"/>
    </row>
    <row r="246">
      <c r="D246" s="141"/>
      <c r="E246" s="141"/>
      <c r="F246" s="141"/>
      <c r="G246" s="253"/>
    </row>
    <row r="247">
      <c r="D247" s="141"/>
      <c r="E247" s="141"/>
      <c r="F247" s="141"/>
      <c r="G247" s="253"/>
    </row>
    <row r="248">
      <c r="D248" s="141"/>
      <c r="E248" s="141"/>
      <c r="F248" s="141"/>
      <c r="G248" s="253"/>
    </row>
    <row r="249">
      <c r="D249" s="141"/>
      <c r="E249" s="141"/>
      <c r="F249" s="141"/>
      <c r="G249" s="253"/>
    </row>
    <row r="250">
      <c r="D250" s="141"/>
      <c r="E250" s="141"/>
      <c r="F250" s="141"/>
      <c r="G250" s="253"/>
    </row>
    <row r="251">
      <c r="D251" s="141"/>
      <c r="E251" s="141"/>
      <c r="F251" s="141"/>
      <c r="G251" s="253"/>
    </row>
    <row r="252">
      <c r="D252" s="141"/>
      <c r="E252" s="141"/>
      <c r="F252" s="141"/>
      <c r="G252" s="253"/>
    </row>
    <row r="253">
      <c r="D253" s="141"/>
      <c r="E253" s="141"/>
      <c r="F253" s="141"/>
      <c r="G253" s="253"/>
    </row>
    <row r="254">
      <c r="D254" s="141"/>
      <c r="E254" s="141"/>
      <c r="F254" s="141"/>
      <c r="G254" s="253"/>
    </row>
    <row r="255">
      <c r="D255" s="141"/>
      <c r="E255" s="141"/>
      <c r="F255" s="141"/>
      <c r="G255" s="253"/>
    </row>
    <row r="256">
      <c r="D256" s="141"/>
      <c r="E256" s="141"/>
      <c r="F256" s="141"/>
      <c r="G256" s="253"/>
    </row>
    <row r="257">
      <c r="D257" s="141"/>
      <c r="E257" s="141"/>
      <c r="F257" s="141"/>
      <c r="G257" s="253"/>
    </row>
    <row r="258">
      <c r="D258" s="141"/>
      <c r="E258" s="141"/>
      <c r="F258" s="141"/>
      <c r="G258" s="253"/>
    </row>
    <row r="259">
      <c r="D259" s="141"/>
      <c r="E259" s="141"/>
      <c r="F259" s="141"/>
      <c r="G259" s="253"/>
    </row>
    <row r="260">
      <c r="D260" s="141"/>
      <c r="E260" s="141"/>
      <c r="F260" s="141"/>
      <c r="G260" s="253"/>
    </row>
    <row r="261">
      <c r="D261" s="141"/>
      <c r="E261" s="141"/>
      <c r="F261" s="141"/>
      <c r="G261" s="253"/>
    </row>
    <row r="262">
      <c r="D262" s="141"/>
      <c r="E262" s="141"/>
      <c r="F262" s="141"/>
      <c r="G262" s="253"/>
    </row>
    <row r="263">
      <c r="D263" s="141"/>
      <c r="E263" s="141"/>
      <c r="F263" s="141"/>
      <c r="G263" s="253"/>
    </row>
    <row r="264">
      <c r="D264" s="141"/>
      <c r="E264" s="141"/>
      <c r="F264" s="141"/>
      <c r="G264" s="253"/>
    </row>
    <row r="265">
      <c r="D265" s="141"/>
      <c r="E265" s="141"/>
      <c r="F265" s="141"/>
      <c r="G265" s="253"/>
    </row>
    <row r="266">
      <c r="D266" s="141"/>
      <c r="E266" s="141"/>
      <c r="F266" s="141"/>
      <c r="G266" s="253"/>
    </row>
    <row r="267">
      <c r="D267" s="141"/>
      <c r="E267" s="141"/>
      <c r="F267" s="141"/>
      <c r="G267" s="253"/>
    </row>
    <row r="268">
      <c r="D268" s="141"/>
      <c r="E268" s="141"/>
      <c r="F268" s="141"/>
      <c r="G268" s="253"/>
    </row>
    <row r="269">
      <c r="D269" s="141"/>
      <c r="E269" s="141"/>
      <c r="F269" s="141"/>
      <c r="G269" s="253"/>
    </row>
    <row r="270">
      <c r="D270" s="141"/>
      <c r="E270" s="141"/>
      <c r="F270" s="141"/>
      <c r="G270" s="253"/>
    </row>
    <row r="271">
      <c r="D271" s="141"/>
      <c r="E271" s="141"/>
      <c r="F271" s="141"/>
      <c r="G271" s="253"/>
    </row>
    <row r="272">
      <c r="D272" s="141"/>
      <c r="E272" s="141"/>
      <c r="F272" s="141"/>
      <c r="G272" s="253"/>
    </row>
    <row r="273">
      <c r="D273" s="141"/>
      <c r="E273" s="141"/>
      <c r="F273" s="141"/>
      <c r="G273" s="253"/>
    </row>
    <row r="274">
      <c r="D274" s="141"/>
      <c r="E274" s="141"/>
      <c r="F274" s="141"/>
      <c r="G274" s="253"/>
    </row>
    <row r="275">
      <c r="D275" s="141"/>
      <c r="E275" s="141"/>
      <c r="F275" s="141"/>
      <c r="G275" s="253"/>
    </row>
    <row r="276">
      <c r="D276" s="141"/>
      <c r="E276" s="141"/>
      <c r="F276" s="141"/>
      <c r="G276" s="253"/>
    </row>
    <row r="277">
      <c r="D277" s="141"/>
      <c r="E277" s="141"/>
      <c r="F277" s="141"/>
      <c r="G277" s="253"/>
    </row>
    <row r="278">
      <c r="D278" s="141"/>
      <c r="E278" s="141"/>
      <c r="F278" s="141"/>
      <c r="G278" s="253"/>
    </row>
    <row r="279">
      <c r="D279" s="141"/>
      <c r="E279" s="141"/>
      <c r="F279" s="141"/>
      <c r="G279" s="253"/>
    </row>
    <row r="280">
      <c r="D280" s="141"/>
      <c r="E280" s="141"/>
      <c r="F280" s="141"/>
      <c r="G280" s="253"/>
    </row>
    <row r="281">
      <c r="D281" s="141"/>
      <c r="E281" s="141"/>
      <c r="F281" s="141"/>
      <c r="G281" s="253"/>
    </row>
    <row r="282">
      <c r="D282" s="141"/>
      <c r="E282" s="141"/>
      <c r="F282" s="141"/>
      <c r="G282" s="253"/>
    </row>
    <row r="283">
      <c r="D283" s="141"/>
      <c r="E283" s="141"/>
      <c r="F283" s="141"/>
      <c r="G283" s="253"/>
    </row>
    <row r="284">
      <c r="D284" s="141"/>
      <c r="E284" s="141"/>
      <c r="F284" s="141"/>
      <c r="G284" s="253"/>
    </row>
    <row r="285">
      <c r="D285" s="141"/>
      <c r="E285" s="141"/>
      <c r="F285" s="141"/>
      <c r="G285" s="253"/>
    </row>
    <row r="286">
      <c r="D286" s="141"/>
      <c r="E286" s="141"/>
      <c r="F286" s="141"/>
      <c r="G286" s="253"/>
    </row>
    <row r="287">
      <c r="D287" s="141"/>
      <c r="E287" s="141"/>
      <c r="F287" s="141"/>
      <c r="G287" s="253"/>
    </row>
    <row r="288">
      <c r="D288" s="141"/>
      <c r="E288" s="141"/>
      <c r="F288" s="141"/>
      <c r="G288" s="253"/>
    </row>
    <row r="289">
      <c r="D289" s="141"/>
      <c r="E289" s="141"/>
      <c r="F289" s="141"/>
      <c r="G289" s="253"/>
    </row>
    <row r="290">
      <c r="D290" s="141"/>
      <c r="E290" s="141"/>
      <c r="F290" s="141"/>
      <c r="G290" s="253"/>
    </row>
    <row r="291">
      <c r="D291" s="141"/>
      <c r="E291" s="141"/>
      <c r="F291" s="141"/>
      <c r="G291" s="253"/>
    </row>
    <row r="292">
      <c r="D292" s="141"/>
      <c r="E292" s="141"/>
      <c r="F292" s="141"/>
      <c r="G292" s="253"/>
    </row>
    <row r="293">
      <c r="D293" s="141"/>
      <c r="E293" s="141"/>
      <c r="F293" s="141"/>
      <c r="G293" s="253"/>
    </row>
    <row r="294">
      <c r="D294" s="141"/>
      <c r="E294" s="141"/>
      <c r="F294" s="141"/>
      <c r="G294" s="253"/>
    </row>
    <row r="295">
      <c r="D295" s="141"/>
      <c r="E295" s="141"/>
      <c r="F295" s="141"/>
      <c r="G295" s="253"/>
    </row>
    <row r="296">
      <c r="D296" s="141"/>
      <c r="E296" s="141"/>
      <c r="F296" s="141"/>
      <c r="G296" s="253"/>
    </row>
    <row r="297">
      <c r="D297" s="141"/>
      <c r="E297" s="141"/>
      <c r="F297" s="141"/>
      <c r="G297" s="253"/>
    </row>
    <row r="298">
      <c r="D298" s="141"/>
      <c r="E298" s="141"/>
      <c r="F298" s="141"/>
      <c r="G298" s="253"/>
    </row>
    <row r="299">
      <c r="D299" s="141"/>
      <c r="E299" s="141"/>
      <c r="F299" s="141"/>
      <c r="G299" s="253"/>
    </row>
    <row r="300">
      <c r="D300" s="141"/>
      <c r="E300" s="141"/>
      <c r="F300" s="141"/>
      <c r="G300" s="253"/>
    </row>
    <row r="301">
      <c r="D301" s="141"/>
      <c r="E301" s="141"/>
      <c r="F301" s="141"/>
      <c r="G301" s="253"/>
    </row>
    <row r="302">
      <c r="D302" s="141"/>
      <c r="E302" s="141"/>
      <c r="F302" s="141"/>
      <c r="G302" s="253"/>
    </row>
    <row r="303">
      <c r="D303" s="141"/>
      <c r="E303" s="141"/>
      <c r="F303" s="141"/>
      <c r="G303" s="253"/>
    </row>
    <row r="304">
      <c r="D304" s="141"/>
      <c r="E304" s="141"/>
      <c r="F304" s="141"/>
      <c r="G304" s="253"/>
    </row>
    <row r="305">
      <c r="D305" s="141"/>
      <c r="E305" s="141"/>
      <c r="F305" s="141"/>
      <c r="G305" s="253"/>
    </row>
    <row r="306">
      <c r="D306" s="141"/>
      <c r="E306" s="141"/>
      <c r="F306" s="141"/>
      <c r="G306" s="253"/>
    </row>
    <row r="307">
      <c r="D307" s="141"/>
      <c r="E307" s="141"/>
      <c r="F307" s="141"/>
      <c r="G307" s="253"/>
    </row>
    <row r="308">
      <c r="D308" s="141"/>
      <c r="E308" s="141"/>
      <c r="F308" s="141"/>
      <c r="G308" s="253"/>
    </row>
    <row r="309">
      <c r="D309" s="141"/>
      <c r="E309" s="141"/>
      <c r="F309" s="141"/>
      <c r="G309" s="253"/>
    </row>
    <row r="310">
      <c r="D310" s="141"/>
      <c r="E310" s="141"/>
      <c r="F310" s="141"/>
      <c r="G310" s="253"/>
    </row>
    <row r="311">
      <c r="D311" s="141"/>
      <c r="E311" s="141"/>
      <c r="F311" s="141"/>
      <c r="G311" s="253"/>
    </row>
    <row r="312">
      <c r="D312" s="141"/>
      <c r="E312" s="141"/>
      <c r="F312" s="141"/>
      <c r="G312" s="253"/>
    </row>
    <row r="313">
      <c r="D313" s="141"/>
      <c r="E313" s="141"/>
      <c r="F313" s="141"/>
      <c r="G313" s="253"/>
    </row>
    <row r="314">
      <c r="D314" s="141"/>
      <c r="E314" s="141"/>
      <c r="F314" s="141"/>
      <c r="G314" s="253"/>
    </row>
    <row r="315">
      <c r="D315" s="141"/>
      <c r="E315" s="141"/>
      <c r="F315" s="141"/>
      <c r="G315" s="253"/>
    </row>
    <row r="316">
      <c r="D316" s="141"/>
      <c r="E316" s="141"/>
      <c r="F316" s="141"/>
      <c r="G316" s="253"/>
    </row>
    <row r="317">
      <c r="D317" s="141"/>
      <c r="E317" s="141"/>
      <c r="F317" s="141"/>
      <c r="G317" s="253"/>
    </row>
    <row r="318">
      <c r="D318" s="141"/>
      <c r="E318" s="141"/>
      <c r="F318" s="141"/>
      <c r="G318" s="253"/>
    </row>
    <row r="319">
      <c r="D319" s="141"/>
      <c r="E319" s="141"/>
      <c r="F319" s="141"/>
      <c r="G319" s="253"/>
    </row>
    <row r="320">
      <c r="D320" s="141"/>
      <c r="E320" s="141"/>
      <c r="F320" s="141"/>
      <c r="G320" s="253"/>
    </row>
    <row r="321">
      <c r="D321" s="141"/>
      <c r="E321" s="141"/>
      <c r="F321" s="141"/>
      <c r="G321" s="253"/>
    </row>
    <row r="322">
      <c r="D322" s="141"/>
      <c r="E322" s="141"/>
      <c r="F322" s="141"/>
      <c r="G322" s="253"/>
    </row>
    <row r="323">
      <c r="D323" s="141"/>
      <c r="E323" s="141"/>
      <c r="F323" s="141"/>
      <c r="G323" s="253"/>
    </row>
    <row r="324">
      <c r="D324" s="141"/>
      <c r="E324" s="141"/>
      <c r="F324" s="141"/>
      <c r="G324" s="253"/>
    </row>
    <row r="325">
      <c r="D325" s="141"/>
      <c r="E325" s="141"/>
      <c r="F325" s="141"/>
      <c r="G325" s="253"/>
    </row>
    <row r="326">
      <c r="D326" s="141"/>
      <c r="E326" s="141"/>
      <c r="F326" s="141"/>
      <c r="G326" s="253"/>
    </row>
    <row r="327">
      <c r="D327" s="141"/>
      <c r="E327" s="141"/>
      <c r="F327" s="141"/>
      <c r="G327" s="253"/>
    </row>
    <row r="328">
      <c r="D328" s="141"/>
      <c r="E328" s="141"/>
      <c r="F328" s="141"/>
      <c r="G328" s="253"/>
    </row>
    <row r="329">
      <c r="D329" s="141"/>
      <c r="E329" s="141"/>
      <c r="F329" s="141"/>
      <c r="G329" s="253"/>
    </row>
    <row r="330">
      <c r="D330" s="141"/>
      <c r="E330" s="141"/>
      <c r="F330" s="141"/>
      <c r="G330" s="253"/>
    </row>
    <row r="331">
      <c r="D331" s="141"/>
      <c r="E331" s="141"/>
      <c r="F331" s="141"/>
      <c r="G331" s="253"/>
    </row>
    <row r="332">
      <c r="D332" s="141"/>
      <c r="E332" s="141"/>
      <c r="F332" s="141"/>
      <c r="G332" s="253"/>
    </row>
    <row r="333">
      <c r="D333" s="141"/>
      <c r="E333" s="141"/>
      <c r="F333" s="141"/>
      <c r="G333" s="253"/>
    </row>
    <row r="334">
      <c r="D334" s="141"/>
      <c r="E334" s="141"/>
      <c r="F334" s="141"/>
      <c r="G334" s="253"/>
    </row>
    <row r="335">
      <c r="D335" s="141"/>
      <c r="E335" s="141"/>
      <c r="F335" s="141"/>
      <c r="G335" s="253"/>
    </row>
    <row r="336">
      <c r="D336" s="141"/>
      <c r="E336" s="141"/>
      <c r="F336" s="141"/>
      <c r="G336" s="253"/>
    </row>
    <row r="337">
      <c r="D337" s="141"/>
      <c r="E337" s="141"/>
      <c r="F337" s="141"/>
      <c r="G337" s="253"/>
    </row>
    <row r="338">
      <c r="D338" s="141"/>
      <c r="E338" s="141"/>
      <c r="F338" s="141"/>
      <c r="G338" s="253"/>
    </row>
    <row r="339">
      <c r="D339" s="141"/>
      <c r="E339" s="141"/>
      <c r="F339" s="141"/>
      <c r="G339" s="253"/>
    </row>
    <row r="340">
      <c r="D340" s="141"/>
      <c r="E340" s="141"/>
      <c r="F340" s="141"/>
      <c r="G340" s="253"/>
    </row>
    <row r="341">
      <c r="D341" s="141"/>
      <c r="E341" s="141"/>
      <c r="F341" s="141"/>
      <c r="G341" s="253"/>
    </row>
    <row r="342">
      <c r="D342" s="141"/>
      <c r="E342" s="141"/>
      <c r="F342" s="141"/>
      <c r="G342" s="253"/>
    </row>
    <row r="343">
      <c r="D343" s="141"/>
      <c r="E343" s="141"/>
      <c r="F343" s="141"/>
      <c r="G343" s="253"/>
    </row>
    <row r="344">
      <c r="D344" s="141"/>
      <c r="E344" s="141"/>
      <c r="F344" s="141"/>
      <c r="G344" s="253"/>
    </row>
    <row r="345">
      <c r="D345" s="141"/>
      <c r="E345" s="141"/>
      <c r="F345" s="141"/>
      <c r="G345" s="253"/>
    </row>
    <row r="346">
      <c r="D346" s="141"/>
      <c r="E346" s="141"/>
      <c r="F346" s="141"/>
      <c r="G346" s="253"/>
    </row>
    <row r="347">
      <c r="D347" s="141"/>
      <c r="E347" s="141"/>
      <c r="F347" s="141"/>
      <c r="G347" s="253"/>
    </row>
    <row r="348">
      <c r="D348" s="141"/>
      <c r="E348" s="141"/>
      <c r="F348" s="141"/>
      <c r="G348" s="253"/>
    </row>
    <row r="349">
      <c r="D349" s="141"/>
      <c r="E349" s="141"/>
      <c r="F349" s="141"/>
      <c r="G349" s="253"/>
    </row>
    <row r="350">
      <c r="D350" s="141"/>
      <c r="E350" s="141"/>
      <c r="F350" s="141"/>
      <c r="G350" s="253"/>
    </row>
    <row r="351">
      <c r="D351" s="141"/>
      <c r="E351" s="141"/>
      <c r="F351" s="141"/>
      <c r="G351" s="253"/>
    </row>
    <row r="352">
      <c r="D352" s="141"/>
      <c r="E352" s="141"/>
      <c r="F352" s="141"/>
      <c r="G352" s="253"/>
    </row>
    <row r="353">
      <c r="D353" s="141"/>
      <c r="E353" s="141"/>
      <c r="F353" s="141"/>
      <c r="G353" s="253"/>
    </row>
    <row r="354">
      <c r="D354" s="141"/>
      <c r="E354" s="141"/>
      <c r="F354" s="141"/>
      <c r="G354" s="253"/>
    </row>
    <row r="355">
      <c r="D355" s="141"/>
      <c r="E355" s="141"/>
      <c r="F355" s="141"/>
      <c r="G355" s="253"/>
    </row>
    <row r="356">
      <c r="D356" s="141"/>
      <c r="E356" s="141"/>
      <c r="F356" s="141"/>
      <c r="G356" s="253"/>
    </row>
    <row r="357">
      <c r="D357" s="141"/>
      <c r="E357" s="141"/>
      <c r="F357" s="141"/>
      <c r="G357" s="253"/>
    </row>
    <row r="358">
      <c r="D358" s="141"/>
      <c r="E358" s="141"/>
      <c r="F358" s="141"/>
      <c r="G358" s="253"/>
    </row>
    <row r="359">
      <c r="D359" s="141"/>
      <c r="E359" s="141"/>
      <c r="F359" s="141"/>
      <c r="G359" s="253"/>
    </row>
    <row r="360">
      <c r="D360" s="141"/>
      <c r="E360" s="141"/>
      <c r="F360" s="141"/>
      <c r="G360" s="253"/>
    </row>
    <row r="361">
      <c r="D361" s="141"/>
      <c r="E361" s="141"/>
      <c r="F361" s="141"/>
      <c r="G361" s="253"/>
    </row>
    <row r="362">
      <c r="D362" s="141"/>
      <c r="E362" s="141"/>
      <c r="F362" s="141"/>
      <c r="G362" s="253"/>
    </row>
    <row r="363">
      <c r="D363" s="141"/>
      <c r="E363" s="141"/>
      <c r="F363" s="141"/>
      <c r="G363" s="253"/>
    </row>
    <row r="364">
      <c r="D364" s="141"/>
      <c r="E364" s="141"/>
      <c r="F364" s="141"/>
      <c r="G364" s="253"/>
    </row>
    <row r="365">
      <c r="D365" s="141"/>
      <c r="E365" s="141"/>
      <c r="F365" s="141"/>
      <c r="G365" s="253"/>
    </row>
    <row r="366">
      <c r="D366" s="141"/>
      <c r="E366" s="141"/>
      <c r="F366" s="141"/>
      <c r="G366" s="253"/>
    </row>
    <row r="367">
      <c r="D367" s="141"/>
      <c r="E367" s="141"/>
      <c r="F367" s="141"/>
      <c r="G367" s="253"/>
    </row>
    <row r="368">
      <c r="D368" s="141"/>
      <c r="E368" s="141"/>
      <c r="F368" s="141"/>
      <c r="G368" s="253"/>
    </row>
    <row r="369">
      <c r="D369" s="141"/>
      <c r="E369" s="141"/>
      <c r="F369" s="141"/>
      <c r="G369" s="253"/>
    </row>
    <row r="370">
      <c r="D370" s="141"/>
      <c r="E370" s="141"/>
      <c r="F370" s="141"/>
      <c r="G370" s="253"/>
    </row>
    <row r="371">
      <c r="D371" s="141"/>
      <c r="E371" s="141"/>
      <c r="F371" s="141"/>
      <c r="G371" s="253"/>
    </row>
    <row r="372">
      <c r="D372" s="141"/>
      <c r="E372" s="141"/>
      <c r="F372" s="141"/>
      <c r="G372" s="253"/>
    </row>
    <row r="373">
      <c r="D373" s="141"/>
      <c r="E373" s="141"/>
      <c r="F373" s="141"/>
      <c r="G373" s="253"/>
    </row>
    <row r="374">
      <c r="D374" s="141"/>
      <c r="E374" s="141"/>
      <c r="F374" s="141"/>
      <c r="G374" s="253"/>
    </row>
    <row r="375">
      <c r="D375" s="141"/>
      <c r="E375" s="141"/>
      <c r="F375" s="141"/>
      <c r="G375" s="253"/>
    </row>
    <row r="376">
      <c r="D376" s="141"/>
      <c r="E376" s="141"/>
      <c r="F376" s="141"/>
      <c r="G376" s="253"/>
    </row>
    <row r="377">
      <c r="D377" s="141"/>
      <c r="E377" s="141"/>
      <c r="F377" s="141"/>
      <c r="G377" s="253"/>
    </row>
    <row r="378">
      <c r="D378" s="141"/>
      <c r="E378" s="141"/>
      <c r="F378" s="141"/>
      <c r="G378" s="253"/>
    </row>
    <row r="379">
      <c r="D379" s="141"/>
      <c r="E379" s="141"/>
      <c r="F379" s="141"/>
      <c r="G379" s="253"/>
    </row>
    <row r="380">
      <c r="D380" s="141"/>
      <c r="E380" s="141"/>
      <c r="F380" s="141"/>
      <c r="G380" s="253"/>
    </row>
    <row r="381">
      <c r="D381" s="141"/>
      <c r="E381" s="141"/>
      <c r="F381" s="141"/>
      <c r="G381" s="253"/>
    </row>
    <row r="382">
      <c r="D382" s="141"/>
      <c r="E382" s="141"/>
      <c r="F382" s="141"/>
      <c r="G382" s="253"/>
    </row>
    <row r="383">
      <c r="D383" s="141"/>
      <c r="E383" s="141"/>
      <c r="F383" s="141"/>
      <c r="G383" s="253"/>
    </row>
    <row r="384">
      <c r="D384" s="141"/>
      <c r="E384" s="141"/>
      <c r="F384" s="141"/>
      <c r="G384" s="253"/>
    </row>
    <row r="385">
      <c r="D385" s="141"/>
      <c r="E385" s="141"/>
      <c r="F385" s="141"/>
      <c r="G385" s="253"/>
    </row>
    <row r="386">
      <c r="D386" s="141"/>
      <c r="E386" s="141"/>
      <c r="F386" s="141"/>
      <c r="G386" s="253"/>
    </row>
    <row r="387">
      <c r="D387" s="141"/>
      <c r="E387" s="141"/>
      <c r="F387" s="141"/>
      <c r="G387" s="253"/>
    </row>
    <row r="388">
      <c r="D388" s="141"/>
      <c r="E388" s="141"/>
      <c r="F388" s="141"/>
      <c r="G388" s="253"/>
    </row>
    <row r="389">
      <c r="D389" s="141"/>
      <c r="E389" s="141"/>
      <c r="F389" s="141"/>
      <c r="G389" s="253"/>
    </row>
    <row r="390">
      <c r="D390" s="141"/>
      <c r="E390" s="141"/>
      <c r="F390" s="141"/>
      <c r="G390" s="253"/>
    </row>
    <row r="391">
      <c r="D391" s="141"/>
      <c r="E391" s="141"/>
      <c r="F391" s="141"/>
      <c r="G391" s="253"/>
    </row>
    <row r="392">
      <c r="D392" s="141"/>
      <c r="E392" s="141"/>
      <c r="F392" s="141"/>
      <c r="G392" s="253"/>
    </row>
    <row r="393">
      <c r="D393" s="141"/>
      <c r="E393" s="141"/>
      <c r="F393" s="141"/>
      <c r="G393" s="253"/>
    </row>
    <row r="394">
      <c r="D394" s="141"/>
      <c r="E394" s="141"/>
      <c r="F394" s="141"/>
      <c r="G394" s="253"/>
    </row>
    <row r="395">
      <c r="D395" s="141"/>
      <c r="E395" s="141"/>
      <c r="F395" s="141"/>
      <c r="G395" s="253"/>
    </row>
    <row r="396">
      <c r="D396" s="141"/>
      <c r="E396" s="141"/>
      <c r="F396" s="141"/>
      <c r="G396" s="253"/>
    </row>
    <row r="397">
      <c r="D397" s="141"/>
      <c r="E397" s="141"/>
      <c r="F397" s="141"/>
      <c r="G397" s="253"/>
    </row>
    <row r="398">
      <c r="D398" s="141"/>
      <c r="E398" s="141"/>
      <c r="F398" s="141"/>
      <c r="G398" s="253"/>
    </row>
    <row r="399">
      <c r="D399" s="141"/>
      <c r="E399" s="141"/>
      <c r="F399" s="141"/>
      <c r="G399" s="253"/>
    </row>
    <row r="400">
      <c r="D400" s="141"/>
      <c r="E400" s="141"/>
      <c r="F400" s="141"/>
      <c r="G400" s="253"/>
    </row>
    <row r="401">
      <c r="D401" s="141"/>
      <c r="E401" s="141"/>
      <c r="F401" s="141"/>
      <c r="G401" s="253"/>
    </row>
    <row r="402">
      <c r="D402" s="141"/>
      <c r="E402" s="141"/>
      <c r="F402" s="141"/>
      <c r="G402" s="253"/>
    </row>
    <row r="403">
      <c r="D403" s="141"/>
      <c r="E403" s="141"/>
      <c r="F403" s="141"/>
      <c r="G403" s="253"/>
    </row>
    <row r="404">
      <c r="D404" s="141"/>
      <c r="E404" s="141"/>
      <c r="F404" s="141"/>
      <c r="G404" s="253"/>
    </row>
    <row r="405">
      <c r="D405" s="141"/>
      <c r="E405" s="141"/>
      <c r="F405" s="141"/>
      <c r="G405" s="253"/>
    </row>
    <row r="406">
      <c r="D406" s="141"/>
      <c r="E406" s="141"/>
      <c r="F406" s="141"/>
      <c r="G406" s="253"/>
    </row>
    <row r="407">
      <c r="D407" s="141"/>
      <c r="E407" s="141"/>
      <c r="F407" s="141"/>
      <c r="G407" s="253"/>
    </row>
    <row r="408">
      <c r="D408" s="141"/>
      <c r="E408" s="141"/>
      <c r="F408" s="141"/>
      <c r="G408" s="253"/>
    </row>
    <row r="409">
      <c r="D409" s="141"/>
      <c r="E409" s="141"/>
      <c r="F409" s="141"/>
      <c r="G409" s="253"/>
    </row>
    <row r="410">
      <c r="D410" s="141"/>
      <c r="E410" s="141"/>
      <c r="F410" s="141"/>
      <c r="G410" s="253"/>
    </row>
    <row r="411">
      <c r="D411" s="141"/>
      <c r="E411" s="141"/>
      <c r="F411" s="141"/>
      <c r="G411" s="253"/>
    </row>
    <row r="412">
      <c r="D412" s="141"/>
      <c r="E412" s="141"/>
      <c r="F412" s="141"/>
      <c r="G412" s="253"/>
    </row>
    <row r="413">
      <c r="D413" s="141"/>
      <c r="E413" s="141"/>
      <c r="F413" s="141"/>
      <c r="G413" s="253"/>
    </row>
    <row r="414">
      <c r="D414" s="141"/>
      <c r="E414" s="141"/>
      <c r="F414" s="141"/>
      <c r="G414" s="253"/>
    </row>
    <row r="415">
      <c r="D415" s="141"/>
      <c r="E415" s="141"/>
      <c r="F415" s="141"/>
      <c r="G415" s="253"/>
    </row>
    <row r="416">
      <c r="D416" s="141"/>
      <c r="E416" s="141"/>
      <c r="F416" s="141"/>
      <c r="G416" s="253"/>
    </row>
    <row r="417">
      <c r="D417" s="141"/>
      <c r="E417" s="141"/>
      <c r="F417" s="141"/>
      <c r="G417" s="253"/>
    </row>
    <row r="418">
      <c r="D418" s="141"/>
      <c r="E418" s="141"/>
      <c r="F418" s="141"/>
      <c r="G418" s="253"/>
    </row>
    <row r="419">
      <c r="D419" s="141"/>
      <c r="E419" s="141"/>
      <c r="F419" s="141"/>
      <c r="G419" s="253"/>
    </row>
    <row r="420">
      <c r="D420" s="141"/>
      <c r="E420" s="141"/>
      <c r="F420" s="141"/>
      <c r="G420" s="253"/>
    </row>
    <row r="421">
      <c r="D421" s="141"/>
      <c r="E421" s="141"/>
      <c r="F421" s="141"/>
      <c r="G421" s="253"/>
    </row>
    <row r="422">
      <c r="D422" s="141"/>
      <c r="E422" s="141"/>
      <c r="F422" s="141"/>
      <c r="G422" s="253"/>
    </row>
    <row r="423">
      <c r="D423" s="141"/>
      <c r="E423" s="141"/>
      <c r="F423" s="141"/>
      <c r="G423" s="253"/>
    </row>
    <row r="424">
      <c r="D424" s="141"/>
      <c r="E424" s="141"/>
      <c r="F424" s="141"/>
      <c r="G424" s="253"/>
    </row>
    <row r="425">
      <c r="D425" s="141"/>
      <c r="E425" s="141"/>
      <c r="F425" s="141"/>
      <c r="G425" s="253"/>
    </row>
    <row r="426">
      <c r="D426" s="141"/>
      <c r="E426" s="141"/>
      <c r="F426" s="141"/>
      <c r="G426" s="253"/>
    </row>
    <row r="427">
      <c r="D427" s="141"/>
      <c r="E427" s="141"/>
      <c r="F427" s="141"/>
      <c r="G427" s="253"/>
    </row>
    <row r="428">
      <c r="D428" s="141"/>
      <c r="E428" s="141"/>
      <c r="F428" s="141"/>
      <c r="G428" s="253"/>
    </row>
    <row r="429">
      <c r="D429" s="141"/>
      <c r="E429" s="141"/>
      <c r="F429" s="141"/>
      <c r="G429" s="253"/>
    </row>
    <row r="430">
      <c r="D430" s="141"/>
      <c r="E430" s="141"/>
      <c r="F430" s="141"/>
      <c r="G430" s="253"/>
    </row>
    <row r="431">
      <c r="D431" s="141"/>
      <c r="E431" s="141"/>
      <c r="F431" s="141"/>
      <c r="G431" s="253"/>
    </row>
    <row r="432">
      <c r="D432" s="141"/>
      <c r="E432" s="141"/>
      <c r="F432" s="141"/>
      <c r="G432" s="253"/>
    </row>
    <row r="433">
      <c r="D433" s="141"/>
      <c r="E433" s="141"/>
      <c r="F433" s="141"/>
      <c r="G433" s="253"/>
    </row>
    <row r="434">
      <c r="D434" s="141"/>
      <c r="E434" s="141"/>
      <c r="F434" s="141"/>
      <c r="G434" s="253"/>
    </row>
    <row r="435">
      <c r="D435" s="141"/>
      <c r="E435" s="141"/>
      <c r="F435" s="141"/>
      <c r="G435" s="253"/>
    </row>
    <row r="436">
      <c r="D436" s="141"/>
      <c r="E436" s="141"/>
      <c r="F436" s="141"/>
      <c r="G436" s="253"/>
    </row>
    <row r="437">
      <c r="D437" s="141"/>
      <c r="E437" s="141"/>
      <c r="F437" s="141"/>
      <c r="G437" s="253"/>
    </row>
    <row r="438">
      <c r="D438" s="141"/>
      <c r="E438" s="141"/>
      <c r="F438" s="141"/>
      <c r="G438" s="253"/>
    </row>
    <row r="439">
      <c r="D439" s="141"/>
      <c r="E439" s="141"/>
      <c r="F439" s="141"/>
      <c r="G439" s="253"/>
    </row>
    <row r="440">
      <c r="D440" s="141"/>
      <c r="E440" s="141"/>
      <c r="F440" s="141"/>
      <c r="G440" s="253"/>
    </row>
    <row r="441">
      <c r="D441" s="141"/>
      <c r="E441" s="141"/>
      <c r="F441" s="141"/>
      <c r="G441" s="253"/>
    </row>
    <row r="442">
      <c r="D442" s="141"/>
      <c r="E442" s="141"/>
      <c r="F442" s="141"/>
      <c r="G442" s="253"/>
    </row>
    <row r="443">
      <c r="D443" s="141"/>
      <c r="E443" s="141"/>
      <c r="F443" s="141"/>
      <c r="G443" s="253"/>
    </row>
    <row r="444">
      <c r="D444" s="141"/>
      <c r="E444" s="141"/>
      <c r="F444" s="141"/>
      <c r="G444" s="253"/>
    </row>
    <row r="445">
      <c r="D445" s="141"/>
      <c r="E445" s="141"/>
      <c r="F445" s="141"/>
      <c r="G445" s="253"/>
    </row>
    <row r="446">
      <c r="D446" s="141"/>
      <c r="E446" s="141"/>
      <c r="F446" s="141"/>
      <c r="G446" s="253"/>
    </row>
    <row r="447">
      <c r="D447" s="141"/>
      <c r="E447" s="141"/>
      <c r="F447" s="141"/>
      <c r="G447" s="253"/>
    </row>
    <row r="448">
      <c r="D448" s="141"/>
      <c r="E448" s="141"/>
      <c r="F448" s="141"/>
      <c r="G448" s="253"/>
    </row>
    <row r="449">
      <c r="D449" s="141"/>
      <c r="E449" s="141"/>
      <c r="F449" s="141"/>
      <c r="G449" s="253"/>
    </row>
    <row r="450">
      <c r="D450" s="141"/>
      <c r="E450" s="141"/>
      <c r="F450" s="141"/>
      <c r="G450" s="253"/>
    </row>
    <row r="451">
      <c r="D451" s="141"/>
      <c r="E451" s="141"/>
      <c r="F451" s="141"/>
      <c r="G451" s="253"/>
    </row>
    <row r="452">
      <c r="D452" s="141"/>
      <c r="E452" s="141"/>
      <c r="F452" s="141"/>
      <c r="G452" s="253"/>
    </row>
    <row r="453">
      <c r="D453" s="141"/>
      <c r="E453" s="141"/>
      <c r="F453" s="141"/>
      <c r="G453" s="253"/>
    </row>
    <row r="454">
      <c r="D454" s="141"/>
      <c r="E454" s="141"/>
      <c r="F454" s="141"/>
      <c r="G454" s="253"/>
    </row>
    <row r="455">
      <c r="D455" s="141"/>
      <c r="E455" s="141"/>
      <c r="F455" s="141"/>
      <c r="G455" s="253"/>
    </row>
    <row r="456">
      <c r="D456" s="141"/>
      <c r="E456" s="141"/>
      <c r="F456" s="141"/>
      <c r="G456" s="253"/>
    </row>
    <row r="457">
      <c r="D457" s="141"/>
      <c r="E457" s="141"/>
      <c r="F457" s="141"/>
      <c r="G457" s="253"/>
    </row>
    <row r="458">
      <c r="D458" s="141"/>
      <c r="E458" s="141"/>
      <c r="F458" s="141"/>
      <c r="G458" s="253"/>
    </row>
    <row r="459">
      <c r="D459" s="141"/>
      <c r="E459" s="141"/>
      <c r="F459" s="141"/>
      <c r="G459" s="253"/>
    </row>
    <row r="460">
      <c r="D460" s="141"/>
      <c r="E460" s="141"/>
      <c r="F460" s="141"/>
      <c r="G460" s="253"/>
    </row>
    <row r="461">
      <c r="D461" s="141"/>
      <c r="E461" s="141"/>
      <c r="F461" s="141"/>
      <c r="G461" s="253"/>
    </row>
    <row r="462">
      <c r="D462" s="141"/>
      <c r="E462" s="141"/>
      <c r="F462" s="141"/>
      <c r="G462" s="253"/>
    </row>
    <row r="463">
      <c r="D463" s="141"/>
      <c r="E463" s="141"/>
      <c r="F463" s="141"/>
      <c r="G463" s="253"/>
    </row>
    <row r="464">
      <c r="D464" s="141"/>
      <c r="E464" s="141"/>
      <c r="F464" s="141"/>
      <c r="G464" s="253"/>
    </row>
    <row r="465">
      <c r="D465" s="141"/>
      <c r="E465" s="141"/>
      <c r="F465" s="141"/>
      <c r="G465" s="253"/>
    </row>
    <row r="466">
      <c r="D466" s="141"/>
      <c r="E466" s="141"/>
      <c r="F466" s="141"/>
      <c r="G466" s="253"/>
    </row>
    <row r="467">
      <c r="D467" s="141"/>
      <c r="E467" s="141"/>
      <c r="F467" s="141"/>
      <c r="G467" s="253"/>
    </row>
    <row r="468">
      <c r="D468" s="141"/>
      <c r="E468" s="141"/>
      <c r="F468" s="141"/>
      <c r="G468" s="253"/>
    </row>
    <row r="469">
      <c r="D469" s="141"/>
      <c r="E469" s="141"/>
      <c r="F469" s="141"/>
      <c r="G469" s="253"/>
    </row>
    <row r="470">
      <c r="D470" s="141"/>
      <c r="E470" s="141"/>
      <c r="F470" s="141"/>
      <c r="G470" s="253"/>
    </row>
    <row r="471">
      <c r="D471" s="141"/>
      <c r="E471" s="141"/>
      <c r="F471" s="141"/>
      <c r="G471" s="253"/>
    </row>
    <row r="472">
      <c r="D472" s="141"/>
      <c r="E472" s="141"/>
      <c r="F472" s="141"/>
      <c r="G472" s="253"/>
    </row>
    <row r="473">
      <c r="D473" s="141"/>
      <c r="E473" s="141"/>
      <c r="F473" s="141"/>
      <c r="G473" s="253"/>
    </row>
    <row r="474">
      <c r="D474" s="141"/>
      <c r="E474" s="141"/>
      <c r="F474" s="141"/>
      <c r="G474" s="253"/>
    </row>
    <row r="475">
      <c r="D475" s="141"/>
      <c r="E475" s="141"/>
      <c r="F475" s="141"/>
      <c r="G475" s="253"/>
    </row>
    <row r="476">
      <c r="D476" s="141"/>
      <c r="E476" s="141"/>
      <c r="F476" s="141"/>
      <c r="G476" s="253"/>
    </row>
    <row r="477">
      <c r="D477" s="141"/>
      <c r="E477" s="141"/>
      <c r="F477" s="141"/>
      <c r="G477" s="253"/>
    </row>
    <row r="478">
      <c r="D478" s="141"/>
      <c r="E478" s="141"/>
      <c r="F478" s="141"/>
      <c r="G478" s="253"/>
    </row>
    <row r="479">
      <c r="D479" s="141"/>
      <c r="E479" s="141"/>
      <c r="F479" s="141"/>
      <c r="G479" s="253"/>
    </row>
    <row r="480">
      <c r="D480" s="141"/>
      <c r="E480" s="141"/>
      <c r="F480" s="141"/>
      <c r="G480" s="253"/>
    </row>
    <row r="481">
      <c r="D481" s="141"/>
      <c r="E481" s="141"/>
      <c r="F481" s="141"/>
      <c r="G481" s="253"/>
    </row>
    <row r="482">
      <c r="D482" s="141"/>
      <c r="E482" s="141"/>
      <c r="F482" s="141"/>
      <c r="G482" s="253"/>
    </row>
    <row r="483">
      <c r="D483" s="141"/>
      <c r="E483" s="141"/>
      <c r="F483" s="141"/>
      <c r="G483" s="253"/>
    </row>
    <row r="484">
      <c r="D484" s="141"/>
      <c r="E484" s="141"/>
      <c r="F484" s="141"/>
      <c r="G484" s="253"/>
    </row>
    <row r="485">
      <c r="D485" s="141"/>
      <c r="E485" s="141"/>
      <c r="F485" s="141"/>
      <c r="G485" s="253"/>
    </row>
    <row r="486">
      <c r="D486" s="141"/>
      <c r="E486" s="141"/>
      <c r="F486" s="141"/>
      <c r="G486" s="253"/>
    </row>
    <row r="487">
      <c r="D487" s="141"/>
      <c r="E487" s="141"/>
      <c r="F487" s="141"/>
      <c r="G487" s="253"/>
    </row>
    <row r="488">
      <c r="D488" s="141"/>
      <c r="E488" s="141"/>
      <c r="F488" s="141"/>
      <c r="G488" s="253"/>
    </row>
    <row r="489">
      <c r="D489" s="141"/>
      <c r="E489" s="141"/>
      <c r="F489" s="141"/>
      <c r="G489" s="253"/>
    </row>
    <row r="490">
      <c r="D490" s="141"/>
      <c r="E490" s="141"/>
      <c r="F490" s="141"/>
      <c r="G490" s="253"/>
    </row>
    <row r="491">
      <c r="D491" s="141"/>
      <c r="E491" s="141"/>
      <c r="F491" s="141"/>
      <c r="G491" s="253"/>
    </row>
    <row r="492">
      <c r="D492" s="141"/>
      <c r="E492" s="141"/>
      <c r="F492" s="141"/>
      <c r="G492" s="253"/>
    </row>
    <row r="493">
      <c r="D493" s="141"/>
      <c r="E493" s="141"/>
      <c r="F493" s="141"/>
      <c r="G493" s="253"/>
    </row>
    <row r="494">
      <c r="D494" s="141"/>
      <c r="E494" s="141"/>
      <c r="F494" s="141"/>
      <c r="G494" s="253"/>
    </row>
    <row r="495">
      <c r="D495" s="141"/>
      <c r="E495" s="141"/>
      <c r="F495" s="141"/>
      <c r="G495" s="253"/>
    </row>
    <row r="496">
      <c r="D496" s="141"/>
      <c r="E496" s="141"/>
      <c r="F496" s="141"/>
      <c r="G496" s="253"/>
    </row>
    <row r="497">
      <c r="D497" s="141"/>
      <c r="E497" s="141"/>
      <c r="F497" s="141"/>
      <c r="G497" s="253"/>
    </row>
    <row r="498">
      <c r="D498" s="141"/>
      <c r="E498" s="141"/>
      <c r="F498" s="141"/>
      <c r="G498" s="253"/>
    </row>
    <row r="499">
      <c r="D499" s="141"/>
      <c r="E499" s="141"/>
      <c r="F499" s="141"/>
      <c r="G499" s="253"/>
    </row>
    <row r="500">
      <c r="D500" s="141"/>
      <c r="E500" s="141"/>
      <c r="F500" s="141"/>
      <c r="G500" s="253"/>
    </row>
    <row r="501">
      <c r="D501" s="141"/>
      <c r="E501" s="141"/>
      <c r="F501" s="141"/>
      <c r="G501" s="253"/>
    </row>
    <row r="502">
      <c r="D502" s="141"/>
      <c r="E502" s="141"/>
      <c r="F502" s="141"/>
      <c r="G502" s="253"/>
    </row>
    <row r="503">
      <c r="D503" s="141"/>
      <c r="E503" s="141"/>
      <c r="F503" s="141"/>
      <c r="G503" s="253"/>
    </row>
    <row r="504">
      <c r="D504" s="141"/>
      <c r="E504" s="141"/>
      <c r="F504" s="141"/>
      <c r="G504" s="253"/>
    </row>
    <row r="505">
      <c r="D505" s="141"/>
      <c r="E505" s="141"/>
      <c r="F505" s="141"/>
      <c r="G505" s="253"/>
    </row>
    <row r="506">
      <c r="D506" s="141"/>
      <c r="E506" s="141"/>
      <c r="F506" s="141"/>
      <c r="G506" s="253"/>
    </row>
    <row r="507">
      <c r="D507" s="141"/>
      <c r="E507" s="141"/>
      <c r="F507" s="141"/>
      <c r="G507" s="253"/>
    </row>
    <row r="508">
      <c r="D508" s="141"/>
      <c r="E508" s="141"/>
      <c r="F508" s="141"/>
      <c r="G508" s="253"/>
    </row>
    <row r="509">
      <c r="D509" s="141"/>
      <c r="E509" s="141"/>
      <c r="F509" s="141"/>
      <c r="G509" s="253"/>
    </row>
    <row r="510">
      <c r="D510" s="141"/>
      <c r="E510" s="141"/>
      <c r="F510" s="141"/>
      <c r="G510" s="253"/>
    </row>
    <row r="511">
      <c r="D511" s="141"/>
      <c r="E511" s="141"/>
      <c r="F511" s="141"/>
      <c r="G511" s="253"/>
    </row>
    <row r="512">
      <c r="D512" s="141"/>
      <c r="E512" s="141"/>
      <c r="F512" s="141"/>
      <c r="G512" s="253"/>
    </row>
    <row r="513">
      <c r="D513" s="141"/>
      <c r="E513" s="141"/>
      <c r="F513" s="141"/>
      <c r="G513" s="253"/>
    </row>
    <row r="514">
      <c r="D514" s="141"/>
      <c r="E514" s="141"/>
      <c r="F514" s="141"/>
      <c r="G514" s="253"/>
    </row>
    <row r="515">
      <c r="D515" s="141"/>
      <c r="E515" s="141"/>
      <c r="F515" s="141"/>
      <c r="G515" s="253"/>
    </row>
    <row r="516">
      <c r="D516" s="141"/>
      <c r="E516" s="141"/>
      <c r="F516" s="141"/>
      <c r="G516" s="253"/>
    </row>
    <row r="517">
      <c r="D517" s="141"/>
      <c r="E517" s="141"/>
      <c r="F517" s="141"/>
      <c r="G517" s="253"/>
    </row>
    <row r="518">
      <c r="D518" s="141"/>
      <c r="E518" s="141"/>
      <c r="F518" s="141"/>
      <c r="G518" s="253"/>
    </row>
    <row r="519">
      <c r="D519" s="141"/>
      <c r="E519" s="141"/>
      <c r="F519" s="141"/>
      <c r="G519" s="253"/>
    </row>
    <row r="520">
      <c r="D520" s="141"/>
      <c r="E520" s="141"/>
      <c r="F520" s="141"/>
      <c r="G520" s="253"/>
    </row>
    <row r="521">
      <c r="D521" s="141"/>
      <c r="E521" s="141"/>
      <c r="F521" s="141"/>
      <c r="G521" s="253"/>
    </row>
    <row r="522">
      <c r="D522" s="141"/>
      <c r="E522" s="141"/>
      <c r="F522" s="141"/>
      <c r="G522" s="253"/>
    </row>
    <row r="523">
      <c r="D523" s="141"/>
      <c r="E523" s="141"/>
      <c r="F523" s="141"/>
      <c r="G523" s="253"/>
    </row>
    <row r="524">
      <c r="D524" s="141"/>
      <c r="E524" s="141"/>
      <c r="F524" s="141"/>
      <c r="G524" s="253"/>
    </row>
    <row r="525">
      <c r="D525" s="141"/>
      <c r="E525" s="141"/>
      <c r="F525" s="141"/>
      <c r="G525" s="253"/>
    </row>
    <row r="526">
      <c r="D526" s="141"/>
      <c r="E526" s="141"/>
      <c r="F526" s="141"/>
      <c r="G526" s="253"/>
    </row>
    <row r="527">
      <c r="D527" s="141"/>
      <c r="E527" s="141"/>
      <c r="F527" s="141"/>
      <c r="G527" s="253"/>
    </row>
    <row r="528">
      <c r="D528" s="141"/>
      <c r="E528" s="141"/>
      <c r="F528" s="141"/>
      <c r="G528" s="253"/>
    </row>
    <row r="529">
      <c r="D529" s="141"/>
      <c r="E529" s="141"/>
      <c r="F529" s="141"/>
      <c r="G529" s="253"/>
    </row>
    <row r="530">
      <c r="D530" s="141"/>
      <c r="E530" s="141"/>
      <c r="F530" s="141"/>
      <c r="G530" s="253"/>
    </row>
    <row r="531">
      <c r="D531" s="141"/>
      <c r="E531" s="141"/>
      <c r="F531" s="141"/>
      <c r="G531" s="253"/>
    </row>
    <row r="532">
      <c r="D532" s="141"/>
      <c r="E532" s="141"/>
      <c r="F532" s="141"/>
      <c r="G532" s="253"/>
    </row>
    <row r="533">
      <c r="D533" s="141"/>
      <c r="E533" s="141"/>
      <c r="F533" s="141"/>
      <c r="G533" s="253"/>
    </row>
    <row r="534">
      <c r="D534" s="141"/>
      <c r="E534" s="141"/>
      <c r="F534" s="141"/>
      <c r="G534" s="253"/>
    </row>
    <row r="535">
      <c r="D535" s="141"/>
      <c r="E535" s="141"/>
      <c r="F535" s="141"/>
      <c r="G535" s="253"/>
    </row>
    <row r="536">
      <c r="D536" s="141"/>
      <c r="E536" s="141"/>
      <c r="F536" s="141"/>
      <c r="G536" s="253"/>
    </row>
    <row r="537">
      <c r="D537" s="141"/>
      <c r="E537" s="141"/>
      <c r="F537" s="141"/>
      <c r="G537" s="253"/>
    </row>
    <row r="538">
      <c r="D538" s="141"/>
      <c r="E538" s="141"/>
      <c r="F538" s="141"/>
      <c r="G538" s="253"/>
    </row>
    <row r="539">
      <c r="D539" s="141"/>
      <c r="E539" s="141"/>
      <c r="F539" s="141"/>
      <c r="G539" s="253"/>
    </row>
    <row r="540">
      <c r="D540" s="141"/>
      <c r="E540" s="141"/>
      <c r="F540" s="141"/>
      <c r="G540" s="253"/>
    </row>
    <row r="541">
      <c r="D541" s="141"/>
      <c r="E541" s="141"/>
      <c r="F541" s="141"/>
      <c r="G541" s="253"/>
    </row>
    <row r="542">
      <c r="D542" s="141"/>
      <c r="E542" s="141"/>
      <c r="F542" s="141"/>
      <c r="G542" s="253"/>
    </row>
    <row r="543">
      <c r="D543" s="141"/>
      <c r="E543" s="141"/>
      <c r="F543" s="141"/>
      <c r="G543" s="253"/>
    </row>
    <row r="544">
      <c r="D544" s="141"/>
      <c r="E544" s="141"/>
      <c r="F544" s="141"/>
      <c r="G544" s="253"/>
    </row>
    <row r="545">
      <c r="D545" s="141"/>
      <c r="E545" s="141"/>
      <c r="F545" s="141"/>
      <c r="G545" s="253"/>
    </row>
    <row r="546">
      <c r="D546" s="141"/>
      <c r="E546" s="141"/>
      <c r="F546" s="141"/>
      <c r="G546" s="253"/>
    </row>
    <row r="547">
      <c r="D547" s="141"/>
      <c r="E547" s="141"/>
      <c r="F547" s="141"/>
      <c r="G547" s="253"/>
    </row>
    <row r="548">
      <c r="D548" s="141"/>
      <c r="E548" s="141"/>
      <c r="F548" s="141"/>
      <c r="G548" s="253"/>
    </row>
    <row r="549">
      <c r="D549" s="141"/>
      <c r="E549" s="141"/>
      <c r="F549" s="141"/>
      <c r="G549" s="253"/>
    </row>
    <row r="550">
      <c r="D550" s="141"/>
      <c r="E550" s="141"/>
      <c r="F550" s="141"/>
      <c r="G550" s="253"/>
    </row>
    <row r="551">
      <c r="D551" s="141"/>
      <c r="E551" s="141"/>
      <c r="F551" s="141"/>
      <c r="G551" s="253"/>
    </row>
    <row r="552">
      <c r="D552" s="141"/>
      <c r="E552" s="141"/>
      <c r="F552" s="141"/>
      <c r="G552" s="253"/>
    </row>
    <row r="553">
      <c r="D553" s="141"/>
      <c r="E553" s="141"/>
      <c r="F553" s="141"/>
      <c r="G553" s="253"/>
    </row>
    <row r="554">
      <c r="D554" s="141"/>
      <c r="E554" s="141"/>
      <c r="F554" s="141"/>
      <c r="G554" s="253"/>
    </row>
    <row r="555">
      <c r="D555" s="141"/>
      <c r="E555" s="141"/>
      <c r="F555" s="141"/>
      <c r="G555" s="253"/>
    </row>
    <row r="556">
      <c r="D556" s="141"/>
      <c r="E556" s="141"/>
      <c r="F556" s="141"/>
      <c r="G556" s="253"/>
    </row>
    <row r="557">
      <c r="D557" s="141"/>
      <c r="E557" s="141"/>
      <c r="F557" s="141"/>
      <c r="G557" s="253"/>
    </row>
    <row r="558">
      <c r="D558" s="141"/>
      <c r="E558" s="141"/>
      <c r="F558" s="141"/>
      <c r="G558" s="253"/>
    </row>
    <row r="559">
      <c r="D559" s="141"/>
      <c r="E559" s="141"/>
      <c r="F559" s="141"/>
      <c r="G559" s="253"/>
    </row>
    <row r="560">
      <c r="D560" s="141"/>
      <c r="E560" s="141"/>
      <c r="F560" s="141"/>
      <c r="G560" s="253"/>
    </row>
    <row r="561">
      <c r="D561" s="141"/>
      <c r="E561" s="141"/>
      <c r="F561" s="141"/>
      <c r="G561" s="253"/>
    </row>
    <row r="562">
      <c r="D562" s="141"/>
      <c r="E562" s="141"/>
      <c r="F562" s="141"/>
      <c r="G562" s="253"/>
    </row>
    <row r="563">
      <c r="D563" s="141"/>
      <c r="E563" s="141"/>
      <c r="F563" s="141"/>
      <c r="G563" s="253"/>
    </row>
    <row r="564">
      <c r="D564" s="141"/>
      <c r="E564" s="141"/>
      <c r="F564" s="141"/>
      <c r="G564" s="253"/>
    </row>
    <row r="565">
      <c r="D565" s="141"/>
      <c r="E565" s="141"/>
      <c r="F565" s="141"/>
      <c r="G565" s="253"/>
    </row>
    <row r="566">
      <c r="D566" s="141"/>
      <c r="E566" s="141"/>
      <c r="F566" s="141"/>
      <c r="G566" s="253"/>
    </row>
    <row r="567">
      <c r="D567" s="141"/>
      <c r="E567" s="141"/>
      <c r="F567" s="141"/>
      <c r="G567" s="253"/>
    </row>
    <row r="568">
      <c r="D568" s="141"/>
      <c r="E568" s="141"/>
      <c r="F568" s="141"/>
      <c r="G568" s="253"/>
    </row>
    <row r="569">
      <c r="D569" s="141"/>
      <c r="E569" s="141"/>
      <c r="F569" s="141"/>
      <c r="G569" s="253"/>
    </row>
    <row r="570">
      <c r="D570" s="141"/>
      <c r="E570" s="141"/>
      <c r="F570" s="141"/>
      <c r="G570" s="253"/>
    </row>
    <row r="571">
      <c r="D571" s="141"/>
      <c r="E571" s="141"/>
      <c r="F571" s="141"/>
      <c r="G571" s="253"/>
    </row>
    <row r="572">
      <c r="D572" s="141"/>
      <c r="E572" s="141"/>
      <c r="F572" s="141"/>
      <c r="G572" s="253"/>
    </row>
    <row r="573">
      <c r="D573" s="141"/>
      <c r="E573" s="141"/>
      <c r="F573" s="141"/>
      <c r="G573" s="253"/>
    </row>
    <row r="574">
      <c r="D574" s="141"/>
      <c r="E574" s="141"/>
      <c r="F574" s="141"/>
      <c r="G574" s="253"/>
    </row>
    <row r="575">
      <c r="D575" s="141"/>
      <c r="E575" s="141"/>
      <c r="F575" s="141"/>
      <c r="G575" s="253"/>
    </row>
    <row r="576">
      <c r="D576" s="141"/>
      <c r="E576" s="141"/>
      <c r="F576" s="141"/>
      <c r="G576" s="253"/>
    </row>
    <row r="577">
      <c r="D577" s="141"/>
      <c r="E577" s="141"/>
      <c r="F577" s="141"/>
      <c r="G577" s="253"/>
    </row>
    <row r="578">
      <c r="D578" s="141"/>
      <c r="E578" s="141"/>
      <c r="F578" s="141"/>
      <c r="G578" s="253"/>
    </row>
    <row r="579">
      <c r="D579" s="141"/>
      <c r="E579" s="141"/>
      <c r="F579" s="141"/>
      <c r="G579" s="253"/>
    </row>
    <row r="580">
      <c r="D580" s="141"/>
      <c r="E580" s="141"/>
      <c r="F580" s="141"/>
      <c r="G580" s="253"/>
    </row>
    <row r="581">
      <c r="D581" s="141"/>
      <c r="E581" s="141"/>
      <c r="F581" s="141"/>
      <c r="G581" s="253"/>
    </row>
    <row r="582">
      <c r="D582" s="141"/>
      <c r="E582" s="141"/>
      <c r="F582" s="141"/>
      <c r="G582" s="253"/>
    </row>
    <row r="583">
      <c r="D583" s="141"/>
      <c r="E583" s="141"/>
      <c r="F583" s="141"/>
      <c r="G583" s="253"/>
    </row>
    <row r="584">
      <c r="D584" s="141"/>
      <c r="E584" s="141"/>
      <c r="F584" s="141"/>
      <c r="G584" s="253"/>
    </row>
    <row r="585">
      <c r="D585" s="141"/>
      <c r="E585" s="141"/>
      <c r="F585" s="141"/>
      <c r="G585" s="253"/>
    </row>
    <row r="586">
      <c r="D586" s="141"/>
      <c r="E586" s="141"/>
      <c r="F586" s="141"/>
      <c r="G586" s="253"/>
    </row>
    <row r="587">
      <c r="D587" s="141"/>
      <c r="E587" s="141"/>
      <c r="F587" s="141"/>
      <c r="G587" s="253"/>
    </row>
    <row r="588">
      <c r="D588" s="141"/>
      <c r="E588" s="141"/>
      <c r="F588" s="141"/>
      <c r="G588" s="253"/>
    </row>
    <row r="589">
      <c r="D589" s="141"/>
      <c r="E589" s="141"/>
      <c r="F589" s="141"/>
      <c r="G589" s="253"/>
    </row>
    <row r="590">
      <c r="D590" s="141"/>
      <c r="E590" s="141"/>
      <c r="F590" s="141"/>
      <c r="G590" s="253"/>
    </row>
    <row r="591">
      <c r="D591" s="141"/>
      <c r="E591" s="141"/>
      <c r="F591" s="141"/>
      <c r="G591" s="253"/>
    </row>
    <row r="592">
      <c r="D592" s="141"/>
      <c r="E592" s="141"/>
      <c r="F592" s="141"/>
      <c r="G592" s="253"/>
    </row>
    <row r="593">
      <c r="D593" s="141"/>
      <c r="E593" s="141"/>
      <c r="F593" s="141"/>
      <c r="G593" s="253"/>
    </row>
    <row r="594">
      <c r="D594" s="141"/>
      <c r="E594" s="141"/>
      <c r="F594" s="141"/>
      <c r="G594" s="253"/>
    </row>
    <row r="595">
      <c r="D595" s="141"/>
      <c r="E595" s="141"/>
      <c r="F595" s="141"/>
      <c r="G595" s="253"/>
    </row>
    <row r="596">
      <c r="D596" s="141"/>
      <c r="E596" s="141"/>
      <c r="F596" s="141"/>
      <c r="G596" s="253"/>
    </row>
    <row r="597">
      <c r="D597" s="141"/>
      <c r="E597" s="141"/>
      <c r="F597" s="141"/>
      <c r="G597" s="253"/>
    </row>
    <row r="598">
      <c r="D598" s="141"/>
      <c r="E598" s="141"/>
      <c r="F598" s="141"/>
      <c r="G598" s="253"/>
    </row>
    <row r="599">
      <c r="D599" s="141"/>
      <c r="E599" s="141"/>
      <c r="F599" s="141"/>
      <c r="G599" s="253"/>
    </row>
    <row r="600">
      <c r="D600" s="141"/>
      <c r="E600" s="141"/>
      <c r="F600" s="141"/>
      <c r="G600" s="253"/>
    </row>
    <row r="601">
      <c r="D601" s="141"/>
      <c r="E601" s="141"/>
      <c r="F601" s="141"/>
      <c r="G601" s="253"/>
    </row>
    <row r="602">
      <c r="D602" s="141"/>
      <c r="E602" s="141"/>
      <c r="F602" s="141"/>
      <c r="G602" s="253"/>
    </row>
    <row r="603">
      <c r="D603" s="141"/>
      <c r="E603" s="141"/>
      <c r="F603" s="141"/>
      <c r="G603" s="253"/>
    </row>
    <row r="604">
      <c r="D604" s="141"/>
      <c r="E604" s="141"/>
      <c r="F604" s="141"/>
      <c r="G604" s="253"/>
    </row>
    <row r="605">
      <c r="D605" s="141"/>
      <c r="E605" s="141"/>
      <c r="F605" s="141"/>
      <c r="G605" s="253"/>
    </row>
    <row r="606">
      <c r="D606" s="141"/>
      <c r="E606" s="141"/>
      <c r="F606" s="141"/>
      <c r="G606" s="253"/>
    </row>
    <row r="607">
      <c r="D607" s="141"/>
      <c r="E607" s="141"/>
      <c r="F607" s="141"/>
      <c r="G607" s="253"/>
    </row>
    <row r="608">
      <c r="D608" s="141"/>
      <c r="E608" s="141"/>
      <c r="F608" s="141"/>
      <c r="G608" s="253"/>
    </row>
    <row r="609">
      <c r="D609" s="141"/>
      <c r="E609" s="141"/>
      <c r="F609" s="141"/>
      <c r="G609" s="253"/>
    </row>
    <row r="610">
      <c r="D610" s="141"/>
      <c r="E610" s="141"/>
      <c r="F610" s="141"/>
      <c r="G610" s="253"/>
    </row>
    <row r="611">
      <c r="D611" s="141"/>
      <c r="E611" s="141"/>
      <c r="F611" s="141"/>
      <c r="G611" s="253"/>
    </row>
    <row r="612">
      <c r="D612" s="141"/>
      <c r="E612" s="141"/>
      <c r="F612" s="141"/>
      <c r="G612" s="253"/>
    </row>
    <row r="613">
      <c r="D613" s="141"/>
      <c r="E613" s="141"/>
      <c r="F613" s="141"/>
      <c r="G613" s="253"/>
    </row>
    <row r="614">
      <c r="D614" s="141"/>
      <c r="E614" s="141"/>
      <c r="F614" s="141"/>
      <c r="G614" s="253"/>
    </row>
    <row r="615">
      <c r="D615" s="141"/>
      <c r="E615" s="141"/>
      <c r="F615" s="141"/>
      <c r="G615" s="253"/>
    </row>
    <row r="616">
      <c r="D616" s="141"/>
      <c r="E616" s="141"/>
      <c r="F616" s="141"/>
      <c r="G616" s="253"/>
    </row>
    <row r="617">
      <c r="D617" s="141"/>
      <c r="E617" s="141"/>
      <c r="F617" s="141"/>
      <c r="G617" s="253"/>
    </row>
    <row r="618">
      <c r="D618" s="141"/>
      <c r="E618" s="141"/>
      <c r="F618" s="141"/>
      <c r="G618" s="253"/>
    </row>
    <row r="619">
      <c r="D619" s="141"/>
      <c r="E619" s="141"/>
      <c r="F619" s="141"/>
      <c r="G619" s="253"/>
    </row>
    <row r="620">
      <c r="D620" s="141"/>
      <c r="E620" s="141"/>
      <c r="F620" s="141"/>
      <c r="G620" s="253"/>
    </row>
    <row r="621">
      <c r="D621" s="141"/>
      <c r="E621" s="141"/>
      <c r="F621" s="141"/>
      <c r="G621" s="253"/>
    </row>
    <row r="622">
      <c r="D622" s="141"/>
      <c r="E622" s="141"/>
      <c r="F622" s="141"/>
      <c r="G622" s="253"/>
    </row>
    <row r="623">
      <c r="D623" s="141"/>
      <c r="E623" s="141"/>
      <c r="F623" s="141"/>
      <c r="G623" s="253"/>
    </row>
    <row r="624">
      <c r="D624" s="141"/>
      <c r="E624" s="141"/>
      <c r="F624" s="141"/>
      <c r="G624" s="253"/>
    </row>
    <row r="625">
      <c r="D625" s="141"/>
      <c r="E625" s="141"/>
      <c r="F625" s="141"/>
      <c r="G625" s="253"/>
    </row>
    <row r="626">
      <c r="D626" s="141"/>
      <c r="E626" s="141"/>
      <c r="F626" s="141"/>
      <c r="G626" s="253"/>
    </row>
    <row r="627">
      <c r="D627" s="141"/>
      <c r="E627" s="141"/>
      <c r="F627" s="141"/>
      <c r="G627" s="253"/>
    </row>
    <row r="628">
      <c r="D628" s="141"/>
      <c r="E628" s="141"/>
      <c r="F628" s="141"/>
      <c r="G628" s="253"/>
    </row>
    <row r="629">
      <c r="D629" s="141"/>
      <c r="E629" s="141"/>
      <c r="F629" s="141"/>
      <c r="G629" s="253"/>
    </row>
    <row r="630">
      <c r="D630" s="141"/>
      <c r="E630" s="141"/>
      <c r="F630" s="141"/>
      <c r="G630" s="253"/>
    </row>
    <row r="631">
      <c r="D631" s="141"/>
      <c r="E631" s="141"/>
      <c r="F631" s="141"/>
      <c r="G631" s="253"/>
    </row>
    <row r="632">
      <c r="D632" s="141"/>
      <c r="E632" s="141"/>
      <c r="F632" s="141"/>
      <c r="G632" s="253"/>
    </row>
    <row r="633">
      <c r="D633" s="141"/>
      <c r="E633" s="141"/>
      <c r="F633" s="141"/>
      <c r="G633" s="253"/>
    </row>
    <row r="634">
      <c r="D634" s="141"/>
      <c r="E634" s="141"/>
      <c r="F634" s="141"/>
      <c r="G634" s="253"/>
    </row>
    <row r="635">
      <c r="D635" s="141"/>
      <c r="E635" s="141"/>
      <c r="F635" s="141"/>
      <c r="G635" s="253"/>
    </row>
    <row r="636">
      <c r="D636" s="141"/>
      <c r="E636" s="141"/>
      <c r="F636" s="141"/>
      <c r="G636" s="253"/>
    </row>
    <row r="637">
      <c r="D637" s="141"/>
      <c r="E637" s="141"/>
      <c r="F637" s="141"/>
      <c r="G637" s="253"/>
    </row>
    <row r="638">
      <c r="D638" s="141"/>
      <c r="E638" s="141"/>
      <c r="F638" s="141"/>
      <c r="G638" s="253"/>
    </row>
    <row r="639">
      <c r="D639" s="141"/>
      <c r="E639" s="141"/>
      <c r="F639" s="141"/>
      <c r="G639" s="253"/>
    </row>
    <row r="640">
      <c r="D640" s="141"/>
      <c r="E640" s="141"/>
      <c r="F640" s="141"/>
      <c r="G640" s="253"/>
    </row>
    <row r="641">
      <c r="D641" s="141"/>
      <c r="E641" s="141"/>
      <c r="F641" s="141"/>
      <c r="G641" s="253"/>
    </row>
    <row r="642">
      <c r="D642" s="141"/>
      <c r="E642" s="141"/>
      <c r="F642" s="141"/>
      <c r="G642" s="253"/>
    </row>
    <row r="643">
      <c r="D643" s="141"/>
      <c r="E643" s="141"/>
      <c r="F643" s="141"/>
      <c r="G643" s="253"/>
    </row>
    <row r="644">
      <c r="D644" s="141"/>
      <c r="E644" s="141"/>
      <c r="F644" s="141"/>
      <c r="G644" s="253"/>
    </row>
    <row r="645">
      <c r="D645" s="141"/>
      <c r="E645" s="141"/>
      <c r="F645" s="141"/>
      <c r="G645" s="253"/>
    </row>
    <row r="646">
      <c r="D646" s="141"/>
      <c r="E646" s="141"/>
      <c r="F646" s="141"/>
      <c r="G646" s="253"/>
    </row>
    <row r="647">
      <c r="D647" s="141"/>
      <c r="E647" s="141"/>
      <c r="F647" s="141"/>
      <c r="G647" s="253"/>
    </row>
    <row r="648">
      <c r="D648" s="141"/>
      <c r="E648" s="141"/>
      <c r="F648" s="141"/>
      <c r="G648" s="253"/>
    </row>
    <row r="649">
      <c r="D649" s="141"/>
      <c r="E649" s="141"/>
      <c r="F649" s="141"/>
      <c r="G649" s="253"/>
    </row>
    <row r="650">
      <c r="D650" s="141"/>
      <c r="E650" s="141"/>
      <c r="F650" s="141"/>
      <c r="G650" s="253"/>
    </row>
    <row r="651">
      <c r="D651" s="141"/>
      <c r="E651" s="141"/>
      <c r="F651" s="141"/>
      <c r="G651" s="253"/>
    </row>
    <row r="652">
      <c r="D652" s="141"/>
      <c r="E652" s="141"/>
      <c r="F652" s="141"/>
      <c r="G652" s="253"/>
    </row>
    <row r="653">
      <c r="D653" s="141"/>
      <c r="E653" s="141"/>
      <c r="F653" s="141"/>
      <c r="G653" s="253"/>
    </row>
    <row r="654">
      <c r="D654" s="141"/>
      <c r="E654" s="141"/>
      <c r="F654" s="141"/>
      <c r="G654" s="253"/>
    </row>
    <row r="655">
      <c r="D655" s="141"/>
      <c r="E655" s="141"/>
      <c r="F655" s="141"/>
      <c r="G655" s="253"/>
    </row>
    <row r="656">
      <c r="D656" s="141"/>
      <c r="E656" s="141"/>
      <c r="F656" s="141"/>
      <c r="G656" s="253"/>
    </row>
    <row r="657">
      <c r="D657" s="141"/>
      <c r="E657" s="141"/>
      <c r="F657" s="141"/>
      <c r="G657" s="253"/>
    </row>
    <row r="658">
      <c r="D658" s="141"/>
      <c r="E658" s="141"/>
      <c r="F658" s="141"/>
      <c r="G658" s="253"/>
    </row>
    <row r="659">
      <c r="D659" s="141"/>
      <c r="E659" s="141"/>
      <c r="F659" s="141"/>
      <c r="G659" s="253"/>
    </row>
    <row r="660">
      <c r="D660" s="141"/>
      <c r="E660" s="141"/>
      <c r="F660" s="141"/>
      <c r="G660" s="253"/>
    </row>
    <row r="661">
      <c r="D661" s="141"/>
      <c r="E661" s="141"/>
      <c r="F661" s="141"/>
      <c r="G661" s="253"/>
    </row>
    <row r="662">
      <c r="D662" s="141"/>
      <c r="E662" s="141"/>
      <c r="F662" s="141"/>
      <c r="G662" s="253"/>
    </row>
    <row r="663">
      <c r="D663" s="141"/>
      <c r="E663" s="141"/>
      <c r="F663" s="141"/>
      <c r="G663" s="253"/>
    </row>
    <row r="664">
      <c r="D664" s="141"/>
      <c r="E664" s="141"/>
      <c r="F664" s="141"/>
      <c r="G664" s="253"/>
    </row>
    <row r="665">
      <c r="D665" s="141"/>
      <c r="E665" s="141"/>
      <c r="F665" s="141"/>
      <c r="G665" s="253"/>
    </row>
    <row r="666">
      <c r="D666" s="141"/>
      <c r="E666" s="141"/>
      <c r="F666" s="141"/>
      <c r="G666" s="253"/>
    </row>
    <row r="667">
      <c r="D667" s="141"/>
      <c r="E667" s="141"/>
      <c r="F667" s="141"/>
      <c r="G667" s="253"/>
    </row>
    <row r="668">
      <c r="D668" s="141"/>
      <c r="E668" s="141"/>
      <c r="F668" s="141"/>
      <c r="G668" s="253"/>
    </row>
    <row r="669">
      <c r="D669" s="141"/>
      <c r="E669" s="141"/>
      <c r="F669" s="141"/>
      <c r="G669" s="253"/>
    </row>
    <row r="670">
      <c r="D670" s="141"/>
      <c r="E670" s="141"/>
      <c r="F670" s="141"/>
      <c r="G670" s="253"/>
    </row>
    <row r="671">
      <c r="D671" s="141"/>
      <c r="E671" s="141"/>
      <c r="F671" s="141"/>
      <c r="G671" s="253"/>
    </row>
    <row r="672">
      <c r="D672" s="141"/>
      <c r="E672" s="141"/>
      <c r="F672" s="141"/>
      <c r="G672" s="253"/>
    </row>
    <row r="673">
      <c r="D673" s="141"/>
      <c r="E673" s="141"/>
      <c r="F673" s="141"/>
      <c r="G673" s="253"/>
    </row>
    <row r="674">
      <c r="D674" s="141"/>
      <c r="E674" s="141"/>
      <c r="F674" s="141"/>
      <c r="G674" s="253"/>
    </row>
    <row r="675">
      <c r="D675" s="141"/>
      <c r="E675" s="141"/>
      <c r="F675" s="141"/>
      <c r="G675" s="253"/>
    </row>
    <row r="676">
      <c r="D676" s="141"/>
      <c r="E676" s="141"/>
      <c r="F676" s="141"/>
      <c r="G676" s="253"/>
    </row>
    <row r="677">
      <c r="D677" s="141"/>
      <c r="E677" s="141"/>
      <c r="F677" s="141"/>
      <c r="G677" s="253"/>
    </row>
    <row r="678">
      <c r="D678" s="141"/>
      <c r="E678" s="141"/>
      <c r="F678" s="141"/>
      <c r="G678" s="253"/>
    </row>
    <row r="679">
      <c r="D679" s="141"/>
      <c r="E679" s="141"/>
      <c r="F679" s="141"/>
      <c r="G679" s="253"/>
    </row>
    <row r="680">
      <c r="D680" s="141"/>
      <c r="E680" s="141"/>
      <c r="F680" s="141"/>
      <c r="G680" s="253"/>
    </row>
    <row r="681">
      <c r="D681" s="141"/>
      <c r="E681" s="141"/>
      <c r="F681" s="141"/>
      <c r="G681" s="253"/>
    </row>
    <row r="682">
      <c r="D682" s="141"/>
      <c r="E682" s="141"/>
      <c r="F682" s="141"/>
      <c r="G682" s="253"/>
    </row>
    <row r="683">
      <c r="D683" s="141"/>
      <c r="E683" s="141"/>
      <c r="F683" s="141"/>
      <c r="G683" s="253"/>
    </row>
    <row r="684">
      <c r="D684" s="141"/>
      <c r="E684" s="141"/>
      <c r="F684" s="141"/>
      <c r="G684" s="253"/>
    </row>
    <row r="685">
      <c r="D685" s="141"/>
      <c r="E685" s="141"/>
      <c r="F685" s="141"/>
      <c r="G685" s="253"/>
    </row>
    <row r="686">
      <c r="D686" s="141"/>
      <c r="E686" s="141"/>
      <c r="F686" s="141"/>
      <c r="G686" s="253"/>
    </row>
    <row r="687">
      <c r="D687" s="141"/>
      <c r="E687" s="141"/>
      <c r="F687" s="141"/>
      <c r="G687" s="253"/>
    </row>
    <row r="688">
      <c r="D688" s="141"/>
      <c r="E688" s="141"/>
      <c r="F688" s="141"/>
      <c r="G688" s="253"/>
    </row>
    <row r="689">
      <c r="D689" s="141"/>
      <c r="E689" s="141"/>
      <c r="F689" s="141"/>
      <c r="G689" s="253"/>
    </row>
    <row r="690">
      <c r="D690" s="141"/>
      <c r="E690" s="141"/>
      <c r="F690" s="141"/>
      <c r="G690" s="253"/>
    </row>
    <row r="691">
      <c r="D691" s="141"/>
      <c r="E691" s="141"/>
      <c r="F691" s="141"/>
      <c r="G691" s="253"/>
    </row>
    <row r="692">
      <c r="D692" s="141"/>
      <c r="E692" s="141"/>
      <c r="F692" s="141"/>
      <c r="G692" s="253"/>
    </row>
    <row r="693">
      <c r="D693" s="141"/>
      <c r="E693" s="141"/>
      <c r="F693" s="141"/>
      <c r="G693" s="253"/>
    </row>
    <row r="694">
      <c r="D694" s="141"/>
      <c r="E694" s="141"/>
      <c r="F694" s="141"/>
      <c r="G694" s="253"/>
    </row>
    <row r="695">
      <c r="D695" s="141"/>
      <c r="E695" s="141"/>
      <c r="F695" s="141"/>
      <c r="G695" s="253"/>
    </row>
    <row r="696">
      <c r="D696" s="141"/>
      <c r="E696" s="141"/>
      <c r="F696" s="141"/>
      <c r="G696" s="253"/>
    </row>
    <row r="697">
      <c r="D697" s="141"/>
      <c r="E697" s="141"/>
      <c r="F697" s="141"/>
      <c r="G697" s="253"/>
    </row>
    <row r="698">
      <c r="D698" s="141"/>
      <c r="E698" s="141"/>
      <c r="F698" s="141"/>
      <c r="G698" s="253"/>
    </row>
    <row r="699">
      <c r="D699" s="141"/>
      <c r="E699" s="141"/>
      <c r="F699" s="141"/>
      <c r="G699" s="253"/>
    </row>
    <row r="700">
      <c r="D700" s="141"/>
      <c r="E700" s="141"/>
      <c r="F700" s="141"/>
      <c r="G700" s="253"/>
    </row>
    <row r="701">
      <c r="D701" s="141"/>
      <c r="E701" s="141"/>
      <c r="F701" s="141"/>
      <c r="G701" s="253"/>
    </row>
    <row r="702">
      <c r="D702" s="141"/>
      <c r="E702" s="141"/>
      <c r="F702" s="141"/>
      <c r="G702" s="253"/>
    </row>
    <row r="703">
      <c r="D703" s="141"/>
      <c r="E703" s="141"/>
      <c r="F703" s="141"/>
      <c r="G703" s="253"/>
    </row>
    <row r="704">
      <c r="D704" s="141"/>
      <c r="E704" s="141"/>
      <c r="F704" s="141"/>
      <c r="G704" s="253"/>
    </row>
    <row r="705">
      <c r="D705" s="141"/>
      <c r="E705" s="141"/>
      <c r="F705" s="141"/>
      <c r="G705" s="253"/>
    </row>
    <row r="706">
      <c r="D706" s="141"/>
      <c r="E706" s="141"/>
      <c r="F706" s="141"/>
      <c r="G706" s="253"/>
    </row>
    <row r="707">
      <c r="D707" s="141"/>
      <c r="E707" s="141"/>
      <c r="F707" s="141"/>
      <c r="G707" s="253"/>
    </row>
    <row r="708">
      <c r="D708" s="141"/>
      <c r="E708" s="141"/>
      <c r="F708" s="141"/>
      <c r="G708" s="253"/>
    </row>
    <row r="709">
      <c r="D709" s="141"/>
      <c r="E709" s="141"/>
      <c r="F709" s="141"/>
      <c r="G709" s="253"/>
    </row>
    <row r="710">
      <c r="D710" s="141"/>
      <c r="E710" s="141"/>
      <c r="F710" s="141"/>
      <c r="G710" s="253"/>
    </row>
    <row r="711">
      <c r="D711" s="141"/>
      <c r="E711" s="141"/>
      <c r="F711" s="141"/>
      <c r="G711" s="253"/>
    </row>
    <row r="712">
      <c r="D712" s="141"/>
      <c r="E712" s="141"/>
      <c r="F712" s="141"/>
      <c r="G712" s="253"/>
    </row>
    <row r="713">
      <c r="D713" s="141"/>
      <c r="E713" s="141"/>
      <c r="F713" s="141"/>
      <c r="G713" s="253"/>
    </row>
    <row r="714">
      <c r="D714" s="141"/>
      <c r="E714" s="141"/>
      <c r="F714" s="141"/>
      <c r="G714" s="253"/>
    </row>
    <row r="715">
      <c r="D715" s="141"/>
      <c r="E715" s="141"/>
      <c r="F715" s="141"/>
      <c r="G715" s="253"/>
    </row>
    <row r="716">
      <c r="D716" s="141"/>
      <c r="E716" s="141"/>
      <c r="F716" s="141"/>
      <c r="G716" s="253"/>
    </row>
    <row r="717">
      <c r="D717" s="141"/>
      <c r="E717" s="141"/>
      <c r="F717" s="141"/>
      <c r="G717" s="253"/>
    </row>
    <row r="718">
      <c r="D718" s="141"/>
      <c r="E718" s="141"/>
      <c r="F718" s="141"/>
      <c r="G718" s="253"/>
    </row>
    <row r="719">
      <c r="D719" s="141"/>
      <c r="E719" s="141"/>
      <c r="F719" s="141"/>
      <c r="G719" s="253"/>
    </row>
    <row r="720">
      <c r="D720" s="141"/>
      <c r="E720" s="141"/>
      <c r="F720" s="141"/>
      <c r="G720" s="253"/>
    </row>
    <row r="721">
      <c r="D721" s="141"/>
      <c r="E721" s="141"/>
      <c r="F721" s="141"/>
      <c r="G721" s="253"/>
    </row>
    <row r="722">
      <c r="D722" s="141"/>
      <c r="E722" s="141"/>
      <c r="F722" s="141"/>
      <c r="G722" s="253"/>
    </row>
    <row r="723">
      <c r="D723" s="141"/>
      <c r="E723" s="141"/>
      <c r="F723" s="141"/>
      <c r="G723" s="253"/>
    </row>
    <row r="724">
      <c r="D724" s="141"/>
      <c r="E724" s="141"/>
      <c r="F724" s="141"/>
      <c r="G724" s="253"/>
    </row>
    <row r="725">
      <c r="D725" s="141"/>
      <c r="E725" s="141"/>
      <c r="F725" s="141"/>
      <c r="G725" s="253"/>
    </row>
    <row r="726">
      <c r="D726" s="141"/>
      <c r="E726" s="141"/>
      <c r="F726" s="141"/>
      <c r="G726" s="253"/>
    </row>
    <row r="727">
      <c r="D727" s="141"/>
      <c r="E727" s="141"/>
      <c r="F727" s="141"/>
      <c r="G727" s="253"/>
    </row>
    <row r="728">
      <c r="D728" s="141"/>
      <c r="E728" s="141"/>
      <c r="F728" s="141"/>
      <c r="G728" s="253"/>
    </row>
    <row r="729">
      <c r="D729" s="141"/>
      <c r="E729" s="141"/>
      <c r="F729" s="141"/>
      <c r="G729" s="253"/>
    </row>
    <row r="730">
      <c r="D730" s="141"/>
      <c r="E730" s="141"/>
      <c r="F730" s="141"/>
      <c r="G730" s="253"/>
    </row>
    <row r="731">
      <c r="D731" s="141"/>
      <c r="E731" s="141"/>
      <c r="F731" s="141"/>
      <c r="G731" s="253"/>
    </row>
    <row r="732">
      <c r="D732" s="141"/>
      <c r="E732" s="141"/>
      <c r="F732" s="141"/>
      <c r="G732" s="253"/>
    </row>
    <row r="733">
      <c r="D733" s="141"/>
      <c r="E733" s="141"/>
      <c r="F733" s="141"/>
      <c r="G733" s="253"/>
    </row>
    <row r="734">
      <c r="D734" s="141"/>
      <c r="E734" s="141"/>
      <c r="F734" s="141"/>
      <c r="G734" s="253"/>
    </row>
    <row r="735">
      <c r="D735" s="141"/>
      <c r="E735" s="141"/>
      <c r="F735" s="141"/>
      <c r="G735" s="253"/>
    </row>
    <row r="736">
      <c r="D736" s="141"/>
      <c r="E736" s="141"/>
      <c r="F736" s="141"/>
      <c r="G736" s="253"/>
    </row>
    <row r="737">
      <c r="D737" s="141"/>
      <c r="E737" s="141"/>
      <c r="F737" s="141"/>
      <c r="G737" s="253"/>
    </row>
    <row r="738">
      <c r="D738" s="141"/>
      <c r="E738" s="141"/>
      <c r="F738" s="141"/>
      <c r="G738" s="253"/>
    </row>
    <row r="739">
      <c r="D739" s="141"/>
      <c r="E739" s="141"/>
      <c r="F739" s="141"/>
      <c r="G739" s="253"/>
    </row>
    <row r="740">
      <c r="D740" s="141"/>
      <c r="E740" s="141"/>
      <c r="F740" s="141"/>
      <c r="G740" s="253"/>
    </row>
    <row r="741">
      <c r="D741" s="141"/>
      <c r="E741" s="141"/>
      <c r="F741" s="141"/>
      <c r="G741" s="253"/>
    </row>
    <row r="742">
      <c r="D742" s="141"/>
      <c r="E742" s="141"/>
      <c r="F742" s="141"/>
      <c r="G742" s="253"/>
    </row>
    <row r="743">
      <c r="D743" s="141"/>
      <c r="E743" s="141"/>
      <c r="F743" s="141"/>
      <c r="G743" s="253"/>
    </row>
    <row r="744">
      <c r="D744" s="141"/>
      <c r="E744" s="141"/>
      <c r="F744" s="141"/>
      <c r="G744" s="253"/>
    </row>
    <row r="745">
      <c r="D745" s="141"/>
      <c r="E745" s="141"/>
      <c r="F745" s="141"/>
      <c r="G745" s="253"/>
    </row>
    <row r="746">
      <c r="D746" s="141"/>
      <c r="E746" s="141"/>
      <c r="F746" s="141"/>
      <c r="G746" s="253"/>
    </row>
    <row r="747">
      <c r="D747" s="141"/>
      <c r="E747" s="141"/>
      <c r="F747" s="141"/>
      <c r="G747" s="253"/>
    </row>
    <row r="748">
      <c r="D748" s="141"/>
      <c r="E748" s="141"/>
      <c r="F748" s="141"/>
      <c r="G748" s="253"/>
    </row>
    <row r="749">
      <c r="D749" s="141"/>
      <c r="E749" s="141"/>
      <c r="F749" s="141"/>
      <c r="G749" s="253"/>
    </row>
    <row r="750">
      <c r="D750" s="141"/>
      <c r="E750" s="141"/>
      <c r="F750" s="141"/>
      <c r="G750" s="253"/>
    </row>
    <row r="751">
      <c r="D751" s="141"/>
      <c r="E751" s="141"/>
      <c r="F751" s="141"/>
      <c r="G751" s="253"/>
    </row>
    <row r="752">
      <c r="D752" s="141"/>
      <c r="E752" s="141"/>
      <c r="F752" s="141"/>
      <c r="G752" s="253"/>
    </row>
    <row r="753">
      <c r="D753" s="141"/>
      <c r="E753" s="141"/>
      <c r="F753" s="141"/>
      <c r="G753" s="253"/>
    </row>
    <row r="754">
      <c r="D754" s="141"/>
      <c r="E754" s="141"/>
      <c r="F754" s="141"/>
      <c r="G754" s="253"/>
    </row>
    <row r="755">
      <c r="D755" s="141"/>
      <c r="E755" s="141"/>
      <c r="F755" s="141"/>
      <c r="G755" s="253"/>
    </row>
    <row r="756">
      <c r="D756" s="141"/>
      <c r="E756" s="141"/>
      <c r="F756" s="141"/>
      <c r="G756" s="253"/>
    </row>
    <row r="757">
      <c r="D757" s="141"/>
      <c r="E757" s="141"/>
      <c r="F757" s="141"/>
      <c r="G757" s="253"/>
    </row>
    <row r="758">
      <c r="D758" s="141"/>
      <c r="E758" s="141"/>
      <c r="F758" s="141"/>
      <c r="G758" s="253"/>
    </row>
    <row r="759">
      <c r="D759" s="141"/>
      <c r="E759" s="141"/>
      <c r="F759" s="141"/>
      <c r="G759" s="253"/>
    </row>
    <row r="760">
      <c r="D760" s="141"/>
      <c r="E760" s="141"/>
      <c r="F760" s="141"/>
      <c r="G760" s="253"/>
    </row>
    <row r="761">
      <c r="D761" s="141"/>
      <c r="E761" s="141"/>
      <c r="F761" s="141"/>
      <c r="G761" s="253"/>
    </row>
    <row r="762">
      <c r="D762" s="141"/>
      <c r="E762" s="141"/>
      <c r="F762" s="141"/>
      <c r="G762" s="253"/>
    </row>
    <row r="763">
      <c r="D763" s="141"/>
      <c r="E763" s="141"/>
      <c r="F763" s="141"/>
      <c r="G763" s="253"/>
    </row>
    <row r="764">
      <c r="D764" s="141"/>
      <c r="E764" s="141"/>
      <c r="F764" s="141"/>
      <c r="G764" s="253"/>
    </row>
    <row r="765">
      <c r="D765" s="141"/>
      <c r="E765" s="141"/>
      <c r="F765" s="141"/>
      <c r="G765" s="253"/>
    </row>
    <row r="766">
      <c r="D766" s="141"/>
      <c r="E766" s="141"/>
      <c r="F766" s="141"/>
      <c r="G766" s="253"/>
    </row>
    <row r="767">
      <c r="D767" s="141"/>
      <c r="E767" s="141"/>
      <c r="F767" s="141"/>
      <c r="G767" s="253"/>
    </row>
    <row r="768">
      <c r="D768" s="141"/>
      <c r="E768" s="141"/>
      <c r="F768" s="141"/>
      <c r="G768" s="253"/>
    </row>
    <row r="769">
      <c r="D769" s="141"/>
      <c r="E769" s="141"/>
      <c r="F769" s="141"/>
      <c r="G769" s="253"/>
    </row>
    <row r="770">
      <c r="D770" s="141"/>
      <c r="E770" s="141"/>
      <c r="F770" s="141"/>
      <c r="G770" s="253"/>
    </row>
    <row r="771">
      <c r="D771" s="141"/>
      <c r="E771" s="141"/>
      <c r="F771" s="141"/>
      <c r="G771" s="253"/>
    </row>
    <row r="772">
      <c r="D772" s="141"/>
      <c r="E772" s="141"/>
      <c r="F772" s="141"/>
      <c r="G772" s="253"/>
    </row>
    <row r="773">
      <c r="D773" s="141"/>
      <c r="E773" s="141"/>
      <c r="F773" s="141"/>
      <c r="G773" s="253"/>
    </row>
    <row r="774">
      <c r="D774" s="141"/>
      <c r="E774" s="141"/>
      <c r="F774" s="141"/>
      <c r="G774" s="253"/>
    </row>
    <row r="775">
      <c r="D775" s="141"/>
      <c r="E775" s="141"/>
      <c r="F775" s="141"/>
      <c r="G775" s="253"/>
    </row>
    <row r="776">
      <c r="D776" s="141"/>
      <c r="E776" s="141"/>
      <c r="F776" s="141"/>
      <c r="G776" s="253"/>
    </row>
    <row r="777">
      <c r="D777" s="141"/>
      <c r="E777" s="141"/>
      <c r="F777" s="141"/>
      <c r="G777" s="253"/>
    </row>
    <row r="778">
      <c r="D778" s="141"/>
      <c r="E778" s="141"/>
      <c r="F778" s="141"/>
      <c r="G778" s="253"/>
    </row>
    <row r="779">
      <c r="D779" s="141"/>
      <c r="E779" s="141"/>
      <c r="F779" s="141"/>
      <c r="G779" s="253"/>
    </row>
    <row r="780">
      <c r="D780" s="141"/>
      <c r="E780" s="141"/>
      <c r="F780" s="141"/>
      <c r="G780" s="253"/>
    </row>
    <row r="781">
      <c r="D781" s="141"/>
      <c r="E781" s="141"/>
      <c r="F781" s="141"/>
      <c r="G781" s="253"/>
    </row>
    <row r="782">
      <c r="D782" s="141"/>
      <c r="E782" s="141"/>
      <c r="F782" s="141"/>
      <c r="G782" s="253"/>
    </row>
    <row r="783">
      <c r="D783" s="141"/>
      <c r="E783" s="141"/>
      <c r="F783" s="141"/>
      <c r="G783" s="253"/>
    </row>
    <row r="784">
      <c r="D784" s="141"/>
      <c r="E784" s="141"/>
      <c r="F784" s="141"/>
      <c r="G784" s="253"/>
    </row>
    <row r="785">
      <c r="D785" s="141"/>
      <c r="E785" s="141"/>
      <c r="F785" s="141"/>
      <c r="G785" s="253"/>
    </row>
    <row r="786">
      <c r="D786" s="141"/>
      <c r="E786" s="141"/>
      <c r="F786" s="141"/>
      <c r="G786" s="253"/>
    </row>
    <row r="787">
      <c r="D787" s="141"/>
      <c r="E787" s="141"/>
      <c r="F787" s="141"/>
      <c r="G787" s="253"/>
    </row>
    <row r="788">
      <c r="D788" s="141"/>
      <c r="E788" s="141"/>
      <c r="F788" s="141"/>
      <c r="G788" s="253"/>
    </row>
    <row r="789">
      <c r="D789" s="141"/>
      <c r="E789" s="141"/>
      <c r="F789" s="141"/>
      <c r="G789" s="253"/>
    </row>
    <row r="790">
      <c r="D790" s="141"/>
      <c r="E790" s="141"/>
      <c r="F790" s="141"/>
      <c r="G790" s="253"/>
    </row>
    <row r="791">
      <c r="D791" s="141"/>
      <c r="E791" s="141"/>
      <c r="F791" s="141"/>
      <c r="G791" s="253"/>
    </row>
    <row r="792">
      <c r="D792" s="141"/>
      <c r="E792" s="141"/>
      <c r="F792" s="141"/>
      <c r="G792" s="253"/>
    </row>
    <row r="793">
      <c r="D793" s="141"/>
      <c r="E793" s="141"/>
      <c r="F793" s="141"/>
      <c r="G793" s="253"/>
    </row>
    <row r="794">
      <c r="D794" s="141"/>
      <c r="E794" s="141"/>
      <c r="F794" s="141"/>
      <c r="G794" s="253"/>
    </row>
    <row r="795">
      <c r="D795" s="141"/>
      <c r="E795" s="141"/>
      <c r="F795" s="141"/>
      <c r="G795" s="253"/>
    </row>
    <row r="796">
      <c r="D796" s="141"/>
      <c r="E796" s="141"/>
      <c r="F796" s="141"/>
      <c r="G796" s="253"/>
    </row>
    <row r="797">
      <c r="D797" s="141"/>
      <c r="E797" s="141"/>
      <c r="F797" s="141"/>
      <c r="G797" s="253"/>
    </row>
    <row r="798">
      <c r="D798" s="141"/>
      <c r="E798" s="141"/>
      <c r="F798" s="141"/>
      <c r="G798" s="253"/>
    </row>
    <row r="799">
      <c r="D799" s="141"/>
      <c r="E799" s="141"/>
      <c r="F799" s="141"/>
      <c r="G799" s="253"/>
    </row>
    <row r="800">
      <c r="D800" s="141"/>
      <c r="E800" s="141"/>
      <c r="F800" s="141"/>
      <c r="G800" s="253"/>
    </row>
    <row r="801">
      <c r="D801" s="141"/>
      <c r="E801" s="141"/>
      <c r="F801" s="141"/>
      <c r="G801" s="253"/>
    </row>
    <row r="802">
      <c r="D802" s="141"/>
      <c r="E802" s="141"/>
      <c r="F802" s="141"/>
      <c r="G802" s="253"/>
    </row>
    <row r="803">
      <c r="D803" s="141"/>
      <c r="E803" s="141"/>
      <c r="F803" s="141"/>
      <c r="G803" s="253"/>
    </row>
    <row r="804">
      <c r="D804" s="141"/>
      <c r="E804" s="141"/>
      <c r="F804" s="141"/>
      <c r="G804" s="253"/>
    </row>
    <row r="805">
      <c r="D805" s="141"/>
      <c r="E805" s="141"/>
      <c r="F805" s="141"/>
      <c r="G805" s="253"/>
    </row>
    <row r="806">
      <c r="D806" s="141"/>
      <c r="E806" s="141"/>
      <c r="F806" s="141"/>
      <c r="G806" s="253"/>
    </row>
    <row r="807">
      <c r="D807" s="141"/>
      <c r="E807" s="141"/>
      <c r="F807" s="141"/>
      <c r="G807" s="253"/>
    </row>
    <row r="808">
      <c r="D808" s="141"/>
      <c r="E808" s="141"/>
      <c r="F808" s="141"/>
      <c r="G808" s="253"/>
    </row>
    <row r="809">
      <c r="D809" s="141"/>
      <c r="E809" s="141"/>
      <c r="F809" s="141"/>
      <c r="G809" s="253"/>
    </row>
    <row r="810">
      <c r="D810" s="141"/>
      <c r="E810" s="141"/>
      <c r="F810" s="141"/>
      <c r="G810" s="253"/>
    </row>
    <row r="811">
      <c r="D811" s="141"/>
      <c r="E811" s="141"/>
      <c r="F811" s="141"/>
      <c r="G811" s="253"/>
    </row>
    <row r="812">
      <c r="D812" s="141"/>
      <c r="E812" s="141"/>
      <c r="F812" s="141"/>
      <c r="G812" s="253"/>
    </row>
    <row r="813">
      <c r="D813" s="141"/>
      <c r="E813" s="141"/>
      <c r="F813" s="141"/>
      <c r="G813" s="253"/>
    </row>
    <row r="814">
      <c r="D814" s="141"/>
      <c r="E814" s="141"/>
      <c r="F814" s="141"/>
      <c r="G814" s="253"/>
    </row>
    <row r="815">
      <c r="D815" s="141"/>
      <c r="E815" s="141"/>
      <c r="F815" s="141"/>
      <c r="G815" s="253"/>
    </row>
    <row r="816">
      <c r="D816" s="141"/>
      <c r="E816" s="141"/>
      <c r="F816" s="141"/>
      <c r="G816" s="253"/>
    </row>
    <row r="817">
      <c r="D817" s="141"/>
      <c r="E817" s="141"/>
      <c r="F817" s="141"/>
      <c r="G817" s="253"/>
    </row>
    <row r="818">
      <c r="D818" s="141"/>
      <c r="E818" s="141"/>
      <c r="F818" s="141"/>
      <c r="G818" s="253"/>
    </row>
    <row r="819">
      <c r="D819" s="141"/>
      <c r="E819" s="141"/>
      <c r="F819" s="141"/>
      <c r="G819" s="253"/>
    </row>
    <row r="820">
      <c r="D820" s="141"/>
      <c r="E820" s="141"/>
      <c r="F820" s="141"/>
      <c r="G820" s="253"/>
    </row>
    <row r="821">
      <c r="D821" s="141"/>
      <c r="E821" s="141"/>
      <c r="F821" s="141"/>
      <c r="G821" s="253"/>
    </row>
    <row r="822">
      <c r="D822" s="141"/>
      <c r="E822" s="141"/>
      <c r="F822" s="141"/>
      <c r="G822" s="253"/>
    </row>
    <row r="823">
      <c r="D823" s="141"/>
      <c r="E823" s="141"/>
      <c r="F823" s="141"/>
      <c r="G823" s="253"/>
    </row>
    <row r="824">
      <c r="D824" s="141"/>
      <c r="E824" s="141"/>
      <c r="F824" s="141"/>
      <c r="G824" s="253"/>
    </row>
    <row r="825">
      <c r="D825" s="141"/>
      <c r="E825" s="141"/>
      <c r="F825" s="141"/>
      <c r="G825" s="253"/>
    </row>
    <row r="826">
      <c r="D826" s="141"/>
      <c r="E826" s="141"/>
      <c r="F826" s="141"/>
      <c r="G826" s="253"/>
    </row>
    <row r="827">
      <c r="D827" s="141"/>
      <c r="E827" s="141"/>
      <c r="F827" s="141"/>
      <c r="G827" s="253"/>
    </row>
    <row r="828">
      <c r="D828" s="141"/>
      <c r="E828" s="141"/>
      <c r="F828" s="141"/>
      <c r="G828" s="253"/>
    </row>
    <row r="829">
      <c r="D829" s="141"/>
      <c r="E829" s="141"/>
      <c r="F829" s="141"/>
      <c r="G829" s="253"/>
    </row>
    <row r="830">
      <c r="D830" s="141"/>
      <c r="E830" s="141"/>
      <c r="F830" s="141"/>
      <c r="G830" s="253"/>
    </row>
    <row r="831">
      <c r="D831" s="141"/>
      <c r="E831" s="141"/>
      <c r="F831" s="141"/>
      <c r="G831" s="253"/>
    </row>
    <row r="832">
      <c r="D832" s="141"/>
      <c r="E832" s="141"/>
      <c r="F832" s="141"/>
      <c r="G832" s="253"/>
    </row>
    <row r="833">
      <c r="D833" s="141"/>
      <c r="E833" s="141"/>
      <c r="F833" s="141"/>
      <c r="G833" s="253"/>
    </row>
    <row r="834">
      <c r="D834" s="141"/>
      <c r="E834" s="141"/>
      <c r="F834" s="141"/>
      <c r="G834" s="253"/>
    </row>
    <row r="835">
      <c r="D835" s="141"/>
      <c r="E835" s="141"/>
      <c r="F835" s="141"/>
      <c r="G835" s="253"/>
    </row>
    <row r="836">
      <c r="D836" s="141"/>
      <c r="E836" s="141"/>
      <c r="F836" s="141"/>
      <c r="G836" s="253"/>
    </row>
    <row r="837">
      <c r="D837" s="141"/>
      <c r="E837" s="141"/>
      <c r="F837" s="141"/>
      <c r="G837" s="253"/>
    </row>
    <row r="838">
      <c r="D838" s="141"/>
      <c r="E838" s="141"/>
      <c r="F838" s="141"/>
      <c r="G838" s="253"/>
    </row>
    <row r="839">
      <c r="D839" s="141"/>
      <c r="E839" s="141"/>
      <c r="F839" s="141"/>
      <c r="G839" s="253"/>
    </row>
    <row r="840">
      <c r="D840" s="141"/>
      <c r="E840" s="141"/>
      <c r="F840" s="141"/>
      <c r="G840" s="253"/>
    </row>
    <row r="841">
      <c r="D841" s="141"/>
      <c r="E841" s="141"/>
      <c r="F841" s="141"/>
      <c r="G841" s="253"/>
    </row>
    <row r="842">
      <c r="D842" s="141"/>
      <c r="E842" s="141"/>
      <c r="F842" s="141"/>
      <c r="G842" s="253"/>
    </row>
    <row r="843">
      <c r="D843" s="141"/>
      <c r="E843" s="141"/>
      <c r="F843" s="141"/>
      <c r="G843" s="253"/>
    </row>
    <row r="844">
      <c r="D844" s="141"/>
      <c r="E844" s="141"/>
      <c r="F844" s="141"/>
      <c r="G844" s="253"/>
    </row>
    <row r="845">
      <c r="D845" s="141"/>
      <c r="E845" s="141"/>
      <c r="F845" s="141"/>
      <c r="G845" s="253"/>
    </row>
    <row r="846">
      <c r="D846" s="141"/>
      <c r="E846" s="141"/>
      <c r="F846" s="141"/>
      <c r="G846" s="253"/>
    </row>
    <row r="847">
      <c r="D847" s="141"/>
      <c r="E847" s="141"/>
      <c r="F847" s="141"/>
      <c r="G847" s="253"/>
    </row>
    <row r="848">
      <c r="D848" s="141"/>
      <c r="E848" s="141"/>
      <c r="F848" s="141"/>
      <c r="G848" s="253"/>
    </row>
    <row r="849">
      <c r="D849" s="141"/>
      <c r="E849" s="141"/>
      <c r="F849" s="141"/>
      <c r="G849" s="253"/>
    </row>
    <row r="850">
      <c r="D850" s="141"/>
      <c r="E850" s="141"/>
      <c r="F850" s="141"/>
      <c r="G850" s="253"/>
    </row>
    <row r="851">
      <c r="D851" s="141"/>
      <c r="E851" s="141"/>
      <c r="F851" s="141"/>
      <c r="G851" s="253"/>
    </row>
    <row r="852">
      <c r="D852" s="141"/>
      <c r="E852" s="141"/>
      <c r="F852" s="141"/>
      <c r="G852" s="253"/>
    </row>
    <row r="853">
      <c r="D853" s="141"/>
      <c r="E853" s="141"/>
      <c r="F853" s="141"/>
      <c r="G853" s="253"/>
    </row>
    <row r="854">
      <c r="D854" s="141"/>
      <c r="E854" s="141"/>
      <c r="F854" s="141"/>
      <c r="G854" s="253"/>
    </row>
    <row r="855">
      <c r="D855" s="141"/>
      <c r="E855" s="141"/>
      <c r="F855" s="141"/>
      <c r="G855" s="253"/>
    </row>
    <row r="856">
      <c r="D856" s="141"/>
      <c r="E856" s="141"/>
      <c r="F856" s="141"/>
      <c r="G856" s="253"/>
    </row>
    <row r="857">
      <c r="D857" s="141"/>
      <c r="E857" s="141"/>
      <c r="F857" s="141"/>
      <c r="G857" s="253"/>
    </row>
    <row r="858">
      <c r="D858" s="141"/>
      <c r="E858" s="141"/>
      <c r="F858" s="141"/>
      <c r="G858" s="253"/>
    </row>
    <row r="859">
      <c r="D859" s="141"/>
      <c r="E859" s="141"/>
      <c r="F859" s="141"/>
      <c r="G859" s="253"/>
    </row>
    <row r="860">
      <c r="D860" s="141"/>
      <c r="E860" s="141"/>
      <c r="F860" s="141"/>
      <c r="G860" s="253"/>
    </row>
    <row r="861">
      <c r="D861" s="141"/>
      <c r="E861" s="141"/>
      <c r="F861" s="141"/>
      <c r="G861" s="253"/>
    </row>
    <row r="862">
      <c r="D862" s="141"/>
      <c r="E862" s="141"/>
      <c r="F862" s="141"/>
      <c r="G862" s="253"/>
    </row>
    <row r="863">
      <c r="D863" s="141"/>
      <c r="E863" s="141"/>
      <c r="F863" s="141"/>
      <c r="G863" s="253"/>
    </row>
    <row r="864">
      <c r="D864" s="141"/>
      <c r="E864" s="141"/>
      <c r="F864" s="141"/>
      <c r="G864" s="253"/>
    </row>
    <row r="865">
      <c r="D865" s="141"/>
      <c r="E865" s="141"/>
      <c r="F865" s="141"/>
      <c r="G865" s="253"/>
    </row>
    <row r="866">
      <c r="D866" s="141"/>
      <c r="E866" s="141"/>
      <c r="F866" s="141"/>
      <c r="G866" s="253"/>
    </row>
    <row r="867">
      <c r="D867" s="141"/>
      <c r="E867" s="141"/>
      <c r="F867" s="141"/>
      <c r="G867" s="253"/>
    </row>
    <row r="868">
      <c r="D868" s="141"/>
      <c r="E868" s="141"/>
      <c r="F868" s="141"/>
      <c r="G868" s="253"/>
    </row>
    <row r="869">
      <c r="D869" s="141"/>
      <c r="E869" s="141"/>
      <c r="F869" s="141"/>
      <c r="G869" s="253"/>
    </row>
    <row r="870">
      <c r="D870" s="141"/>
      <c r="E870" s="141"/>
      <c r="F870" s="141"/>
      <c r="G870" s="253"/>
    </row>
    <row r="871">
      <c r="D871" s="141"/>
      <c r="E871" s="141"/>
      <c r="F871" s="141"/>
      <c r="G871" s="253"/>
    </row>
    <row r="872">
      <c r="D872" s="141"/>
      <c r="E872" s="141"/>
      <c r="F872" s="141"/>
      <c r="G872" s="253"/>
    </row>
    <row r="873">
      <c r="D873" s="141"/>
      <c r="E873" s="141"/>
      <c r="F873" s="141"/>
      <c r="G873" s="253"/>
    </row>
    <row r="874">
      <c r="D874" s="141"/>
      <c r="E874" s="141"/>
      <c r="F874" s="141"/>
      <c r="G874" s="253"/>
    </row>
    <row r="875">
      <c r="D875" s="141"/>
      <c r="E875" s="141"/>
      <c r="F875" s="141"/>
      <c r="G875" s="253"/>
    </row>
    <row r="876">
      <c r="D876" s="141"/>
      <c r="E876" s="141"/>
      <c r="F876" s="141"/>
      <c r="G876" s="253"/>
    </row>
    <row r="877">
      <c r="D877" s="141"/>
      <c r="E877" s="141"/>
      <c r="F877" s="141"/>
      <c r="G877" s="253"/>
    </row>
    <row r="878">
      <c r="D878" s="141"/>
      <c r="E878" s="141"/>
      <c r="F878" s="141"/>
      <c r="G878" s="253"/>
    </row>
    <row r="879">
      <c r="D879" s="141"/>
      <c r="E879" s="141"/>
      <c r="F879" s="141"/>
      <c r="G879" s="253"/>
    </row>
    <row r="880">
      <c r="D880" s="141"/>
      <c r="E880" s="141"/>
      <c r="F880" s="141"/>
      <c r="G880" s="253"/>
    </row>
    <row r="881">
      <c r="D881" s="141"/>
      <c r="E881" s="141"/>
      <c r="F881" s="141"/>
      <c r="G881" s="253"/>
    </row>
    <row r="882">
      <c r="D882" s="141"/>
      <c r="E882" s="141"/>
      <c r="F882" s="141"/>
      <c r="G882" s="253"/>
    </row>
    <row r="883">
      <c r="D883" s="141"/>
      <c r="E883" s="141"/>
      <c r="F883" s="141"/>
      <c r="G883" s="253"/>
    </row>
    <row r="884">
      <c r="D884" s="141"/>
      <c r="E884" s="141"/>
      <c r="F884" s="141"/>
      <c r="G884" s="253"/>
    </row>
    <row r="885">
      <c r="D885" s="141"/>
      <c r="E885" s="141"/>
      <c r="F885" s="141"/>
      <c r="G885" s="253"/>
    </row>
    <row r="886">
      <c r="D886" s="141"/>
      <c r="E886" s="141"/>
      <c r="F886" s="141"/>
      <c r="G886" s="253"/>
    </row>
    <row r="887">
      <c r="D887" s="141"/>
      <c r="E887" s="141"/>
      <c r="F887" s="141"/>
      <c r="G887" s="253"/>
    </row>
    <row r="888">
      <c r="D888" s="141"/>
      <c r="E888" s="141"/>
      <c r="F888" s="141"/>
      <c r="G888" s="253"/>
    </row>
    <row r="889">
      <c r="D889" s="141"/>
      <c r="E889" s="141"/>
      <c r="F889" s="141"/>
      <c r="G889" s="253"/>
    </row>
    <row r="890">
      <c r="D890" s="141"/>
      <c r="E890" s="141"/>
      <c r="F890" s="141"/>
      <c r="G890" s="253"/>
    </row>
    <row r="891">
      <c r="D891" s="141"/>
      <c r="E891" s="141"/>
      <c r="F891" s="141"/>
      <c r="G891" s="253"/>
    </row>
    <row r="892">
      <c r="D892" s="141"/>
      <c r="E892" s="141"/>
      <c r="F892" s="141"/>
      <c r="G892" s="253"/>
    </row>
    <row r="893">
      <c r="D893" s="141"/>
      <c r="E893" s="141"/>
      <c r="F893" s="141"/>
      <c r="G893" s="253"/>
    </row>
    <row r="894">
      <c r="D894" s="141"/>
      <c r="E894" s="141"/>
      <c r="F894" s="141"/>
      <c r="G894" s="253"/>
    </row>
    <row r="895">
      <c r="D895" s="141"/>
      <c r="E895" s="141"/>
      <c r="F895" s="141"/>
      <c r="G895" s="253"/>
    </row>
    <row r="896">
      <c r="D896" s="141"/>
      <c r="E896" s="141"/>
      <c r="F896" s="141"/>
      <c r="G896" s="253"/>
    </row>
    <row r="897">
      <c r="D897" s="141"/>
      <c r="E897" s="141"/>
      <c r="F897" s="141"/>
      <c r="G897" s="253"/>
    </row>
    <row r="898">
      <c r="D898" s="141"/>
      <c r="E898" s="141"/>
      <c r="F898" s="141"/>
      <c r="G898" s="253"/>
    </row>
    <row r="899">
      <c r="D899" s="141"/>
      <c r="E899" s="141"/>
      <c r="F899" s="141"/>
      <c r="G899" s="253"/>
    </row>
    <row r="900">
      <c r="D900" s="141"/>
      <c r="E900" s="141"/>
      <c r="F900" s="141"/>
      <c r="G900" s="253"/>
    </row>
    <row r="901">
      <c r="D901" s="141"/>
      <c r="E901" s="141"/>
      <c r="F901" s="141"/>
      <c r="G901" s="253"/>
    </row>
    <row r="902">
      <c r="D902" s="141"/>
      <c r="E902" s="141"/>
      <c r="F902" s="141"/>
      <c r="G902" s="253"/>
    </row>
    <row r="903">
      <c r="D903" s="141"/>
      <c r="E903" s="141"/>
      <c r="F903" s="141"/>
      <c r="G903" s="253"/>
    </row>
    <row r="904">
      <c r="D904" s="141"/>
      <c r="E904" s="141"/>
      <c r="F904" s="141"/>
      <c r="G904" s="253"/>
    </row>
    <row r="905">
      <c r="D905" s="141"/>
      <c r="E905" s="141"/>
      <c r="F905" s="141"/>
      <c r="G905" s="253"/>
    </row>
    <row r="906">
      <c r="D906" s="141"/>
      <c r="E906" s="141"/>
      <c r="F906" s="141"/>
      <c r="G906" s="253"/>
    </row>
    <row r="907">
      <c r="D907" s="141"/>
      <c r="E907" s="141"/>
      <c r="F907" s="141"/>
      <c r="G907" s="253"/>
    </row>
    <row r="908">
      <c r="D908" s="141"/>
      <c r="E908" s="141"/>
      <c r="F908" s="141"/>
      <c r="G908" s="253"/>
    </row>
    <row r="909">
      <c r="D909" s="141"/>
      <c r="E909" s="141"/>
      <c r="F909" s="141"/>
      <c r="G909" s="253"/>
    </row>
    <row r="910">
      <c r="D910" s="141"/>
      <c r="E910" s="141"/>
      <c r="F910" s="141"/>
      <c r="G910" s="253"/>
    </row>
    <row r="911">
      <c r="D911" s="141"/>
      <c r="E911" s="141"/>
      <c r="F911" s="141"/>
      <c r="G911" s="253"/>
    </row>
    <row r="912">
      <c r="D912" s="141"/>
      <c r="E912" s="141"/>
      <c r="F912" s="141"/>
      <c r="G912" s="253"/>
    </row>
    <row r="913">
      <c r="D913" s="141"/>
      <c r="E913" s="141"/>
      <c r="F913" s="141"/>
      <c r="G913" s="253"/>
    </row>
    <row r="914">
      <c r="D914" s="141"/>
      <c r="E914" s="141"/>
      <c r="F914" s="141"/>
      <c r="G914" s="253"/>
    </row>
    <row r="915">
      <c r="D915" s="141"/>
      <c r="E915" s="141"/>
      <c r="F915" s="141"/>
      <c r="G915" s="253"/>
    </row>
    <row r="916">
      <c r="D916" s="141"/>
      <c r="E916" s="141"/>
      <c r="F916" s="141"/>
      <c r="G916" s="253"/>
    </row>
    <row r="917">
      <c r="D917" s="141"/>
      <c r="E917" s="141"/>
      <c r="F917" s="141"/>
      <c r="G917" s="253"/>
    </row>
    <row r="918">
      <c r="D918" s="141"/>
      <c r="E918" s="141"/>
      <c r="F918" s="141"/>
      <c r="G918" s="253"/>
    </row>
    <row r="919">
      <c r="D919" s="141"/>
      <c r="E919" s="141"/>
      <c r="F919" s="141"/>
      <c r="G919" s="253"/>
    </row>
    <row r="920">
      <c r="D920" s="141"/>
      <c r="E920" s="141"/>
      <c r="F920" s="141"/>
      <c r="G920" s="253"/>
    </row>
    <row r="921">
      <c r="D921" s="141"/>
      <c r="E921" s="141"/>
      <c r="F921" s="141"/>
      <c r="G921" s="253"/>
    </row>
    <row r="922">
      <c r="D922" s="141"/>
      <c r="E922" s="141"/>
      <c r="F922" s="141"/>
      <c r="G922" s="253"/>
    </row>
    <row r="923">
      <c r="D923" s="141"/>
      <c r="E923" s="141"/>
      <c r="F923" s="141"/>
      <c r="G923" s="253"/>
    </row>
    <row r="924">
      <c r="D924" s="141"/>
      <c r="E924" s="141"/>
      <c r="F924" s="141"/>
      <c r="G924" s="253"/>
    </row>
    <row r="925">
      <c r="D925" s="141"/>
      <c r="E925" s="141"/>
      <c r="F925" s="141"/>
      <c r="G925" s="253"/>
    </row>
    <row r="926">
      <c r="D926" s="141"/>
      <c r="E926" s="141"/>
      <c r="F926" s="141"/>
      <c r="G926" s="253"/>
    </row>
    <row r="927">
      <c r="D927" s="141"/>
      <c r="E927" s="141"/>
      <c r="F927" s="141"/>
      <c r="G927" s="253"/>
    </row>
    <row r="928">
      <c r="D928" s="141"/>
      <c r="E928" s="141"/>
      <c r="F928" s="141"/>
      <c r="G928" s="253"/>
    </row>
    <row r="929">
      <c r="D929" s="141"/>
      <c r="E929" s="141"/>
      <c r="F929" s="141"/>
      <c r="G929" s="253"/>
    </row>
    <row r="930">
      <c r="D930" s="141"/>
      <c r="E930" s="141"/>
      <c r="F930" s="141"/>
      <c r="G930" s="253"/>
    </row>
    <row r="931">
      <c r="D931" s="141"/>
      <c r="E931" s="141"/>
      <c r="F931" s="141"/>
      <c r="G931" s="253"/>
    </row>
    <row r="932">
      <c r="D932" s="141"/>
      <c r="E932" s="141"/>
      <c r="F932" s="141"/>
      <c r="G932" s="253"/>
    </row>
    <row r="933">
      <c r="D933" s="141"/>
      <c r="E933" s="141"/>
      <c r="F933" s="141"/>
      <c r="G933" s="253"/>
    </row>
    <row r="934">
      <c r="D934" s="141"/>
      <c r="E934" s="141"/>
      <c r="F934" s="141"/>
      <c r="G934" s="253"/>
    </row>
    <row r="935">
      <c r="D935" s="141"/>
      <c r="E935" s="141"/>
      <c r="F935" s="141"/>
      <c r="G935" s="253"/>
    </row>
    <row r="936">
      <c r="D936" s="141"/>
      <c r="E936" s="141"/>
      <c r="F936" s="141"/>
      <c r="G936" s="253"/>
    </row>
    <row r="937">
      <c r="D937" s="141"/>
      <c r="E937" s="141"/>
      <c r="F937" s="141"/>
      <c r="G937" s="253"/>
    </row>
    <row r="938">
      <c r="D938" s="141"/>
      <c r="E938" s="141"/>
      <c r="F938" s="141"/>
      <c r="G938" s="253"/>
    </row>
    <row r="939">
      <c r="D939" s="141"/>
      <c r="E939" s="141"/>
      <c r="F939" s="141"/>
      <c r="G939" s="253"/>
    </row>
    <row r="940">
      <c r="D940" s="141"/>
      <c r="E940" s="141"/>
      <c r="F940" s="141"/>
      <c r="G940" s="253"/>
    </row>
    <row r="941">
      <c r="D941" s="141"/>
      <c r="E941" s="141"/>
      <c r="F941" s="141"/>
      <c r="G941" s="253"/>
    </row>
    <row r="942">
      <c r="D942" s="141"/>
      <c r="E942" s="141"/>
      <c r="F942" s="141"/>
      <c r="G942" s="253"/>
    </row>
    <row r="943">
      <c r="D943" s="141"/>
      <c r="E943" s="141"/>
      <c r="F943" s="141"/>
      <c r="G943" s="253"/>
    </row>
    <row r="944">
      <c r="D944" s="141"/>
      <c r="E944" s="141"/>
      <c r="F944" s="141"/>
      <c r="G944" s="253"/>
    </row>
    <row r="945">
      <c r="D945" s="141"/>
      <c r="E945" s="141"/>
      <c r="F945" s="141"/>
      <c r="G945" s="253"/>
    </row>
    <row r="946">
      <c r="D946" s="141"/>
      <c r="E946" s="141"/>
      <c r="F946" s="141"/>
      <c r="G946" s="253"/>
    </row>
    <row r="947">
      <c r="D947" s="141"/>
      <c r="E947" s="141"/>
      <c r="F947" s="141"/>
      <c r="G947" s="253"/>
    </row>
    <row r="948">
      <c r="D948" s="141"/>
      <c r="E948" s="141"/>
      <c r="F948" s="141"/>
      <c r="G948" s="253"/>
    </row>
    <row r="949">
      <c r="D949" s="141"/>
      <c r="E949" s="141"/>
      <c r="F949" s="141"/>
      <c r="G949" s="253"/>
    </row>
    <row r="950">
      <c r="D950" s="141"/>
      <c r="E950" s="141"/>
      <c r="F950" s="141"/>
      <c r="G950" s="253"/>
    </row>
    <row r="951">
      <c r="D951" s="141"/>
      <c r="E951" s="141"/>
      <c r="F951" s="141"/>
      <c r="G951" s="253"/>
    </row>
    <row r="952">
      <c r="D952" s="141"/>
      <c r="E952" s="141"/>
      <c r="F952" s="141"/>
      <c r="G952" s="253"/>
    </row>
    <row r="953">
      <c r="D953" s="141"/>
      <c r="E953" s="141"/>
      <c r="F953" s="141"/>
      <c r="G953" s="253"/>
    </row>
    <row r="954">
      <c r="D954" s="141"/>
      <c r="E954" s="141"/>
      <c r="F954" s="141"/>
      <c r="G954" s="253"/>
    </row>
    <row r="955">
      <c r="D955" s="141"/>
      <c r="E955" s="141"/>
      <c r="F955" s="141"/>
      <c r="G955" s="253"/>
    </row>
    <row r="956">
      <c r="D956" s="141"/>
      <c r="E956" s="141"/>
      <c r="F956" s="141"/>
      <c r="G956" s="253"/>
    </row>
    <row r="957">
      <c r="D957" s="141"/>
      <c r="E957" s="141"/>
      <c r="F957" s="141"/>
      <c r="G957" s="253"/>
    </row>
    <row r="958">
      <c r="D958" s="141"/>
      <c r="E958" s="141"/>
      <c r="F958" s="141"/>
      <c r="G958" s="253"/>
    </row>
    <row r="959">
      <c r="D959" s="141"/>
      <c r="E959" s="141"/>
      <c r="F959" s="141"/>
      <c r="G959" s="253"/>
    </row>
    <row r="960">
      <c r="D960" s="141"/>
      <c r="E960" s="141"/>
      <c r="F960" s="141"/>
      <c r="G960" s="253"/>
    </row>
    <row r="961">
      <c r="D961" s="141"/>
      <c r="E961" s="141"/>
      <c r="F961" s="141"/>
      <c r="G961" s="253"/>
    </row>
    <row r="962">
      <c r="D962" s="141"/>
      <c r="E962" s="141"/>
      <c r="F962" s="141"/>
      <c r="G962" s="253"/>
    </row>
    <row r="963">
      <c r="D963" s="141"/>
      <c r="E963" s="141"/>
      <c r="F963" s="141"/>
      <c r="G963" s="253"/>
    </row>
    <row r="964">
      <c r="D964" s="141"/>
      <c r="E964" s="141"/>
      <c r="F964" s="141"/>
      <c r="G964" s="253"/>
    </row>
    <row r="965">
      <c r="D965" s="141"/>
      <c r="E965" s="141"/>
      <c r="F965" s="141"/>
      <c r="G965" s="253"/>
    </row>
    <row r="966">
      <c r="D966" s="141"/>
      <c r="E966" s="141"/>
      <c r="F966" s="141"/>
      <c r="G966" s="253"/>
    </row>
    <row r="967">
      <c r="D967" s="141"/>
      <c r="E967" s="141"/>
      <c r="F967" s="141"/>
      <c r="G967" s="253"/>
    </row>
    <row r="968">
      <c r="D968" s="141"/>
      <c r="E968" s="141"/>
      <c r="F968" s="141"/>
      <c r="G968" s="253"/>
    </row>
    <row r="969">
      <c r="D969" s="141"/>
      <c r="E969" s="141"/>
      <c r="F969" s="141"/>
      <c r="G969" s="253"/>
    </row>
    <row r="970">
      <c r="D970" s="141"/>
      <c r="E970" s="141"/>
      <c r="F970" s="141"/>
      <c r="G970" s="253"/>
    </row>
    <row r="971">
      <c r="D971" s="141"/>
      <c r="E971" s="141"/>
      <c r="F971" s="141"/>
      <c r="G971" s="253"/>
    </row>
    <row r="972">
      <c r="D972" s="141"/>
      <c r="E972" s="141"/>
      <c r="F972" s="141"/>
      <c r="G972" s="253"/>
    </row>
    <row r="973">
      <c r="D973" s="141"/>
      <c r="E973" s="141"/>
      <c r="F973" s="141"/>
      <c r="G973" s="253"/>
    </row>
    <row r="974">
      <c r="D974" s="141"/>
      <c r="E974" s="141"/>
      <c r="F974" s="141"/>
      <c r="G974" s="253"/>
    </row>
    <row r="975">
      <c r="D975" s="141"/>
      <c r="E975" s="141"/>
      <c r="F975" s="141"/>
      <c r="G975" s="253"/>
    </row>
    <row r="976">
      <c r="D976" s="141"/>
      <c r="E976" s="141"/>
      <c r="F976" s="141"/>
      <c r="G976" s="253"/>
    </row>
    <row r="977">
      <c r="D977" s="141"/>
      <c r="E977" s="141"/>
      <c r="F977" s="141"/>
      <c r="G977" s="253"/>
    </row>
    <row r="978">
      <c r="D978" s="141"/>
      <c r="E978" s="141"/>
      <c r="F978" s="141"/>
      <c r="G978" s="253"/>
    </row>
    <row r="979">
      <c r="D979" s="141"/>
      <c r="E979" s="141"/>
      <c r="F979" s="141"/>
      <c r="G979" s="253"/>
    </row>
    <row r="980">
      <c r="D980" s="141"/>
      <c r="E980" s="141"/>
      <c r="F980" s="141"/>
      <c r="G980" s="253"/>
    </row>
    <row r="981">
      <c r="D981" s="141"/>
      <c r="E981" s="141"/>
      <c r="F981" s="141"/>
      <c r="G981" s="253"/>
    </row>
    <row r="982">
      <c r="D982" s="141"/>
      <c r="E982" s="141"/>
      <c r="F982" s="141"/>
      <c r="G982" s="253"/>
    </row>
    <row r="983">
      <c r="D983" s="141"/>
      <c r="E983" s="141"/>
      <c r="F983" s="141"/>
      <c r="G983" s="253"/>
    </row>
    <row r="984">
      <c r="D984" s="141"/>
      <c r="E984" s="141"/>
      <c r="F984" s="141"/>
      <c r="G984" s="253"/>
    </row>
    <row r="985">
      <c r="D985" s="141"/>
      <c r="E985" s="141"/>
      <c r="F985" s="141"/>
      <c r="G985" s="253"/>
    </row>
    <row r="986">
      <c r="D986" s="141"/>
      <c r="E986" s="141"/>
      <c r="F986" s="141"/>
      <c r="G986" s="253"/>
    </row>
    <row r="987">
      <c r="D987" s="141"/>
      <c r="E987" s="141"/>
      <c r="F987" s="141"/>
      <c r="G987" s="253"/>
    </row>
    <row r="988">
      <c r="D988" s="141"/>
      <c r="E988" s="141"/>
      <c r="F988" s="141"/>
      <c r="G988" s="253"/>
    </row>
    <row r="989">
      <c r="D989" s="141"/>
      <c r="E989" s="141"/>
      <c r="F989" s="141"/>
      <c r="G989" s="253"/>
    </row>
    <row r="990">
      <c r="D990" s="141"/>
      <c r="E990" s="141"/>
      <c r="F990" s="141"/>
      <c r="G990" s="253"/>
    </row>
    <row r="991">
      <c r="D991" s="141"/>
      <c r="E991" s="141"/>
      <c r="F991" s="141"/>
      <c r="G991" s="253"/>
    </row>
    <row r="992">
      <c r="D992" s="141"/>
      <c r="E992" s="141"/>
      <c r="F992" s="141"/>
      <c r="G992" s="253"/>
    </row>
    <row r="993">
      <c r="D993" s="141"/>
      <c r="E993" s="141"/>
      <c r="F993" s="141"/>
      <c r="G993" s="253"/>
    </row>
    <row r="994">
      <c r="D994" s="141"/>
      <c r="E994" s="141"/>
      <c r="F994" s="141"/>
      <c r="G994" s="253"/>
    </row>
    <row r="995">
      <c r="D995" s="141"/>
      <c r="E995" s="141"/>
      <c r="F995" s="141"/>
      <c r="G995" s="253"/>
    </row>
    <row r="996">
      <c r="D996" s="141"/>
      <c r="E996" s="141"/>
      <c r="F996" s="141"/>
      <c r="G996" s="253"/>
    </row>
    <row r="997">
      <c r="D997" s="141"/>
      <c r="E997" s="141"/>
      <c r="F997" s="141"/>
      <c r="G997" s="253"/>
    </row>
    <row r="998">
      <c r="D998" s="141"/>
      <c r="E998" s="141"/>
      <c r="F998" s="141"/>
      <c r="G998" s="253"/>
    </row>
    <row r="999">
      <c r="D999" s="141"/>
      <c r="E999" s="141"/>
      <c r="F999" s="141"/>
      <c r="G999" s="253"/>
    </row>
    <row r="1000">
      <c r="D1000" s="141"/>
      <c r="E1000" s="141"/>
      <c r="F1000" s="141"/>
      <c r="G1000" s="253"/>
    </row>
    <row r="1001">
      <c r="D1001" s="141"/>
      <c r="E1001" s="141"/>
      <c r="F1001" s="141"/>
      <c r="G1001" s="253"/>
    </row>
    <row r="1002">
      <c r="D1002" s="141"/>
      <c r="E1002" s="141"/>
      <c r="F1002" s="141"/>
      <c r="G1002" s="253"/>
    </row>
    <row r="1003">
      <c r="D1003" s="141"/>
      <c r="E1003" s="141"/>
      <c r="F1003" s="141"/>
      <c r="G1003" s="253"/>
    </row>
    <row r="1004">
      <c r="D1004" s="141"/>
      <c r="E1004" s="141"/>
      <c r="F1004" s="141"/>
      <c r="G1004" s="253"/>
    </row>
    <row r="1005">
      <c r="D1005" s="141"/>
      <c r="E1005" s="141"/>
      <c r="F1005" s="141"/>
      <c r="G1005" s="253"/>
    </row>
    <row r="1006">
      <c r="D1006" s="141"/>
      <c r="E1006" s="141"/>
      <c r="F1006" s="141"/>
      <c r="G1006" s="253"/>
    </row>
    <row r="1007">
      <c r="D1007" s="141"/>
      <c r="E1007" s="141"/>
      <c r="F1007" s="141"/>
      <c r="G1007" s="253"/>
    </row>
    <row r="1008">
      <c r="D1008" s="141"/>
      <c r="E1008" s="141"/>
      <c r="F1008" s="141"/>
      <c r="G1008" s="253"/>
    </row>
    <row r="1009">
      <c r="D1009" s="141"/>
      <c r="E1009" s="141"/>
      <c r="F1009" s="141"/>
      <c r="G1009" s="253"/>
    </row>
    <row r="1010">
      <c r="D1010" s="141"/>
      <c r="E1010" s="141"/>
      <c r="F1010" s="141"/>
      <c r="G1010" s="253"/>
    </row>
    <row r="1011">
      <c r="D1011" s="141"/>
      <c r="E1011" s="141"/>
      <c r="F1011" s="141"/>
      <c r="G1011" s="253"/>
    </row>
    <row r="1012">
      <c r="D1012" s="141"/>
      <c r="E1012" s="141"/>
      <c r="F1012" s="141"/>
      <c r="G1012" s="253"/>
    </row>
    <row r="1013">
      <c r="D1013" s="141"/>
      <c r="E1013" s="141"/>
      <c r="F1013" s="141"/>
      <c r="G1013" s="253"/>
    </row>
    <row r="1014">
      <c r="D1014" s="141"/>
      <c r="E1014" s="141"/>
      <c r="F1014" s="141"/>
      <c r="G1014" s="253"/>
    </row>
    <row r="1015">
      <c r="D1015" s="141"/>
      <c r="E1015" s="141"/>
      <c r="F1015" s="141"/>
      <c r="G1015" s="253"/>
    </row>
    <row r="1016">
      <c r="D1016" s="141"/>
      <c r="E1016" s="141"/>
      <c r="F1016" s="141"/>
      <c r="G1016" s="253"/>
    </row>
    <row r="1017">
      <c r="D1017" s="141"/>
      <c r="E1017" s="141"/>
      <c r="F1017" s="141"/>
      <c r="G1017" s="253"/>
    </row>
    <row r="1018">
      <c r="D1018" s="141"/>
      <c r="E1018" s="141"/>
      <c r="F1018" s="141"/>
      <c r="G1018" s="253"/>
    </row>
    <row r="1019">
      <c r="D1019" s="141"/>
      <c r="E1019" s="141"/>
      <c r="F1019" s="141"/>
      <c r="G1019" s="253"/>
    </row>
    <row r="1020">
      <c r="D1020" s="141"/>
      <c r="E1020" s="141"/>
      <c r="F1020" s="141"/>
      <c r="G1020" s="253"/>
    </row>
    <row r="1021">
      <c r="D1021" s="141"/>
      <c r="E1021" s="141"/>
      <c r="F1021" s="141"/>
      <c r="G1021" s="253"/>
    </row>
    <row r="1022">
      <c r="D1022" s="141"/>
      <c r="E1022" s="141"/>
      <c r="F1022" s="141"/>
      <c r="G1022" s="253"/>
    </row>
    <row r="1023">
      <c r="D1023" s="141"/>
      <c r="E1023" s="141"/>
      <c r="F1023" s="141"/>
      <c r="G1023" s="253"/>
    </row>
    <row r="1024">
      <c r="D1024" s="141"/>
      <c r="E1024" s="141"/>
      <c r="F1024" s="141"/>
      <c r="G1024" s="253"/>
    </row>
    <row r="1025">
      <c r="D1025" s="141"/>
      <c r="E1025" s="141"/>
      <c r="F1025" s="141"/>
      <c r="G1025" s="253"/>
    </row>
    <row r="1026">
      <c r="D1026" s="141"/>
      <c r="E1026" s="141"/>
      <c r="F1026" s="141"/>
      <c r="G1026" s="253"/>
    </row>
    <row r="1027">
      <c r="D1027" s="141"/>
      <c r="E1027" s="141"/>
      <c r="F1027" s="141"/>
      <c r="G1027" s="253"/>
    </row>
    <row r="1028">
      <c r="D1028" s="141"/>
      <c r="E1028" s="141"/>
      <c r="F1028" s="141"/>
      <c r="G1028" s="253"/>
    </row>
    <row r="1029">
      <c r="D1029" s="141"/>
      <c r="E1029" s="141"/>
      <c r="F1029" s="141"/>
      <c r="G1029" s="253"/>
    </row>
    <row r="1030">
      <c r="D1030" s="141"/>
      <c r="E1030" s="141"/>
      <c r="F1030" s="141"/>
      <c r="G1030" s="253"/>
    </row>
    <row r="1031">
      <c r="D1031" s="141"/>
      <c r="E1031" s="141"/>
      <c r="F1031" s="141"/>
      <c r="G1031" s="253"/>
    </row>
    <row r="1032">
      <c r="D1032" s="141"/>
      <c r="E1032" s="141"/>
      <c r="F1032" s="141"/>
      <c r="G1032" s="253"/>
    </row>
    <row r="1033">
      <c r="D1033" s="141"/>
      <c r="E1033" s="141"/>
      <c r="F1033" s="141"/>
      <c r="G1033" s="253"/>
    </row>
    <row r="1034">
      <c r="D1034" s="141"/>
      <c r="E1034" s="141"/>
      <c r="F1034" s="141"/>
      <c r="G1034" s="253"/>
    </row>
    <row r="1035">
      <c r="D1035" s="141"/>
      <c r="E1035" s="141"/>
      <c r="F1035" s="141"/>
      <c r="G1035" s="253"/>
    </row>
    <row r="1036">
      <c r="D1036" s="141"/>
      <c r="E1036" s="141"/>
      <c r="F1036" s="141"/>
      <c r="G1036" s="253"/>
    </row>
    <row r="1037">
      <c r="D1037" s="141"/>
      <c r="E1037" s="141"/>
      <c r="F1037" s="141"/>
      <c r="G1037" s="253"/>
    </row>
    <row r="1038">
      <c r="D1038" s="141"/>
      <c r="E1038" s="141"/>
      <c r="F1038" s="141"/>
      <c r="G1038" s="253"/>
    </row>
    <row r="1039">
      <c r="D1039" s="141"/>
      <c r="E1039" s="141"/>
      <c r="F1039" s="141"/>
      <c r="G1039" s="253"/>
    </row>
    <row r="1040">
      <c r="D1040" s="141"/>
      <c r="E1040" s="141"/>
      <c r="F1040" s="141"/>
      <c r="G1040" s="253"/>
    </row>
    <row r="1041">
      <c r="D1041" s="141"/>
      <c r="E1041" s="141"/>
      <c r="F1041" s="141"/>
      <c r="G1041" s="253"/>
    </row>
    <row r="1042">
      <c r="D1042" s="141"/>
      <c r="E1042" s="141"/>
      <c r="F1042" s="141"/>
      <c r="G1042" s="253"/>
    </row>
    <row r="1043">
      <c r="D1043" s="141"/>
      <c r="E1043" s="141"/>
      <c r="F1043" s="141"/>
      <c r="G1043" s="253"/>
    </row>
    <row r="1044">
      <c r="D1044" s="141"/>
      <c r="E1044" s="141"/>
      <c r="F1044" s="141"/>
      <c r="G1044" s="253"/>
    </row>
    <row r="1045">
      <c r="D1045" s="141"/>
      <c r="E1045" s="141"/>
      <c r="F1045" s="141"/>
      <c r="G1045" s="253"/>
    </row>
    <row r="1046">
      <c r="D1046" s="141"/>
      <c r="E1046" s="141"/>
      <c r="F1046" s="141"/>
      <c r="G1046" s="253"/>
    </row>
    <row r="1047">
      <c r="D1047" s="141"/>
      <c r="E1047" s="141"/>
      <c r="F1047" s="141"/>
      <c r="G1047" s="253"/>
    </row>
    <row r="1048">
      <c r="D1048" s="141"/>
      <c r="E1048" s="141"/>
      <c r="F1048" s="141"/>
      <c r="G1048" s="253"/>
    </row>
    <row r="1049">
      <c r="D1049" s="141"/>
      <c r="E1049" s="141"/>
      <c r="F1049" s="141"/>
      <c r="G1049" s="253"/>
    </row>
    <row r="1050">
      <c r="D1050" s="141"/>
      <c r="E1050" s="141"/>
      <c r="F1050" s="141"/>
      <c r="G1050" s="253"/>
    </row>
    <row r="1051">
      <c r="D1051" s="141"/>
      <c r="E1051" s="141"/>
      <c r="F1051" s="141"/>
      <c r="G1051" s="253"/>
    </row>
    <row r="1052">
      <c r="D1052" s="141"/>
      <c r="E1052" s="141"/>
      <c r="F1052" s="141"/>
      <c r="G1052" s="253"/>
    </row>
    <row r="1053">
      <c r="D1053" s="141"/>
      <c r="E1053" s="141"/>
      <c r="F1053" s="141"/>
      <c r="G1053" s="253"/>
    </row>
    <row r="1054">
      <c r="D1054" s="141"/>
      <c r="E1054" s="141"/>
      <c r="F1054" s="141"/>
      <c r="G1054" s="253"/>
    </row>
    <row r="1055">
      <c r="D1055" s="141"/>
      <c r="E1055" s="141"/>
      <c r="F1055" s="141"/>
      <c r="G1055" s="253"/>
    </row>
    <row r="1056">
      <c r="D1056" s="141"/>
      <c r="E1056" s="141"/>
      <c r="F1056" s="141"/>
      <c r="G1056" s="253"/>
    </row>
    <row r="1057">
      <c r="D1057" s="141"/>
      <c r="E1057" s="141"/>
      <c r="F1057" s="141"/>
      <c r="G1057" s="253"/>
    </row>
    <row r="1058">
      <c r="D1058" s="141"/>
      <c r="E1058" s="141"/>
      <c r="F1058" s="141"/>
      <c r="G1058" s="253"/>
    </row>
    <row r="1059">
      <c r="D1059" s="141"/>
      <c r="E1059" s="141"/>
      <c r="F1059" s="141"/>
      <c r="G1059" s="253"/>
    </row>
    <row r="1060">
      <c r="D1060" s="141"/>
      <c r="E1060" s="141"/>
      <c r="F1060" s="141"/>
      <c r="G1060" s="253"/>
    </row>
    <row r="1061">
      <c r="D1061" s="141"/>
      <c r="E1061" s="141"/>
      <c r="F1061" s="141"/>
      <c r="G1061" s="253"/>
    </row>
    <row r="1062">
      <c r="D1062" s="141"/>
      <c r="E1062" s="141"/>
      <c r="F1062" s="141"/>
      <c r="G1062" s="253"/>
    </row>
    <row r="1063">
      <c r="D1063" s="141"/>
      <c r="E1063" s="141"/>
      <c r="F1063" s="141"/>
      <c r="G1063" s="253"/>
    </row>
    <row r="1064">
      <c r="G1064" s="253"/>
    </row>
    <row r="1065">
      <c r="G1065" s="253"/>
    </row>
    <row r="1066">
      <c r="G1066" s="253"/>
    </row>
  </sheetData>
  <hyperlinks>
    <hyperlink r:id="rId1" ref="H115"/>
    <hyperlink r:id="rId2" ref="H116"/>
    <hyperlink r:id="rId3" ref="H127"/>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37.0"/>
    <col customWidth="1" min="3" max="3" width="19.38"/>
    <col customWidth="1" min="4" max="4" width="38.25"/>
    <col customWidth="1" min="5" max="5" width="26.88"/>
    <col customWidth="1" min="6" max="6" width="64.13"/>
    <col customWidth="1" min="7" max="7" width="21.88"/>
    <col customWidth="1" min="9" max="9" width="20.13"/>
  </cols>
  <sheetData>
    <row r="1">
      <c r="A1" s="225" t="s">
        <v>2908</v>
      </c>
      <c r="B1" s="225" t="s">
        <v>2909</v>
      </c>
      <c r="C1" s="225" t="s">
        <v>1060</v>
      </c>
      <c r="D1" s="226" t="s">
        <v>2910</v>
      </c>
      <c r="E1" s="226" t="s">
        <v>2911</v>
      </c>
      <c r="F1" s="226" t="s">
        <v>3</v>
      </c>
      <c r="G1" s="227" t="s">
        <v>2912</v>
      </c>
      <c r="H1" s="225" t="s">
        <v>2913</v>
      </c>
      <c r="I1" s="228"/>
      <c r="J1" s="228"/>
      <c r="K1" s="228"/>
      <c r="L1" s="228"/>
      <c r="M1" s="228"/>
      <c r="N1" s="228"/>
      <c r="O1" s="228"/>
      <c r="P1" s="228"/>
      <c r="Q1" s="228"/>
      <c r="R1" s="228"/>
      <c r="S1" s="228"/>
      <c r="T1" s="228"/>
      <c r="U1" s="228"/>
      <c r="V1" s="228"/>
      <c r="W1" s="228"/>
      <c r="X1" s="228"/>
      <c r="Y1" s="228"/>
      <c r="Z1" s="228"/>
      <c r="AA1" s="228"/>
      <c r="AB1" s="228"/>
      <c r="AC1" s="228"/>
    </row>
    <row r="2">
      <c r="A2" s="144" t="s">
        <v>18</v>
      </c>
      <c r="B2" s="144" t="s">
        <v>20</v>
      </c>
      <c r="C2" s="144" t="s">
        <v>21</v>
      </c>
      <c r="D2" s="70" t="s">
        <v>2914</v>
      </c>
      <c r="E2" s="70"/>
      <c r="F2" s="70" t="s">
        <v>22</v>
      </c>
      <c r="G2" s="229" t="s">
        <v>23</v>
      </c>
      <c r="H2" s="144" t="s">
        <v>3094</v>
      </c>
    </row>
    <row r="3">
      <c r="A3" s="144" t="s">
        <v>18</v>
      </c>
      <c r="B3" s="144" t="s">
        <v>26</v>
      </c>
      <c r="D3" s="70"/>
      <c r="E3" s="70"/>
      <c r="F3" s="70"/>
      <c r="G3" s="253"/>
    </row>
    <row r="4">
      <c r="A4" s="144" t="s">
        <v>18</v>
      </c>
      <c r="B4" s="144" t="s">
        <v>45</v>
      </c>
      <c r="C4" s="113" t="s">
        <v>46</v>
      </c>
      <c r="D4" s="144" t="s">
        <v>2916</v>
      </c>
      <c r="E4" s="70"/>
      <c r="F4" s="70" t="s">
        <v>2917</v>
      </c>
      <c r="G4" s="229" t="s">
        <v>48</v>
      </c>
      <c r="H4" s="144" t="s">
        <v>49</v>
      </c>
    </row>
    <row r="5">
      <c r="A5" s="144" t="s">
        <v>18</v>
      </c>
      <c r="B5" s="144" t="s">
        <v>50</v>
      </c>
      <c r="C5" s="113" t="s">
        <v>51</v>
      </c>
      <c r="D5" s="70" t="s">
        <v>2918</v>
      </c>
      <c r="E5" s="70"/>
      <c r="F5" s="70" t="s">
        <v>2919</v>
      </c>
      <c r="G5" s="229" t="s">
        <v>2920</v>
      </c>
      <c r="H5" s="144" t="s">
        <v>2921</v>
      </c>
    </row>
    <row r="6">
      <c r="A6" s="144" t="s">
        <v>18</v>
      </c>
      <c r="B6" s="144" t="s">
        <v>2927</v>
      </c>
      <c r="C6" s="230" t="s">
        <v>2928</v>
      </c>
      <c r="D6" s="144" t="s">
        <v>2929</v>
      </c>
      <c r="E6" s="70"/>
      <c r="F6" s="70" t="s">
        <v>2930</v>
      </c>
      <c r="G6" s="229" t="s">
        <v>2931</v>
      </c>
      <c r="H6" s="144" t="s">
        <v>2932</v>
      </c>
    </row>
    <row r="7">
      <c r="A7" s="231" t="s">
        <v>91</v>
      </c>
      <c r="B7" s="144" t="s">
        <v>2933</v>
      </c>
      <c r="D7" s="70"/>
      <c r="E7" s="70"/>
      <c r="F7" s="70" t="s">
        <v>2935</v>
      </c>
      <c r="G7" s="229" t="s">
        <v>97</v>
      </c>
      <c r="H7" s="144" t="s">
        <v>98</v>
      </c>
    </row>
    <row r="8">
      <c r="A8" s="231" t="s">
        <v>91</v>
      </c>
      <c r="B8" s="144" t="s">
        <v>2936</v>
      </c>
      <c r="D8" s="70"/>
      <c r="E8" s="70"/>
      <c r="F8" s="70" t="s">
        <v>2937</v>
      </c>
      <c r="G8" s="229" t="s">
        <v>2938</v>
      </c>
      <c r="H8" s="144" t="s">
        <v>2939</v>
      </c>
    </row>
    <row r="9">
      <c r="A9" s="231" t="s">
        <v>91</v>
      </c>
      <c r="B9" s="144" t="s">
        <v>99</v>
      </c>
      <c r="C9" s="166" t="s">
        <v>100</v>
      </c>
      <c r="D9" s="144" t="s">
        <v>2940</v>
      </c>
      <c r="E9" s="237"/>
      <c r="F9" s="237" t="s">
        <v>101</v>
      </c>
      <c r="G9" s="243" t="s">
        <v>102</v>
      </c>
      <c r="H9" s="261" t="s">
        <v>103</v>
      </c>
    </row>
    <row r="10">
      <c r="A10" s="231" t="s">
        <v>91</v>
      </c>
      <c r="B10" s="144" t="s">
        <v>104</v>
      </c>
      <c r="C10" s="111" t="s">
        <v>105</v>
      </c>
      <c r="D10" s="144" t="s">
        <v>104</v>
      </c>
      <c r="E10" s="70"/>
      <c r="F10" s="70" t="s">
        <v>106</v>
      </c>
      <c r="G10" s="262" t="s">
        <v>749</v>
      </c>
      <c r="H10" s="108" t="s">
        <v>107</v>
      </c>
      <c r="I10" s="263" t="s">
        <v>108</v>
      </c>
    </row>
    <row r="11">
      <c r="A11" s="231" t="s">
        <v>91</v>
      </c>
      <c r="B11" s="144" t="s">
        <v>2942</v>
      </c>
      <c r="C11" s="166" t="s">
        <v>2943</v>
      </c>
      <c r="D11" s="144" t="s">
        <v>2944</v>
      </c>
      <c r="E11" s="237"/>
      <c r="F11" s="237" t="s">
        <v>2945</v>
      </c>
      <c r="G11" s="243" t="s">
        <v>112</v>
      </c>
      <c r="H11" s="264" t="s">
        <v>113</v>
      </c>
    </row>
    <row r="12">
      <c r="A12" s="231" t="s">
        <v>91</v>
      </c>
      <c r="B12" s="144" t="s">
        <v>2946</v>
      </c>
      <c r="C12" s="166" t="s">
        <v>115</v>
      </c>
      <c r="D12" s="144" t="s">
        <v>2947</v>
      </c>
      <c r="E12" s="237"/>
      <c r="F12" s="237" t="s">
        <v>116</v>
      </c>
      <c r="G12" s="242" t="s">
        <v>3095</v>
      </c>
      <c r="H12" s="166" t="s">
        <v>118</v>
      </c>
    </row>
    <row r="13">
      <c r="A13" s="231" t="s">
        <v>91</v>
      </c>
      <c r="B13" s="144" t="s">
        <v>2949</v>
      </c>
      <c r="C13" s="166" t="s">
        <v>120</v>
      </c>
      <c r="E13" s="237"/>
      <c r="F13" s="237" t="s">
        <v>121</v>
      </c>
      <c r="G13" s="243" t="s">
        <v>122</v>
      </c>
      <c r="H13" s="166" t="s">
        <v>123</v>
      </c>
    </row>
    <row r="14">
      <c r="A14" s="231" t="s">
        <v>91</v>
      </c>
      <c r="B14" s="144" t="s">
        <v>2950</v>
      </c>
      <c r="C14" s="166" t="s">
        <v>125</v>
      </c>
      <c r="D14" s="144" t="s">
        <v>2950</v>
      </c>
      <c r="E14" s="237"/>
      <c r="F14" s="237" t="s">
        <v>126</v>
      </c>
      <c r="G14" s="243" t="s">
        <v>127</v>
      </c>
      <c r="H14" s="166" t="s">
        <v>128</v>
      </c>
    </row>
    <row r="15">
      <c r="A15" s="244" t="s">
        <v>91</v>
      </c>
      <c r="B15" s="35" t="s">
        <v>2951</v>
      </c>
      <c r="C15" s="245" t="s">
        <v>130</v>
      </c>
      <c r="D15" s="33"/>
      <c r="E15" s="64"/>
      <c r="F15" s="64" t="s">
        <v>131</v>
      </c>
      <c r="G15" s="246" t="s">
        <v>132</v>
      </c>
      <c r="H15" s="46" t="s">
        <v>133</v>
      </c>
      <c r="I15" s="18"/>
      <c r="J15" s="18"/>
      <c r="K15" s="18"/>
      <c r="L15" s="18"/>
      <c r="M15" s="18"/>
      <c r="N15" s="18"/>
      <c r="O15" s="18"/>
      <c r="P15" s="18"/>
      <c r="Q15" s="18"/>
      <c r="R15" s="18"/>
      <c r="S15" s="18"/>
      <c r="T15" s="18"/>
      <c r="U15" s="18"/>
      <c r="V15" s="18"/>
      <c r="W15" s="18"/>
      <c r="X15" s="18"/>
      <c r="Y15" s="18"/>
      <c r="Z15" s="18"/>
      <c r="AA15" s="18"/>
      <c r="AB15" s="18"/>
      <c r="AC15" s="18"/>
    </row>
    <row r="16">
      <c r="A16" s="231" t="s">
        <v>91</v>
      </c>
      <c r="B16" s="144" t="s">
        <v>154</v>
      </c>
      <c r="C16" s="144" t="s">
        <v>155</v>
      </c>
      <c r="D16" s="247" t="s">
        <v>2953</v>
      </c>
      <c r="E16" s="70"/>
      <c r="F16" s="70" t="s">
        <v>156</v>
      </c>
      <c r="G16" s="229" t="s">
        <v>2954</v>
      </c>
      <c r="H16" s="144" t="s">
        <v>158</v>
      </c>
    </row>
    <row r="17">
      <c r="A17" s="231" t="s">
        <v>91</v>
      </c>
      <c r="B17" s="144" t="s">
        <v>159</v>
      </c>
      <c r="C17" s="144" t="s">
        <v>160</v>
      </c>
      <c r="D17" s="70" t="s">
        <v>2955</v>
      </c>
      <c r="E17" s="70"/>
      <c r="F17" s="70" t="s">
        <v>161</v>
      </c>
      <c r="G17" s="229" t="s">
        <v>2956</v>
      </c>
      <c r="H17" s="144" t="s">
        <v>2957</v>
      </c>
    </row>
    <row r="18">
      <c r="A18" s="231" t="s">
        <v>91</v>
      </c>
      <c r="B18" s="144" t="s">
        <v>169</v>
      </c>
      <c r="C18" s="144"/>
      <c r="D18" s="247" t="s">
        <v>2958</v>
      </c>
      <c r="E18" s="70"/>
      <c r="F18" s="70" t="s">
        <v>171</v>
      </c>
      <c r="G18" s="229" t="s">
        <v>2959</v>
      </c>
      <c r="H18" s="248">
        <v>43918.0</v>
      </c>
    </row>
    <row r="19">
      <c r="A19" s="231" t="s">
        <v>91</v>
      </c>
      <c r="B19" s="144" t="s">
        <v>173</v>
      </c>
      <c r="C19" s="144" t="s">
        <v>174</v>
      </c>
      <c r="D19" s="247" t="s">
        <v>2960</v>
      </c>
      <c r="E19" s="70"/>
      <c r="F19" s="70" t="s">
        <v>2961</v>
      </c>
      <c r="G19" s="229" t="s">
        <v>2962</v>
      </c>
      <c r="H19" s="248">
        <v>43906.0</v>
      </c>
    </row>
    <row r="20">
      <c r="A20" s="231" t="s">
        <v>91</v>
      </c>
      <c r="B20" s="144" t="s">
        <v>3096</v>
      </c>
      <c r="D20" s="141"/>
      <c r="E20" s="70"/>
      <c r="F20" s="70" t="s">
        <v>3097</v>
      </c>
      <c r="G20" s="252" t="s">
        <v>3098</v>
      </c>
      <c r="H20" s="248">
        <v>43906.0</v>
      </c>
    </row>
    <row r="21">
      <c r="A21" s="231" t="s">
        <v>91</v>
      </c>
      <c r="B21" s="144" t="s">
        <v>185</v>
      </c>
      <c r="D21" s="141"/>
      <c r="E21" s="70"/>
      <c r="F21" s="70" t="s">
        <v>187</v>
      </c>
      <c r="G21" s="229" t="s">
        <v>2967</v>
      </c>
      <c r="H21" s="144" t="s">
        <v>2968</v>
      </c>
    </row>
    <row r="22">
      <c r="A22" s="231" t="s">
        <v>91</v>
      </c>
      <c r="B22" s="144" t="s">
        <v>177</v>
      </c>
      <c r="D22" s="141"/>
      <c r="E22" s="70"/>
      <c r="F22" s="70" t="s">
        <v>3099</v>
      </c>
      <c r="G22" s="252" t="s">
        <v>3100</v>
      </c>
      <c r="H22" s="248">
        <v>43907.0</v>
      </c>
    </row>
    <row r="23">
      <c r="A23" s="231" t="s">
        <v>91</v>
      </c>
      <c r="B23" s="144" t="s">
        <v>190</v>
      </c>
      <c r="D23" s="141"/>
      <c r="E23" s="70"/>
      <c r="F23" s="70" t="s">
        <v>192</v>
      </c>
      <c r="G23" s="229" t="s">
        <v>2971</v>
      </c>
      <c r="H23" s="144" t="s">
        <v>2968</v>
      </c>
    </row>
    <row r="24">
      <c r="A24" s="231" t="s">
        <v>91</v>
      </c>
      <c r="B24" s="144" t="s">
        <v>208</v>
      </c>
      <c r="C24" s="144" t="s">
        <v>209</v>
      </c>
      <c r="D24" s="141"/>
      <c r="E24" s="249"/>
      <c r="F24" s="249" t="s">
        <v>210</v>
      </c>
      <c r="G24" s="249" t="s">
        <v>211</v>
      </c>
      <c r="H24" s="250" t="s">
        <v>2972</v>
      </c>
    </row>
    <row r="25">
      <c r="A25" s="231" t="s">
        <v>91</v>
      </c>
      <c r="B25" s="144" t="s">
        <v>213</v>
      </c>
      <c r="C25" s="245" t="s">
        <v>214</v>
      </c>
      <c r="D25" s="141"/>
      <c r="E25" s="70"/>
      <c r="F25" s="70" t="s">
        <v>215</v>
      </c>
      <c r="G25" s="229" t="s">
        <v>216</v>
      </c>
      <c r="H25" s="144" t="s">
        <v>2974</v>
      </c>
    </row>
    <row r="26">
      <c r="A26" s="231" t="s">
        <v>91</v>
      </c>
      <c r="B26" s="144" t="s">
        <v>3101</v>
      </c>
      <c r="C26" s="245"/>
      <c r="D26" s="251" t="s">
        <v>2975</v>
      </c>
      <c r="E26" s="70"/>
      <c r="F26" s="70" t="s">
        <v>3102</v>
      </c>
      <c r="G26" s="229" t="s">
        <v>221</v>
      </c>
      <c r="H26" s="144">
        <v>5.0</v>
      </c>
    </row>
    <row r="27">
      <c r="A27" s="231" t="s">
        <v>91</v>
      </c>
      <c r="B27" s="144" t="s">
        <v>3103</v>
      </c>
      <c r="C27" s="245"/>
      <c r="D27" s="251" t="s">
        <v>2975</v>
      </c>
      <c r="E27" s="70"/>
      <c r="F27" s="70" t="s">
        <v>3104</v>
      </c>
      <c r="G27" s="229" t="s">
        <v>206</v>
      </c>
      <c r="H27" s="144" t="s">
        <v>2978</v>
      </c>
    </row>
    <row r="28">
      <c r="A28" s="231" t="s">
        <v>91</v>
      </c>
      <c r="B28" s="144" t="s">
        <v>2982</v>
      </c>
      <c r="C28" s="245" t="s">
        <v>258</v>
      </c>
      <c r="D28" s="251" t="s">
        <v>3105</v>
      </c>
      <c r="E28" s="70"/>
      <c r="F28" s="70" t="s">
        <v>259</v>
      </c>
      <c r="G28" s="229" t="s">
        <v>2984</v>
      </c>
      <c r="H28" s="144" t="s">
        <v>2985</v>
      </c>
    </row>
    <row r="29">
      <c r="A29" s="231" t="s">
        <v>91</v>
      </c>
      <c r="B29" s="144" t="s">
        <v>262</v>
      </c>
      <c r="C29" s="245" t="s">
        <v>263</v>
      </c>
      <c r="D29" s="251" t="s">
        <v>3106</v>
      </c>
      <c r="E29" s="70"/>
      <c r="F29" s="70" t="s">
        <v>264</v>
      </c>
      <c r="G29" s="229" t="s">
        <v>2987</v>
      </c>
      <c r="H29" s="144" t="s">
        <v>2988</v>
      </c>
    </row>
    <row r="30">
      <c r="A30" s="231" t="s">
        <v>91</v>
      </c>
      <c r="B30" s="144" t="s">
        <v>267</v>
      </c>
      <c r="D30" s="141"/>
      <c r="E30" s="70"/>
      <c r="F30" s="70" t="s">
        <v>2989</v>
      </c>
      <c r="G30" s="229" t="s">
        <v>270</v>
      </c>
      <c r="H30" s="144" t="s">
        <v>2990</v>
      </c>
    </row>
    <row r="31">
      <c r="A31" s="231" t="s">
        <v>91</v>
      </c>
      <c r="B31" s="144" t="s">
        <v>287</v>
      </c>
      <c r="C31" s="109" t="s">
        <v>288</v>
      </c>
      <c r="D31" s="70" t="s">
        <v>2991</v>
      </c>
      <c r="E31" s="70"/>
      <c r="F31" s="70" t="s">
        <v>2992</v>
      </c>
      <c r="G31" s="229" t="s">
        <v>2993</v>
      </c>
      <c r="H31" s="144" t="s">
        <v>2994</v>
      </c>
    </row>
    <row r="32">
      <c r="A32" s="231" t="s">
        <v>91</v>
      </c>
      <c r="B32" s="144" t="s">
        <v>2995</v>
      </c>
      <c r="C32" s="109" t="s">
        <v>293</v>
      </c>
      <c r="D32" s="70" t="s">
        <v>2996</v>
      </c>
      <c r="E32" s="70"/>
      <c r="F32" s="70" t="s">
        <v>2998</v>
      </c>
      <c r="G32" s="229" t="s">
        <v>2999</v>
      </c>
      <c r="H32" s="144" t="s">
        <v>3000</v>
      </c>
    </row>
    <row r="33">
      <c r="A33" s="144" t="s">
        <v>3107</v>
      </c>
      <c r="B33" s="144" t="s">
        <v>384</v>
      </c>
      <c r="C33" s="144" t="s">
        <v>385</v>
      </c>
      <c r="D33" s="141"/>
      <c r="E33" s="70"/>
      <c r="F33" s="70" t="s">
        <v>386</v>
      </c>
      <c r="G33" s="229" t="s">
        <v>3108</v>
      </c>
      <c r="H33" s="144">
        <v>7.4</v>
      </c>
    </row>
    <row r="34">
      <c r="A34" s="144" t="s">
        <v>3107</v>
      </c>
      <c r="B34" s="144" t="s">
        <v>3009</v>
      </c>
      <c r="D34" s="141"/>
      <c r="E34" s="70"/>
      <c r="F34" s="70" t="s">
        <v>3011</v>
      </c>
      <c r="G34" s="229" t="s">
        <v>396</v>
      </c>
      <c r="H34" s="144">
        <v>25.0</v>
      </c>
    </row>
    <row r="35">
      <c r="A35" s="144" t="s">
        <v>3107</v>
      </c>
      <c r="B35" s="144" t="s">
        <v>3012</v>
      </c>
      <c r="D35" s="141"/>
      <c r="E35" s="70"/>
      <c r="F35" s="70" t="s">
        <v>3013</v>
      </c>
      <c r="G35" s="229" t="s">
        <v>400</v>
      </c>
      <c r="H35" s="144" t="s">
        <v>3014</v>
      </c>
    </row>
    <row r="36">
      <c r="A36" s="144" t="s">
        <v>3107</v>
      </c>
      <c r="B36" s="144" t="s">
        <v>459</v>
      </c>
      <c r="D36" s="141"/>
      <c r="E36" s="70"/>
      <c r="F36" s="70" t="s">
        <v>461</v>
      </c>
      <c r="G36" s="245" t="s">
        <v>462</v>
      </c>
      <c r="H36" s="144">
        <v>26.0</v>
      </c>
    </row>
    <row r="37">
      <c r="A37" s="144" t="s">
        <v>3107</v>
      </c>
      <c r="B37" s="144" t="s">
        <v>463</v>
      </c>
      <c r="D37" s="141"/>
      <c r="E37" s="70"/>
      <c r="F37" s="70" t="s">
        <v>465</v>
      </c>
      <c r="G37" s="245" t="s">
        <v>466</v>
      </c>
      <c r="H37" s="144" t="s">
        <v>3020</v>
      </c>
    </row>
    <row r="38">
      <c r="A38" s="144" t="s">
        <v>3107</v>
      </c>
      <c r="B38" s="144" t="s">
        <v>486</v>
      </c>
      <c r="D38" s="141"/>
      <c r="E38" s="141"/>
      <c r="F38" s="70" t="s">
        <v>3022</v>
      </c>
      <c r="G38" s="245" t="s">
        <v>3023</v>
      </c>
    </row>
    <row r="39">
      <c r="A39" s="144" t="s">
        <v>3107</v>
      </c>
      <c r="B39" s="144" t="s">
        <v>490</v>
      </c>
      <c r="D39" s="141"/>
      <c r="E39" s="141"/>
      <c r="F39" s="70" t="s">
        <v>492</v>
      </c>
      <c r="G39" s="245" t="s">
        <v>3024</v>
      </c>
    </row>
    <row r="40">
      <c r="A40" s="144" t="s">
        <v>3107</v>
      </c>
      <c r="B40" s="144" t="s">
        <v>3109</v>
      </c>
      <c r="D40" s="141"/>
      <c r="E40" s="141"/>
      <c r="F40" s="141"/>
      <c r="G40" s="253"/>
    </row>
    <row r="41">
      <c r="A41" s="144" t="s">
        <v>3107</v>
      </c>
      <c r="B41" s="144" t="s">
        <v>3110</v>
      </c>
      <c r="D41" s="141"/>
      <c r="E41" s="141"/>
      <c r="F41" s="141"/>
      <c r="G41" s="253"/>
    </row>
    <row r="42">
      <c r="A42" s="144" t="s">
        <v>3107</v>
      </c>
      <c r="B42" s="144" t="s">
        <v>526</v>
      </c>
      <c r="D42" s="141"/>
      <c r="E42" s="141"/>
      <c r="F42" s="141"/>
      <c r="G42" s="253"/>
    </row>
    <row r="43">
      <c r="A43" s="144" t="s">
        <v>3107</v>
      </c>
      <c r="B43" s="144" t="s">
        <v>530</v>
      </c>
      <c r="D43" s="141"/>
      <c r="E43" s="141"/>
      <c r="F43" s="141"/>
      <c r="G43" s="253"/>
    </row>
    <row r="44">
      <c r="A44" s="144" t="s">
        <v>3107</v>
      </c>
      <c r="B44" s="144" t="s">
        <v>540</v>
      </c>
      <c r="D44" s="141"/>
      <c r="E44" s="141"/>
      <c r="F44" s="141"/>
      <c r="G44" s="253"/>
    </row>
    <row r="45">
      <c r="A45" s="144" t="s">
        <v>3107</v>
      </c>
      <c r="B45" s="144" t="s">
        <v>544</v>
      </c>
      <c r="D45" s="141"/>
      <c r="E45" s="141"/>
      <c r="F45" s="141"/>
      <c r="G45" s="253"/>
    </row>
    <row r="46">
      <c r="A46" s="144" t="s">
        <v>3107</v>
      </c>
      <c r="B46" s="144" t="s">
        <v>3111</v>
      </c>
      <c r="D46" s="141"/>
      <c r="E46" s="141"/>
      <c r="F46" s="141"/>
      <c r="G46" s="253"/>
    </row>
    <row r="47">
      <c r="A47" s="144" t="s">
        <v>3107</v>
      </c>
      <c r="B47" s="144" t="s">
        <v>3112</v>
      </c>
      <c r="D47" s="141"/>
      <c r="E47" s="141"/>
      <c r="F47" s="141"/>
      <c r="G47" s="253"/>
    </row>
    <row r="48">
      <c r="A48" s="144" t="s">
        <v>3107</v>
      </c>
      <c r="B48" s="144" t="s">
        <v>3030</v>
      </c>
      <c r="D48" s="141"/>
      <c r="E48" s="141"/>
      <c r="F48" s="141"/>
      <c r="G48" s="253"/>
    </row>
    <row r="49">
      <c r="A49" s="144" t="s">
        <v>3107</v>
      </c>
      <c r="B49" s="144" t="s">
        <v>3031</v>
      </c>
      <c r="D49" s="141"/>
      <c r="E49" s="141"/>
      <c r="F49" s="141"/>
      <c r="G49" s="253"/>
    </row>
    <row r="50">
      <c r="A50" s="144" t="s">
        <v>3107</v>
      </c>
      <c r="B50" s="144" t="s">
        <v>568</v>
      </c>
      <c r="D50" s="141"/>
      <c r="E50" s="141"/>
      <c r="F50" s="141"/>
      <c r="G50" s="253"/>
    </row>
    <row r="51">
      <c r="A51" s="144" t="s">
        <v>3107</v>
      </c>
      <c r="B51" s="144" t="s">
        <v>572</v>
      </c>
      <c r="D51" s="141"/>
      <c r="E51" s="141"/>
      <c r="F51" s="141"/>
      <c r="G51" s="253"/>
    </row>
    <row r="52">
      <c r="A52" s="144" t="s">
        <v>3107</v>
      </c>
      <c r="B52" s="144" t="s">
        <v>3033</v>
      </c>
      <c r="D52" s="141"/>
      <c r="E52" s="141"/>
      <c r="F52" s="141"/>
      <c r="G52" s="253"/>
    </row>
    <row r="53">
      <c r="A53" s="144" t="s">
        <v>3107</v>
      </c>
      <c r="B53" s="144" t="s">
        <v>3113</v>
      </c>
      <c r="D53" s="141"/>
      <c r="E53" s="141"/>
      <c r="F53" s="141"/>
      <c r="G53" s="253"/>
    </row>
    <row r="54">
      <c r="A54" s="144" t="s">
        <v>3107</v>
      </c>
      <c r="B54" s="144" t="s">
        <v>614</v>
      </c>
      <c r="D54" s="141"/>
      <c r="E54" s="141"/>
      <c r="F54" s="141"/>
      <c r="G54" s="253"/>
    </row>
    <row r="55">
      <c r="A55" s="144" t="s">
        <v>3107</v>
      </c>
      <c r="B55" s="144" t="s">
        <v>618</v>
      </c>
      <c r="D55" s="141"/>
      <c r="E55" s="141"/>
      <c r="F55" s="141"/>
      <c r="G55" s="253"/>
    </row>
    <row r="56">
      <c r="A56" s="144" t="s">
        <v>726</v>
      </c>
      <c r="B56" s="144" t="s">
        <v>3038</v>
      </c>
      <c r="C56" s="111" t="s">
        <v>729</v>
      </c>
      <c r="D56" s="70" t="s">
        <v>3039</v>
      </c>
      <c r="E56" s="70"/>
      <c r="F56" s="70" t="s">
        <v>730</v>
      </c>
      <c r="G56" s="229" t="s">
        <v>731</v>
      </c>
      <c r="H56" s="144" t="s">
        <v>2475</v>
      </c>
    </row>
    <row r="57">
      <c r="A57" s="144" t="s">
        <v>726</v>
      </c>
      <c r="B57" s="144" t="s">
        <v>733</v>
      </c>
      <c r="C57" s="144" t="s">
        <v>734</v>
      </c>
      <c r="D57" s="70" t="s">
        <v>3040</v>
      </c>
      <c r="E57" s="70"/>
      <c r="F57" s="70" t="s">
        <v>735</v>
      </c>
      <c r="G57" s="229" t="s">
        <v>3041</v>
      </c>
      <c r="H57" s="144" t="s">
        <v>3042</v>
      </c>
    </row>
    <row r="58">
      <c r="A58" s="144" t="s">
        <v>726</v>
      </c>
      <c r="B58" s="144" t="s">
        <v>750</v>
      </c>
      <c r="D58" s="141"/>
      <c r="E58" s="141"/>
      <c r="F58" s="141"/>
      <c r="G58" s="253"/>
    </row>
    <row r="59">
      <c r="A59" s="144" t="s">
        <v>726</v>
      </c>
      <c r="B59" s="144" t="s">
        <v>759</v>
      </c>
      <c r="C59" s="144" t="s">
        <v>760</v>
      </c>
      <c r="D59" s="70" t="s">
        <v>3045</v>
      </c>
      <c r="E59" s="70"/>
      <c r="F59" s="70" t="s">
        <v>761</v>
      </c>
      <c r="G59" s="229" t="s">
        <v>762</v>
      </c>
      <c r="H59" s="248">
        <v>44004.0</v>
      </c>
    </row>
    <row r="60">
      <c r="A60" s="144" t="s">
        <v>726</v>
      </c>
      <c r="B60" s="144" t="s">
        <v>763</v>
      </c>
      <c r="C60" s="144" t="s">
        <v>764</v>
      </c>
      <c r="D60" s="70" t="s">
        <v>763</v>
      </c>
      <c r="E60" s="70"/>
      <c r="F60" s="70" t="s">
        <v>765</v>
      </c>
      <c r="G60" s="229" t="s">
        <v>766</v>
      </c>
      <c r="H60" s="144" t="s">
        <v>767</v>
      </c>
    </row>
    <row r="61">
      <c r="A61" s="144" t="s">
        <v>726</v>
      </c>
      <c r="B61" s="144" t="s">
        <v>768</v>
      </c>
      <c r="C61" s="144" t="s">
        <v>769</v>
      </c>
      <c r="D61" s="141"/>
      <c r="E61" s="70"/>
      <c r="F61" s="70" t="s">
        <v>770</v>
      </c>
      <c r="G61" s="229" t="s">
        <v>771</v>
      </c>
      <c r="H61" s="144" t="s">
        <v>772</v>
      </c>
    </row>
    <row r="62">
      <c r="A62" s="144" t="s">
        <v>726</v>
      </c>
      <c r="B62" s="144" t="s">
        <v>773</v>
      </c>
      <c r="C62" s="144" t="s">
        <v>774</v>
      </c>
      <c r="D62" s="70" t="s">
        <v>3046</v>
      </c>
      <c r="E62" s="70"/>
      <c r="F62" s="70" t="s">
        <v>775</v>
      </c>
      <c r="G62" s="229" t="s">
        <v>776</v>
      </c>
      <c r="H62" s="144" t="s">
        <v>777</v>
      </c>
    </row>
    <row r="63">
      <c r="A63" s="144" t="s">
        <v>726</v>
      </c>
      <c r="B63" s="144" t="s">
        <v>783</v>
      </c>
      <c r="C63" s="144" t="s">
        <v>784</v>
      </c>
      <c r="D63" s="70" t="s">
        <v>3049</v>
      </c>
      <c r="E63" s="70"/>
      <c r="F63" s="70" t="s">
        <v>785</v>
      </c>
      <c r="G63" s="229" t="s">
        <v>786</v>
      </c>
      <c r="H63" s="144" t="s">
        <v>787</v>
      </c>
    </row>
    <row r="64">
      <c r="A64" s="144" t="s">
        <v>726</v>
      </c>
      <c r="B64" s="144" t="s">
        <v>788</v>
      </c>
      <c r="C64" s="144" t="s">
        <v>789</v>
      </c>
      <c r="D64" s="70" t="s">
        <v>3050</v>
      </c>
      <c r="E64" s="70"/>
      <c r="F64" s="70" t="s">
        <v>790</v>
      </c>
      <c r="G64" s="229" t="s">
        <v>791</v>
      </c>
      <c r="H64" s="254" t="s">
        <v>3051</v>
      </c>
    </row>
    <row r="65">
      <c r="A65" s="144" t="s">
        <v>726</v>
      </c>
      <c r="B65" s="144" t="s">
        <v>807</v>
      </c>
      <c r="C65" s="144" t="s">
        <v>808</v>
      </c>
      <c r="D65" s="70" t="s">
        <v>807</v>
      </c>
      <c r="E65" s="70"/>
      <c r="F65" s="70" t="s">
        <v>809</v>
      </c>
      <c r="G65" s="229" t="s">
        <v>810</v>
      </c>
      <c r="H65" s="254" t="s">
        <v>3052</v>
      </c>
    </row>
    <row r="66">
      <c r="A66" s="144" t="s">
        <v>816</v>
      </c>
      <c r="B66" s="144" t="s">
        <v>842</v>
      </c>
      <c r="C66" s="144" t="s">
        <v>843</v>
      </c>
      <c r="D66" s="70" t="s">
        <v>3053</v>
      </c>
      <c r="E66" s="70"/>
      <c r="F66" s="70" t="s">
        <v>3054</v>
      </c>
      <c r="G66" s="229" t="s">
        <v>3055</v>
      </c>
      <c r="H66" s="144" t="s">
        <v>846</v>
      </c>
    </row>
    <row r="67">
      <c r="A67" s="144" t="s">
        <v>816</v>
      </c>
      <c r="B67" s="144" t="s">
        <v>847</v>
      </c>
      <c r="C67" s="144" t="s">
        <v>848</v>
      </c>
      <c r="D67" s="70" t="s">
        <v>3056</v>
      </c>
      <c r="E67" s="70"/>
      <c r="F67" s="70" t="s">
        <v>849</v>
      </c>
      <c r="G67" s="229" t="s">
        <v>850</v>
      </c>
      <c r="H67" s="144" t="s">
        <v>851</v>
      </c>
    </row>
    <row r="68">
      <c r="A68" s="144" t="s">
        <v>816</v>
      </c>
      <c r="B68" s="144" t="s">
        <v>852</v>
      </c>
      <c r="C68" s="144" t="s">
        <v>853</v>
      </c>
      <c r="D68" s="70" t="s">
        <v>3057</v>
      </c>
      <c r="E68" s="70"/>
      <c r="F68" s="70" t="s">
        <v>3058</v>
      </c>
      <c r="G68" s="229" t="s">
        <v>855</v>
      </c>
      <c r="H68" s="144" t="s">
        <v>856</v>
      </c>
    </row>
    <row r="69">
      <c r="A69" s="144" t="s">
        <v>816</v>
      </c>
      <c r="B69" s="144" t="s">
        <v>857</v>
      </c>
      <c r="C69" s="144" t="s">
        <v>858</v>
      </c>
      <c r="D69" s="70" t="s">
        <v>3059</v>
      </c>
      <c r="E69" s="70"/>
      <c r="F69" s="70" t="s">
        <v>859</v>
      </c>
      <c r="G69" s="229" t="s">
        <v>860</v>
      </c>
      <c r="H69" s="144">
        <v>1.3</v>
      </c>
    </row>
    <row r="70">
      <c r="A70" s="144" t="s">
        <v>816</v>
      </c>
      <c r="B70" s="144" t="s">
        <v>871</v>
      </c>
      <c r="C70" s="45" t="s">
        <v>872</v>
      </c>
      <c r="D70" s="65" t="s">
        <v>871</v>
      </c>
      <c r="E70" s="70"/>
      <c r="F70" s="70" t="s">
        <v>873</v>
      </c>
      <c r="G70" s="229" t="s">
        <v>315</v>
      </c>
      <c r="H70" s="255">
        <v>0.95</v>
      </c>
    </row>
    <row r="71">
      <c r="A71" s="144" t="s">
        <v>816</v>
      </c>
      <c r="B71" s="144" t="s">
        <v>874</v>
      </c>
      <c r="C71" s="45" t="s">
        <v>875</v>
      </c>
      <c r="D71" s="65" t="s">
        <v>874</v>
      </c>
      <c r="E71" s="70"/>
      <c r="F71" s="70" t="s">
        <v>876</v>
      </c>
      <c r="G71" s="229" t="s">
        <v>877</v>
      </c>
      <c r="H71" s="144" t="s">
        <v>3060</v>
      </c>
    </row>
    <row r="72">
      <c r="A72" s="144" t="s">
        <v>816</v>
      </c>
      <c r="B72" s="144" t="s">
        <v>878</v>
      </c>
      <c r="C72" s="45" t="s">
        <v>879</v>
      </c>
      <c r="D72" s="45" t="s">
        <v>878</v>
      </c>
      <c r="E72" s="70"/>
      <c r="F72" s="70" t="s">
        <v>880</v>
      </c>
      <c r="G72" s="229" t="s">
        <v>881</v>
      </c>
      <c r="H72" s="144" t="s">
        <v>3061</v>
      </c>
    </row>
    <row r="73">
      <c r="A73" s="144" t="s">
        <v>816</v>
      </c>
      <c r="B73" s="144" t="s">
        <v>886</v>
      </c>
      <c r="C73" s="111" t="s">
        <v>887</v>
      </c>
      <c r="D73" s="135" t="s">
        <v>886</v>
      </c>
      <c r="E73" s="70"/>
      <c r="F73" s="70" t="s">
        <v>888</v>
      </c>
      <c r="G73" s="229" t="s">
        <v>889</v>
      </c>
      <c r="H73" s="144">
        <v>387566.0</v>
      </c>
    </row>
    <row r="74">
      <c r="A74" s="144" t="s">
        <v>816</v>
      </c>
      <c r="B74" s="144" t="s">
        <v>917</v>
      </c>
      <c r="C74" s="111" t="s">
        <v>918</v>
      </c>
      <c r="D74" s="135" t="s">
        <v>917</v>
      </c>
      <c r="E74" s="70"/>
      <c r="F74" s="70" t="s">
        <v>3062</v>
      </c>
      <c r="G74" s="229" t="s">
        <v>889</v>
      </c>
      <c r="H74" s="144">
        <v>38677.0</v>
      </c>
    </row>
    <row r="75">
      <c r="A75" s="144" t="s">
        <v>816</v>
      </c>
      <c r="B75" s="144" t="s">
        <v>923</v>
      </c>
      <c r="C75" s="111" t="s">
        <v>924</v>
      </c>
      <c r="D75" s="65" t="s">
        <v>923</v>
      </c>
      <c r="E75" s="256"/>
      <c r="F75" s="256" t="s">
        <v>925</v>
      </c>
      <c r="G75" s="256" t="s">
        <v>926</v>
      </c>
      <c r="H75" s="256" t="s">
        <v>927</v>
      </c>
    </row>
    <row r="76">
      <c r="A76" s="144" t="s">
        <v>816</v>
      </c>
      <c r="B76" s="144" t="s">
        <v>933</v>
      </c>
      <c r="C76" s="257" t="s">
        <v>934</v>
      </c>
      <c r="D76" s="65" t="s">
        <v>3063</v>
      </c>
      <c r="E76" s="256"/>
      <c r="F76" s="256" t="s">
        <v>935</v>
      </c>
      <c r="G76" s="256" t="s">
        <v>936</v>
      </c>
      <c r="H76" s="258" t="s">
        <v>937</v>
      </c>
    </row>
    <row r="77">
      <c r="A77" s="144" t="s">
        <v>1022</v>
      </c>
      <c r="B77" s="144" t="s">
        <v>3064</v>
      </c>
      <c r="C77" s="144" t="s">
        <v>3065</v>
      </c>
      <c r="D77" s="259" t="s">
        <v>3066</v>
      </c>
      <c r="E77" s="70"/>
      <c r="F77" s="70" t="s">
        <v>1028</v>
      </c>
      <c r="G77" s="229" t="s">
        <v>1029</v>
      </c>
      <c r="H77" s="144" t="s">
        <v>1030</v>
      </c>
    </row>
    <row r="78">
      <c r="A78" s="144" t="s">
        <v>1022</v>
      </c>
      <c r="B78" s="144" t="s">
        <v>3067</v>
      </c>
      <c r="C78" s="144" t="s">
        <v>3068</v>
      </c>
      <c r="D78" s="260" t="s">
        <v>3069</v>
      </c>
      <c r="E78" s="70"/>
      <c r="F78" s="70" t="s">
        <v>3070</v>
      </c>
      <c r="G78" s="229" t="s">
        <v>3071</v>
      </c>
      <c r="H78" s="144">
        <v>21.0</v>
      </c>
    </row>
    <row r="79">
      <c r="A79" s="144" t="s">
        <v>1022</v>
      </c>
      <c r="B79" s="144" t="s">
        <v>3072</v>
      </c>
      <c r="C79" s="144" t="s">
        <v>3073</v>
      </c>
      <c r="D79" s="259" t="s">
        <v>3074</v>
      </c>
      <c r="E79" s="70"/>
      <c r="F79" s="70" t="s">
        <v>1028</v>
      </c>
      <c r="G79" s="229" t="s">
        <v>3075</v>
      </c>
      <c r="H79" s="144" t="s">
        <v>3076</v>
      </c>
    </row>
    <row r="80">
      <c r="A80" s="144" t="s">
        <v>1022</v>
      </c>
      <c r="B80" s="144" t="s">
        <v>3077</v>
      </c>
      <c r="C80" s="144" t="s">
        <v>3078</v>
      </c>
      <c r="D80" s="259" t="s">
        <v>3079</v>
      </c>
      <c r="E80" s="70"/>
      <c r="F80" s="70" t="s">
        <v>3070</v>
      </c>
      <c r="G80" s="229" t="s">
        <v>3080</v>
      </c>
      <c r="H80" s="144">
        <v>36.0</v>
      </c>
    </row>
    <row r="81">
      <c r="A81" s="144" t="s">
        <v>1022</v>
      </c>
      <c r="B81" s="144" t="s">
        <v>3081</v>
      </c>
      <c r="C81" s="144" t="s">
        <v>3082</v>
      </c>
      <c r="D81" s="259" t="s">
        <v>3083</v>
      </c>
      <c r="E81" s="70"/>
      <c r="F81" s="70" t="s">
        <v>1028</v>
      </c>
      <c r="G81" s="229" t="s">
        <v>3075</v>
      </c>
      <c r="H81" s="144" t="s">
        <v>3076</v>
      </c>
    </row>
    <row r="82">
      <c r="A82" s="144" t="s">
        <v>1022</v>
      </c>
      <c r="B82" s="144" t="s">
        <v>3084</v>
      </c>
      <c r="C82" s="144" t="s">
        <v>3085</v>
      </c>
      <c r="D82" s="260" t="s">
        <v>3086</v>
      </c>
      <c r="E82" s="70"/>
      <c r="F82" s="70" t="s">
        <v>3070</v>
      </c>
      <c r="G82" s="229" t="s">
        <v>3080</v>
      </c>
      <c r="H82" s="144">
        <v>30.0</v>
      </c>
    </row>
    <row r="83">
      <c r="D83" s="141"/>
      <c r="E83" s="141"/>
      <c r="F83" s="141"/>
      <c r="G83" s="253"/>
    </row>
    <row r="84">
      <c r="D84" s="141"/>
      <c r="E84" s="141"/>
      <c r="F84" s="141"/>
      <c r="G84" s="253"/>
    </row>
    <row r="85">
      <c r="D85" s="141"/>
      <c r="E85" s="141"/>
      <c r="F85" s="141"/>
      <c r="G85" s="253"/>
    </row>
    <row r="86">
      <c r="D86" s="141"/>
      <c r="E86" s="141"/>
      <c r="F86" s="141"/>
      <c r="G86" s="253"/>
    </row>
    <row r="87">
      <c r="D87" s="141"/>
      <c r="E87" s="141"/>
      <c r="F87" s="141"/>
      <c r="G87" s="253"/>
    </row>
    <row r="88">
      <c r="D88" s="141"/>
      <c r="E88" s="141"/>
      <c r="F88" s="141"/>
      <c r="G88" s="253"/>
    </row>
    <row r="89">
      <c r="D89" s="141"/>
      <c r="E89" s="141"/>
      <c r="F89" s="141"/>
      <c r="G89" s="253"/>
    </row>
    <row r="90">
      <c r="D90" s="141"/>
      <c r="E90" s="141"/>
      <c r="F90" s="141"/>
      <c r="G90" s="253"/>
    </row>
    <row r="91">
      <c r="D91" s="141"/>
      <c r="E91" s="141"/>
      <c r="F91" s="141"/>
      <c r="G91" s="253"/>
    </row>
    <row r="92">
      <c r="D92" s="141"/>
      <c r="E92" s="141"/>
      <c r="F92" s="141"/>
      <c r="G92" s="253"/>
    </row>
    <row r="93">
      <c r="D93" s="141"/>
      <c r="E93" s="141"/>
      <c r="F93" s="141"/>
      <c r="G93" s="253"/>
    </row>
    <row r="94">
      <c r="D94" s="141"/>
      <c r="E94" s="141"/>
      <c r="F94" s="141"/>
      <c r="G94" s="253"/>
    </row>
    <row r="95">
      <c r="D95" s="141"/>
      <c r="E95" s="141"/>
      <c r="F95" s="141"/>
      <c r="G95" s="253"/>
    </row>
    <row r="96">
      <c r="D96" s="141"/>
      <c r="E96" s="141"/>
      <c r="F96" s="141"/>
      <c r="G96" s="253"/>
    </row>
    <row r="97">
      <c r="D97" s="141"/>
      <c r="E97" s="141"/>
      <c r="F97" s="141"/>
      <c r="G97" s="253"/>
    </row>
    <row r="98">
      <c r="D98" s="141"/>
      <c r="E98" s="141"/>
      <c r="F98" s="141"/>
      <c r="G98" s="253"/>
    </row>
    <row r="99">
      <c r="D99" s="141"/>
      <c r="E99" s="141"/>
      <c r="F99" s="141"/>
      <c r="G99" s="253"/>
    </row>
    <row r="100">
      <c r="D100" s="141"/>
      <c r="E100" s="141"/>
      <c r="F100" s="141"/>
      <c r="G100" s="253"/>
    </row>
    <row r="101">
      <c r="D101" s="141"/>
      <c r="E101" s="141"/>
      <c r="F101" s="141"/>
      <c r="G101" s="253"/>
    </row>
    <row r="102">
      <c r="D102" s="141"/>
      <c r="E102" s="141"/>
      <c r="F102" s="141"/>
      <c r="G102" s="253"/>
    </row>
    <row r="103">
      <c r="D103" s="141"/>
      <c r="E103" s="141"/>
      <c r="F103" s="141"/>
      <c r="G103" s="253"/>
    </row>
    <row r="104">
      <c r="D104" s="141"/>
      <c r="E104" s="141"/>
      <c r="F104" s="141"/>
      <c r="G104" s="253"/>
    </row>
    <row r="105">
      <c r="D105" s="141"/>
      <c r="E105" s="141"/>
      <c r="F105" s="141"/>
      <c r="G105" s="253"/>
    </row>
    <row r="106">
      <c r="D106" s="141"/>
      <c r="E106" s="141"/>
      <c r="F106" s="141"/>
      <c r="G106" s="253"/>
    </row>
    <row r="107">
      <c r="D107" s="141"/>
      <c r="E107" s="141"/>
      <c r="F107" s="141"/>
      <c r="G107" s="253"/>
    </row>
    <row r="108">
      <c r="D108" s="141"/>
      <c r="E108" s="141"/>
      <c r="F108" s="141"/>
      <c r="G108" s="253"/>
    </row>
    <row r="109">
      <c r="D109" s="141"/>
      <c r="E109" s="141"/>
      <c r="F109" s="141"/>
      <c r="G109" s="253"/>
    </row>
    <row r="110">
      <c r="D110" s="141"/>
      <c r="E110" s="141"/>
      <c r="F110" s="141"/>
      <c r="G110" s="253"/>
    </row>
    <row r="111">
      <c r="D111" s="141"/>
      <c r="E111" s="141"/>
      <c r="F111" s="141"/>
      <c r="G111" s="253"/>
    </row>
    <row r="112">
      <c r="D112" s="141"/>
      <c r="E112" s="141"/>
      <c r="F112" s="141"/>
      <c r="G112" s="253"/>
    </row>
    <row r="113">
      <c r="D113" s="141"/>
      <c r="E113" s="141"/>
      <c r="F113" s="141"/>
      <c r="G113" s="253"/>
    </row>
    <row r="114">
      <c r="D114" s="141"/>
      <c r="E114" s="141"/>
      <c r="F114" s="141"/>
      <c r="G114" s="253"/>
    </row>
    <row r="115">
      <c r="D115" s="141"/>
      <c r="E115" s="141"/>
      <c r="F115" s="141"/>
      <c r="G115" s="253"/>
    </row>
    <row r="116">
      <c r="D116" s="141"/>
      <c r="E116" s="141"/>
      <c r="F116" s="141"/>
      <c r="G116" s="253"/>
    </row>
    <row r="117">
      <c r="D117" s="141"/>
      <c r="E117" s="141"/>
      <c r="F117" s="141"/>
      <c r="G117" s="253"/>
    </row>
    <row r="118">
      <c r="D118" s="141"/>
      <c r="E118" s="141"/>
      <c r="F118" s="141"/>
      <c r="G118" s="253"/>
    </row>
    <row r="119">
      <c r="D119" s="141"/>
      <c r="E119" s="141"/>
      <c r="F119" s="141"/>
      <c r="G119" s="253"/>
    </row>
    <row r="120">
      <c r="D120" s="141"/>
      <c r="E120" s="141"/>
      <c r="F120" s="141"/>
      <c r="G120" s="253"/>
    </row>
    <row r="121">
      <c r="D121" s="141"/>
      <c r="E121" s="141"/>
      <c r="F121" s="141"/>
      <c r="G121" s="253"/>
    </row>
    <row r="122">
      <c r="D122" s="141"/>
      <c r="E122" s="141"/>
      <c r="F122" s="141"/>
      <c r="G122" s="253"/>
    </row>
    <row r="123">
      <c r="D123" s="141"/>
      <c r="E123" s="141"/>
      <c r="F123" s="141"/>
      <c r="G123" s="253"/>
    </row>
    <row r="124">
      <c r="D124" s="141"/>
      <c r="E124" s="141"/>
      <c r="F124" s="141"/>
      <c r="G124" s="253"/>
    </row>
    <row r="125">
      <c r="D125" s="141"/>
      <c r="E125" s="141"/>
      <c r="F125" s="141"/>
      <c r="G125" s="253"/>
    </row>
    <row r="126">
      <c r="D126" s="141"/>
      <c r="E126" s="141"/>
      <c r="F126" s="141"/>
      <c r="G126" s="253"/>
    </row>
    <row r="127">
      <c r="D127" s="141"/>
      <c r="E127" s="141"/>
      <c r="F127" s="141"/>
      <c r="G127" s="253"/>
    </row>
    <row r="128">
      <c r="D128" s="141"/>
      <c r="E128" s="141"/>
      <c r="F128" s="141"/>
      <c r="G128" s="253"/>
    </row>
    <row r="129">
      <c r="D129" s="141"/>
      <c r="E129" s="141"/>
      <c r="F129" s="141"/>
      <c r="G129" s="253"/>
    </row>
    <row r="130">
      <c r="D130" s="141"/>
      <c r="E130" s="141"/>
      <c r="F130" s="141"/>
      <c r="G130" s="253"/>
    </row>
    <row r="131">
      <c r="D131" s="141"/>
      <c r="E131" s="141"/>
      <c r="F131" s="141"/>
      <c r="G131" s="253"/>
    </row>
    <row r="132">
      <c r="D132" s="141"/>
      <c r="E132" s="141"/>
      <c r="F132" s="141"/>
      <c r="G132" s="253"/>
    </row>
    <row r="133">
      <c r="D133" s="141"/>
      <c r="E133" s="141"/>
      <c r="F133" s="141"/>
      <c r="G133" s="253"/>
    </row>
    <row r="134">
      <c r="D134" s="141"/>
      <c r="E134" s="141"/>
      <c r="F134" s="141"/>
      <c r="G134" s="253"/>
    </row>
    <row r="135">
      <c r="D135" s="141"/>
      <c r="E135" s="141"/>
      <c r="F135" s="141"/>
      <c r="G135" s="253"/>
    </row>
    <row r="136">
      <c r="D136" s="141"/>
      <c r="E136" s="141"/>
      <c r="F136" s="141"/>
      <c r="G136" s="253"/>
    </row>
    <row r="137">
      <c r="D137" s="141"/>
      <c r="E137" s="141"/>
      <c r="F137" s="141"/>
      <c r="G137" s="253"/>
    </row>
    <row r="138">
      <c r="D138" s="141"/>
      <c r="E138" s="141"/>
      <c r="F138" s="141"/>
      <c r="G138" s="253"/>
    </row>
    <row r="139">
      <c r="D139" s="141"/>
      <c r="E139" s="141"/>
      <c r="F139" s="141"/>
      <c r="G139" s="253"/>
    </row>
    <row r="140">
      <c r="D140" s="141"/>
      <c r="E140" s="141"/>
      <c r="F140" s="141"/>
      <c r="G140" s="253"/>
    </row>
    <row r="141">
      <c r="D141" s="141"/>
      <c r="E141" s="141"/>
      <c r="F141" s="141"/>
      <c r="G141" s="253"/>
    </row>
    <row r="142">
      <c r="D142" s="141"/>
      <c r="E142" s="141"/>
      <c r="F142" s="141"/>
      <c r="G142" s="253"/>
    </row>
    <row r="143">
      <c r="D143" s="141"/>
      <c r="E143" s="141"/>
      <c r="F143" s="141"/>
      <c r="G143" s="253"/>
    </row>
    <row r="144">
      <c r="D144" s="141"/>
      <c r="E144" s="141"/>
      <c r="F144" s="141"/>
      <c r="G144" s="253"/>
    </row>
    <row r="145">
      <c r="D145" s="141"/>
      <c r="E145" s="141"/>
      <c r="F145" s="141"/>
      <c r="G145" s="253"/>
    </row>
    <row r="146">
      <c r="D146" s="141"/>
      <c r="E146" s="141"/>
      <c r="F146" s="141"/>
      <c r="G146" s="253"/>
    </row>
    <row r="147">
      <c r="D147" s="141"/>
      <c r="E147" s="141"/>
      <c r="F147" s="141"/>
      <c r="G147" s="253"/>
    </row>
    <row r="148">
      <c r="D148" s="141"/>
      <c r="E148" s="141"/>
      <c r="F148" s="141"/>
      <c r="G148" s="253"/>
    </row>
    <row r="149">
      <c r="D149" s="141"/>
      <c r="E149" s="141"/>
      <c r="F149" s="141"/>
      <c r="G149" s="253"/>
    </row>
    <row r="150">
      <c r="D150" s="141"/>
      <c r="E150" s="141"/>
      <c r="F150" s="141"/>
      <c r="G150" s="253"/>
    </row>
    <row r="151">
      <c r="D151" s="141"/>
      <c r="E151" s="141"/>
      <c r="F151" s="141"/>
      <c r="G151" s="253"/>
    </row>
    <row r="152">
      <c r="D152" s="141"/>
      <c r="E152" s="141"/>
      <c r="F152" s="141"/>
      <c r="G152" s="253"/>
    </row>
    <row r="153">
      <c r="D153" s="141"/>
      <c r="E153" s="141"/>
      <c r="F153" s="141"/>
      <c r="G153" s="253"/>
    </row>
    <row r="154">
      <c r="D154" s="141"/>
      <c r="E154" s="141"/>
      <c r="F154" s="141"/>
      <c r="G154" s="253"/>
    </row>
    <row r="155">
      <c r="D155" s="141"/>
      <c r="E155" s="141"/>
      <c r="F155" s="141"/>
      <c r="G155" s="253"/>
    </row>
    <row r="156">
      <c r="D156" s="141"/>
      <c r="E156" s="141"/>
      <c r="F156" s="141"/>
      <c r="G156" s="253"/>
    </row>
    <row r="157">
      <c r="D157" s="141"/>
      <c r="E157" s="141"/>
      <c r="F157" s="141"/>
      <c r="G157" s="253"/>
    </row>
    <row r="158">
      <c r="D158" s="141"/>
      <c r="E158" s="141"/>
      <c r="F158" s="141"/>
      <c r="G158" s="253"/>
    </row>
    <row r="159">
      <c r="D159" s="141"/>
      <c r="E159" s="141"/>
      <c r="F159" s="141"/>
      <c r="G159" s="253"/>
    </row>
    <row r="160">
      <c r="D160" s="141"/>
      <c r="E160" s="141"/>
      <c r="F160" s="141"/>
      <c r="G160" s="253"/>
    </row>
    <row r="161">
      <c r="D161" s="141"/>
      <c r="E161" s="141"/>
      <c r="F161" s="141"/>
      <c r="G161" s="253"/>
    </row>
    <row r="162">
      <c r="D162" s="141"/>
      <c r="E162" s="141"/>
      <c r="F162" s="141"/>
      <c r="G162" s="253"/>
    </row>
    <row r="163">
      <c r="D163" s="141"/>
      <c r="E163" s="141"/>
      <c r="F163" s="141"/>
      <c r="G163" s="253"/>
    </row>
    <row r="164">
      <c r="D164" s="141"/>
      <c r="E164" s="141"/>
      <c r="F164" s="141"/>
      <c r="G164" s="253"/>
    </row>
    <row r="165">
      <c r="D165" s="141"/>
      <c r="E165" s="141"/>
      <c r="F165" s="141"/>
      <c r="G165" s="253"/>
    </row>
    <row r="166">
      <c r="D166" s="141"/>
      <c r="E166" s="141"/>
      <c r="F166" s="141"/>
      <c r="G166" s="253"/>
    </row>
    <row r="167">
      <c r="D167" s="141"/>
      <c r="E167" s="141"/>
      <c r="F167" s="141"/>
      <c r="G167" s="253"/>
    </row>
    <row r="168">
      <c r="D168" s="141"/>
      <c r="E168" s="141"/>
      <c r="F168" s="141"/>
      <c r="G168" s="253"/>
    </row>
    <row r="169">
      <c r="D169" s="141"/>
      <c r="E169" s="141"/>
      <c r="F169" s="141"/>
      <c r="G169" s="253"/>
    </row>
    <row r="170">
      <c r="D170" s="141"/>
      <c r="E170" s="141"/>
      <c r="F170" s="141"/>
      <c r="G170" s="253"/>
    </row>
    <row r="171">
      <c r="D171" s="141"/>
      <c r="E171" s="141"/>
      <c r="F171" s="141"/>
      <c r="G171" s="253"/>
    </row>
    <row r="172">
      <c r="D172" s="141"/>
      <c r="E172" s="141"/>
      <c r="F172" s="141"/>
      <c r="G172" s="253"/>
    </row>
    <row r="173">
      <c r="D173" s="141"/>
      <c r="E173" s="141"/>
      <c r="F173" s="141"/>
      <c r="G173" s="253"/>
    </row>
    <row r="174">
      <c r="D174" s="141"/>
      <c r="E174" s="141"/>
      <c r="F174" s="141"/>
      <c r="G174" s="253"/>
    </row>
    <row r="175">
      <c r="D175" s="141"/>
      <c r="E175" s="141"/>
      <c r="F175" s="141"/>
      <c r="G175" s="253"/>
    </row>
    <row r="176">
      <c r="D176" s="141"/>
      <c r="E176" s="141"/>
      <c r="F176" s="141"/>
      <c r="G176" s="253"/>
    </row>
    <row r="177">
      <c r="D177" s="141"/>
      <c r="E177" s="141"/>
      <c r="F177" s="141"/>
      <c r="G177" s="253"/>
    </row>
    <row r="178">
      <c r="D178" s="141"/>
      <c r="E178" s="141"/>
      <c r="F178" s="141"/>
      <c r="G178" s="253"/>
    </row>
    <row r="179">
      <c r="D179" s="141"/>
      <c r="E179" s="141"/>
      <c r="F179" s="141"/>
      <c r="G179" s="253"/>
    </row>
    <row r="180">
      <c r="D180" s="141"/>
      <c r="E180" s="141"/>
      <c r="F180" s="141"/>
      <c r="G180" s="253"/>
    </row>
    <row r="181">
      <c r="D181" s="141"/>
      <c r="E181" s="141"/>
      <c r="F181" s="141"/>
      <c r="G181" s="253"/>
    </row>
    <row r="182">
      <c r="D182" s="141"/>
      <c r="E182" s="141"/>
      <c r="F182" s="141"/>
      <c r="G182" s="253"/>
    </row>
    <row r="183">
      <c r="D183" s="141"/>
      <c r="E183" s="141"/>
      <c r="F183" s="141"/>
      <c r="G183" s="253"/>
    </row>
    <row r="184">
      <c r="D184" s="141"/>
      <c r="E184" s="141"/>
      <c r="F184" s="141"/>
      <c r="G184" s="253"/>
    </row>
    <row r="185">
      <c r="D185" s="141"/>
      <c r="E185" s="141"/>
      <c r="F185" s="141"/>
      <c r="G185" s="253"/>
    </row>
    <row r="186">
      <c r="D186" s="141"/>
      <c r="E186" s="141"/>
      <c r="F186" s="141"/>
      <c r="G186" s="253"/>
    </row>
    <row r="187">
      <c r="D187" s="141"/>
      <c r="E187" s="141"/>
      <c r="F187" s="141"/>
      <c r="G187" s="253"/>
    </row>
    <row r="188">
      <c r="D188" s="141"/>
      <c r="E188" s="141"/>
      <c r="F188" s="141"/>
      <c r="G188" s="253"/>
    </row>
    <row r="189">
      <c r="D189" s="141"/>
      <c r="E189" s="141"/>
      <c r="F189" s="141"/>
      <c r="G189" s="253"/>
    </row>
    <row r="190">
      <c r="D190" s="141"/>
      <c r="E190" s="141"/>
      <c r="F190" s="141"/>
      <c r="G190" s="253"/>
    </row>
    <row r="191">
      <c r="D191" s="141"/>
      <c r="E191" s="141"/>
      <c r="F191" s="141"/>
      <c r="G191" s="253"/>
    </row>
    <row r="192">
      <c r="D192" s="141"/>
      <c r="E192" s="141"/>
      <c r="F192" s="141"/>
      <c r="G192" s="253"/>
    </row>
    <row r="193">
      <c r="D193" s="141"/>
      <c r="E193" s="141"/>
      <c r="F193" s="141"/>
      <c r="G193" s="253"/>
    </row>
    <row r="194">
      <c r="D194" s="141"/>
      <c r="E194" s="141"/>
      <c r="F194" s="141"/>
      <c r="G194" s="253"/>
    </row>
    <row r="195">
      <c r="D195" s="141"/>
      <c r="E195" s="141"/>
      <c r="F195" s="141"/>
      <c r="G195" s="253"/>
    </row>
    <row r="196">
      <c r="D196" s="141"/>
      <c r="E196" s="141"/>
      <c r="F196" s="141"/>
      <c r="G196" s="253"/>
    </row>
    <row r="197">
      <c r="D197" s="141"/>
      <c r="E197" s="141"/>
      <c r="F197" s="141"/>
      <c r="G197" s="253"/>
    </row>
    <row r="198">
      <c r="D198" s="141"/>
      <c r="E198" s="141"/>
      <c r="F198" s="141"/>
      <c r="G198" s="253"/>
    </row>
    <row r="199">
      <c r="D199" s="141"/>
      <c r="E199" s="141"/>
      <c r="F199" s="141"/>
      <c r="G199" s="253"/>
    </row>
    <row r="200">
      <c r="D200" s="141"/>
      <c r="E200" s="141"/>
      <c r="F200" s="141"/>
      <c r="G200" s="253"/>
    </row>
    <row r="201">
      <c r="D201" s="141"/>
      <c r="E201" s="141"/>
      <c r="F201" s="141"/>
      <c r="G201" s="253"/>
    </row>
    <row r="202">
      <c r="D202" s="141"/>
      <c r="E202" s="141"/>
      <c r="F202" s="141"/>
      <c r="G202" s="253"/>
    </row>
    <row r="203">
      <c r="D203" s="141"/>
      <c r="E203" s="141"/>
      <c r="F203" s="141"/>
      <c r="G203" s="253"/>
    </row>
    <row r="204">
      <c r="D204" s="141"/>
      <c r="E204" s="141"/>
      <c r="F204" s="141"/>
      <c r="G204" s="253"/>
    </row>
    <row r="205">
      <c r="D205" s="141"/>
      <c r="E205" s="141"/>
      <c r="F205" s="141"/>
      <c r="G205" s="253"/>
    </row>
    <row r="206">
      <c r="D206" s="141"/>
      <c r="E206" s="141"/>
      <c r="F206" s="141"/>
      <c r="G206" s="253"/>
    </row>
    <row r="207">
      <c r="D207" s="141"/>
      <c r="E207" s="141"/>
      <c r="F207" s="141"/>
      <c r="G207" s="253"/>
    </row>
    <row r="208">
      <c r="D208" s="141"/>
      <c r="E208" s="141"/>
      <c r="F208" s="141"/>
      <c r="G208" s="253"/>
    </row>
    <row r="209">
      <c r="D209" s="141"/>
      <c r="E209" s="141"/>
      <c r="F209" s="141"/>
      <c r="G209" s="253"/>
    </row>
    <row r="210">
      <c r="D210" s="141"/>
      <c r="E210" s="141"/>
      <c r="F210" s="141"/>
      <c r="G210" s="253"/>
    </row>
    <row r="211">
      <c r="D211" s="141"/>
      <c r="E211" s="141"/>
      <c r="F211" s="141"/>
      <c r="G211" s="253"/>
    </row>
    <row r="212">
      <c r="D212" s="141"/>
      <c r="E212" s="141"/>
      <c r="F212" s="141"/>
      <c r="G212" s="253"/>
    </row>
    <row r="213">
      <c r="D213" s="141"/>
      <c r="E213" s="141"/>
      <c r="F213" s="141"/>
      <c r="G213" s="253"/>
    </row>
    <row r="214">
      <c r="D214" s="141"/>
      <c r="E214" s="141"/>
      <c r="F214" s="141"/>
      <c r="G214" s="253"/>
    </row>
    <row r="215">
      <c r="D215" s="141"/>
      <c r="E215" s="141"/>
      <c r="F215" s="141"/>
      <c r="G215" s="253"/>
    </row>
    <row r="216">
      <c r="D216" s="141"/>
      <c r="E216" s="141"/>
      <c r="F216" s="141"/>
      <c r="G216" s="253"/>
    </row>
    <row r="217">
      <c r="D217" s="141"/>
      <c r="E217" s="141"/>
      <c r="F217" s="141"/>
      <c r="G217" s="253"/>
    </row>
    <row r="218">
      <c r="D218" s="141"/>
      <c r="E218" s="141"/>
      <c r="F218" s="141"/>
      <c r="G218" s="253"/>
    </row>
    <row r="219">
      <c r="D219" s="141"/>
      <c r="E219" s="141"/>
      <c r="F219" s="141"/>
      <c r="G219" s="253"/>
    </row>
    <row r="220">
      <c r="D220" s="141"/>
      <c r="E220" s="141"/>
      <c r="F220" s="141"/>
      <c r="G220" s="253"/>
    </row>
    <row r="221">
      <c r="D221" s="141"/>
      <c r="E221" s="141"/>
      <c r="F221" s="141"/>
      <c r="G221" s="253"/>
    </row>
    <row r="222">
      <c r="D222" s="141"/>
      <c r="E222" s="141"/>
      <c r="F222" s="141"/>
      <c r="G222" s="253"/>
    </row>
    <row r="223">
      <c r="D223" s="141"/>
      <c r="E223" s="141"/>
      <c r="F223" s="141"/>
      <c r="G223" s="253"/>
    </row>
    <row r="224">
      <c r="D224" s="141"/>
      <c r="E224" s="141"/>
      <c r="F224" s="141"/>
      <c r="G224" s="253"/>
    </row>
    <row r="225">
      <c r="D225" s="141"/>
      <c r="E225" s="141"/>
      <c r="F225" s="141"/>
      <c r="G225" s="253"/>
    </row>
    <row r="226">
      <c r="D226" s="141"/>
      <c r="E226" s="141"/>
      <c r="F226" s="141"/>
      <c r="G226" s="253"/>
    </row>
    <row r="227">
      <c r="D227" s="141"/>
      <c r="E227" s="141"/>
      <c r="F227" s="141"/>
      <c r="G227" s="253"/>
    </row>
    <row r="228">
      <c r="D228" s="141"/>
      <c r="E228" s="141"/>
      <c r="F228" s="141"/>
      <c r="G228" s="253"/>
    </row>
    <row r="229">
      <c r="D229" s="141"/>
      <c r="E229" s="141"/>
      <c r="F229" s="141"/>
      <c r="G229" s="253"/>
    </row>
    <row r="230">
      <c r="D230" s="141"/>
      <c r="E230" s="141"/>
      <c r="F230" s="141"/>
      <c r="G230" s="253"/>
    </row>
    <row r="231">
      <c r="D231" s="141"/>
      <c r="E231" s="141"/>
      <c r="F231" s="141"/>
      <c r="G231" s="253"/>
    </row>
    <row r="232">
      <c r="D232" s="141"/>
      <c r="E232" s="141"/>
      <c r="F232" s="141"/>
      <c r="G232" s="253"/>
    </row>
    <row r="233">
      <c r="D233" s="141"/>
      <c r="E233" s="141"/>
      <c r="F233" s="141"/>
      <c r="G233" s="253"/>
    </row>
    <row r="234">
      <c r="D234" s="141"/>
      <c r="E234" s="141"/>
      <c r="F234" s="141"/>
      <c r="G234" s="253"/>
    </row>
    <row r="235">
      <c r="D235" s="141"/>
      <c r="E235" s="141"/>
      <c r="F235" s="141"/>
      <c r="G235" s="253"/>
    </row>
    <row r="236">
      <c r="D236" s="141"/>
      <c r="E236" s="141"/>
      <c r="F236" s="141"/>
      <c r="G236" s="253"/>
    </row>
    <row r="237">
      <c r="D237" s="141"/>
      <c r="E237" s="141"/>
      <c r="F237" s="141"/>
      <c r="G237" s="253"/>
    </row>
    <row r="238">
      <c r="D238" s="141"/>
      <c r="E238" s="141"/>
      <c r="F238" s="141"/>
      <c r="G238" s="253"/>
    </row>
    <row r="239">
      <c r="D239" s="141"/>
      <c r="E239" s="141"/>
      <c r="F239" s="141"/>
      <c r="G239" s="253"/>
    </row>
    <row r="240">
      <c r="D240" s="141"/>
      <c r="E240" s="141"/>
      <c r="F240" s="141"/>
      <c r="G240" s="253"/>
    </row>
    <row r="241">
      <c r="D241" s="141"/>
      <c r="E241" s="141"/>
      <c r="F241" s="141"/>
      <c r="G241" s="253"/>
    </row>
    <row r="242">
      <c r="D242" s="141"/>
      <c r="E242" s="141"/>
      <c r="F242" s="141"/>
      <c r="G242" s="253"/>
    </row>
    <row r="243">
      <c r="D243" s="141"/>
      <c r="E243" s="141"/>
      <c r="F243" s="141"/>
      <c r="G243" s="253"/>
    </row>
    <row r="244">
      <c r="D244" s="141"/>
      <c r="E244" s="141"/>
      <c r="F244" s="141"/>
      <c r="G244" s="253"/>
    </row>
    <row r="245">
      <c r="D245" s="141"/>
      <c r="E245" s="141"/>
      <c r="F245" s="141"/>
      <c r="G245" s="253"/>
    </row>
    <row r="246">
      <c r="D246" s="141"/>
      <c r="E246" s="141"/>
      <c r="F246" s="141"/>
      <c r="G246" s="253"/>
    </row>
    <row r="247">
      <c r="D247" s="141"/>
      <c r="E247" s="141"/>
      <c r="F247" s="141"/>
      <c r="G247" s="253"/>
    </row>
    <row r="248">
      <c r="D248" s="141"/>
      <c r="E248" s="141"/>
      <c r="F248" s="141"/>
      <c r="G248" s="253"/>
    </row>
    <row r="249">
      <c r="D249" s="141"/>
      <c r="E249" s="141"/>
      <c r="F249" s="141"/>
      <c r="G249" s="253"/>
    </row>
    <row r="250">
      <c r="D250" s="141"/>
      <c r="E250" s="141"/>
      <c r="F250" s="141"/>
      <c r="G250" s="253"/>
    </row>
    <row r="251">
      <c r="D251" s="141"/>
      <c r="E251" s="141"/>
      <c r="F251" s="141"/>
      <c r="G251" s="253"/>
    </row>
    <row r="252">
      <c r="D252" s="141"/>
      <c r="E252" s="141"/>
      <c r="F252" s="141"/>
      <c r="G252" s="253"/>
    </row>
    <row r="253">
      <c r="D253" s="141"/>
      <c r="E253" s="141"/>
      <c r="F253" s="141"/>
      <c r="G253" s="253"/>
    </row>
    <row r="254">
      <c r="D254" s="141"/>
      <c r="E254" s="141"/>
      <c r="F254" s="141"/>
      <c r="G254" s="253"/>
    </row>
    <row r="255">
      <c r="D255" s="141"/>
      <c r="E255" s="141"/>
      <c r="F255" s="141"/>
      <c r="G255" s="253"/>
    </row>
    <row r="256">
      <c r="D256" s="141"/>
      <c r="E256" s="141"/>
      <c r="F256" s="141"/>
      <c r="G256" s="253"/>
    </row>
    <row r="257">
      <c r="D257" s="141"/>
      <c r="E257" s="141"/>
      <c r="F257" s="141"/>
      <c r="G257" s="253"/>
    </row>
    <row r="258">
      <c r="D258" s="141"/>
      <c r="E258" s="141"/>
      <c r="F258" s="141"/>
      <c r="G258" s="253"/>
    </row>
    <row r="259">
      <c r="D259" s="141"/>
      <c r="E259" s="141"/>
      <c r="F259" s="141"/>
      <c r="G259" s="253"/>
    </row>
    <row r="260">
      <c r="D260" s="141"/>
      <c r="E260" s="141"/>
      <c r="F260" s="141"/>
      <c r="G260" s="253"/>
    </row>
    <row r="261">
      <c r="D261" s="141"/>
      <c r="E261" s="141"/>
      <c r="F261" s="141"/>
      <c r="G261" s="253"/>
    </row>
    <row r="262">
      <c r="D262" s="141"/>
      <c r="E262" s="141"/>
      <c r="F262" s="141"/>
      <c r="G262" s="253"/>
    </row>
    <row r="263">
      <c r="D263" s="141"/>
      <c r="E263" s="141"/>
      <c r="F263" s="141"/>
      <c r="G263" s="253"/>
    </row>
    <row r="264">
      <c r="D264" s="141"/>
      <c r="E264" s="141"/>
      <c r="F264" s="141"/>
      <c r="G264" s="253"/>
    </row>
    <row r="265">
      <c r="D265" s="141"/>
      <c r="E265" s="141"/>
      <c r="F265" s="141"/>
      <c r="G265" s="253"/>
    </row>
    <row r="266">
      <c r="D266" s="141"/>
      <c r="E266" s="141"/>
      <c r="F266" s="141"/>
      <c r="G266" s="253"/>
    </row>
    <row r="267">
      <c r="D267" s="141"/>
      <c r="E267" s="141"/>
      <c r="F267" s="141"/>
      <c r="G267" s="253"/>
    </row>
    <row r="268">
      <c r="D268" s="141"/>
      <c r="E268" s="141"/>
      <c r="F268" s="141"/>
      <c r="G268" s="253"/>
    </row>
    <row r="269">
      <c r="D269" s="141"/>
      <c r="E269" s="141"/>
      <c r="F269" s="141"/>
      <c r="G269" s="253"/>
    </row>
    <row r="270">
      <c r="D270" s="141"/>
      <c r="E270" s="141"/>
      <c r="F270" s="141"/>
      <c r="G270" s="253"/>
    </row>
    <row r="271">
      <c r="D271" s="141"/>
      <c r="E271" s="141"/>
      <c r="F271" s="141"/>
      <c r="G271" s="253"/>
    </row>
    <row r="272">
      <c r="D272" s="141"/>
      <c r="E272" s="141"/>
      <c r="F272" s="141"/>
      <c r="G272" s="253"/>
    </row>
    <row r="273">
      <c r="D273" s="141"/>
      <c r="E273" s="141"/>
      <c r="F273" s="141"/>
      <c r="G273" s="253"/>
    </row>
    <row r="274">
      <c r="D274" s="141"/>
      <c r="E274" s="141"/>
      <c r="F274" s="141"/>
      <c r="G274" s="253"/>
    </row>
    <row r="275">
      <c r="D275" s="141"/>
      <c r="E275" s="141"/>
      <c r="F275" s="141"/>
      <c r="G275" s="253"/>
    </row>
    <row r="276">
      <c r="D276" s="141"/>
      <c r="E276" s="141"/>
      <c r="F276" s="141"/>
      <c r="G276" s="253"/>
    </row>
    <row r="277">
      <c r="D277" s="141"/>
      <c r="E277" s="141"/>
      <c r="F277" s="141"/>
      <c r="G277" s="253"/>
    </row>
    <row r="278">
      <c r="D278" s="141"/>
      <c r="E278" s="141"/>
      <c r="F278" s="141"/>
      <c r="G278" s="253"/>
    </row>
    <row r="279">
      <c r="D279" s="141"/>
      <c r="E279" s="141"/>
      <c r="F279" s="141"/>
      <c r="G279" s="253"/>
    </row>
    <row r="280">
      <c r="D280" s="141"/>
      <c r="E280" s="141"/>
      <c r="F280" s="141"/>
      <c r="G280" s="253"/>
    </row>
    <row r="281">
      <c r="D281" s="141"/>
      <c r="E281" s="141"/>
      <c r="F281" s="141"/>
      <c r="G281" s="253"/>
    </row>
    <row r="282">
      <c r="D282" s="141"/>
      <c r="E282" s="141"/>
      <c r="F282" s="141"/>
      <c r="G282" s="253"/>
    </row>
    <row r="283">
      <c r="D283" s="141"/>
      <c r="E283" s="141"/>
      <c r="F283" s="141"/>
      <c r="G283" s="253"/>
    </row>
    <row r="284">
      <c r="D284" s="141"/>
      <c r="E284" s="141"/>
      <c r="F284" s="141"/>
      <c r="G284" s="253"/>
    </row>
    <row r="285">
      <c r="D285" s="141"/>
      <c r="E285" s="141"/>
      <c r="F285" s="141"/>
      <c r="G285" s="253"/>
    </row>
    <row r="286">
      <c r="D286" s="141"/>
      <c r="E286" s="141"/>
      <c r="F286" s="141"/>
      <c r="G286" s="253"/>
    </row>
    <row r="287">
      <c r="D287" s="141"/>
      <c r="E287" s="141"/>
      <c r="F287" s="141"/>
      <c r="G287" s="253"/>
    </row>
    <row r="288">
      <c r="D288" s="141"/>
      <c r="E288" s="141"/>
      <c r="F288" s="141"/>
      <c r="G288" s="253"/>
    </row>
    <row r="289">
      <c r="D289" s="141"/>
      <c r="E289" s="141"/>
      <c r="F289" s="141"/>
      <c r="G289" s="253"/>
    </row>
    <row r="290">
      <c r="D290" s="141"/>
      <c r="E290" s="141"/>
      <c r="F290" s="141"/>
      <c r="G290" s="253"/>
    </row>
    <row r="291">
      <c r="D291" s="141"/>
      <c r="E291" s="141"/>
      <c r="F291" s="141"/>
      <c r="G291" s="253"/>
    </row>
    <row r="292">
      <c r="D292" s="141"/>
      <c r="E292" s="141"/>
      <c r="F292" s="141"/>
      <c r="G292" s="253"/>
    </row>
    <row r="293">
      <c r="D293" s="141"/>
      <c r="E293" s="141"/>
      <c r="F293" s="141"/>
      <c r="G293" s="253"/>
    </row>
    <row r="294">
      <c r="D294" s="141"/>
      <c r="E294" s="141"/>
      <c r="F294" s="141"/>
      <c r="G294" s="253"/>
    </row>
    <row r="295">
      <c r="D295" s="141"/>
      <c r="E295" s="141"/>
      <c r="F295" s="141"/>
      <c r="G295" s="253"/>
    </row>
    <row r="296">
      <c r="D296" s="141"/>
      <c r="E296" s="141"/>
      <c r="F296" s="141"/>
      <c r="G296" s="253"/>
    </row>
    <row r="297">
      <c r="D297" s="141"/>
      <c r="E297" s="141"/>
      <c r="F297" s="141"/>
      <c r="G297" s="253"/>
    </row>
    <row r="298">
      <c r="D298" s="141"/>
      <c r="E298" s="141"/>
      <c r="F298" s="141"/>
      <c r="G298" s="253"/>
    </row>
    <row r="299">
      <c r="D299" s="141"/>
      <c r="E299" s="141"/>
      <c r="F299" s="141"/>
      <c r="G299" s="253"/>
    </row>
    <row r="300">
      <c r="D300" s="141"/>
      <c r="E300" s="141"/>
      <c r="F300" s="141"/>
      <c r="G300" s="253"/>
    </row>
    <row r="301">
      <c r="D301" s="141"/>
      <c r="E301" s="141"/>
      <c r="F301" s="141"/>
      <c r="G301" s="253"/>
    </row>
    <row r="302">
      <c r="D302" s="141"/>
      <c r="E302" s="141"/>
      <c r="F302" s="141"/>
      <c r="G302" s="253"/>
    </row>
    <row r="303">
      <c r="D303" s="141"/>
      <c r="E303" s="141"/>
      <c r="F303" s="141"/>
      <c r="G303" s="253"/>
    </row>
    <row r="304">
      <c r="D304" s="141"/>
      <c r="E304" s="141"/>
      <c r="F304" s="141"/>
      <c r="G304" s="253"/>
    </row>
    <row r="305">
      <c r="D305" s="141"/>
      <c r="E305" s="141"/>
      <c r="F305" s="141"/>
      <c r="G305" s="253"/>
    </row>
    <row r="306">
      <c r="D306" s="141"/>
      <c r="E306" s="141"/>
      <c r="F306" s="141"/>
      <c r="G306" s="253"/>
    </row>
    <row r="307">
      <c r="D307" s="141"/>
      <c r="E307" s="141"/>
      <c r="F307" s="141"/>
      <c r="G307" s="253"/>
    </row>
    <row r="308">
      <c r="D308" s="141"/>
      <c r="E308" s="141"/>
      <c r="F308" s="141"/>
      <c r="G308" s="253"/>
    </row>
    <row r="309">
      <c r="D309" s="141"/>
      <c r="E309" s="141"/>
      <c r="F309" s="141"/>
      <c r="G309" s="253"/>
    </row>
    <row r="310">
      <c r="D310" s="141"/>
      <c r="E310" s="141"/>
      <c r="F310" s="141"/>
      <c r="G310" s="253"/>
    </row>
    <row r="311">
      <c r="D311" s="141"/>
      <c r="E311" s="141"/>
      <c r="F311" s="141"/>
      <c r="G311" s="253"/>
    </row>
    <row r="312">
      <c r="D312" s="141"/>
      <c r="E312" s="141"/>
      <c r="F312" s="141"/>
      <c r="G312" s="253"/>
    </row>
    <row r="313">
      <c r="D313" s="141"/>
      <c r="E313" s="141"/>
      <c r="F313" s="141"/>
      <c r="G313" s="253"/>
    </row>
    <row r="314">
      <c r="D314" s="141"/>
      <c r="E314" s="141"/>
      <c r="F314" s="141"/>
      <c r="G314" s="253"/>
    </row>
    <row r="315">
      <c r="D315" s="141"/>
      <c r="E315" s="141"/>
      <c r="F315" s="141"/>
      <c r="G315" s="253"/>
    </row>
    <row r="316">
      <c r="D316" s="141"/>
      <c r="E316" s="141"/>
      <c r="F316" s="141"/>
      <c r="G316" s="253"/>
    </row>
    <row r="317">
      <c r="D317" s="141"/>
      <c r="E317" s="141"/>
      <c r="F317" s="141"/>
      <c r="G317" s="253"/>
    </row>
    <row r="318">
      <c r="D318" s="141"/>
      <c r="E318" s="141"/>
      <c r="F318" s="141"/>
      <c r="G318" s="253"/>
    </row>
    <row r="319">
      <c r="D319" s="141"/>
      <c r="E319" s="141"/>
      <c r="F319" s="141"/>
      <c r="G319" s="253"/>
    </row>
    <row r="320">
      <c r="D320" s="141"/>
      <c r="E320" s="141"/>
      <c r="F320" s="141"/>
      <c r="G320" s="253"/>
    </row>
    <row r="321">
      <c r="D321" s="141"/>
      <c r="E321" s="141"/>
      <c r="F321" s="141"/>
      <c r="G321" s="253"/>
    </row>
    <row r="322">
      <c r="D322" s="141"/>
      <c r="E322" s="141"/>
      <c r="F322" s="141"/>
      <c r="G322" s="253"/>
    </row>
    <row r="323">
      <c r="D323" s="141"/>
      <c r="E323" s="141"/>
      <c r="F323" s="141"/>
      <c r="G323" s="253"/>
    </row>
    <row r="324">
      <c r="D324" s="141"/>
      <c r="E324" s="141"/>
      <c r="F324" s="141"/>
      <c r="G324" s="253"/>
    </row>
    <row r="325">
      <c r="D325" s="141"/>
      <c r="E325" s="141"/>
      <c r="F325" s="141"/>
      <c r="G325" s="253"/>
    </row>
    <row r="326">
      <c r="D326" s="141"/>
      <c r="E326" s="141"/>
      <c r="F326" s="141"/>
      <c r="G326" s="253"/>
    </row>
    <row r="327">
      <c r="D327" s="141"/>
      <c r="E327" s="141"/>
      <c r="F327" s="141"/>
      <c r="G327" s="253"/>
    </row>
    <row r="328">
      <c r="D328" s="141"/>
      <c r="E328" s="141"/>
      <c r="F328" s="141"/>
      <c r="G328" s="253"/>
    </row>
    <row r="329">
      <c r="D329" s="141"/>
      <c r="E329" s="141"/>
      <c r="F329" s="141"/>
      <c r="G329" s="253"/>
    </row>
    <row r="330">
      <c r="D330" s="141"/>
      <c r="E330" s="141"/>
      <c r="F330" s="141"/>
      <c r="G330" s="253"/>
    </row>
    <row r="331">
      <c r="D331" s="141"/>
      <c r="E331" s="141"/>
      <c r="F331" s="141"/>
      <c r="G331" s="253"/>
    </row>
    <row r="332">
      <c r="D332" s="141"/>
      <c r="E332" s="141"/>
      <c r="F332" s="141"/>
      <c r="G332" s="253"/>
    </row>
    <row r="333">
      <c r="D333" s="141"/>
      <c r="E333" s="141"/>
      <c r="F333" s="141"/>
      <c r="G333" s="253"/>
    </row>
    <row r="334">
      <c r="D334" s="141"/>
      <c r="E334" s="141"/>
      <c r="F334" s="141"/>
      <c r="G334" s="253"/>
    </row>
    <row r="335">
      <c r="D335" s="141"/>
      <c r="E335" s="141"/>
      <c r="F335" s="141"/>
      <c r="G335" s="253"/>
    </row>
    <row r="336">
      <c r="D336" s="141"/>
      <c r="E336" s="141"/>
      <c r="F336" s="141"/>
      <c r="G336" s="253"/>
    </row>
    <row r="337">
      <c r="D337" s="141"/>
      <c r="E337" s="141"/>
      <c r="F337" s="141"/>
      <c r="G337" s="253"/>
    </row>
    <row r="338">
      <c r="D338" s="141"/>
      <c r="E338" s="141"/>
      <c r="F338" s="141"/>
      <c r="G338" s="253"/>
    </row>
    <row r="339">
      <c r="D339" s="141"/>
      <c r="E339" s="141"/>
      <c r="F339" s="141"/>
      <c r="G339" s="253"/>
    </row>
    <row r="340">
      <c r="D340" s="141"/>
      <c r="E340" s="141"/>
      <c r="F340" s="141"/>
      <c r="G340" s="253"/>
    </row>
    <row r="341">
      <c r="D341" s="141"/>
      <c r="E341" s="141"/>
      <c r="F341" s="141"/>
      <c r="G341" s="253"/>
    </row>
    <row r="342">
      <c r="D342" s="141"/>
      <c r="E342" s="141"/>
      <c r="F342" s="141"/>
      <c r="G342" s="253"/>
    </row>
    <row r="343">
      <c r="D343" s="141"/>
      <c r="E343" s="141"/>
      <c r="F343" s="141"/>
      <c r="G343" s="253"/>
    </row>
    <row r="344">
      <c r="D344" s="141"/>
      <c r="E344" s="141"/>
      <c r="F344" s="141"/>
      <c r="G344" s="253"/>
    </row>
    <row r="345">
      <c r="D345" s="141"/>
      <c r="E345" s="141"/>
      <c r="F345" s="141"/>
      <c r="G345" s="253"/>
    </row>
    <row r="346">
      <c r="D346" s="141"/>
      <c r="E346" s="141"/>
      <c r="F346" s="141"/>
      <c r="G346" s="253"/>
    </row>
    <row r="347">
      <c r="D347" s="141"/>
      <c r="E347" s="141"/>
      <c r="F347" s="141"/>
      <c r="G347" s="253"/>
    </row>
    <row r="348">
      <c r="D348" s="141"/>
      <c r="E348" s="141"/>
      <c r="F348" s="141"/>
      <c r="G348" s="253"/>
    </row>
    <row r="349">
      <c r="D349" s="141"/>
      <c r="E349" s="141"/>
      <c r="F349" s="141"/>
      <c r="G349" s="253"/>
    </row>
    <row r="350">
      <c r="D350" s="141"/>
      <c r="E350" s="141"/>
      <c r="F350" s="141"/>
      <c r="G350" s="253"/>
    </row>
    <row r="351">
      <c r="D351" s="141"/>
      <c r="E351" s="141"/>
      <c r="F351" s="141"/>
      <c r="G351" s="253"/>
    </row>
    <row r="352">
      <c r="D352" s="141"/>
      <c r="E352" s="141"/>
      <c r="F352" s="141"/>
      <c r="G352" s="253"/>
    </row>
    <row r="353">
      <c r="D353" s="141"/>
      <c r="E353" s="141"/>
      <c r="F353" s="141"/>
      <c r="G353" s="253"/>
    </row>
    <row r="354">
      <c r="D354" s="141"/>
      <c r="E354" s="141"/>
      <c r="F354" s="141"/>
      <c r="G354" s="253"/>
    </row>
    <row r="355">
      <c r="D355" s="141"/>
      <c r="E355" s="141"/>
      <c r="F355" s="141"/>
      <c r="G355" s="253"/>
    </row>
    <row r="356">
      <c r="D356" s="141"/>
      <c r="E356" s="141"/>
      <c r="F356" s="141"/>
      <c r="G356" s="253"/>
    </row>
    <row r="357">
      <c r="D357" s="141"/>
      <c r="E357" s="141"/>
      <c r="F357" s="141"/>
      <c r="G357" s="253"/>
    </row>
    <row r="358">
      <c r="D358" s="141"/>
      <c r="E358" s="141"/>
      <c r="F358" s="141"/>
      <c r="G358" s="253"/>
    </row>
    <row r="359">
      <c r="D359" s="141"/>
      <c r="E359" s="141"/>
      <c r="F359" s="141"/>
      <c r="G359" s="253"/>
    </row>
    <row r="360">
      <c r="D360" s="141"/>
      <c r="E360" s="141"/>
      <c r="F360" s="141"/>
      <c r="G360" s="253"/>
    </row>
    <row r="361">
      <c r="D361" s="141"/>
      <c r="E361" s="141"/>
      <c r="F361" s="141"/>
      <c r="G361" s="253"/>
    </row>
    <row r="362">
      <c r="D362" s="141"/>
      <c r="E362" s="141"/>
      <c r="F362" s="141"/>
      <c r="G362" s="253"/>
    </row>
    <row r="363">
      <c r="D363" s="141"/>
      <c r="E363" s="141"/>
      <c r="F363" s="141"/>
      <c r="G363" s="253"/>
    </row>
    <row r="364">
      <c r="D364" s="141"/>
      <c r="E364" s="141"/>
      <c r="F364" s="141"/>
      <c r="G364" s="253"/>
    </row>
    <row r="365">
      <c r="D365" s="141"/>
      <c r="E365" s="141"/>
      <c r="F365" s="141"/>
      <c r="G365" s="253"/>
    </row>
    <row r="366">
      <c r="D366" s="141"/>
      <c r="E366" s="141"/>
      <c r="F366" s="141"/>
      <c r="G366" s="253"/>
    </row>
    <row r="367">
      <c r="D367" s="141"/>
      <c r="E367" s="141"/>
      <c r="F367" s="141"/>
      <c r="G367" s="253"/>
    </row>
    <row r="368">
      <c r="D368" s="141"/>
      <c r="E368" s="141"/>
      <c r="F368" s="141"/>
      <c r="G368" s="253"/>
    </row>
    <row r="369">
      <c r="D369" s="141"/>
      <c r="E369" s="141"/>
      <c r="F369" s="141"/>
      <c r="G369" s="253"/>
    </row>
    <row r="370">
      <c r="D370" s="141"/>
      <c r="E370" s="141"/>
      <c r="F370" s="141"/>
      <c r="G370" s="253"/>
    </row>
    <row r="371">
      <c r="D371" s="141"/>
      <c r="E371" s="141"/>
      <c r="F371" s="141"/>
      <c r="G371" s="253"/>
    </row>
    <row r="372">
      <c r="D372" s="141"/>
      <c r="E372" s="141"/>
      <c r="F372" s="141"/>
      <c r="G372" s="253"/>
    </row>
    <row r="373">
      <c r="D373" s="141"/>
      <c r="E373" s="141"/>
      <c r="F373" s="141"/>
      <c r="G373" s="253"/>
    </row>
    <row r="374">
      <c r="D374" s="141"/>
      <c r="E374" s="141"/>
      <c r="F374" s="141"/>
      <c r="G374" s="253"/>
    </row>
    <row r="375">
      <c r="D375" s="141"/>
      <c r="E375" s="141"/>
      <c r="F375" s="141"/>
      <c r="G375" s="253"/>
    </row>
    <row r="376">
      <c r="D376" s="141"/>
      <c r="E376" s="141"/>
      <c r="F376" s="141"/>
      <c r="G376" s="253"/>
    </row>
    <row r="377">
      <c r="D377" s="141"/>
      <c r="E377" s="141"/>
      <c r="F377" s="141"/>
      <c r="G377" s="253"/>
    </row>
    <row r="378">
      <c r="D378" s="141"/>
      <c r="E378" s="141"/>
      <c r="F378" s="141"/>
      <c r="G378" s="253"/>
    </row>
    <row r="379">
      <c r="D379" s="141"/>
      <c r="E379" s="141"/>
      <c r="F379" s="141"/>
      <c r="G379" s="253"/>
    </row>
    <row r="380">
      <c r="D380" s="141"/>
      <c r="E380" s="141"/>
      <c r="F380" s="141"/>
      <c r="G380" s="253"/>
    </row>
    <row r="381">
      <c r="D381" s="141"/>
      <c r="E381" s="141"/>
      <c r="F381" s="141"/>
      <c r="G381" s="253"/>
    </row>
    <row r="382">
      <c r="D382" s="141"/>
      <c r="E382" s="141"/>
      <c r="F382" s="141"/>
      <c r="G382" s="253"/>
    </row>
    <row r="383">
      <c r="D383" s="141"/>
      <c r="E383" s="141"/>
      <c r="F383" s="141"/>
      <c r="G383" s="253"/>
    </row>
    <row r="384">
      <c r="D384" s="141"/>
      <c r="E384" s="141"/>
      <c r="F384" s="141"/>
      <c r="G384" s="253"/>
    </row>
    <row r="385">
      <c r="D385" s="141"/>
      <c r="E385" s="141"/>
      <c r="F385" s="141"/>
      <c r="G385" s="253"/>
    </row>
    <row r="386">
      <c r="D386" s="141"/>
      <c r="E386" s="141"/>
      <c r="F386" s="141"/>
      <c r="G386" s="253"/>
    </row>
    <row r="387">
      <c r="D387" s="141"/>
      <c r="E387" s="141"/>
      <c r="F387" s="141"/>
      <c r="G387" s="253"/>
    </row>
    <row r="388">
      <c r="D388" s="141"/>
      <c r="E388" s="141"/>
      <c r="F388" s="141"/>
      <c r="G388" s="253"/>
    </row>
    <row r="389">
      <c r="D389" s="141"/>
      <c r="E389" s="141"/>
      <c r="F389" s="141"/>
      <c r="G389" s="253"/>
    </row>
    <row r="390">
      <c r="D390" s="141"/>
      <c r="E390" s="141"/>
      <c r="F390" s="141"/>
      <c r="G390" s="253"/>
    </row>
    <row r="391">
      <c r="D391" s="141"/>
      <c r="E391" s="141"/>
      <c r="F391" s="141"/>
      <c r="G391" s="253"/>
    </row>
    <row r="392">
      <c r="D392" s="141"/>
      <c r="E392" s="141"/>
      <c r="F392" s="141"/>
      <c r="G392" s="253"/>
    </row>
    <row r="393">
      <c r="D393" s="141"/>
      <c r="E393" s="141"/>
      <c r="F393" s="141"/>
      <c r="G393" s="253"/>
    </row>
    <row r="394">
      <c r="D394" s="141"/>
      <c r="E394" s="141"/>
      <c r="F394" s="141"/>
      <c r="G394" s="253"/>
    </row>
    <row r="395">
      <c r="D395" s="141"/>
      <c r="E395" s="141"/>
      <c r="F395" s="141"/>
      <c r="G395" s="253"/>
    </row>
    <row r="396">
      <c r="D396" s="141"/>
      <c r="E396" s="141"/>
      <c r="F396" s="141"/>
      <c r="G396" s="253"/>
    </row>
    <row r="397">
      <c r="D397" s="141"/>
      <c r="E397" s="141"/>
      <c r="F397" s="141"/>
      <c r="G397" s="253"/>
    </row>
    <row r="398">
      <c r="D398" s="141"/>
      <c r="E398" s="141"/>
      <c r="F398" s="141"/>
      <c r="G398" s="253"/>
    </row>
    <row r="399">
      <c r="D399" s="141"/>
      <c r="E399" s="141"/>
      <c r="F399" s="141"/>
      <c r="G399" s="253"/>
    </row>
    <row r="400">
      <c r="D400" s="141"/>
      <c r="E400" s="141"/>
      <c r="F400" s="141"/>
      <c r="G400" s="253"/>
    </row>
    <row r="401">
      <c r="D401" s="141"/>
      <c r="E401" s="141"/>
      <c r="F401" s="141"/>
      <c r="G401" s="253"/>
    </row>
    <row r="402">
      <c r="D402" s="141"/>
      <c r="E402" s="141"/>
      <c r="F402" s="141"/>
      <c r="G402" s="253"/>
    </row>
    <row r="403">
      <c r="D403" s="141"/>
      <c r="E403" s="141"/>
      <c r="F403" s="141"/>
      <c r="G403" s="253"/>
    </row>
    <row r="404">
      <c r="D404" s="141"/>
      <c r="E404" s="141"/>
      <c r="F404" s="141"/>
      <c r="G404" s="253"/>
    </row>
    <row r="405">
      <c r="D405" s="141"/>
      <c r="E405" s="141"/>
      <c r="F405" s="141"/>
      <c r="G405" s="253"/>
    </row>
    <row r="406">
      <c r="D406" s="141"/>
      <c r="E406" s="141"/>
      <c r="F406" s="141"/>
      <c r="G406" s="253"/>
    </row>
    <row r="407">
      <c r="D407" s="141"/>
      <c r="E407" s="141"/>
      <c r="F407" s="141"/>
      <c r="G407" s="253"/>
    </row>
    <row r="408">
      <c r="D408" s="141"/>
      <c r="E408" s="141"/>
      <c r="F408" s="141"/>
      <c r="G408" s="253"/>
    </row>
    <row r="409">
      <c r="D409" s="141"/>
      <c r="E409" s="141"/>
      <c r="F409" s="141"/>
      <c r="G409" s="253"/>
    </row>
    <row r="410">
      <c r="D410" s="141"/>
      <c r="E410" s="141"/>
      <c r="F410" s="141"/>
      <c r="G410" s="253"/>
    </row>
    <row r="411">
      <c r="D411" s="141"/>
      <c r="E411" s="141"/>
      <c r="F411" s="141"/>
      <c r="G411" s="253"/>
    </row>
    <row r="412">
      <c r="D412" s="141"/>
      <c r="E412" s="141"/>
      <c r="F412" s="141"/>
      <c r="G412" s="253"/>
    </row>
    <row r="413">
      <c r="D413" s="141"/>
      <c r="E413" s="141"/>
      <c r="F413" s="141"/>
      <c r="G413" s="253"/>
    </row>
    <row r="414">
      <c r="D414" s="141"/>
      <c r="E414" s="141"/>
      <c r="F414" s="141"/>
      <c r="G414" s="253"/>
    </row>
    <row r="415">
      <c r="D415" s="141"/>
      <c r="E415" s="141"/>
      <c r="F415" s="141"/>
      <c r="G415" s="253"/>
    </row>
    <row r="416">
      <c r="D416" s="141"/>
      <c r="E416" s="141"/>
      <c r="F416" s="141"/>
      <c r="G416" s="253"/>
    </row>
    <row r="417">
      <c r="D417" s="141"/>
      <c r="E417" s="141"/>
      <c r="F417" s="141"/>
      <c r="G417" s="253"/>
    </row>
    <row r="418">
      <c r="D418" s="141"/>
      <c r="E418" s="141"/>
      <c r="F418" s="141"/>
      <c r="G418" s="253"/>
    </row>
    <row r="419">
      <c r="D419" s="141"/>
      <c r="E419" s="141"/>
      <c r="F419" s="141"/>
      <c r="G419" s="253"/>
    </row>
    <row r="420">
      <c r="D420" s="141"/>
      <c r="E420" s="141"/>
      <c r="F420" s="141"/>
      <c r="G420" s="253"/>
    </row>
    <row r="421">
      <c r="D421" s="141"/>
      <c r="E421" s="141"/>
      <c r="F421" s="141"/>
      <c r="G421" s="253"/>
    </row>
    <row r="422">
      <c r="D422" s="141"/>
      <c r="E422" s="141"/>
      <c r="F422" s="141"/>
      <c r="G422" s="253"/>
    </row>
    <row r="423">
      <c r="D423" s="141"/>
      <c r="E423" s="141"/>
      <c r="F423" s="141"/>
      <c r="G423" s="253"/>
    </row>
    <row r="424">
      <c r="D424" s="141"/>
      <c r="E424" s="141"/>
      <c r="F424" s="141"/>
      <c r="G424" s="253"/>
    </row>
    <row r="425">
      <c r="D425" s="141"/>
      <c r="E425" s="141"/>
      <c r="F425" s="141"/>
      <c r="G425" s="253"/>
    </row>
    <row r="426">
      <c r="D426" s="141"/>
      <c r="E426" s="141"/>
      <c r="F426" s="141"/>
      <c r="G426" s="253"/>
    </row>
    <row r="427">
      <c r="D427" s="141"/>
      <c r="E427" s="141"/>
      <c r="F427" s="141"/>
      <c r="G427" s="253"/>
    </row>
    <row r="428">
      <c r="D428" s="141"/>
      <c r="E428" s="141"/>
      <c r="F428" s="141"/>
      <c r="G428" s="253"/>
    </row>
    <row r="429">
      <c r="D429" s="141"/>
      <c r="E429" s="141"/>
      <c r="F429" s="141"/>
      <c r="G429" s="253"/>
    </row>
    <row r="430">
      <c r="D430" s="141"/>
      <c r="E430" s="141"/>
      <c r="F430" s="141"/>
      <c r="G430" s="253"/>
    </row>
    <row r="431">
      <c r="D431" s="141"/>
      <c r="E431" s="141"/>
      <c r="F431" s="141"/>
      <c r="G431" s="253"/>
    </row>
    <row r="432">
      <c r="D432" s="141"/>
      <c r="E432" s="141"/>
      <c r="F432" s="141"/>
      <c r="G432" s="253"/>
    </row>
    <row r="433">
      <c r="D433" s="141"/>
      <c r="E433" s="141"/>
      <c r="F433" s="141"/>
      <c r="G433" s="253"/>
    </row>
    <row r="434">
      <c r="D434" s="141"/>
      <c r="E434" s="141"/>
      <c r="F434" s="141"/>
      <c r="G434" s="253"/>
    </row>
    <row r="435">
      <c r="D435" s="141"/>
      <c r="E435" s="141"/>
      <c r="F435" s="141"/>
      <c r="G435" s="253"/>
    </row>
    <row r="436">
      <c r="D436" s="141"/>
      <c r="E436" s="141"/>
      <c r="F436" s="141"/>
      <c r="G436" s="253"/>
    </row>
    <row r="437">
      <c r="D437" s="141"/>
      <c r="E437" s="141"/>
      <c r="F437" s="141"/>
      <c r="G437" s="253"/>
    </row>
    <row r="438">
      <c r="D438" s="141"/>
      <c r="E438" s="141"/>
      <c r="F438" s="141"/>
      <c r="G438" s="253"/>
    </row>
    <row r="439">
      <c r="D439" s="141"/>
      <c r="E439" s="141"/>
      <c r="F439" s="141"/>
      <c r="G439" s="253"/>
    </row>
    <row r="440">
      <c r="D440" s="141"/>
      <c r="E440" s="141"/>
      <c r="F440" s="141"/>
      <c r="G440" s="253"/>
    </row>
    <row r="441">
      <c r="D441" s="141"/>
      <c r="E441" s="141"/>
      <c r="F441" s="141"/>
      <c r="G441" s="253"/>
    </row>
    <row r="442">
      <c r="D442" s="141"/>
      <c r="E442" s="141"/>
      <c r="F442" s="141"/>
      <c r="G442" s="253"/>
    </row>
    <row r="443">
      <c r="D443" s="141"/>
      <c r="E443" s="141"/>
      <c r="F443" s="141"/>
      <c r="G443" s="253"/>
    </row>
    <row r="444">
      <c r="D444" s="141"/>
      <c r="E444" s="141"/>
      <c r="F444" s="141"/>
      <c r="G444" s="253"/>
    </row>
    <row r="445">
      <c r="D445" s="141"/>
      <c r="E445" s="141"/>
      <c r="F445" s="141"/>
      <c r="G445" s="253"/>
    </row>
    <row r="446">
      <c r="D446" s="141"/>
      <c r="E446" s="141"/>
      <c r="F446" s="141"/>
      <c r="G446" s="253"/>
    </row>
    <row r="447">
      <c r="D447" s="141"/>
      <c r="E447" s="141"/>
      <c r="F447" s="141"/>
      <c r="G447" s="253"/>
    </row>
    <row r="448">
      <c r="D448" s="141"/>
      <c r="E448" s="141"/>
      <c r="F448" s="141"/>
      <c r="G448" s="253"/>
    </row>
    <row r="449">
      <c r="D449" s="141"/>
      <c r="E449" s="141"/>
      <c r="F449" s="141"/>
      <c r="G449" s="253"/>
    </row>
    <row r="450">
      <c r="D450" s="141"/>
      <c r="E450" s="141"/>
      <c r="F450" s="141"/>
      <c r="G450" s="253"/>
    </row>
    <row r="451">
      <c r="D451" s="141"/>
      <c r="E451" s="141"/>
      <c r="F451" s="141"/>
      <c r="G451" s="253"/>
    </row>
    <row r="452">
      <c r="D452" s="141"/>
      <c r="E452" s="141"/>
      <c r="F452" s="141"/>
      <c r="G452" s="253"/>
    </row>
    <row r="453">
      <c r="D453" s="141"/>
      <c r="E453" s="141"/>
      <c r="F453" s="141"/>
      <c r="G453" s="253"/>
    </row>
    <row r="454">
      <c r="D454" s="141"/>
      <c r="E454" s="141"/>
      <c r="F454" s="141"/>
      <c r="G454" s="253"/>
    </row>
    <row r="455">
      <c r="D455" s="141"/>
      <c r="E455" s="141"/>
      <c r="F455" s="141"/>
      <c r="G455" s="253"/>
    </row>
    <row r="456">
      <c r="D456" s="141"/>
      <c r="E456" s="141"/>
      <c r="F456" s="141"/>
      <c r="G456" s="253"/>
    </row>
    <row r="457">
      <c r="D457" s="141"/>
      <c r="E457" s="141"/>
      <c r="F457" s="141"/>
      <c r="G457" s="253"/>
    </row>
    <row r="458">
      <c r="D458" s="141"/>
      <c r="E458" s="141"/>
      <c r="F458" s="141"/>
      <c r="G458" s="253"/>
    </row>
    <row r="459">
      <c r="D459" s="141"/>
      <c r="E459" s="141"/>
      <c r="F459" s="141"/>
      <c r="G459" s="253"/>
    </row>
    <row r="460">
      <c r="D460" s="141"/>
      <c r="E460" s="141"/>
      <c r="F460" s="141"/>
      <c r="G460" s="253"/>
    </row>
    <row r="461">
      <c r="D461" s="141"/>
      <c r="E461" s="141"/>
      <c r="F461" s="141"/>
      <c r="G461" s="253"/>
    </row>
    <row r="462">
      <c r="D462" s="141"/>
      <c r="E462" s="141"/>
      <c r="F462" s="141"/>
      <c r="G462" s="253"/>
    </row>
    <row r="463">
      <c r="D463" s="141"/>
      <c r="E463" s="141"/>
      <c r="F463" s="141"/>
      <c r="G463" s="253"/>
    </row>
    <row r="464">
      <c r="D464" s="141"/>
      <c r="E464" s="141"/>
      <c r="F464" s="141"/>
      <c r="G464" s="253"/>
    </row>
    <row r="465">
      <c r="D465" s="141"/>
      <c r="E465" s="141"/>
      <c r="F465" s="141"/>
      <c r="G465" s="253"/>
    </row>
    <row r="466">
      <c r="D466" s="141"/>
      <c r="E466" s="141"/>
      <c r="F466" s="141"/>
      <c r="G466" s="253"/>
    </row>
    <row r="467">
      <c r="D467" s="141"/>
      <c r="E467" s="141"/>
      <c r="F467" s="141"/>
      <c r="G467" s="253"/>
    </row>
    <row r="468">
      <c r="D468" s="141"/>
      <c r="E468" s="141"/>
      <c r="F468" s="141"/>
      <c r="G468" s="253"/>
    </row>
    <row r="469">
      <c r="D469" s="141"/>
      <c r="E469" s="141"/>
      <c r="F469" s="141"/>
      <c r="G469" s="253"/>
    </row>
    <row r="470">
      <c r="D470" s="141"/>
      <c r="E470" s="141"/>
      <c r="F470" s="141"/>
      <c r="G470" s="253"/>
    </row>
    <row r="471">
      <c r="D471" s="141"/>
      <c r="E471" s="141"/>
      <c r="F471" s="141"/>
      <c r="G471" s="253"/>
    </row>
    <row r="472">
      <c r="D472" s="141"/>
      <c r="E472" s="141"/>
      <c r="F472" s="141"/>
      <c r="G472" s="253"/>
    </row>
    <row r="473">
      <c r="D473" s="141"/>
      <c r="E473" s="141"/>
      <c r="F473" s="141"/>
      <c r="G473" s="253"/>
    </row>
    <row r="474">
      <c r="D474" s="141"/>
      <c r="E474" s="141"/>
      <c r="F474" s="141"/>
      <c r="G474" s="253"/>
    </row>
    <row r="475">
      <c r="D475" s="141"/>
      <c r="E475" s="141"/>
      <c r="F475" s="141"/>
      <c r="G475" s="253"/>
    </row>
    <row r="476">
      <c r="D476" s="141"/>
      <c r="E476" s="141"/>
      <c r="F476" s="141"/>
      <c r="G476" s="253"/>
    </row>
    <row r="477">
      <c r="D477" s="141"/>
      <c r="E477" s="141"/>
      <c r="F477" s="141"/>
      <c r="G477" s="253"/>
    </row>
    <row r="478">
      <c r="D478" s="141"/>
      <c r="E478" s="141"/>
      <c r="F478" s="141"/>
      <c r="G478" s="253"/>
    </row>
    <row r="479">
      <c r="D479" s="141"/>
      <c r="E479" s="141"/>
      <c r="F479" s="141"/>
      <c r="G479" s="253"/>
    </row>
    <row r="480">
      <c r="D480" s="141"/>
      <c r="E480" s="141"/>
      <c r="F480" s="141"/>
      <c r="G480" s="253"/>
    </row>
    <row r="481">
      <c r="D481" s="141"/>
      <c r="E481" s="141"/>
      <c r="F481" s="141"/>
      <c r="G481" s="253"/>
    </row>
    <row r="482">
      <c r="D482" s="141"/>
      <c r="E482" s="141"/>
      <c r="F482" s="141"/>
      <c r="G482" s="253"/>
    </row>
    <row r="483">
      <c r="D483" s="141"/>
      <c r="E483" s="141"/>
      <c r="F483" s="141"/>
      <c r="G483" s="253"/>
    </row>
    <row r="484">
      <c r="D484" s="141"/>
      <c r="E484" s="141"/>
      <c r="F484" s="141"/>
      <c r="G484" s="253"/>
    </row>
    <row r="485">
      <c r="D485" s="141"/>
      <c r="E485" s="141"/>
      <c r="F485" s="141"/>
      <c r="G485" s="253"/>
    </row>
    <row r="486">
      <c r="D486" s="141"/>
      <c r="E486" s="141"/>
      <c r="F486" s="141"/>
      <c r="G486" s="253"/>
    </row>
    <row r="487">
      <c r="D487" s="141"/>
      <c r="E487" s="141"/>
      <c r="F487" s="141"/>
      <c r="G487" s="253"/>
    </row>
    <row r="488">
      <c r="D488" s="141"/>
      <c r="E488" s="141"/>
      <c r="F488" s="141"/>
      <c r="G488" s="253"/>
    </row>
    <row r="489">
      <c r="D489" s="141"/>
      <c r="E489" s="141"/>
      <c r="F489" s="141"/>
      <c r="G489" s="253"/>
    </row>
    <row r="490">
      <c r="D490" s="141"/>
      <c r="E490" s="141"/>
      <c r="F490" s="141"/>
      <c r="G490" s="253"/>
    </row>
    <row r="491">
      <c r="D491" s="141"/>
      <c r="E491" s="141"/>
      <c r="F491" s="141"/>
      <c r="G491" s="253"/>
    </row>
    <row r="492">
      <c r="D492" s="141"/>
      <c r="E492" s="141"/>
      <c r="F492" s="141"/>
      <c r="G492" s="253"/>
    </row>
    <row r="493">
      <c r="D493" s="141"/>
      <c r="E493" s="141"/>
      <c r="F493" s="141"/>
      <c r="G493" s="253"/>
    </row>
    <row r="494">
      <c r="D494" s="141"/>
      <c r="E494" s="141"/>
      <c r="F494" s="141"/>
      <c r="G494" s="253"/>
    </row>
    <row r="495">
      <c r="D495" s="141"/>
      <c r="E495" s="141"/>
      <c r="F495" s="141"/>
      <c r="G495" s="253"/>
    </row>
    <row r="496">
      <c r="D496" s="141"/>
      <c r="E496" s="141"/>
      <c r="F496" s="141"/>
      <c r="G496" s="253"/>
    </row>
    <row r="497">
      <c r="D497" s="141"/>
      <c r="E497" s="141"/>
      <c r="F497" s="141"/>
      <c r="G497" s="253"/>
    </row>
    <row r="498">
      <c r="D498" s="141"/>
      <c r="E498" s="141"/>
      <c r="F498" s="141"/>
      <c r="G498" s="253"/>
    </row>
    <row r="499">
      <c r="D499" s="141"/>
      <c r="E499" s="141"/>
      <c r="F499" s="141"/>
      <c r="G499" s="253"/>
    </row>
    <row r="500">
      <c r="D500" s="141"/>
      <c r="E500" s="141"/>
      <c r="F500" s="141"/>
      <c r="G500" s="253"/>
    </row>
    <row r="501">
      <c r="D501" s="141"/>
      <c r="E501" s="141"/>
      <c r="F501" s="141"/>
      <c r="G501" s="253"/>
    </row>
    <row r="502">
      <c r="D502" s="141"/>
      <c r="E502" s="141"/>
      <c r="F502" s="141"/>
      <c r="G502" s="253"/>
    </row>
    <row r="503">
      <c r="D503" s="141"/>
      <c r="E503" s="141"/>
      <c r="F503" s="141"/>
      <c r="G503" s="253"/>
    </row>
    <row r="504">
      <c r="D504" s="141"/>
      <c r="E504" s="141"/>
      <c r="F504" s="141"/>
      <c r="G504" s="253"/>
    </row>
    <row r="505">
      <c r="D505" s="141"/>
      <c r="E505" s="141"/>
      <c r="F505" s="141"/>
      <c r="G505" s="253"/>
    </row>
    <row r="506">
      <c r="D506" s="141"/>
      <c r="E506" s="141"/>
      <c r="F506" s="141"/>
      <c r="G506" s="253"/>
    </row>
    <row r="507">
      <c r="D507" s="141"/>
      <c r="E507" s="141"/>
      <c r="F507" s="141"/>
      <c r="G507" s="253"/>
    </row>
    <row r="508">
      <c r="D508" s="141"/>
      <c r="E508" s="141"/>
      <c r="F508" s="141"/>
      <c r="G508" s="253"/>
    </row>
    <row r="509">
      <c r="D509" s="141"/>
      <c r="E509" s="141"/>
      <c r="F509" s="141"/>
      <c r="G509" s="253"/>
    </row>
    <row r="510">
      <c r="D510" s="141"/>
      <c r="E510" s="141"/>
      <c r="F510" s="141"/>
      <c r="G510" s="253"/>
    </row>
    <row r="511">
      <c r="D511" s="141"/>
      <c r="E511" s="141"/>
      <c r="F511" s="141"/>
      <c r="G511" s="253"/>
    </row>
    <row r="512">
      <c r="D512" s="141"/>
      <c r="E512" s="141"/>
      <c r="F512" s="141"/>
      <c r="G512" s="253"/>
    </row>
    <row r="513">
      <c r="D513" s="141"/>
      <c r="E513" s="141"/>
      <c r="F513" s="141"/>
      <c r="G513" s="253"/>
    </row>
    <row r="514">
      <c r="D514" s="141"/>
      <c r="E514" s="141"/>
      <c r="F514" s="141"/>
      <c r="G514" s="253"/>
    </row>
    <row r="515">
      <c r="D515" s="141"/>
      <c r="E515" s="141"/>
      <c r="F515" s="141"/>
      <c r="G515" s="253"/>
    </row>
    <row r="516">
      <c r="D516" s="141"/>
      <c r="E516" s="141"/>
      <c r="F516" s="141"/>
      <c r="G516" s="253"/>
    </row>
    <row r="517">
      <c r="D517" s="141"/>
      <c r="E517" s="141"/>
      <c r="F517" s="141"/>
      <c r="G517" s="253"/>
    </row>
    <row r="518">
      <c r="D518" s="141"/>
      <c r="E518" s="141"/>
      <c r="F518" s="141"/>
      <c r="G518" s="253"/>
    </row>
    <row r="519">
      <c r="D519" s="141"/>
      <c r="E519" s="141"/>
      <c r="F519" s="141"/>
      <c r="G519" s="253"/>
    </row>
    <row r="520">
      <c r="D520" s="141"/>
      <c r="E520" s="141"/>
      <c r="F520" s="141"/>
      <c r="G520" s="253"/>
    </row>
    <row r="521">
      <c r="D521" s="141"/>
      <c r="E521" s="141"/>
      <c r="F521" s="141"/>
      <c r="G521" s="253"/>
    </row>
    <row r="522">
      <c r="D522" s="141"/>
      <c r="E522" s="141"/>
      <c r="F522" s="141"/>
      <c r="G522" s="253"/>
    </row>
    <row r="523">
      <c r="D523" s="141"/>
      <c r="E523" s="141"/>
      <c r="F523" s="141"/>
      <c r="G523" s="253"/>
    </row>
    <row r="524">
      <c r="D524" s="141"/>
      <c r="E524" s="141"/>
      <c r="F524" s="141"/>
      <c r="G524" s="253"/>
    </row>
    <row r="525">
      <c r="D525" s="141"/>
      <c r="E525" s="141"/>
      <c r="F525" s="141"/>
      <c r="G525" s="253"/>
    </row>
    <row r="526">
      <c r="D526" s="141"/>
      <c r="E526" s="141"/>
      <c r="F526" s="141"/>
      <c r="G526" s="253"/>
    </row>
    <row r="527">
      <c r="D527" s="141"/>
      <c r="E527" s="141"/>
      <c r="F527" s="141"/>
      <c r="G527" s="253"/>
    </row>
    <row r="528">
      <c r="D528" s="141"/>
      <c r="E528" s="141"/>
      <c r="F528" s="141"/>
      <c r="G528" s="253"/>
    </row>
    <row r="529">
      <c r="D529" s="141"/>
      <c r="E529" s="141"/>
      <c r="F529" s="141"/>
      <c r="G529" s="253"/>
    </row>
    <row r="530">
      <c r="D530" s="141"/>
      <c r="E530" s="141"/>
      <c r="F530" s="141"/>
      <c r="G530" s="253"/>
    </row>
    <row r="531">
      <c r="D531" s="141"/>
      <c r="E531" s="141"/>
      <c r="F531" s="141"/>
      <c r="G531" s="253"/>
    </row>
    <row r="532">
      <c r="D532" s="141"/>
      <c r="E532" s="141"/>
      <c r="F532" s="141"/>
      <c r="G532" s="253"/>
    </row>
    <row r="533">
      <c r="D533" s="141"/>
      <c r="E533" s="141"/>
      <c r="F533" s="141"/>
      <c r="G533" s="253"/>
    </row>
    <row r="534">
      <c r="D534" s="141"/>
      <c r="E534" s="141"/>
      <c r="F534" s="141"/>
      <c r="G534" s="253"/>
    </row>
    <row r="535">
      <c r="D535" s="141"/>
      <c r="E535" s="141"/>
      <c r="F535" s="141"/>
      <c r="G535" s="253"/>
    </row>
    <row r="536">
      <c r="D536" s="141"/>
      <c r="E536" s="141"/>
      <c r="F536" s="141"/>
      <c r="G536" s="253"/>
    </row>
    <row r="537">
      <c r="D537" s="141"/>
      <c r="E537" s="141"/>
      <c r="F537" s="141"/>
      <c r="G537" s="253"/>
    </row>
    <row r="538">
      <c r="D538" s="141"/>
      <c r="E538" s="141"/>
      <c r="F538" s="141"/>
      <c r="G538" s="253"/>
    </row>
    <row r="539">
      <c r="D539" s="141"/>
      <c r="E539" s="141"/>
      <c r="F539" s="141"/>
      <c r="G539" s="253"/>
    </row>
    <row r="540">
      <c r="D540" s="141"/>
      <c r="E540" s="141"/>
      <c r="F540" s="141"/>
      <c r="G540" s="253"/>
    </row>
    <row r="541">
      <c r="D541" s="141"/>
      <c r="E541" s="141"/>
      <c r="F541" s="141"/>
      <c r="G541" s="253"/>
    </row>
    <row r="542">
      <c r="D542" s="141"/>
      <c r="E542" s="141"/>
      <c r="F542" s="141"/>
      <c r="G542" s="253"/>
    </row>
    <row r="543">
      <c r="D543" s="141"/>
      <c r="E543" s="141"/>
      <c r="F543" s="141"/>
      <c r="G543" s="253"/>
    </row>
    <row r="544">
      <c r="D544" s="141"/>
      <c r="E544" s="141"/>
      <c r="F544" s="141"/>
      <c r="G544" s="253"/>
    </row>
    <row r="545">
      <c r="D545" s="141"/>
      <c r="E545" s="141"/>
      <c r="F545" s="141"/>
      <c r="G545" s="253"/>
    </row>
    <row r="546">
      <c r="D546" s="141"/>
      <c r="E546" s="141"/>
      <c r="F546" s="141"/>
      <c r="G546" s="253"/>
    </row>
    <row r="547">
      <c r="D547" s="141"/>
      <c r="E547" s="141"/>
      <c r="F547" s="141"/>
      <c r="G547" s="253"/>
    </row>
    <row r="548">
      <c r="D548" s="141"/>
      <c r="E548" s="141"/>
      <c r="F548" s="141"/>
      <c r="G548" s="253"/>
    </row>
    <row r="549">
      <c r="D549" s="141"/>
      <c r="E549" s="141"/>
      <c r="F549" s="141"/>
      <c r="G549" s="253"/>
    </row>
    <row r="550">
      <c r="D550" s="141"/>
      <c r="E550" s="141"/>
      <c r="F550" s="141"/>
      <c r="G550" s="253"/>
    </row>
    <row r="551">
      <c r="D551" s="141"/>
      <c r="E551" s="141"/>
      <c r="F551" s="141"/>
      <c r="G551" s="253"/>
    </row>
    <row r="552">
      <c r="D552" s="141"/>
      <c r="E552" s="141"/>
      <c r="F552" s="141"/>
      <c r="G552" s="253"/>
    </row>
    <row r="553">
      <c r="D553" s="141"/>
      <c r="E553" s="141"/>
      <c r="F553" s="141"/>
      <c r="G553" s="253"/>
    </row>
    <row r="554">
      <c r="D554" s="141"/>
      <c r="E554" s="141"/>
      <c r="F554" s="141"/>
      <c r="G554" s="253"/>
    </row>
    <row r="555">
      <c r="D555" s="141"/>
      <c r="E555" s="141"/>
      <c r="F555" s="141"/>
      <c r="G555" s="253"/>
    </row>
    <row r="556">
      <c r="D556" s="141"/>
      <c r="E556" s="141"/>
      <c r="F556" s="141"/>
      <c r="G556" s="253"/>
    </row>
    <row r="557">
      <c r="D557" s="141"/>
      <c r="E557" s="141"/>
      <c r="F557" s="141"/>
      <c r="G557" s="253"/>
    </row>
    <row r="558">
      <c r="D558" s="141"/>
      <c r="E558" s="141"/>
      <c r="F558" s="141"/>
      <c r="G558" s="253"/>
    </row>
    <row r="559">
      <c r="D559" s="141"/>
      <c r="E559" s="141"/>
      <c r="F559" s="141"/>
      <c r="G559" s="253"/>
    </row>
    <row r="560">
      <c r="D560" s="141"/>
      <c r="E560" s="141"/>
      <c r="F560" s="141"/>
      <c r="G560" s="253"/>
    </row>
    <row r="561">
      <c r="D561" s="141"/>
      <c r="E561" s="141"/>
      <c r="F561" s="141"/>
      <c r="G561" s="253"/>
    </row>
    <row r="562">
      <c r="D562" s="141"/>
      <c r="E562" s="141"/>
      <c r="F562" s="141"/>
      <c r="G562" s="253"/>
    </row>
    <row r="563">
      <c r="D563" s="141"/>
      <c r="E563" s="141"/>
      <c r="F563" s="141"/>
      <c r="G563" s="253"/>
    </row>
    <row r="564">
      <c r="D564" s="141"/>
      <c r="E564" s="141"/>
      <c r="F564" s="141"/>
      <c r="G564" s="253"/>
    </row>
    <row r="565">
      <c r="D565" s="141"/>
      <c r="E565" s="141"/>
      <c r="F565" s="141"/>
      <c r="G565" s="253"/>
    </row>
    <row r="566">
      <c r="D566" s="141"/>
      <c r="E566" s="141"/>
      <c r="F566" s="141"/>
      <c r="G566" s="253"/>
    </row>
    <row r="567">
      <c r="D567" s="141"/>
      <c r="E567" s="141"/>
      <c r="F567" s="141"/>
      <c r="G567" s="253"/>
    </row>
    <row r="568">
      <c r="D568" s="141"/>
      <c r="E568" s="141"/>
      <c r="F568" s="141"/>
      <c r="G568" s="253"/>
    </row>
    <row r="569">
      <c r="D569" s="141"/>
      <c r="E569" s="141"/>
      <c r="F569" s="141"/>
      <c r="G569" s="253"/>
    </row>
    <row r="570">
      <c r="D570" s="141"/>
      <c r="E570" s="141"/>
      <c r="F570" s="141"/>
      <c r="G570" s="253"/>
    </row>
    <row r="571">
      <c r="D571" s="141"/>
      <c r="E571" s="141"/>
      <c r="F571" s="141"/>
      <c r="G571" s="253"/>
    </row>
    <row r="572">
      <c r="D572" s="141"/>
      <c r="E572" s="141"/>
      <c r="F572" s="141"/>
      <c r="G572" s="253"/>
    </row>
    <row r="573">
      <c r="D573" s="141"/>
      <c r="E573" s="141"/>
      <c r="F573" s="141"/>
      <c r="G573" s="253"/>
    </row>
    <row r="574">
      <c r="D574" s="141"/>
      <c r="E574" s="141"/>
      <c r="F574" s="141"/>
      <c r="G574" s="253"/>
    </row>
    <row r="575">
      <c r="D575" s="141"/>
      <c r="E575" s="141"/>
      <c r="F575" s="141"/>
      <c r="G575" s="253"/>
    </row>
    <row r="576">
      <c r="D576" s="141"/>
      <c r="E576" s="141"/>
      <c r="F576" s="141"/>
      <c r="G576" s="253"/>
    </row>
    <row r="577">
      <c r="D577" s="141"/>
      <c r="E577" s="141"/>
      <c r="F577" s="141"/>
      <c r="G577" s="253"/>
    </row>
    <row r="578">
      <c r="D578" s="141"/>
      <c r="E578" s="141"/>
      <c r="F578" s="141"/>
      <c r="G578" s="253"/>
    </row>
    <row r="579">
      <c r="D579" s="141"/>
      <c r="E579" s="141"/>
      <c r="F579" s="141"/>
      <c r="G579" s="253"/>
    </row>
    <row r="580">
      <c r="D580" s="141"/>
      <c r="E580" s="141"/>
      <c r="F580" s="141"/>
      <c r="G580" s="253"/>
    </row>
    <row r="581">
      <c r="D581" s="141"/>
      <c r="E581" s="141"/>
      <c r="F581" s="141"/>
      <c r="G581" s="253"/>
    </row>
    <row r="582">
      <c r="D582" s="141"/>
      <c r="E582" s="141"/>
      <c r="F582" s="141"/>
      <c r="G582" s="253"/>
    </row>
    <row r="583">
      <c r="D583" s="141"/>
      <c r="E583" s="141"/>
      <c r="F583" s="141"/>
      <c r="G583" s="253"/>
    </row>
    <row r="584">
      <c r="D584" s="141"/>
      <c r="E584" s="141"/>
      <c r="F584" s="141"/>
      <c r="G584" s="253"/>
    </row>
    <row r="585">
      <c r="D585" s="141"/>
      <c r="E585" s="141"/>
      <c r="F585" s="141"/>
      <c r="G585" s="253"/>
    </row>
    <row r="586">
      <c r="D586" s="141"/>
      <c r="E586" s="141"/>
      <c r="F586" s="141"/>
      <c r="G586" s="253"/>
    </row>
    <row r="587">
      <c r="D587" s="141"/>
      <c r="E587" s="141"/>
      <c r="F587" s="141"/>
      <c r="G587" s="253"/>
    </row>
    <row r="588">
      <c r="D588" s="141"/>
      <c r="E588" s="141"/>
      <c r="F588" s="141"/>
      <c r="G588" s="253"/>
    </row>
    <row r="589">
      <c r="D589" s="141"/>
      <c r="E589" s="141"/>
      <c r="F589" s="141"/>
      <c r="G589" s="253"/>
    </row>
    <row r="590">
      <c r="D590" s="141"/>
      <c r="E590" s="141"/>
      <c r="F590" s="141"/>
      <c r="G590" s="253"/>
    </row>
    <row r="591">
      <c r="D591" s="141"/>
      <c r="E591" s="141"/>
      <c r="F591" s="141"/>
      <c r="G591" s="253"/>
    </row>
    <row r="592">
      <c r="D592" s="141"/>
      <c r="E592" s="141"/>
      <c r="F592" s="141"/>
      <c r="G592" s="253"/>
    </row>
    <row r="593">
      <c r="D593" s="141"/>
      <c r="E593" s="141"/>
      <c r="F593" s="141"/>
      <c r="G593" s="253"/>
    </row>
    <row r="594">
      <c r="D594" s="141"/>
      <c r="E594" s="141"/>
      <c r="F594" s="141"/>
      <c r="G594" s="253"/>
    </row>
    <row r="595">
      <c r="D595" s="141"/>
      <c r="E595" s="141"/>
      <c r="F595" s="141"/>
      <c r="G595" s="253"/>
    </row>
    <row r="596">
      <c r="D596" s="141"/>
      <c r="E596" s="141"/>
      <c r="F596" s="141"/>
      <c r="G596" s="253"/>
    </row>
    <row r="597">
      <c r="D597" s="141"/>
      <c r="E597" s="141"/>
      <c r="F597" s="141"/>
      <c r="G597" s="253"/>
    </row>
    <row r="598">
      <c r="D598" s="141"/>
      <c r="E598" s="141"/>
      <c r="F598" s="141"/>
      <c r="G598" s="253"/>
    </row>
    <row r="599">
      <c r="D599" s="141"/>
      <c r="E599" s="141"/>
      <c r="F599" s="141"/>
      <c r="G599" s="253"/>
    </row>
    <row r="600">
      <c r="D600" s="141"/>
      <c r="E600" s="141"/>
      <c r="F600" s="141"/>
      <c r="G600" s="253"/>
    </row>
    <row r="601">
      <c r="D601" s="141"/>
      <c r="E601" s="141"/>
      <c r="F601" s="141"/>
      <c r="G601" s="253"/>
    </row>
    <row r="602">
      <c r="D602" s="141"/>
      <c r="E602" s="141"/>
      <c r="F602" s="141"/>
      <c r="G602" s="253"/>
    </row>
    <row r="603">
      <c r="D603" s="141"/>
      <c r="E603" s="141"/>
      <c r="F603" s="141"/>
      <c r="G603" s="253"/>
    </row>
    <row r="604">
      <c r="D604" s="141"/>
      <c r="E604" s="141"/>
      <c r="F604" s="141"/>
      <c r="G604" s="253"/>
    </row>
    <row r="605">
      <c r="D605" s="141"/>
      <c r="E605" s="141"/>
      <c r="F605" s="141"/>
      <c r="G605" s="253"/>
    </row>
    <row r="606">
      <c r="D606" s="141"/>
      <c r="E606" s="141"/>
      <c r="F606" s="141"/>
      <c r="G606" s="253"/>
    </row>
    <row r="607">
      <c r="D607" s="141"/>
      <c r="E607" s="141"/>
      <c r="F607" s="141"/>
      <c r="G607" s="253"/>
    </row>
    <row r="608">
      <c r="D608" s="141"/>
      <c r="E608" s="141"/>
      <c r="F608" s="141"/>
      <c r="G608" s="253"/>
    </row>
    <row r="609">
      <c r="D609" s="141"/>
      <c r="E609" s="141"/>
      <c r="F609" s="141"/>
      <c r="G609" s="253"/>
    </row>
    <row r="610">
      <c r="D610" s="141"/>
      <c r="E610" s="141"/>
      <c r="F610" s="141"/>
      <c r="G610" s="253"/>
    </row>
    <row r="611">
      <c r="D611" s="141"/>
      <c r="E611" s="141"/>
      <c r="F611" s="141"/>
      <c r="G611" s="253"/>
    </row>
    <row r="612">
      <c r="D612" s="141"/>
      <c r="E612" s="141"/>
      <c r="F612" s="141"/>
      <c r="G612" s="253"/>
    </row>
    <row r="613">
      <c r="D613" s="141"/>
      <c r="E613" s="141"/>
      <c r="F613" s="141"/>
      <c r="G613" s="253"/>
    </row>
    <row r="614">
      <c r="D614" s="141"/>
      <c r="E614" s="141"/>
      <c r="F614" s="141"/>
      <c r="G614" s="253"/>
    </row>
    <row r="615">
      <c r="D615" s="141"/>
      <c r="E615" s="141"/>
      <c r="F615" s="141"/>
      <c r="G615" s="253"/>
    </row>
    <row r="616">
      <c r="D616" s="141"/>
      <c r="E616" s="141"/>
      <c r="F616" s="141"/>
      <c r="G616" s="253"/>
    </row>
    <row r="617">
      <c r="D617" s="141"/>
      <c r="E617" s="141"/>
      <c r="F617" s="141"/>
      <c r="G617" s="253"/>
    </row>
    <row r="618">
      <c r="D618" s="141"/>
      <c r="E618" s="141"/>
      <c r="F618" s="141"/>
      <c r="G618" s="253"/>
    </row>
    <row r="619">
      <c r="D619" s="141"/>
      <c r="E619" s="141"/>
      <c r="F619" s="141"/>
      <c r="G619" s="253"/>
    </row>
    <row r="620">
      <c r="D620" s="141"/>
      <c r="E620" s="141"/>
      <c r="F620" s="141"/>
      <c r="G620" s="253"/>
    </row>
    <row r="621">
      <c r="D621" s="141"/>
      <c r="E621" s="141"/>
      <c r="F621" s="141"/>
      <c r="G621" s="253"/>
    </row>
    <row r="622">
      <c r="D622" s="141"/>
      <c r="E622" s="141"/>
      <c r="F622" s="141"/>
      <c r="G622" s="253"/>
    </row>
    <row r="623">
      <c r="D623" s="141"/>
      <c r="E623" s="141"/>
      <c r="F623" s="141"/>
      <c r="G623" s="253"/>
    </row>
    <row r="624">
      <c r="D624" s="141"/>
      <c r="E624" s="141"/>
      <c r="F624" s="141"/>
      <c r="G624" s="253"/>
    </row>
    <row r="625">
      <c r="D625" s="141"/>
      <c r="E625" s="141"/>
      <c r="F625" s="141"/>
      <c r="G625" s="253"/>
    </row>
    <row r="626">
      <c r="D626" s="141"/>
      <c r="E626" s="141"/>
      <c r="F626" s="141"/>
      <c r="G626" s="253"/>
    </row>
    <row r="627">
      <c r="D627" s="141"/>
      <c r="E627" s="141"/>
      <c r="F627" s="141"/>
      <c r="G627" s="253"/>
    </row>
    <row r="628">
      <c r="D628" s="141"/>
      <c r="E628" s="141"/>
      <c r="F628" s="141"/>
      <c r="G628" s="253"/>
    </row>
    <row r="629">
      <c r="D629" s="141"/>
      <c r="E629" s="141"/>
      <c r="F629" s="141"/>
      <c r="G629" s="253"/>
    </row>
    <row r="630">
      <c r="D630" s="141"/>
      <c r="E630" s="141"/>
      <c r="F630" s="141"/>
      <c r="G630" s="253"/>
    </row>
    <row r="631">
      <c r="D631" s="141"/>
      <c r="E631" s="141"/>
      <c r="F631" s="141"/>
      <c r="G631" s="253"/>
    </row>
    <row r="632">
      <c r="D632" s="141"/>
      <c r="E632" s="141"/>
      <c r="F632" s="141"/>
      <c r="G632" s="253"/>
    </row>
    <row r="633">
      <c r="D633" s="141"/>
      <c r="E633" s="141"/>
      <c r="F633" s="141"/>
      <c r="G633" s="253"/>
    </row>
    <row r="634">
      <c r="D634" s="141"/>
      <c r="E634" s="141"/>
      <c r="F634" s="141"/>
      <c r="G634" s="253"/>
    </row>
    <row r="635">
      <c r="D635" s="141"/>
      <c r="E635" s="141"/>
      <c r="F635" s="141"/>
      <c r="G635" s="253"/>
    </row>
    <row r="636">
      <c r="D636" s="141"/>
      <c r="E636" s="141"/>
      <c r="F636" s="141"/>
      <c r="G636" s="253"/>
    </row>
    <row r="637">
      <c r="D637" s="141"/>
      <c r="E637" s="141"/>
      <c r="F637" s="141"/>
      <c r="G637" s="253"/>
    </row>
    <row r="638">
      <c r="D638" s="141"/>
      <c r="E638" s="141"/>
      <c r="F638" s="141"/>
      <c r="G638" s="253"/>
    </row>
    <row r="639">
      <c r="D639" s="141"/>
      <c r="E639" s="141"/>
      <c r="F639" s="141"/>
      <c r="G639" s="253"/>
    </row>
    <row r="640">
      <c r="D640" s="141"/>
      <c r="E640" s="141"/>
      <c r="F640" s="141"/>
      <c r="G640" s="253"/>
    </row>
    <row r="641">
      <c r="D641" s="141"/>
      <c r="E641" s="141"/>
      <c r="F641" s="141"/>
      <c r="G641" s="253"/>
    </row>
    <row r="642">
      <c r="D642" s="141"/>
      <c r="E642" s="141"/>
      <c r="F642" s="141"/>
      <c r="G642" s="253"/>
    </row>
    <row r="643">
      <c r="D643" s="141"/>
      <c r="E643" s="141"/>
      <c r="F643" s="141"/>
      <c r="G643" s="253"/>
    </row>
    <row r="644">
      <c r="D644" s="141"/>
      <c r="E644" s="141"/>
      <c r="F644" s="141"/>
      <c r="G644" s="253"/>
    </row>
    <row r="645">
      <c r="D645" s="141"/>
      <c r="E645" s="141"/>
      <c r="F645" s="141"/>
      <c r="G645" s="253"/>
    </row>
    <row r="646">
      <c r="D646" s="141"/>
      <c r="E646" s="141"/>
      <c r="F646" s="141"/>
      <c r="G646" s="253"/>
    </row>
    <row r="647">
      <c r="D647" s="141"/>
      <c r="E647" s="141"/>
      <c r="F647" s="141"/>
      <c r="G647" s="253"/>
    </row>
    <row r="648">
      <c r="D648" s="141"/>
      <c r="E648" s="141"/>
      <c r="F648" s="141"/>
      <c r="G648" s="253"/>
    </row>
    <row r="649">
      <c r="D649" s="141"/>
      <c r="E649" s="141"/>
      <c r="F649" s="141"/>
      <c r="G649" s="253"/>
    </row>
    <row r="650">
      <c r="D650" s="141"/>
      <c r="E650" s="141"/>
      <c r="F650" s="141"/>
      <c r="G650" s="253"/>
    </row>
    <row r="651">
      <c r="D651" s="141"/>
      <c r="E651" s="141"/>
      <c r="F651" s="141"/>
      <c r="G651" s="253"/>
    </row>
    <row r="652">
      <c r="D652" s="141"/>
      <c r="E652" s="141"/>
      <c r="F652" s="141"/>
      <c r="G652" s="253"/>
    </row>
    <row r="653">
      <c r="D653" s="141"/>
      <c r="E653" s="141"/>
      <c r="F653" s="141"/>
      <c r="G653" s="253"/>
    </row>
    <row r="654">
      <c r="D654" s="141"/>
      <c r="E654" s="141"/>
      <c r="F654" s="141"/>
      <c r="G654" s="253"/>
    </row>
    <row r="655">
      <c r="D655" s="141"/>
      <c r="E655" s="141"/>
      <c r="F655" s="141"/>
      <c r="G655" s="253"/>
    </row>
    <row r="656">
      <c r="D656" s="141"/>
      <c r="E656" s="141"/>
      <c r="F656" s="141"/>
      <c r="G656" s="253"/>
    </row>
    <row r="657">
      <c r="D657" s="141"/>
      <c r="E657" s="141"/>
      <c r="F657" s="141"/>
      <c r="G657" s="253"/>
    </row>
    <row r="658">
      <c r="D658" s="141"/>
      <c r="E658" s="141"/>
      <c r="F658" s="141"/>
      <c r="G658" s="253"/>
    </row>
    <row r="659">
      <c r="D659" s="141"/>
      <c r="E659" s="141"/>
      <c r="F659" s="141"/>
      <c r="G659" s="253"/>
    </row>
    <row r="660">
      <c r="D660" s="141"/>
      <c r="E660" s="141"/>
      <c r="F660" s="141"/>
      <c r="G660" s="253"/>
    </row>
    <row r="661">
      <c r="D661" s="141"/>
      <c r="E661" s="141"/>
      <c r="F661" s="141"/>
      <c r="G661" s="253"/>
    </row>
    <row r="662">
      <c r="D662" s="141"/>
      <c r="E662" s="141"/>
      <c r="F662" s="141"/>
      <c r="G662" s="253"/>
    </row>
    <row r="663">
      <c r="D663" s="141"/>
      <c r="E663" s="141"/>
      <c r="F663" s="141"/>
      <c r="G663" s="253"/>
    </row>
    <row r="664">
      <c r="D664" s="141"/>
      <c r="E664" s="141"/>
      <c r="F664" s="141"/>
      <c r="G664" s="253"/>
    </row>
    <row r="665">
      <c r="D665" s="141"/>
      <c r="E665" s="141"/>
      <c r="F665" s="141"/>
      <c r="G665" s="253"/>
    </row>
    <row r="666">
      <c r="D666" s="141"/>
      <c r="E666" s="141"/>
      <c r="F666" s="141"/>
      <c r="G666" s="253"/>
    </row>
    <row r="667">
      <c r="D667" s="141"/>
      <c r="E667" s="141"/>
      <c r="F667" s="141"/>
      <c r="G667" s="253"/>
    </row>
    <row r="668">
      <c r="D668" s="141"/>
      <c r="E668" s="141"/>
      <c r="F668" s="141"/>
      <c r="G668" s="253"/>
    </row>
    <row r="669">
      <c r="D669" s="141"/>
      <c r="E669" s="141"/>
      <c r="F669" s="141"/>
      <c r="G669" s="253"/>
    </row>
    <row r="670">
      <c r="D670" s="141"/>
      <c r="E670" s="141"/>
      <c r="F670" s="141"/>
      <c r="G670" s="253"/>
    </row>
    <row r="671">
      <c r="D671" s="141"/>
      <c r="E671" s="141"/>
      <c r="F671" s="141"/>
      <c r="G671" s="253"/>
    </row>
    <row r="672">
      <c r="D672" s="141"/>
      <c r="E672" s="141"/>
      <c r="F672" s="141"/>
      <c r="G672" s="253"/>
    </row>
    <row r="673">
      <c r="D673" s="141"/>
      <c r="E673" s="141"/>
      <c r="F673" s="141"/>
      <c r="G673" s="253"/>
    </row>
    <row r="674">
      <c r="D674" s="141"/>
      <c r="E674" s="141"/>
      <c r="F674" s="141"/>
      <c r="G674" s="253"/>
    </row>
    <row r="675">
      <c r="D675" s="141"/>
      <c r="E675" s="141"/>
      <c r="F675" s="141"/>
      <c r="G675" s="253"/>
    </row>
    <row r="676">
      <c r="D676" s="141"/>
      <c r="E676" s="141"/>
      <c r="F676" s="141"/>
      <c r="G676" s="253"/>
    </row>
    <row r="677">
      <c r="D677" s="141"/>
      <c r="E677" s="141"/>
      <c r="F677" s="141"/>
      <c r="G677" s="253"/>
    </row>
    <row r="678">
      <c r="D678" s="141"/>
      <c r="E678" s="141"/>
      <c r="F678" s="141"/>
      <c r="G678" s="253"/>
    </row>
    <row r="679">
      <c r="D679" s="141"/>
      <c r="E679" s="141"/>
      <c r="F679" s="141"/>
      <c r="G679" s="253"/>
    </row>
    <row r="680">
      <c r="D680" s="141"/>
      <c r="E680" s="141"/>
      <c r="F680" s="141"/>
      <c r="G680" s="253"/>
    </row>
    <row r="681">
      <c r="D681" s="141"/>
      <c r="E681" s="141"/>
      <c r="F681" s="141"/>
      <c r="G681" s="253"/>
    </row>
    <row r="682">
      <c r="D682" s="141"/>
      <c r="E682" s="141"/>
      <c r="F682" s="141"/>
      <c r="G682" s="253"/>
    </row>
    <row r="683">
      <c r="D683" s="141"/>
      <c r="E683" s="141"/>
      <c r="F683" s="141"/>
      <c r="G683" s="253"/>
    </row>
    <row r="684">
      <c r="D684" s="141"/>
      <c r="E684" s="141"/>
      <c r="F684" s="141"/>
      <c r="G684" s="253"/>
    </row>
    <row r="685">
      <c r="D685" s="141"/>
      <c r="E685" s="141"/>
      <c r="F685" s="141"/>
      <c r="G685" s="253"/>
    </row>
    <row r="686">
      <c r="D686" s="141"/>
      <c r="E686" s="141"/>
      <c r="F686" s="141"/>
      <c r="G686" s="253"/>
    </row>
    <row r="687">
      <c r="D687" s="141"/>
      <c r="E687" s="141"/>
      <c r="F687" s="141"/>
      <c r="G687" s="253"/>
    </row>
    <row r="688">
      <c r="D688" s="141"/>
      <c r="E688" s="141"/>
      <c r="F688" s="141"/>
      <c r="G688" s="253"/>
    </row>
    <row r="689">
      <c r="D689" s="141"/>
      <c r="E689" s="141"/>
      <c r="F689" s="141"/>
      <c r="G689" s="253"/>
    </row>
    <row r="690">
      <c r="D690" s="141"/>
      <c r="E690" s="141"/>
      <c r="F690" s="141"/>
      <c r="G690" s="253"/>
    </row>
    <row r="691">
      <c r="D691" s="141"/>
      <c r="E691" s="141"/>
      <c r="F691" s="141"/>
      <c r="G691" s="253"/>
    </row>
    <row r="692">
      <c r="D692" s="141"/>
      <c r="E692" s="141"/>
      <c r="F692" s="141"/>
      <c r="G692" s="253"/>
    </row>
    <row r="693">
      <c r="D693" s="141"/>
      <c r="E693" s="141"/>
      <c r="F693" s="141"/>
      <c r="G693" s="253"/>
    </row>
    <row r="694">
      <c r="D694" s="141"/>
      <c r="E694" s="141"/>
      <c r="F694" s="141"/>
      <c r="G694" s="253"/>
    </row>
    <row r="695">
      <c r="D695" s="141"/>
      <c r="E695" s="141"/>
      <c r="F695" s="141"/>
      <c r="G695" s="253"/>
    </row>
    <row r="696">
      <c r="D696" s="141"/>
      <c r="E696" s="141"/>
      <c r="F696" s="141"/>
      <c r="G696" s="253"/>
    </row>
    <row r="697">
      <c r="D697" s="141"/>
      <c r="E697" s="141"/>
      <c r="F697" s="141"/>
      <c r="G697" s="253"/>
    </row>
    <row r="698">
      <c r="D698" s="141"/>
      <c r="E698" s="141"/>
      <c r="F698" s="141"/>
      <c r="G698" s="253"/>
    </row>
    <row r="699">
      <c r="D699" s="141"/>
      <c r="E699" s="141"/>
      <c r="F699" s="141"/>
      <c r="G699" s="253"/>
    </row>
    <row r="700">
      <c r="D700" s="141"/>
      <c r="E700" s="141"/>
      <c r="F700" s="141"/>
      <c r="G700" s="253"/>
    </row>
    <row r="701">
      <c r="D701" s="141"/>
      <c r="E701" s="141"/>
      <c r="F701" s="141"/>
      <c r="G701" s="253"/>
    </row>
    <row r="702">
      <c r="D702" s="141"/>
      <c r="E702" s="141"/>
      <c r="F702" s="141"/>
      <c r="G702" s="253"/>
    </row>
    <row r="703">
      <c r="D703" s="141"/>
      <c r="E703" s="141"/>
      <c r="F703" s="141"/>
      <c r="G703" s="253"/>
    </row>
    <row r="704">
      <c r="D704" s="141"/>
      <c r="E704" s="141"/>
      <c r="F704" s="141"/>
      <c r="G704" s="253"/>
    </row>
    <row r="705">
      <c r="D705" s="141"/>
      <c r="E705" s="141"/>
      <c r="F705" s="141"/>
      <c r="G705" s="253"/>
    </row>
    <row r="706">
      <c r="D706" s="141"/>
      <c r="E706" s="141"/>
      <c r="F706" s="141"/>
      <c r="G706" s="253"/>
    </row>
    <row r="707">
      <c r="D707" s="141"/>
      <c r="E707" s="141"/>
      <c r="F707" s="141"/>
      <c r="G707" s="253"/>
    </row>
    <row r="708">
      <c r="D708" s="141"/>
      <c r="E708" s="141"/>
      <c r="F708" s="141"/>
      <c r="G708" s="253"/>
    </row>
    <row r="709">
      <c r="D709" s="141"/>
      <c r="E709" s="141"/>
      <c r="F709" s="141"/>
      <c r="G709" s="253"/>
    </row>
    <row r="710">
      <c r="D710" s="141"/>
      <c r="E710" s="141"/>
      <c r="F710" s="141"/>
      <c r="G710" s="253"/>
    </row>
    <row r="711">
      <c r="D711" s="141"/>
      <c r="E711" s="141"/>
      <c r="F711" s="141"/>
      <c r="G711" s="253"/>
    </row>
    <row r="712">
      <c r="D712" s="141"/>
      <c r="E712" s="141"/>
      <c r="F712" s="141"/>
      <c r="G712" s="253"/>
    </row>
    <row r="713">
      <c r="D713" s="141"/>
      <c r="E713" s="141"/>
      <c r="F713" s="141"/>
      <c r="G713" s="253"/>
    </row>
    <row r="714">
      <c r="D714" s="141"/>
      <c r="E714" s="141"/>
      <c r="F714" s="141"/>
      <c r="G714" s="253"/>
    </row>
    <row r="715">
      <c r="D715" s="141"/>
      <c r="E715" s="141"/>
      <c r="F715" s="141"/>
      <c r="G715" s="253"/>
    </row>
    <row r="716">
      <c r="D716" s="141"/>
      <c r="E716" s="141"/>
      <c r="F716" s="141"/>
      <c r="G716" s="253"/>
    </row>
    <row r="717">
      <c r="D717" s="141"/>
      <c r="E717" s="141"/>
      <c r="F717" s="141"/>
      <c r="G717" s="253"/>
    </row>
    <row r="718">
      <c r="D718" s="141"/>
      <c r="E718" s="141"/>
      <c r="F718" s="141"/>
      <c r="G718" s="253"/>
    </row>
    <row r="719">
      <c r="D719" s="141"/>
      <c r="E719" s="141"/>
      <c r="F719" s="141"/>
      <c r="G719" s="253"/>
    </row>
    <row r="720">
      <c r="D720" s="141"/>
      <c r="E720" s="141"/>
      <c r="F720" s="141"/>
      <c r="G720" s="253"/>
    </row>
    <row r="721">
      <c r="D721" s="141"/>
      <c r="E721" s="141"/>
      <c r="F721" s="141"/>
      <c r="G721" s="253"/>
    </row>
    <row r="722">
      <c r="D722" s="141"/>
      <c r="E722" s="141"/>
      <c r="F722" s="141"/>
      <c r="G722" s="253"/>
    </row>
    <row r="723">
      <c r="D723" s="141"/>
      <c r="E723" s="141"/>
      <c r="F723" s="141"/>
      <c r="G723" s="253"/>
    </row>
    <row r="724">
      <c r="D724" s="141"/>
      <c r="E724" s="141"/>
      <c r="F724" s="141"/>
      <c r="G724" s="253"/>
    </row>
    <row r="725">
      <c r="D725" s="141"/>
      <c r="E725" s="141"/>
      <c r="F725" s="141"/>
      <c r="G725" s="253"/>
    </row>
    <row r="726">
      <c r="D726" s="141"/>
      <c r="E726" s="141"/>
      <c r="F726" s="141"/>
      <c r="G726" s="253"/>
    </row>
    <row r="727">
      <c r="D727" s="141"/>
      <c r="E727" s="141"/>
      <c r="F727" s="141"/>
      <c r="G727" s="253"/>
    </row>
    <row r="728">
      <c r="D728" s="141"/>
      <c r="E728" s="141"/>
      <c r="F728" s="141"/>
      <c r="G728" s="253"/>
    </row>
    <row r="729">
      <c r="D729" s="141"/>
      <c r="E729" s="141"/>
      <c r="F729" s="141"/>
      <c r="G729" s="253"/>
    </row>
    <row r="730">
      <c r="D730" s="141"/>
      <c r="E730" s="141"/>
      <c r="F730" s="141"/>
      <c r="G730" s="253"/>
    </row>
    <row r="731">
      <c r="D731" s="141"/>
      <c r="E731" s="141"/>
      <c r="F731" s="141"/>
      <c r="G731" s="253"/>
    </row>
    <row r="732">
      <c r="D732" s="141"/>
      <c r="E732" s="141"/>
      <c r="F732" s="141"/>
      <c r="G732" s="253"/>
    </row>
    <row r="733">
      <c r="D733" s="141"/>
      <c r="E733" s="141"/>
      <c r="F733" s="141"/>
      <c r="G733" s="253"/>
    </row>
    <row r="734">
      <c r="D734" s="141"/>
      <c r="E734" s="141"/>
      <c r="F734" s="141"/>
      <c r="G734" s="253"/>
    </row>
    <row r="735">
      <c r="D735" s="141"/>
      <c r="E735" s="141"/>
      <c r="F735" s="141"/>
      <c r="G735" s="253"/>
    </row>
    <row r="736">
      <c r="D736" s="141"/>
      <c r="E736" s="141"/>
      <c r="F736" s="141"/>
      <c r="G736" s="253"/>
    </row>
    <row r="737">
      <c r="D737" s="141"/>
      <c r="E737" s="141"/>
      <c r="F737" s="141"/>
      <c r="G737" s="253"/>
    </row>
    <row r="738">
      <c r="D738" s="141"/>
      <c r="E738" s="141"/>
      <c r="F738" s="141"/>
      <c r="G738" s="253"/>
    </row>
    <row r="739">
      <c r="D739" s="141"/>
      <c r="E739" s="141"/>
      <c r="F739" s="141"/>
      <c r="G739" s="253"/>
    </row>
    <row r="740">
      <c r="D740" s="141"/>
      <c r="E740" s="141"/>
      <c r="F740" s="141"/>
      <c r="G740" s="253"/>
    </row>
    <row r="741">
      <c r="D741" s="141"/>
      <c r="E741" s="141"/>
      <c r="F741" s="141"/>
      <c r="G741" s="253"/>
    </row>
    <row r="742">
      <c r="D742" s="141"/>
      <c r="E742" s="141"/>
      <c r="F742" s="141"/>
      <c r="G742" s="253"/>
    </row>
    <row r="743">
      <c r="D743" s="141"/>
      <c r="E743" s="141"/>
      <c r="F743" s="141"/>
      <c r="G743" s="253"/>
    </row>
    <row r="744">
      <c r="D744" s="141"/>
      <c r="E744" s="141"/>
      <c r="F744" s="141"/>
      <c r="G744" s="253"/>
    </row>
    <row r="745">
      <c r="D745" s="141"/>
      <c r="E745" s="141"/>
      <c r="F745" s="141"/>
      <c r="G745" s="253"/>
    </row>
    <row r="746">
      <c r="D746" s="141"/>
      <c r="E746" s="141"/>
      <c r="F746" s="141"/>
      <c r="G746" s="253"/>
    </row>
    <row r="747">
      <c r="D747" s="141"/>
      <c r="E747" s="141"/>
      <c r="F747" s="141"/>
      <c r="G747" s="253"/>
    </row>
    <row r="748">
      <c r="D748" s="141"/>
      <c r="E748" s="141"/>
      <c r="F748" s="141"/>
      <c r="G748" s="253"/>
    </row>
    <row r="749">
      <c r="D749" s="141"/>
      <c r="E749" s="141"/>
      <c r="F749" s="141"/>
      <c r="G749" s="253"/>
    </row>
    <row r="750">
      <c r="D750" s="141"/>
      <c r="E750" s="141"/>
      <c r="F750" s="141"/>
      <c r="G750" s="253"/>
    </row>
    <row r="751">
      <c r="D751" s="141"/>
      <c r="E751" s="141"/>
      <c r="F751" s="141"/>
      <c r="G751" s="253"/>
    </row>
    <row r="752">
      <c r="D752" s="141"/>
      <c r="E752" s="141"/>
      <c r="F752" s="141"/>
      <c r="G752" s="253"/>
    </row>
    <row r="753">
      <c r="D753" s="141"/>
      <c r="E753" s="141"/>
      <c r="F753" s="141"/>
      <c r="G753" s="253"/>
    </row>
    <row r="754">
      <c r="D754" s="141"/>
      <c r="E754" s="141"/>
      <c r="F754" s="141"/>
      <c r="G754" s="253"/>
    </row>
    <row r="755">
      <c r="D755" s="141"/>
      <c r="E755" s="141"/>
      <c r="F755" s="141"/>
      <c r="G755" s="253"/>
    </row>
    <row r="756">
      <c r="D756" s="141"/>
      <c r="E756" s="141"/>
      <c r="F756" s="141"/>
      <c r="G756" s="253"/>
    </row>
    <row r="757">
      <c r="D757" s="141"/>
      <c r="E757" s="141"/>
      <c r="F757" s="141"/>
      <c r="G757" s="253"/>
    </row>
    <row r="758">
      <c r="D758" s="141"/>
      <c r="E758" s="141"/>
      <c r="F758" s="141"/>
      <c r="G758" s="253"/>
    </row>
    <row r="759">
      <c r="D759" s="141"/>
      <c r="E759" s="141"/>
      <c r="F759" s="141"/>
      <c r="G759" s="253"/>
    </row>
    <row r="760">
      <c r="D760" s="141"/>
      <c r="E760" s="141"/>
      <c r="F760" s="141"/>
      <c r="G760" s="253"/>
    </row>
    <row r="761">
      <c r="D761" s="141"/>
      <c r="E761" s="141"/>
      <c r="F761" s="141"/>
      <c r="G761" s="253"/>
    </row>
    <row r="762">
      <c r="D762" s="141"/>
      <c r="E762" s="141"/>
      <c r="F762" s="141"/>
      <c r="G762" s="253"/>
    </row>
    <row r="763">
      <c r="D763" s="141"/>
      <c r="E763" s="141"/>
      <c r="F763" s="141"/>
      <c r="G763" s="253"/>
    </row>
    <row r="764">
      <c r="D764" s="141"/>
      <c r="E764" s="141"/>
      <c r="F764" s="141"/>
      <c r="G764" s="253"/>
    </row>
    <row r="765">
      <c r="D765" s="141"/>
      <c r="E765" s="141"/>
      <c r="F765" s="141"/>
      <c r="G765" s="253"/>
    </row>
    <row r="766">
      <c r="D766" s="141"/>
      <c r="E766" s="141"/>
      <c r="F766" s="141"/>
      <c r="G766" s="253"/>
    </row>
    <row r="767">
      <c r="D767" s="141"/>
      <c r="E767" s="141"/>
      <c r="F767" s="141"/>
      <c r="G767" s="253"/>
    </row>
    <row r="768">
      <c r="D768" s="141"/>
      <c r="E768" s="141"/>
      <c r="F768" s="141"/>
      <c r="G768" s="253"/>
    </row>
    <row r="769">
      <c r="D769" s="141"/>
      <c r="E769" s="141"/>
      <c r="F769" s="141"/>
      <c r="G769" s="253"/>
    </row>
    <row r="770">
      <c r="D770" s="141"/>
      <c r="E770" s="141"/>
      <c r="F770" s="141"/>
      <c r="G770" s="253"/>
    </row>
    <row r="771">
      <c r="D771" s="141"/>
      <c r="E771" s="141"/>
      <c r="F771" s="141"/>
      <c r="G771" s="253"/>
    </row>
    <row r="772">
      <c r="D772" s="141"/>
      <c r="E772" s="141"/>
      <c r="F772" s="141"/>
      <c r="G772" s="253"/>
    </row>
    <row r="773">
      <c r="D773" s="141"/>
      <c r="E773" s="141"/>
      <c r="F773" s="141"/>
      <c r="G773" s="253"/>
    </row>
    <row r="774">
      <c r="D774" s="141"/>
      <c r="E774" s="141"/>
      <c r="F774" s="141"/>
      <c r="G774" s="253"/>
    </row>
    <row r="775">
      <c r="D775" s="141"/>
      <c r="E775" s="141"/>
      <c r="F775" s="141"/>
      <c r="G775" s="253"/>
    </row>
    <row r="776">
      <c r="D776" s="141"/>
      <c r="E776" s="141"/>
      <c r="F776" s="141"/>
      <c r="G776" s="253"/>
    </row>
    <row r="777">
      <c r="D777" s="141"/>
      <c r="E777" s="141"/>
      <c r="F777" s="141"/>
      <c r="G777" s="253"/>
    </row>
    <row r="778">
      <c r="D778" s="141"/>
      <c r="E778" s="141"/>
      <c r="F778" s="141"/>
      <c r="G778" s="253"/>
    </row>
    <row r="779">
      <c r="D779" s="141"/>
      <c r="E779" s="141"/>
      <c r="F779" s="141"/>
      <c r="G779" s="253"/>
    </row>
    <row r="780">
      <c r="D780" s="141"/>
      <c r="E780" s="141"/>
      <c r="F780" s="141"/>
      <c r="G780" s="253"/>
    </row>
    <row r="781">
      <c r="D781" s="141"/>
      <c r="E781" s="141"/>
      <c r="F781" s="141"/>
      <c r="G781" s="253"/>
    </row>
    <row r="782">
      <c r="D782" s="141"/>
      <c r="E782" s="141"/>
      <c r="F782" s="141"/>
      <c r="G782" s="253"/>
    </row>
    <row r="783">
      <c r="D783" s="141"/>
      <c r="E783" s="141"/>
      <c r="F783" s="141"/>
      <c r="G783" s="253"/>
    </row>
    <row r="784">
      <c r="D784" s="141"/>
      <c r="E784" s="141"/>
      <c r="F784" s="141"/>
      <c r="G784" s="253"/>
    </row>
    <row r="785">
      <c r="D785" s="141"/>
      <c r="E785" s="141"/>
      <c r="F785" s="141"/>
      <c r="G785" s="253"/>
    </row>
    <row r="786">
      <c r="D786" s="141"/>
      <c r="E786" s="141"/>
      <c r="F786" s="141"/>
      <c r="G786" s="253"/>
    </row>
    <row r="787">
      <c r="D787" s="141"/>
      <c r="E787" s="141"/>
      <c r="F787" s="141"/>
      <c r="G787" s="253"/>
    </row>
    <row r="788">
      <c r="D788" s="141"/>
      <c r="E788" s="141"/>
      <c r="F788" s="141"/>
      <c r="G788" s="253"/>
    </row>
    <row r="789">
      <c r="D789" s="141"/>
      <c r="E789" s="141"/>
      <c r="F789" s="141"/>
      <c r="G789" s="253"/>
    </row>
    <row r="790">
      <c r="D790" s="141"/>
      <c r="E790" s="141"/>
      <c r="F790" s="141"/>
      <c r="G790" s="253"/>
    </row>
    <row r="791">
      <c r="D791" s="141"/>
      <c r="E791" s="141"/>
      <c r="F791" s="141"/>
      <c r="G791" s="253"/>
    </row>
    <row r="792">
      <c r="D792" s="141"/>
      <c r="E792" s="141"/>
      <c r="F792" s="141"/>
      <c r="G792" s="253"/>
    </row>
    <row r="793">
      <c r="D793" s="141"/>
      <c r="E793" s="141"/>
      <c r="F793" s="141"/>
      <c r="G793" s="253"/>
    </row>
    <row r="794">
      <c r="D794" s="141"/>
      <c r="E794" s="141"/>
      <c r="F794" s="141"/>
      <c r="G794" s="253"/>
    </row>
    <row r="795">
      <c r="D795" s="141"/>
      <c r="E795" s="141"/>
      <c r="F795" s="141"/>
      <c r="G795" s="253"/>
    </row>
    <row r="796">
      <c r="D796" s="141"/>
      <c r="E796" s="141"/>
      <c r="F796" s="141"/>
      <c r="G796" s="253"/>
    </row>
    <row r="797">
      <c r="D797" s="141"/>
      <c r="E797" s="141"/>
      <c r="F797" s="141"/>
      <c r="G797" s="253"/>
    </row>
    <row r="798">
      <c r="D798" s="141"/>
      <c r="E798" s="141"/>
      <c r="F798" s="141"/>
      <c r="G798" s="253"/>
    </row>
    <row r="799">
      <c r="D799" s="141"/>
      <c r="E799" s="141"/>
      <c r="F799" s="141"/>
      <c r="G799" s="253"/>
    </row>
    <row r="800">
      <c r="D800" s="141"/>
      <c r="E800" s="141"/>
      <c r="F800" s="141"/>
      <c r="G800" s="253"/>
    </row>
    <row r="801">
      <c r="D801" s="141"/>
      <c r="E801" s="141"/>
      <c r="F801" s="141"/>
      <c r="G801" s="253"/>
    </row>
    <row r="802">
      <c r="D802" s="141"/>
      <c r="E802" s="141"/>
      <c r="F802" s="141"/>
      <c r="G802" s="253"/>
    </row>
    <row r="803">
      <c r="D803" s="141"/>
      <c r="E803" s="141"/>
      <c r="F803" s="141"/>
      <c r="G803" s="253"/>
    </row>
    <row r="804">
      <c r="D804" s="141"/>
      <c r="E804" s="141"/>
      <c r="F804" s="141"/>
      <c r="G804" s="253"/>
    </row>
    <row r="805">
      <c r="D805" s="141"/>
      <c r="E805" s="141"/>
      <c r="F805" s="141"/>
      <c r="G805" s="253"/>
    </row>
    <row r="806">
      <c r="D806" s="141"/>
      <c r="E806" s="141"/>
      <c r="F806" s="141"/>
      <c r="G806" s="253"/>
    </row>
    <row r="807">
      <c r="D807" s="141"/>
      <c r="E807" s="141"/>
      <c r="F807" s="141"/>
      <c r="G807" s="253"/>
    </row>
    <row r="808">
      <c r="D808" s="141"/>
      <c r="E808" s="141"/>
      <c r="F808" s="141"/>
      <c r="G808" s="253"/>
    </row>
    <row r="809">
      <c r="D809" s="141"/>
      <c r="E809" s="141"/>
      <c r="F809" s="141"/>
      <c r="G809" s="253"/>
    </row>
    <row r="810">
      <c r="D810" s="141"/>
      <c r="E810" s="141"/>
      <c r="F810" s="141"/>
      <c r="G810" s="253"/>
    </row>
    <row r="811">
      <c r="D811" s="141"/>
      <c r="E811" s="141"/>
      <c r="F811" s="141"/>
      <c r="G811" s="253"/>
    </row>
    <row r="812">
      <c r="D812" s="141"/>
      <c r="E812" s="141"/>
      <c r="F812" s="141"/>
      <c r="G812" s="253"/>
    </row>
    <row r="813">
      <c r="D813" s="141"/>
      <c r="E813" s="141"/>
      <c r="F813" s="141"/>
      <c r="G813" s="253"/>
    </row>
    <row r="814">
      <c r="D814" s="141"/>
      <c r="E814" s="141"/>
      <c r="F814" s="141"/>
      <c r="G814" s="253"/>
    </row>
    <row r="815">
      <c r="D815" s="141"/>
      <c r="E815" s="141"/>
      <c r="F815" s="141"/>
      <c r="G815" s="253"/>
    </row>
    <row r="816">
      <c r="D816" s="141"/>
      <c r="E816" s="141"/>
      <c r="F816" s="141"/>
      <c r="G816" s="253"/>
    </row>
    <row r="817">
      <c r="D817" s="141"/>
      <c r="E817" s="141"/>
      <c r="F817" s="141"/>
      <c r="G817" s="253"/>
    </row>
    <row r="818">
      <c r="D818" s="141"/>
      <c r="E818" s="141"/>
      <c r="F818" s="141"/>
      <c r="G818" s="253"/>
    </row>
    <row r="819">
      <c r="D819" s="141"/>
      <c r="E819" s="141"/>
      <c r="F819" s="141"/>
      <c r="G819" s="253"/>
    </row>
    <row r="820">
      <c r="D820" s="141"/>
      <c r="E820" s="141"/>
      <c r="F820" s="141"/>
      <c r="G820" s="253"/>
    </row>
    <row r="821">
      <c r="D821" s="141"/>
      <c r="E821" s="141"/>
      <c r="F821" s="141"/>
      <c r="G821" s="253"/>
    </row>
    <row r="822">
      <c r="D822" s="141"/>
      <c r="E822" s="141"/>
      <c r="F822" s="141"/>
      <c r="G822" s="253"/>
    </row>
    <row r="823">
      <c r="D823" s="141"/>
      <c r="E823" s="141"/>
      <c r="F823" s="141"/>
      <c r="G823" s="253"/>
    </row>
    <row r="824">
      <c r="D824" s="141"/>
      <c r="E824" s="141"/>
      <c r="F824" s="141"/>
      <c r="G824" s="253"/>
    </row>
    <row r="825">
      <c r="D825" s="141"/>
      <c r="E825" s="141"/>
      <c r="F825" s="141"/>
      <c r="G825" s="253"/>
    </row>
    <row r="826">
      <c r="D826" s="141"/>
      <c r="E826" s="141"/>
      <c r="F826" s="141"/>
      <c r="G826" s="253"/>
    </row>
    <row r="827">
      <c r="D827" s="141"/>
      <c r="E827" s="141"/>
      <c r="F827" s="141"/>
      <c r="G827" s="253"/>
    </row>
    <row r="828">
      <c r="D828" s="141"/>
      <c r="E828" s="141"/>
      <c r="F828" s="141"/>
      <c r="G828" s="253"/>
    </row>
    <row r="829">
      <c r="D829" s="141"/>
      <c r="E829" s="141"/>
      <c r="F829" s="141"/>
      <c r="G829" s="253"/>
    </row>
    <row r="830">
      <c r="D830" s="141"/>
      <c r="E830" s="141"/>
      <c r="F830" s="141"/>
      <c r="G830" s="253"/>
    </row>
    <row r="831">
      <c r="D831" s="141"/>
      <c r="E831" s="141"/>
      <c r="F831" s="141"/>
      <c r="G831" s="253"/>
    </row>
    <row r="832">
      <c r="D832" s="141"/>
      <c r="E832" s="141"/>
      <c r="F832" s="141"/>
      <c r="G832" s="253"/>
    </row>
    <row r="833">
      <c r="D833" s="141"/>
      <c r="E833" s="141"/>
      <c r="F833" s="141"/>
      <c r="G833" s="253"/>
    </row>
    <row r="834">
      <c r="D834" s="141"/>
      <c r="E834" s="141"/>
      <c r="F834" s="141"/>
      <c r="G834" s="253"/>
    </row>
    <row r="835">
      <c r="D835" s="141"/>
      <c r="E835" s="141"/>
      <c r="F835" s="141"/>
      <c r="G835" s="253"/>
    </row>
    <row r="836">
      <c r="D836" s="141"/>
      <c r="E836" s="141"/>
      <c r="F836" s="141"/>
      <c r="G836" s="253"/>
    </row>
    <row r="837">
      <c r="D837" s="141"/>
      <c r="E837" s="141"/>
      <c r="F837" s="141"/>
      <c r="G837" s="253"/>
    </row>
    <row r="838">
      <c r="D838" s="141"/>
      <c r="E838" s="141"/>
      <c r="F838" s="141"/>
      <c r="G838" s="253"/>
    </row>
    <row r="839">
      <c r="D839" s="141"/>
      <c r="E839" s="141"/>
      <c r="F839" s="141"/>
      <c r="G839" s="253"/>
    </row>
    <row r="840">
      <c r="D840" s="141"/>
      <c r="E840" s="141"/>
      <c r="F840" s="141"/>
      <c r="G840" s="253"/>
    </row>
    <row r="841">
      <c r="D841" s="141"/>
      <c r="E841" s="141"/>
      <c r="F841" s="141"/>
      <c r="G841" s="253"/>
    </row>
    <row r="842">
      <c r="D842" s="141"/>
      <c r="E842" s="141"/>
      <c r="F842" s="141"/>
      <c r="G842" s="253"/>
    </row>
    <row r="843">
      <c r="D843" s="141"/>
      <c r="E843" s="141"/>
      <c r="F843" s="141"/>
      <c r="G843" s="253"/>
    </row>
    <row r="844">
      <c r="D844" s="141"/>
      <c r="E844" s="141"/>
      <c r="F844" s="141"/>
      <c r="G844" s="253"/>
    </row>
    <row r="845">
      <c r="D845" s="141"/>
      <c r="E845" s="141"/>
      <c r="F845" s="141"/>
      <c r="G845" s="253"/>
    </row>
    <row r="846">
      <c r="D846" s="141"/>
      <c r="E846" s="141"/>
      <c r="F846" s="141"/>
      <c r="G846" s="253"/>
    </row>
    <row r="847">
      <c r="D847" s="141"/>
      <c r="E847" s="141"/>
      <c r="F847" s="141"/>
      <c r="G847" s="253"/>
    </row>
    <row r="848">
      <c r="D848" s="141"/>
      <c r="E848" s="141"/>
      <c r="F848" s="141"/>
      <c r="G848" s="253"/>
    </row>
    <row r="849">
      <c r="D849" s="141"/>
      <c r="E849" s="141"/>
      <c r="F849" s="141"/>
      <c r="G849" s="253"/>
    </row>
    <row r="850">
      <c r="D850" s="141"/>
      <c r="E850" s="141"/>
      <c r="F850" s="141"/>
      <c r="G850" s="253"/>
    </row>
    <row r="851">
      <c r="D851" s="141"/>
      <c r="E851" s="141"/>
      <c r="F851" s="141"/>
      <c r="G851" s="253"/>
    </row>
    <row r="852">
      <c r="D852" s="141"/>
      <c r="E852" s="141"/>
      <c r="F852" s="141"/>
      <c r="G852" s="253"/>
    </row>
    <row r="853">
      <c r="D853" s="141"/>
      <c r="E853" s="141"/>
      <c r="F853" s="141"/>
      <c r="G853" s="253"/>
    </row>
    <row r="854">
      <c r="D854" s="141"/>
      <c r="E854" s="141"/>
      <c r="F854" s="141"/>
      <c r="G854" s="253"/>
    </row>
    <row r="855">
      <c r="D855" s="141"/>
      <c r="E855" s="141"/>
      <c r="F855" s="141"/>
      <c r="G855" s="253"/>
    </row>
    <row r="856">
      <c r="D856" s="141"/>
      <c r="E856" s="141"/>
      <c r="F856" s="141"/>
      <c r="G856" s="253"/>
    </row>
    <row r="857">
      <c r="D857" s="141"/>
      <c r="E857" s="141"/>
      <c r="F857" s="141"/>
      <c r="G857" s="253"/>
    </row>
    <row r="858">
      <c r="D858" s="141"/>
      <c r="E858" s="141"/>
      <c r="F858" s="141"/>
      <c r="G858" s="253"/>
    </row>
    <row r="859">
      <c r="D859" s="141"/>
      <c r="E859" s="141"/>
      <c r="F859" s="141"/>
      <c r="G859" s="253"/>
    </row>
    <row r="860">
      <c r="D860" s="141"/>
      <c r="E860" s="141"/>
      <c r="F860" s="141"/>
      <c r="G860" s="253"/>
    </row>
    <row r="861">
      <c r="D861" s="141"/>
      <c r="E861" s="141"/>
      <c r="F861" s="141"/>
      <c r="G861" s="253"/>
    </row>
    <row r="862">
      <c r="D862" s="141"/>
      <c r="E862" s="141"/>
      <c r="F862" s="141"/>
      <c r="G862" s="253"/>
    </row>
    <row r="863">
      <c r="D863" s="141"/>
      <c r="E863" s="141"/>
      <c r="F863" s="141"/>
      <c r="G863" s="253"/>
    </row>
    <row r="864">
      <c r="D864" s="141"/>
      <c r="E864" s="141"/>
      <c r="F864" s="141"/>
      <c r="G864" s="253"/>
    </row>
    <row r="865">
      <c r="D865" s="141"/>
      <c r="E865" s="141"/>
      <c r="F865" s="141"/>
      <c r="G865" s="253"/>
    </row>
    <row r="866">
      <c r="D866" s="141"/>
      <c r="E866" s="141"/>
      <c r="F866" s="141"/>
      <c r="G866" s="253"/>
    </row>
    <row r="867">
      <c r="D867" s="141"/>
      <c r="E867" s="141"/>
      <c r="F867" s="141"/>
      <c r="G867" s="253"/>
    </row>
    <row r="868">
      <c r="D868" s="141"/>
      <c r="E868" s="141"/>
      <c r="F868" s="141"/>
      <c r="G868" s="253"/>
    </row>
    <row r="869">
      <c r="D869" s="141"/>
      <c r="E869" s="141"/>
      <c r="F869" s="141"/>
      <c r="G869" s="253"/>
    </row>
    <row r="870">
      <c r="D870" s="141"/>
      <c r="E870" s="141"/>
      <c r="F870" s="141"/>
      <c r="G870" s="253"/>
    </row>
    <row r="871">
      <c r="D871" s="141"/>
      <c r="E871" s="141"/>
      <c r="F871" s="141"/>
      <c r="G871" s="253"/>
    </row>
    <row r="872">
      <c r="D872" s="141"/>
      <c r="E872" s="141"/>
      <c r="F872" s="141"/>
      <c r="G872" s="253"/>
    </row>
    <row r="873">
      <c r="D873" s="141"/>
      <c r="E873" s="141"/>
      <c r="F873" s="141"/>
      <c r="G873" s="253"/>
    </row>
    <row r="874">
      <c r="D874" s="141"/>
      <c r="E874" s="141"/>
      <c r="F874" s="141"/>
      <c r="G874" s="253"/>
    </row>
    <row r="875">
      <c r="D875" s="141"/>
      <c r="E875" s="141"/>
      <c r="F875" s="141"/>
      <c r="G875" s="253"/>
    </row>
    <row r="876">
      <c r="D876" s="141"/>
      <c r="E876" s="141"/>
      <c r="F876" s="141"/>
      <c r="G876" s="253"/>
    </row>
    <row r="877">
      <c r="D877" s="141"/>
      <c r="E877" s="141"/>
      <c r="F877" s="141"/>
      <c r="G877" s="253"/>
    </row>
    <row r="878">
      <c r="D878" s="141"/>
      <c r="E878" s="141"/>
      <c r="F878" s="141"/>
      <c r="G878" s="253"/>
    </row>
    <row r="879">
      <c r="D879" s="141"/>
      <c r="E879" s="141"/>
      <c r="F879" s="141"/>
      <c r="G879" s="253"/>
    </row>
    <row r="880">
      <c r="D880" s="141"/>
      <c r="E880" s="141"/>
      <c r="F880" s="141"/>
      <c r="G880" s="253"/>
    </row>
    <row r="881">
      <c r="D881" s="141"/>
      <c r="E881" s="141"/>
      <c r="F881" s="141"/>
      <c r="G881" s="253"/>
    </row>
    <row r="882">
      <c r="D882" s="141"/>
      <c r="E882" s="141"/>
      <c r="F882" s="141"/>
      <c r="G882" s="253"/>
    </row>
    <row r="883">
      <c r="D883" s="141"/>
      <c r="E883" s="141"/>
      <c r="F883" s="141"/>
      <c r="G883" s="253"/>
    </row>
    <row r="884">
      <c r="D884" s="141"/>
      <c r="E884" s="141"/>
      <c r="F884" s="141"/>
      <c r="G884" s="253"/>
    </row>
    <row r="885">
      <c r="D885" s="141"/>
      <c r="E885" s="141"/>
      <c r="F885" s="141"/>
      <c r="G885" s="253"/>
    </row>
    <row r="886">
      <c r="D886" s="141"/>
      <c r="E886" s="141"/>
      <c r="F886" s="141"/>
      <c r="G886" s="253"/>
    </row>
    <row r="887">
      <c r="D887" s="141"/>
      <c r="E887" s="141"/>
      <c r="F887" s="141"/>
      <c r="G887" s="253"/>
    </row>
    <row r="888">
      <c r="D888" s="141"/>
      <c r="E888" s="141"/>
      <c r="F888" s="141"/>
      <c r="G888" s="253"/>
    </row>
    <row r="889">
      <c r="D889" s="141"/>
      <c r="E889" s="141"/>
      <c r="F889" s="141"/>
      <c r="G889" s="253"/>
    </row>
    <row r="890">
      <c r="D890" s="141"/>
      <c r="E890" s="141"/>
      <c r="F890" s="141"/>
      <c r="G890" s="253"/>
    </row>
    <row r="891">
      <c r="D891" s="141"/>
      <c r="E891" s="141"/>
      <c r="F891" s="141"/>
      <c r="G891" s="253"/>
    </row>
    <row r="892">
      <c r="D892" s="141"/>
      <c r="E892" s="141"/>
      <c r="F892" s="141"/>
      <c r="G892" s="253"/>
    </row>
    <row r="893">
      <c r="D893" s="141"/>
      <c r="E893" s="141"/>
      <c r="F893" s="141"/>
      <c r="G893" s="253"/>
    </row>
    <row r="894">
      <c r="D894" s="141"/>
      <c r="E894" s="141"/>
      <c r="F894" s="141"/>
      <c r="G894" s="253"/>
    </row>
    <row r="895">
      <c r="D895" s="141"/>
      <c r="E895" s="141"/>
      <c r="F895" s="141"/>
      <c r="G895" s="253"/>
    </row>
    <row r="896">
      <c r="D896" s="141"/>
      <c r="E896" s="141"/>
      <c r="F896" s="141"/>
      <c r="G896" s="253"/>
    </row>
    <row r="897">
      <c r="D897" s="141"/>
      <c r="E897" s="141"/>
      <c r="F897" s="141"/>
      <c r="G897" s="253"/>
    </row>
    <row r="898">
      <c r="D898" s="141"/>
      <c r="E898" s="141"/>
      <c r="F898" s="141"/>
      <c r="G898" s="253"/>
    </row>
    <row r="899">
      <c r="D899" s="141"/>
      <c r="E899" s="141"/>
      <c r="F899" s="141"/>
      <c r="G899" s="253"/>
    </row>
    <row r="900">
      <c r="D900" s="141"/>
      <c r="E900" s="141"/>
      <c r="F900" s="141"/>
      <c r="G900" s="253"/>
    </row>
    <row r="901">
      <c r="D901" s="141"/>
      <c r="E901" s="141"/>
      <c r="F901" s="141"/>
      <c r="G901" s="253"/>
    </row>
    <row r="902">
      <c r="D902" s="141"/>
      <c r="E902" s="141"/>
      <c r="F902" s="141"/>
      <c r="G902" s="253"/>
    </row>
    <row r="903">
      <c r="D903" s="141"/>
      <c r="E903" s="141"/>
      <c r="F903" s="141"/>
      <c r="G903" s="253"/>
    </row>
    <row r="904">
      <c r="D904" s="141"/>
      <c r="E904" s="141"/>
      <c r="F904" s="141"/>
      <c r="G904" s="253"/>
    </row>
    <row r="905">
      <c r="D905" s="141"/>
      <c r="E905" s="141"/>
      <c r="F905" s="141"/>
      <c r="G905" s="253"/>
    </row>
    <row r="906">
      <c r="D906" s="141"/>
      <c r="E906" s="141"/>
      <c r="F906" s="141"/>
      <c r="G906" s="253"/>
    </row>
    <row r="907">
      <c r="D907" s="141"/>
      <c r="E907" s="141"/>
      <c r="F907" s="141"/>
      <c r="G907" s="253"/>
    </row>
    <row r="908">
      <c r="D908" s="141"/>
      <c r="E908" s="141"/>
      <c r="F908" s="141"/>
      <c r="G908" s="253"/>
    </row>
    <row r="909">
      <c r="D909" s="141"/>
      <c r="E909" s="141"/>
      <c r="F909" s="141"/>
      <c r="G909" s="253"/>
    </row>
    <row r="910">
      <c r="D910" s="141"/>
      <c r="E910" s="141"/>
      <c r="F910" s="141"/>
      <c r="G910" s="253"/>
    </row>
    <row r="911">
      <c r="D911" s="141"/>
      <c r="E911" s="141"/>
      <c r="F911" s="141"/>
      <c r="G911" s="253"/>
    </row>
    <row r="912">
      <c r="D912" s="141"/>
      <c r="E912" s="141"/>
      <c r="F912" s="141"/>
      <c r="G912" s="253"/>
    </row>
    <row r="913">
      <c r="D913" s="141"/>
      <c r="E913" s="141"/>
      <c r="F913" s="141"/>
      <c r="G913" s="253"/>
    </row>
    <row r="914">
      <c r="D914" s="141"/>
      <c r="E914" s="141"/>
      <c r="F914" s="141"/>
      <c r="G914" s="253"/>
    </row>
    <row r="915">
      <c r="D915" s="141"/>
      <c r="E915" s="141"/>
      <c r="F915" s="141"/>
      <c r="G915" s="253"/>
    </row>
    <row r="916">
      <c r="D916" s="141"/>
      <c r="E916" s="141"/>
      <c r="F916" s="141"/>
      <c r="G916" s="253"/>
    </row>
    <row r="917">
      <c r="D917" s="141"/>
      <c r="E917" s="141"/>
      <c r="F917" s="141"/>
      <c r="G917" s="253"/>
    </row>
    <row r="918">
      <c r="D918" s="141"/>
      <c r="E918" s="141"/>
      <c r="F918" s="141"/>
      <c r="G918" s="253"/>
    </row>
    <row r="919">
      <c r="D919" s="141"/>
      <c r="E919" s="141"/>
      <c r="F919" s="141"/>
      <c r="G919" s="253"/>
    </row>
    <row r="920">
      <c r="D920" s="141"/>
      <c r="E920" s="141"/>
      <c r="F920" s="141"/>
      <c r="G920" s="253"/>
    </row>
    <row r="921">
      <c r="D921" s="141"/>
      <c r="E921" s="141"/>
      <c r="F921" s="141"/>
      <c r="G921" s="253"/>
    </row>
    <row r="922">
      <c r="D922" s="141"/>
      <c r="E922" s="141"/>
      <c r="F922" s="141"/>
      <c r="G922" s="253"/>
    </row>
    <row r="923">
      <c r="D923" s="141"/>
      <c r="E923" s="141"/>
      <c r="F923" s="141"/>
      <c r="G923" s="253"/>
    </row>
    <row r="924">
      <c r="D924" s="141"/>
      <c r="E924" s="141"/>
      <c r="F924" s="141"/>
      <c r="G924" s="253"/>
    </row>
    <row r="925">
      <c r="D925" s="141"/>
      <c r="E925" s="141"/>
      <c r="F925" s="141"/>
      <c r="G925" s="253"/>
    </row>
    <row r="926">
      <c r="D926" s="141"/>
      <c r="E926" s="141"/>
      <c r="F926" s="141"/>
      <c r="G926" s="253"/>
    </row>
    <row r="927">
      <c r="D927" s="141"/>
      <c r="E927" s="141"/>
      <c r="F927" s="141"/>
      <c r="G927" s="253"/>
    </row>
    <row r="928">
      <c r="D928" s="141"/>
      <c r="E928" s="141"/>
      <c r="F928" s="141"/>
      <c r="G928" s="253"/>
    </row>
    <row r="929">
      <c r="D929" s="141"/>
      <c r="E929" s="141"/>
      <c r="F929" s="141"/>
      <c r="G929" s="253"/>
    </row>
    <row r="930">
      <c r="D930" s="141"/>
      <c r="E930" s="141"/>
      <c r="F930" s="141"/>
      <c r="G930" s="253"/>
    </row>
    <row r="931">
      <c r="D931" s="141"/>
      <c r="E931" s="141"/>
      <c r="F931" s="141"/>
      <c r="G931" s="253"/>
    </row>
    <row r="932">
      <c r="D932" s="141"/>
      <c r="E932" s="141"/>
      <c r="F932" s="141"/>
      <c r="G932" s="253"/>
    </row>
    <row r="933">
      <c r="D933" s="141"/>
      <c r="E933" s="141"/>
      <c r="F933" s="141"/>
      <c r="G933" s="253"/>
    </row>
    <row r="934">
      <c r="D934" s="141"/>
      <c r="E934" s="141"/>
      <c r="F934" s="141"/>
      <c r="G934" s="253"/>
    </row>
    <row r="935">
      <c r="D935" s="141"/>
      <c r="E935" s="141"/>
      <c r="F935" s="141"/>
      <c r="G935" s="253"/>
    </row>
    <row r="936">
      <c r="D936" s="141"/>
      <c r="E936" s="141"/>
      <c r="F936" s="141"/>
      <c r="G936" s="253"/>
    </row>
    <row r="937">
      <c r="D937" s="141"/>
      <c r="E937" s="141"/>
      <c r="F937" s="141"/>
      <c r="G937" s="253"/>
    </row>
    <row r="938">
      <c r="D938" s="141"/>
      <c r="E938" s="141"/>
      <c r="F938" s="141"/>
      <c r="G938" s="253"/>
    </row>
    <row r="939">
      <c r="D939" s="141"/>
      <c r="E939" s="141"/>
      <c r="F939" s="141"/>
      <c r="G939" s="253"/>
    </row>
    <row r="940">
      <c r="D940" s="141"/>
      <c r="E940" s="141"/>
      <c r="F940" s="141"/>
      <c r="G940" s="253"/>
    </row>
    <row r="941">
      <c r="D941" s="141"/>
      <c r="E941" s="141"/>
      <c r="F941" s="141"/>
      <c r="G941" s="253"/>
    </row>
    <row r="942">
      <c r="D942" s="141"/>
      <c r="E942" s="141"/>
      <c r="F942" s="141"/>
      <c r="G942" s="253"/>
    </row>
    <row r="943">
      <c r="D943" s="141"/>
      <c r="E943" s="141"/>
      <c r="F943" s="141"/>
      <c r="G943" s="253"/>
    </row>
    <row r="944">
      <c r="D944" s="141"/>
      <c r="E944" s="141"/>
      <c r="F944" s="141"/>
      <c r="G944" s="253"/>
    </row>
    <row r="945">
      <c r="D945" s="141"/>
      <c r="E945" s="141"/>
      <c r="F945" s="141"/>
      <c r="G945" s="253"/>
    </row>
    <row r="946">
      <c r="D946" s="141"/>
      <c r="E946" s="141"/>
      <c r="F946" s="141"/>
      <c r="G946" s="253"/>
    </row>
    <row r="947">
      <c r="D947" s="141"/>
      <c r="E947" s="141"/>
      <c r="F947" s="141"/>
      <c r="G947" s="253"/>
    </row>
    <row r="948">
      <c r="D948" s="141"/>
      <c r="E948" s="141"/>
      <c r="F948" s="141"/>
      <c r="G948" s="253"/>
    </row>
    <row r="949">
      <c r="D949" s="141"/>
      <c r="E949" s="141"/>
      <c r="F949" s="141"/>
      <c r="G949" s="253"/>
    </row>
    <row r="950">
      <c r="D950" s="141"/>
      <c r="E950" s="141"/>
      <c r="F950" s="141"/>
      <c r="G950" s="253"/>
    </row>
    <row r="951">
      <c r="D951" s="141"/>
      <c r="E951" s="141"/>
      <c r="F951" s="141"/>
      <c r="G951" s="253"/>
    </row>
    <row r="952">
      <c r="D952" s="141"/>
      <c r="E952" s="141"/>
      <c r="F952" s="141"/>
      <c r="G952" s="253"/>
    </row>
    <row r="953">
      <c r="D953" s="141"/>
      <c r="E953" s="141"/>
      <c r="F953" s="141"/>
      <c r="G953" s="253"/>
    </row>
    <row r="954">
      <c r="D954" s="141"/>
      <c r="E954" s="141"/>
      <c r="F954" s="141"/>
      <c r="G954" s="253"/>
    </row>
    <row r="955">
      <c r="D955" s="141"/>
      <c r="E955" s="141"/>
      <c r="F955" s="141"/>
      <c r="G955" s="253"/>
    </row>
    <row r="956">
      <c r="D956" s="141"/>
      <c r="E956" s="141"/>
      <c r="F956" s="141"/>
      <c r="G956" s="253"/>
    </row>
    <row r="957">
      <c r="D957" s="141"/>
      <c r="E957" s="141"/>
      <c r="F957" s="141"/>
      <c r="G957" s="253"/>
    </row>
    <row r="958">
      <c r="D958" s="141"/>
      <c r="E958" s="141"/>
      <c r="F958" s="141"/>
      <c r="G958" s="253"/>
    </row>
    <row r="959">
      <c r="D959" s="141"/>
      <c r="E959" s="141"/>
      <c r="F959" s="141"/>
      <c r="G959" s="253"/>
    </row>
    <row r="960">
      <c r="D960" s="141"/>
      <c r="E960" s="141"/>
      <c r="F960" s="141"/>
      <c r="G960" s="253"/>
    </row>
    <row r="961">
      <c r="D961" s="141"/>
      <c r="E961" s="141"/>
      <c r="F961" s="141"/>
      <c r="G961" s="253"/>
    </row>
    <row r="962">
      <c r="D962" s="141"/>
      <c r="E962" s="141"/>
      <c r="F962" s="141"/>
      <c r="G962" s="253"/>
    </row>
    <row r="963">
      <c r="D963" s="141"/>
      <c r="E963" s="141"/>
      <c r="F963" s="141"/>
      <c r="G963" s="253"/>
    </row>
    <row r="964">
      <c r="D964" s="141"/>
      <c r="E964" s="141"/>
      <c r="F964" s="141"/>
      <c r="G964" s="253"/>
    </row>
    <row r="965">
      <c r="D965" s="141"/>
      <c r="E965" s="141"/>
      <c r="F965" s="141"/>
      <c r="G965" s="253"/>
    </row>
    <row r="966">
      <c r="D966" s="141"/>
      <c r="E966" s="141"/>
      <c r="F966" s="141"/>
      <c r="G966" s="253"/>
    </row>
    <row r="967">
      <c r="D967" s="141"/>
      <c r="E967" s="141"/>
      <c r="F967" s="141"/>
      <c r="G967" s="253"/>
    </row>
    <row r="968">
      <c r="D968" s="141"/>
      <c r="E968" s="141"/>
      <c r="F968" s="141"/>
      <c r="G968" s="253"/>
    </row>
    <row r="969">
      <c r="D969" s="141"/>
      <c r="E969" s="141"/>
      <c r="F969" s="141"/>
      <c r="G969" s="253"/>
    </row>
    <row r="970">
      <c r="D970" s="141"/>
      <c r="E970" s="141"/>
      <c r="F970" s="141"/>
      <c r="G970" s="253"/>
    </row>
    <row r="971">
      <c r="D971" s="141"/>
      <c r="E971" s="141"/>
      <c r="F971" s="141"/>
      <c r="G971" s="253"/>
    </row>
    <row r="972">
      <c r="D972" s="141"/>
      <c r="E972" s="141"/>
      <c r="F972" s="141"/>
      <c r="G972" s="253"/>
    </row>
    <row r="973">
      <c r="D973" s="141"/>
      <c r="E973" s="141"/>
      <c r="F973" s="141"/>
      <c r="G973" s="253"/>
    </row>
    <row r="974">
      <c r="D974" s="141"/>
      <c r="E974" s="141"/>
      <c r="F974" s="141"/>
      <c r="G974" s="253"/>
    </row>
    <row r="975">
      <c r="D975" s="141"/>
      <c r="E975" s="141"/>
      <c r="F975" s="141"/>
      <c r="G975" s="253"/>
    </row>
    <row r="976">
      <c r="D976" s="141"/>
      <c r="E976" s="141"/>
      <c r="F976" s="141"/>
      <c r="G976" s="253"/>
    </row>
    <row r="977">
      <c r="D977" s="141"/>
      <c r="E977" s="141"/>
      <c r="F977" s="141"/>
      <c r="G977" s="253"/>
    </row>
    <row r="978">
      <c r="D978" s="141"/>
      <c r="E978" s="141"/>
      <c r="F978" s="141"/>
      <c r="G978" s="253"/>
    </row>
    <row r="979">
      <c r="D979" s="141"/>
      <c r="E979" s="141"/>
      <c r="F979" s="141"/>
      <c r="G979" s="253"/>
    </row>
    <row r="980">
      <c r="D980" s="141"/>
      <c r="E980" s="141"/>
      <c r="F980" s="141"/>
      <c r="G980" s="253"/>
    </row>
    <row r="981">
      <c r="D981" s="141"/>
      <c r="E981" s="141"/>
      <c r="F981" s="141"/>
      <c r="G981" s="253"/>
    </row>
    <row r="982">
      <c r="D982" s="141"/>
      <c r="E982" s="141"/>
      <c r="F982" s="141"/>
      <c r="G982" s="253"/>
    </row>
    <row r="983">
      <c r="D983" s="141"/>
      <c r="E983" s="141"/>
      <c r="F983" s="141"/>
      <c r="G983" s="253"/>
    </row>
    <row r="984">
      <c r="D984" s="141"/>
      <c r="E984" s="141"/>
      <c r="F984" s="141"/>
      <c r="G984" s="253"/>
    </row>
    <row r="985">
      <c r="D985" s="141"/>
      <c r="E985" s="141"/>
      <c r="F985" s="141"/>
      <c r="G985" s="253"/>
    </row>
    <row r="986">
      <c r="D986" s="141"/>
      <c r="E986" s="141"/>
      <c r="F986" s="141"/>
      <c r="G986" s="253"/>
    </row>
    <row r="987">
      <c r="D987" s="141"/>
      <c r="E987" s="141"/>
      <c r="F987" s="141"/>
      <c r="G987" s="253"/>
    </row>
    <row r="988">
      <c r="D988" s="141"/>
      <c r="E988" s="141"/>
      <c r="F988" s="141"/>
      <c r="G988" s="253"/>
    </row>
    <row r="989">
      <c r="D989" s="141"/>
      <c r="E989" s="141"/>
      <c r="F989" s="141"/>
      <c r="G989" s="253"/>
    </row>
    <row r="990">
      <c r="D990" s="141"/>
      <c r="E990" s="141"/>
      <c r="F990" s="141"/>
      <c r="G990" s="253"/>
    </row>
    <row r="991">
      <c r="D991" s="141"/>
      <c r="E991" s="141"/>
      <c r="F991" s="141"/>
      <c r="G991" s="253"/>
    </row>
    <row r="992">
      <c r="D992" s="141"/>
      <c r="E992" s="141"/>
      <c r="F992" s="141"/>
      <c r="G992" s="253"/>
    </row>
    <row r="993">
      <c r="D993" s="141"/>
      <c r="E993" s="141"/>
      <c r="F993" s="141"/>
      <c r="G993" s="253"/>
    </row>
    <row r="994">
      <c r="D994" s="141"/>
      <c r="E994" s="141"/>
      <c r="F994" s="141"/>
      <c r="G994" s="253"/>
    </row>
    <row r="995">
      <c r="D995" s="141"/>
      <c r="E995" s="141"/>
      <c r="F995" s="141"/>
      <c r="G995" s="253"/>
    </row>
    <row r="996">
      <c r="D996" s="141"/>
      <c r="E996" s="141"/>
      <c r="F996" s="141"/>
      <c r="G996" s="253"/>
    </row>
    <row r="997">
      <c r="D997" s="141"/>
      <c r="E997" s="141"/>
      <c r="F997" s="141"/>
      <c r="G997" s="253"/>
    </row>
    <row r="998">
      <c r="D998" s="141"/>
      <c r="E998" s="141"/>
      <c r="F998" s="141"/>
      <c r="G998" s="253"/>
    </row>
    <row r="999">
      <c r="D999" s="141"/>
      <c r="E999" s="141"/>
      <c r="F999" s="141"/>
      <c r="G999" s="253"/>
    </row>
    <row r="1000">
      <c r="D1000" s="141"/>
      <c r="E1000" s="141"/>
      <c r="F1000" s="141"/>
      <c r="G1000" s="253"/>
    </row>
    <row r="1001">
      <c r="D1001" s="141"/>
      <c r="E1001" s="141"/>
      <c r="F1001" s="141"/>
      <c r="G1001" s="253"/>
    </row>
    <row r="1002">
      <c r="D1002" s="141"/>
      <c r="E1002" s="141"/>
      <c r="F1002" s="141"/>
      <c r="G1002" s="253"/>
    </row>
    <row r="1003">
      <c r="D1003" s="141"/>
      <c r="E1003" s="141"/>
      <c r="F1003" s="141"/>
      <c r="G1003" s="253"/>
    </row>
    <row r="1004">
      <c r="D1004" s="141"/>
      <c r="E1004" s="141"/>
      <c r="F1004" s="141"/>
      <c r="G1004" s="253"/>
    </row>
    <row r="1005">
      <c r="D1005" s="141"/>
      <c r="E1005" s="141"/>
      <c r="F1005" s="141"/>
      <c r="G1005" s="253"/>
    </row>
    <row r="1006">
      <c r="D1006" s="141"/>
      <c r="E1006" s="141"/>
      <c r="F1006" s="141"/>
      <c r="G1006" s="253"/>
    </row>
    <row r="1007">
      <c r="D1007" s="141"/>
      <c r="E1007" s="141"/>
      <c r="F1007" s="141"/>
      <c r="G1007" s="253"/>
    </row>
    <row r="1008">
      <c r="D1008" s="141"/>
      <c r="E1008" s="141"/>
      <c r="F1008" s="141"/>
      <c r="G1008" s="253"/>
    </row>
  </sheetData>
  <hyperlinks>
    <hyperlink r:id="rId2" ref="H64"/>
    <hyperlink r:id="rId3" ref="H65"/>
    <hyperlink r:id="rId4" ref="H76"/>
  </hyperlinks>
  <drawing r:id="rId5"/>
  <legacy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