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C:\Users\cbarc\Downloads\"/>
    </mc:Choice>
  </mc:AlternateContent>
  <xr:revisionPtr revIDLastSave="0" documentId="13_ncr:1_{D94221D8-39EC-43D5-B98E-6CCA0004C222}" xr6:coauthVersionLast="47" xr6:coauthVersionMax="47" xr10:uidLastSave="{00000000-0000-0000-0000-000000000000}"/>
  <bookViews>
    <workbookView xWindow="-120" yWindow="-120" windowWidth="51840" windowHeight="21120" activeTab="4" xr2:uid="{00000000-000D-0000-FFFF-FFFF00000000}"/>
  </bookViews>
  <sheets>
    <sheet name="Version Control" sheetId="1" r:id="rId1"/>
    <sheet name="Curation Guide" sheetId="2" r:id="rId2"/>
    <sheet name="demo-slots" sheetId="13" state="hidden" r:id="rId3"/>
    <sheet name="demo-enums" sheetId="14" state="hidden" r:id="rId4"/>
    <sheet name="PHA4GE-slots" sheetId="15" r:id="rId5"/>
    <sheet name="PHA4GE-enums" sheetId="16" r:id="rId6"/>
    <sheet name="Term-level Reference Guide" sheetId="41" r:id="rId7"/>
    <sheet name="NCBIAntibiogram-slots" sheetId="42" state="hidden" r:id="rId8"/>
    <sheet name="NCBIAntibiogram-enums" sheetId="43" state="hidden" r:id="rId9"/>
    <sheet name="ENAAntibiogram-slots" sheetId="44" state="hidden" r:id="rId10"/>
    <sheet name="ENAAntibiogram-enums" sheetId="45" state="hidden" r:id="rId11"/>
  </sheets>
  <definedNames>
    <definedName name="Capitalizat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67" i="15" l="1"/>
  <c r="E166" i="15"/>
  <c r="D166" i="15"/>
  <c r="E165" i="15"/>
  <c r="E164" i="15"/>
  <c r="E163" i="15"/>
  <c r="E162" i="15"/>
  <c r="F161" i="15"/>
  <c r="E161" i="15"/>
  <c r="F160" i="15"/>
  <c r="E160" i="15"/>
  <c r="F159" i="15"/>
  <c r="E159" i="15"/>
  <c r="F158" i="15"/>
  <c r="E158" i="15"/>
  <c r="F157" i="15"/>
  <c r="E157" i="15"/>
  <c r="E156" i="15"/>
  <c r="E155" i="15"/>
  <c r="E154" i="15"/>
  <c r="E153" i="15"/>
  <c r="D153" i="15"/>
  <c r="E152" i="15"/>
  <c r="D152" i="15"/>
  <c r="E151" i="15"/>
  <c r="D151" i="15"/>
  <c r="E150" i="15"/>
  <c r="D150" i="15"/>
  <c r="E149" i="15"/>
  <c r="D149" i="15"/>
  <c r="E148" i="15"/>
  <c r="D148" i="15"/>
  <c r="E147" i="15"/>
  <c r="E146" i="15"/>
  <c r="D146" i="15"/>
  <c r="F145" i="15"/>
  <c r="E145" i="15"/>
  <c r="D145" i="15"/>
  <c r="E144" i="15"/>
  <c r="D144" i="15"/>
  <c r="E143" i="15"/>
  <c r="D143" i="15"/>
  <c r="E142" i="15"/>
  <c r="D142" i="15"/>
  <c r="E141" i="15"/>
  <c r="E140" i="15"/>
  <c r="D140" i="15"/>
  <c r="E139" i="15"/>
  <c r="D139" i="15"/>
  <c r="E138" i="15"/>
  <c r="D138" i="15"/>
  <c r="E137" i="15"/>
  <c r="D137" i="15"/>
  <c r="E136" i="15"/>
  <c r="D136" i="15"/>
  <c r="E135" i="15"/>
  <c r="D135" i="15"/>
  <c r="E134" i="15"/>
  <c r="D134" i="15"/>
  <c r="E133" i="15"/>
  <c r="D133" i="15"/>
  <c r="E132" i="15"/>
  <c r="D132" i="15"/>
  <c r="E131" i="15"/>
  <c r="D131" i="15"/>
  <c r="E130" i="15"/>
  <c r="D130" i="15"/>
  <c r="E129" i="15"/>
  <c r="D129" i="15"/>
  <c r="E128" i="15"/>
  <c r="D128" i="15"/>
  <c r="E127" i="15"/>
  <c r="D127" i="15"/>
  <c r="E126" i="15"/>
  <c r="D126" i="15"/>
  <c r="E125" i="15"/>
  <c r="D125" i="15"/>
  <c r="E124" i="15"/>
  <c r="D124" i="15"/>
  <c r="E123" i="15"/>
  <c r="D123" i="15"/>
  <c r="E122" i="15"/>
  <c r="D122" i="15"/>
  <c r="E121" i="15"/>
  <c r="D121" i="15"/>
  <c r="E120" i="15"/>
  <c r="D120" i="15"/>
  <c r="E119" i="15"/>
  <c r="E118" i="15"/>
  <c r="E117" i="15"/>
  <c r="E116" i="15"/>
  <c r="D116" i="15"/>
  <c r="E115" i="15"/>
  <c r="D115" i="15"/>
  <c r="E114" i="15"/>
  <c r="D114" i="15"/>
  <c r="E113" i="15"/>
  <c r="D113" i="15"/>
  <c r="R112" i="15"/>
  <c r="F112" i="15"/>
  <c r="E112" i="15"/>
  <c r="D112" i="15"/>
  <c r="E111" i="15"/>
  <c r="D111" i="15"/>
  <c r="E110" i="15"/>
  <c r="D110" i="15"/>
  <c r="E109" i="15"/>
  <c r="D109" i="15"/>
  <c r="E108" i="15"/>
  <c r="D108" i="15"/>
  <c r="E107" i="15"/>
  <c r="D107" i="15"/>
  <c r="R106" i="15"/>
  <c r="E106" i="15"/>
  <c r="D106" i="15"/>
  <c r="R105" i="15"/>
  <c r="F105" i="15"/>
  <c r="E105" i="15"/>
  <c r="D105" i="15"/>
  <c r="E104" i="15"/>
  <c r="E103" i="15"/>
  <c r="E102" i="15"/>
  <c r="E101" i="15"/>
  <c r="D101" i="15"/>
  <c r="E100" i="15"/>
  <c r="D100" i="15"/>
  <c r="R99" i="15"/>
  <c r="F99" i="15"/>
  <c r="E99" i="15"/>
  <c r="D99" i="15"/>
  <c r="E98" i="15"/>
  <c r="D98" i="15"/>
  <c r="E97" i="15"/>
  <c r="D97" i="15"/>
  <c r="R96" i="15"/>
  <c r="F96" i="15"/>
  <c r="E96" i="15"/>
  <c r="D96" i="15"/>
  <c r="E95" i="15"/>
  <c r="E94" i="15"/>
  <c r="E93" i="15"/>
  <c r="E92" i="15"/>
  <c r="D92" i="15"/>
  <c r="R91" i="15"/>
  <c r="F91" i="15"/>
  <c r="E91" i="15"/>
  <c r="D91" i="15"/>
  <c r="R90" i="15"/>
  <c r="F90" i="15"/>
  <c r="E90" i="15"/>
  <c r="D90" i="15"/>
  <c r="R89" i="15"/>
  <c r="F89" i="15"/>
  <c r="E89" i="15"/>
  <c r="D89" i="15"/>
  <c r="R88" i="15"/>
  <c r="F88" i="15"/>
  <c r="E88" i="15"/>
  <c r="D88" i="15"/>
  <c r="E87" i="15"/>
  <c r="D87" i="15"/>
  <c r="E86" i="15"/>
  <c r="D86" i="15"/>
  <c r="E85" i="15"/>
  <c r="D85" i="15"/>
  <c r="R84" i="15"/>
  <c r="F84" i="15"/>
  <c r="E84" i="15"/>
  <c r="D84" i="15"/>
  <c r="E83" i="15"/>
  <c r="D83" i="15"/>
  <c r="E82" i="15"/>
  <c r="D82" i="15"/>
  <c r="R81" i="15"/>
  <c r="F81" i="15"/>
  <c r="E81" i="15"/>
  <c r="D81" i="15"/>
  <c r="E80" i="15"/>
  <c r="E79" i="15"/>
  <c r="D79" i="15"/>
  <c r="E78" i="15"/>
  <c r="D78" i="15"/>
  <c r="E77" i="15"/>
  <c r="D77" i="15"/>
  <c r="E76" i="15"/>
  <c r="D76" i="15"/>
  <c r="E75" i="15"/>
  <c r="D75" i="15"/>
  <c r="E74" i="15"/>
  <c r="D74" i="15"/>
  <c r="E73" i="15"/>
  <c r="D73" i="15"/>
  <c r="E72" i="15"/>
  <c r="D72" i="15"/>
  <c r="E71" i="15"/>
  <c r="D71" i="15"/>
  <c r="E70" i="15"/>
  <c r="D70" i="15"/>
  <c r="R69" i="15"/>
  <c r="F69" i="15"/>
  <c r="E69" i="15"/>
  <c r="D69" i="15"/>
  <c r="E68" i="15"/>
  <c r="R67" i="15"/>
  <c r="F67" i="15"/>
  <c r="E67" i="15"/>
  <c r="D67" i="15"/>
  <c r="C67" i="15"/>
  <c r="R66" i="15"/>
  <c r="F66" i="15"/>
  <c r="E66" i="15"/>
  <c r="D66" i="15"/>
  <c r="C66" i="15"/>
  <c r="F65" i="15"/>
  <c r="E65" i="15"/>
  <c r="D65" i="15"/>
  <c r="C65" i="15"/>
  <c r="E64" i="15"/>
  <c r="D64" i="15"/>
  <c r="C64" i="15"/>
  <c r="E63" i="15"/>
  <c r="D63" i="15"/>
  <c r="C63" i="15"/>
  <c r="E62" i="15"/>
  <c r="D62" i="15"/>
  <c r="C62" i="15"/>
  <c r="E61" i="15"/>
  <c r="D61" i="15"/>
  <c r="C61" i="15"/>
  <c r="R60" i="15"/>
  <c r="F60" i="15"/>
  <c r="E60" i="15"/>
  <c r="D60" i="15"/>
  <c r="C60" i="15"/>
  <c r="R59" i="15"/>
  <c r="F59" i="15"/>
  <c r="E59" i="15"/>
  <c r="D59" i="15"/>
  <c r="C59" i="15"/>
  <c r="R58" i="15"/>
  <c r="F58" i="15"/>
  <c r="E58" i="15"/>
  <c r="D58" i="15"/>
  <c r="C58" i="15"/>
  <c r="R57" i="15"/>
  <c r="F57" i="15"/>
  <c r="E57" i="15"/>
  <c r="D57" i="15"/>
  <c r="C57" i="15"/>
  <c r="E56" i="15"/>
  <c r="D56" i="15"/>
  <c r="C56" i="15"/>
  <c r="R55" i="15"/>
  <c r="F55" i="15"/>
  <c r="E55" i="15"/>
  <c r="D55" i="15"/>
  <c r="C55" i="15"/>
  <c r="R54" i="15"/>
  <c r="F54" i="15"/>
  <c r="E54" i="15"/>
  <c r="D54" i="15"/>
  <c r="C54" i="15"/>
  <c r="R53" i="15"/>
  <c r="F53" i="15"/>
  <c r="E53" i="15"/>
  <c r="D53" i="15"/>
  <c r="C53" i="15"/>
  <c r="R52" i="15"/>
  <c r="F52" i="15"/>
  <c r="E52" i="15"/>
  <c r="D52" i="15"/>
  <c r="C52" i="15"/>
  <c r="R51" i="15"/>
  <c r="F51" i="15"/>
  <c r="E51" i="15"/>
  <c r="D51" i="15"/>
  <c r="C51" i="15"/>
  <c r="R50" i="15"/>
  <c r="F50" i="15"/>
  <c r="E50" i="15"/>
  <c r="D50" i="15"/>
  <c r="C50" i="15"/>
  <c r="E49" i="15"/>
  <c r="C49" i="15"/>
  <c r="E48" i="15"/>
  <c r="D48" i="15"/>
  <c r="C48" i="15"/>
  <c r="R47" i="15"/>
  <c r="F47" i="15"/>
  <c r="E47" i="15"/>
  <c r="D47" i="15"/>
  <c r="C47" i="15"/>
  <c r="E46" i="15"/>
  <c r="D46" i="15"/>
  <c r="C46" i="15"/>
  <c r="E45" i="15"/>
  <c r="D45" i="15"/>
  <c r="C45" i="15"/>
  <c r="R44" i="15"/>
  <c r="F44" i="15"/>
  <c r="E44" i="15"/>
  <c r="D44" i="15"/>
  <c r="C44" i="15"/>
  <c r="E43" i="15"/>
  <c r="D43" i="15"/>
  <c r="C43" i="15"/>
  <c r="R42" i="15"/>
  <c r="F42" i="15"/>
  <c r="E42" i="15"/>
  <c r="D42" i="15"/>
  <c r="C42" i="15"/>
  <c r="E41" i="15"/>
  <c r="D41" i="15"/>
  <c r="C41" i="15"/>
  <c r="R40" i="15"/>
  <c r="F40" i="15"/>
  <c r="E40" i="15"/>
  <c r="D40" i="15"/>
  <c r="C40" i="15"/>
  <c r="R39" i="15"/>
  <c r="F39" i="15"/>
  <c r="E39" i="15"/>
  <c r="D39" i="15"/>
  <c r="C39" i="15"/>
  <c r="R38" i="15"/>
  <c r="F38" i="15"/>
  <c r="E38" i="15"/>
  <c r="D38" i="15"/>
  <c r="C38" i="15"/>
  <c r="R37" i="15"/>
  <c r="F37" i="15"/>
  <c r="E37" i="15"/>
  <c r="D37" i="15"/>
  <c r="C37" i="15"/>
  <c r="R36" i="15"/>
  <c r="F36" i="15"/>
  <c r="E36" i="15"/>
  <c r="D36" i="15"/>
  <c r="C36" i="15"/>
  <c r="R35" i="15"/>
  <c r="F35" i="15"/>
  <c r="E35" i="15"/>
  <c r="D35" i="15"/>
  <c r="C35" i="15"/>
  <c r="R34" i="15"/>
  <c r="F34" i="15"/>
  <c r="E34" i="15"/>
  <c r="D34" i="15"/>
  <c r="C34" i="15"/>
  <c r="R33" i="15"/>
  <c r="F33" i="15"/>
  <c r="E33" i="15"/>
  <c r="D33" i="15"/>
  <c r="C33" i="15"/>
  <c r="E32" i="15"/>
  <c r="D32" i="15"/>
  <c r="C32" i="15"/>
  <c r="E31" i="15"/>
  <c r="D31" i="15"/>
  <c r="C31" i="15"/>
  <c r="R30" i="15"/>
  <c r="F30" i="15"/>
  <c r="E30" i="15"/>
  <c r="D30" i="15"/>
  <c r="C30" i="15"/>
  <c r="E29" i="15"/>
  <c r="D29" i="15"/>
  <c r="C29" i="15"/>
  <c r="D28" i="15"/>
  <c r="C28" i="15"/>
  <c r="R27" i="15"/>
  <c r="F27" i="15"/>
  <c r="E27" i="15"/>
  <c r="D27" i="15"/>
  <c r="C27" i="15"/>
  <c r="E26" i="15"/>
  <c r="D26" i="15"/>
  <c r="C26" i="15"/>
  <c r="E25" i="15"/>
  <c r="D25" i="15"/>
  <c r="C25" i="15"/>
  <c r="E24" i="15"/>
  <c r="D24" i="15"/>
  <c r="C24" i="15"/>
  <c r="E23" i="15"/>
  <c r="D23" i="15"/>
  <c r="C23" i="15"/>
  <c r="E22" i="15"/>
  <c r="D22" i="15"/>
  <c r="C22" i="15"/>
  <c r="R21" i="15"/>
  <c r="F21" i="15"/>
  <c r="E21" i="15"/>
  <c r="D21" i="15"/>
  <c r="C21" i="15"/>
  <c r="E20" i="15"/>
  <c r="D20" i="15"/>
  <c r="C20" i="15"/>
  <c r="E19" i="15"/>
  <c r="D19" i="15"/>
  <c r="C19" i="15"/>
  <c r="E18" i="15"/>
  <c r="D18" i="15"/>
  <c r="C18" i="15"/>
  <c r="E17" i="15"/>
  <c r="D17" i="15"/>
  <c r="C17" i="15"/>
  <c r="E16" i="15"/>
  <c r="D16" i="15"/>
  <c r="C16" i="15"/>
  <c r="E15" i="15"/>
  <c r="D15" i="15"/>
  <c r="C15" i="15"/>
  <c r="E14" i="15"/>
  <c r="D14" i="15"/>
  <c r="C14" i="15"/>
  <c r="E13" i="15"/>
  <c r="D13" i="15"/>
  <c r="C13" i="15"/>
  <c r="E12" i="15"/>
  <c r="C12" i="15"/>
  <c r="E11" i="15"/>
  <c r="D11" i="15"/>
  <c r="C11" i="15"/>
  <c r="E10" i="15"/>
  <c r="D10" i="15"/>
  <c r="C10" i="15"/>
  <c r="E9" i="15"/>
  <c r="D9" i="15"/>
  <c r="C9" i="15"/>
  <c r="E8" i="15"/>
  <c r="D8" i="15"/>
  <c r="C8" i="15"/>
  <c r="E7" i="15"/>
  <c r="D7" i="15"/>
  <c r="C7" i="15"/>
  <c r="E6" i="15"/>
  <c r="D6" i="15"/>
  <c r="C6" i="15"/>
  <c r="E5" i="15"/>
  <c r="D5" i="15"/>
  <c r="C5" i="15"/>
  <c r="E4" i="15"/>
  <c r="D4" i="15"/>
  <c r="C4" i="15"/>
  <c r="E3" i="15"/>
  <c r="D3" i="15"/>
  <c r="C3" i="15"/>
  <c r="E2" i="15"/>
  <c r="C2"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rPr>
          <t>An exact copy of DH_schema_slots.schema
	-Damion Dooley
----
WastewaterAMR;WastewaterPathogenAgnostic were here but this caused duplicate organism row.
	-Damion Dooley
----
This isn't a controlled menu?
	-Damion Dooley
----
Apparently LinkML might not be appropriate for this? Mark Miller comment.  Similarly "structured_pattern"
	-Damion Dooley
Is this the same as https://linkml.io/linkml-model/docs/pattern/ ? This is what we had discussed using previously.
	-Rhiannon Cameron
So "pattern" column takes the regular expression directly, while we now have "structured_pattern" which can take a string of text which is parsed in a search and replace way for things like {UPPER_CASE} into regular expressions for validation. This way we'll be able to have expressions like "{decimal} {temperature_unit}"
	-Damion Dooley
Understood. If LinkML isn't appropriate for this what is the alternative?
	-Rhiannon Cameron
It looks like structured_pattern is correct for this.  But will verify with Mark.  I've added a little code that does the auto-capitalization if the {UPPER_CASE} etc. tokens are in the structured_pattern column.
	-Damion Dooley
----
CNPHI_EXPORT: Lev said it isn't useful because the client information is filled in when the client submits. It isn't filled in when Emma submits for others and then NML/CNPHI gets manually changed after submission.
	-Damion Dooley
----
Use this formula to spot identifiers:
=if(iferror(eq(F7,"xs:unique"),""),true,"")
	-Damion Dooley
----
COLUMN LEGEND:
ITALICS = not published or request still under review/development.
EMPTY = To be reviewed.
GREEN = New addition, not yet imported/integrated into GenEpiO.
WHITE = Complete.
YELLOW = Recent change (complete).
ORANGE = Term requested in domain ontology OR existing term needs a GENEPIO parent term (e.g. NCIT non-OBOF).
RED = No existing term found (as of Aug 2021), or issue with term found - placeholder likely needed.
	-Damion Dooley
----
A second range possibility, e.g. metadata options.  Add more separated by semi-colons
	-Damion Dooley
----
An xml data type or name of an enumeration
	-Damion Dooley
----
Name of datastructure or database field. This will be copied from title field if left blank
	-Damion Dooley
----
Column label to show at top of spreadsheet
	-Damion Dooley
----
@emma_griffiths@sfu.ca Should the following terms be in the PHA4GE spec as well:  Recreational Event, Concert, Sporting Event
_Assigned to emma_griffiths_
	-Rhiannon Cameron
----
Would like to remove like we did for PHA4GE.
	-Rhiannon Cameron
----
Would like to remove like we did for PHA4GE.
	-Rhiannon Cameron
----
Recommend changing to "Patient room" since that is a picklist option and "Hospital room" is not.
Thoughts @emma_griffiths@sfu.ca ?
_Assigned to emma_griffiths_
	-Rhiannon Cameron
Sounds good to me! Hospital room could be an OR or something. I think we want a room where a patient is staying/residing, so that change makes sense.
	-Emma Griffiths
----
can't we just call this "vaccination name"?
	-Rhiannon Cameron
At moment DH has to have "select" point to an existing list, hence referring to first select's full name.  In new LinkML setup, yes we'd just have a "vaccination name enumeration" that they all could point to.
	-Damion Dooley
Alt. line 69 could simply be called vaccination dose name 70 could be vaccination dose date
	-Damion Dooley
Yeah, and then rename the picklist parents with the new name.
	-Rhiannon Cameron
----
Not in term-level guide. Did we decide to ditch this term?
	-Rhiannon Cameron
Hmm, I think it must have been missed. I think the reasoning behind this was that there could be other events we haven't thought of and you might want to tag it as having as exposure event other than what is on the list (then you can explain it in the exposure details free text field). So good to keep it. Should go in the reference guide though. I'll pop it in there.
	-Emma Griffiths
Also not sure this needs to be ontologized. "other" things are always relative to a certain list.
	-Emma Griffiths
----
@cmrn.rhi@gmail.com follow-up on issue thread and proceed in filling in the abouts.
_Assigned to Rhiannon Cameron_
	-Rhiannon Cameron
----
Ischemic stroke treated as synonymous with acute ischemic stroke. Recommend removal.
	-Rhiannon Cameron
yes
	-Rhiannon Cameron
----
Could request new term from mondo (https://github.com/monarch-initiative/mondo/issues). Disorder and disease are not synonymous, though MONDO tends to treat them as such.
	-Rhiannon Cameron
Alt: http://purl.obolibrary.org/obo/HP_0002086
	-Rhiannon Cameron
----
Could request from mondo (https://github.com/monarch-initiative/mondo/issues) since it has "neuromuscular disease" (http://purl.obolibrary.org/obo/MONDO_0019056). Note that disorder and disease are not synonymous, though MONDO tends to treat them as such.
	-Rhiannon Cameron
----
repositioned and added laymen's label in brackets.
	-Rhiannon Cameron
----
repositioned under fatigue and indented (updated in PHA4GE template).
	-Rhiannon Cameron
----
@cmrn.rhi@gmail.com investigate options in http://www.ontobee.org/ontology/APOLLO_SV?iri=http://purl.obolibrary.org/obo/IAO_0020000
_Assigned to Rhiannon Cameron_
	-Rhiannon Cameron
----
@cmrn.rhi@gmail.com ask HP to change parental term to "Acrocyanosis" which is appropriate according to their definitions.
_Assigned to Rhiannon Cameron_
	-Rhiannon Cameron
----
@cmrn.rhi@gmail.com make synonym request to MP
_Assigned to Rhiannon Cameron_
	-Rhiannon Cameron
----
https://docs.google.com/document/d/1-8TI1AHAQeKCkmqq1DW7QhcRAGiXIlPjnwAshyrJ-Zo/edit#
	-Lauren T</t>
        </r>
      </text>
    </comment>
    <comment ref="E1" authorId="0" shapeId="0" xr:uid="{00000000-0006-0000-0000-000004000000}">
      <text>
        <r>
          <rPr>
            <sz val="10"/>
            <color rgb="FF000000"/>
            <rFont val="Arial"/>
          </rPr>
          <t>x = field changes
y = value/ID changes
z = def/formats/examples or other changes
	-Damion Dooley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C00-000001000000}">
      <text>
        <r>
          <rPr>
            <sz val="10"/>
            <color rgb="FF000000"/>
            <rFont val="Arial"/>
          </rPr>
          <t>LinkML recommends camelCase names for classes, and enums, and snake_case for slots and enum values. No special characters (no underscore or dash or brackets). This is to enable code generation for python objects etc.
	-Damion Dooley
See https://linkml.io/linkml/schemas/linter.html#standard-naming
	-Damion Dooley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E00-000001000000}">
      <text>
        <r>
          <rPr>
            <sz val="10"/>
            <color rgb="FF000000"/>
            <rFont val="Arial"/>
          </rPr>
          <t>Importing from:
https://docs.google.com/spreadsheets/d/1NstVkNyMv132LYxaKGuXqEBScLi0RERHb0zkcgSuNZQ/edit#gid=336705417</t>
        </r>
      </text>
    </comment>
    <comment ref="D3" authorId="0" shapeId="0" xr:uid="{00000000-0006-0000-0E00-000002000000}">
      <text>
        <r>
          <rPr>
            <sz val="10"/>
            <color rgb="FF000000"/>
            <rFont val="Arial"/>
          </rPr>
          <t>Importing from:
https://docs.google.com/spreadsheets/d/1NstVkNyMv132LYxaKGuXqEBScLi0RERHb0zkcgSuNZQ/edit#gid=336705417&amp;range=B3</t>
        </r>
      </text>
    </comment>
    <comment ref="C12" authorId="0" shapeId="0" xr:uid="{00000000-0006-0000-0E00-000003000000}">
      <text>
        <r>
          <rPr>
            <sz val="10"/>
            <color rgb="FF000000"/>
            <rFont val="Arial"/>
          </rPr>
          <t>Importing from:
https://docs.google.com/spreadsheets/d/1NstVkNyMv132LYxaKGuXqEBScLi0RERHb0zkcgSuNZQ/edit#gid=336705417</t>
        </r>
      </text>
    </comment>
    <comment ref="D13" authorId="0" shapeId="0" xr:uid="{00000000-0006-0000-0E00-000004000000}">
      <text>
        <r>
          <rPr>
            <sz val="10"/>
            <color rgb="FF000000"/>
            <rFont val="Arial"/>
          </rPr>
          <t>Importing from:
https://docs.google.com/spreadsheets/d/1NstVkNyMv132LYxaKGuXqEBScLi0RERHb0zkcgSuNZQ/edit#gid=336705417&amp;range=B13</t>
        </r>
      </text>
    </comment>
    <comment ref="C49" authorId="0" shapeId="0" xr:uid="{00000000-0006-0000-0E00-000005000000}">
      <text>
        <r>
          <rPr>
            <sz val="10"/>
            <color rgb="FF000000"/>
            <rFont val="Arial"/>
          </rPr>
          <t>Importing from:
https://docs.google.com/spreadsheets/d/1NstVkNyMv132LYxaKGuXqEBScLi0RERHb0zkcgSuNZQ/edit#gid=336705417</t>
        </r>
      </text>
    </comment>
    <comment ref="D50" authorId="0" shapeId="0" xr:uid="{00000000-0006-0000-0E00-000006000000}">
      <text>
        <r>
          <rPr>
            <sz val="10"/>
            <color rgb="FF000000"/>
            <rFont val="Arial"/>
          </rPr>
          <t>Importing from:
https://docs.google.com/spreadsheets/d/1NstVkNyMv132LYxaKGuXqEBScLi0RERHb0zkcgSuNZQ/edit#gid=336705417&amp;range=B50</t>
        </r>
      </text>
    </comment>
    <comment ref="D69" authorId="0" shapeId="0" xr:uid="{00000000-0006-0000-0E00-000007000000}">
      <text>
        <r>
          <rPr>
            <sz val="10"/>
            <color rgb="FF000000"/>
            <rFont val="Arial"/>
          </rPr>
          <t>Importing from:
https://docs.google.com/spreadsheets/d/1NstVkNyMv132LYxaKGuXqEBScLi0RERHb0zkcgSuNZQ/edit#gid=336705417&amp;range=B69</t>
        </r>
      </text>
    </comment>
    <comment ref="D81" authorId="0" shapeId="0" xr:uid="{00000000-0006-0000-0E00-000008000000}">
      <text>
        <r>
          <rPr>
            <sz val="10"/>
            <color rgb="FF000000"/>
            <rFont val="Arial"/>
          </rPr>
          <t>Importing from:
https://docs.google.com/spreadsheets/d/1NstVkNyMv132LYxaKGuXqEBScLi0RERHb0zkcgSuNZQ/edit#gid=336705417&amp;range=B81</t>
        </r>
      </text>
    </comment>
    <comment ref="D96" authorId="0" shapeId="0" xr:uid="{00000000-0006-0000-0E00-000009000000}">
      <text>
        <r>
          <rPr>
            <sz val="10"/>
            <color rgb="FF000000"/>
            <rFont val="Arial"/>
          </rPr>
          <t>Importing from:
https://docs.google.com/spreadsheets/d/1NstVkNyMv132LYxaKGuXqEBScLi0RERHb0zkcgSuNZQ/edit#gid=336705417&amp;range=B94</t>
        </r>
      </text>
    </comment>
    <comment ref="D105" authorId="0" shapeId="0" xr:uid="{00000000-0006-0000-0E00-00000A000000}">
      <text>
        <r>
          <rPr>
            <sz val="10"/>
            <color rgb="FF000000"/>
            <rFont val="Arial"/>
          </rPr>
          <t>Importing from:
https://docs.google.com/spreadsheets/d/1NstVkNyMv132LYxaKGuXqEBScLi0RERHb0zkcgSuNZQ/edit#gid=336705417&amp;range=B101</t>
        </r>
      </text>
    </comment>
    <comment ref="D120" authorId="0" shapeId="0" xr:uid="{00000000-0006-0000-0E00-00000B000000}">
      <text>
        <r>
          <rPr>
            <sz val="10"/>
            <color rgb="FF000000"/>
            <rFont val="Arial"/>
          </rPr>
          <t>Importing from:
https://docs.google.com/spreadsheets/d/1NstVkNyMv132LYxaKGuXqEBScLi0RERHb0zkcgSuNZQ/edit#gid=336705417&amp;range=B114</t>
        </r>
      </text>
    </comment>
    <comment ref="D142" authorId="0" shapeId="0" xr:uid="{00000000-0006-0000-0E00-00000C000000}">
      <text>
        <r>
          <rPr>
            <sz val="10"/>
            <color rgb="FF000000"/>
            <rFont val="Arial"/>
          </rPr>
          <t>Importing from:
https://docs.google.com/spreadsheets/d/1NstVkNyMv132LYxaKGuXqEBScLi0RERHb0zkcgSuNZQ/edit#gid=336705417&amp;range=B136</t>
        </r>
      </text>
    </comment>
    <comment ref="D148" authorId="0" shapeId="0" xr:uid="{00000000-0006-0000-0E00-00000D000000}">
      <text>
        <r>
          <rPr>
            <sz val="10"/>
            <color rgb="FF000000"/>
            <rFont val="Arial"/>
          </rPr>
          <t>Importing from:
https://docs.google.com/spreadsheets/d/1NstVkNyMv132LYxaKGuXqEBScLi0RERHb0zkcgSuNZQ/edit#gid=336705417&amp;range=B142</t>
        </r>
      </text>
    </comment>
    <comment ref="C156" authorId="0" shapeId="0" xr:uid="{00000000-0006-0000-0E00-00000F000000}">
      <text>
        <r>
          <rPr>
            <sz val="10"/>
            <color rgb="FF000000"/>
            <rFont val="Arial"/>
          </rPr>
          <t>@cmrn.rhi@gmail.com
_Assigned to Rhiannon Cameron_
	-Rhiannon Cameron</t>
        </r>
      </text>
    </comment>
    <comment ref="D166" authorId="0" shapeId="0" xr:uid="{00000000-0006-0000-0E00-00000E000000}">
      <text>
        <r>
          <rPr>
            <sz val="10"/>
            <color rgb="FF000000"/>
            <rFont val="Arial"/>
          </rPr>
          <t>Importing from:
https://docs.google.com/spreadsheets/d/1NstVkNyMv132LYxaKGuXqEBScLi0RERHb0zkcgSuNZQ/edit#gid=336705417&amp;range=B149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F00-000001000000}">
      <text>
        <r>
          <rPr>
            <sz val="10"/>
            <color rgb="FF000000"/>
            <rFont val="Arial"/>
          </rPr>
          <t>To Be Applied. LinkML "meaning" application still under discussion.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2800-000004000000}">
      <text>
        <r>
          <rPr>
            <sz val="10"/>
            <color rgb="FF000000"/>
            <rFont val="Arial"/>
          </rPr>
          <t>Added this for future reference (e.g. creating GENEPIO placeholders).
	-Rhiannon Cameron</t>
        </r>
      </text>
    </comment>
    <comment ref="D724" authorId="0" shapeId="0" xr:uid="{00000000-0006-0000-2800-000002000000}">
      <text>
        <r>
          <rPr>
            <sz val="10"/>
            <color rgb="FF000000"/>
            <rFont val="Arial"/>
          </rPr>
          <t>Feel like "tobacco smoking" could be what meant by this field. http://purl.obolibrary.org/obo/NBO_0045002
Note this would not be inclusive of cannabis smoke.
	-Rhiannon Cameron</t>
        </r>
      </text>
    </comment>
    <comment ref="B730" authorId="0" shapeId="0" xr:uid="{00000000-0006-0000-2800-000001000000}">
      <text>
        <r>
          <rPr>
            <sz val="10"/>
            <color rgb="FF000000"/>
            <rFont val="Arial"/>
          </rPr>
          <t>synonymous with bone marrow transplant
	-Rhiannon Cameron</t>
        </r>
      </text>
    </comment>
    <comment ref="B757" authorId="0" shapeId="0" xr:uid="{00000000-0006-0000-2800-000003000000}">
      <text>
        <r>
          <rPr>
            <sz val="10"/>
            <color rgb="FF000000"/>
            <rFont val="Arial"/>
          </rPr>
          <t>Ischemic stroke treated as synonymous with acute ischemic stroke. Recommend removal.
	-Rhiannon Cameron</t>
        </r>
      </text>
    </comment>
  </commentList>
</comments>
</file>

<file path=xl/sharedStrings.xml><?xml version="1.0" encoding="utf-8"?>
<sst xmlns="http://schemas.openxmlformats.org/spreadsheetml/2006/main" count="9349" uniqueCount="4408">
  <si>
    <t>Pathogen Genomics Templates version</t>
  </si>
  <si>
    <t>DH Version</t>
  </si>
  <si>
    <t>Release Date</t>
  </si>
  <si>
    <t>Template Name</t>
  </si>
  <si>
    <t>Template Version
x.y.z</t>
  </si>
  <si>
    <t>x changes (field)</t>
  </si>
  <si>
    <t>y changes (values/IDs)</t>
  </si>
  <si>
    <t>z changes (defs/formats/examples)</t>
  </si>
  <si>
    <t>PHA4GE (SC2)</t>
  </si>
  <si>
    <t>5.6.2</t>
  </si>
  <si>
    <t>1.9.5</t>
  </si>
  <si>
    <t>Interim change which exposes DH Language menu.</t>
  </si>
  <si>
    <t>5.6.3</t>
  </si>
  <si>
    <t>1.9.6</t>
  </si>
  <si>
    <t>Sept 4, 2025</t>
  </si>
  <si>
    <r>
      <rPr>
        <sz val="10"/>
        <color rgb="FF000000"/>
        <rFont val="arial,sans,sans-serif"/>
      </rPr>
      <t>1.0.</t>
    </r>
    <r>
      <rPr>
        <sz val="10"/>
        <color rgb="FFFF0000"/>
        <rFont val="arial,sans,sans-serif"/>
      </rPr>
      <t>3</t>
    </r>
  </si>
  <si>
    <t>Missing descriptions, comments, and examples restored.</t>
  </si>
  <si>
    <r>
      <rPr>
        <b/>
        <sz val="12"/>
        <rFont val="Calibri"/>
      </rPr>
      <t xml:space="preserve">Curation Tips for DataHarmonizer [LinkML schema name]-slots tab
</t>
    </r>
    <r>
      <rPr>
        <sz val="12"/>
        <rFont val="Calibri"/>
      </rPr>
      <t xml:space="preserve">This covers the setup of fields (slots) assoicated with one or more DataHarmonizer templates (which are LinkML classes) associated with a given LinkML schema.  
A separate configuration file, called schema-core.yaml in a DataHarmonizer template folder, handles basic attributes of a given schema and its classes. 
</t>
    </r>
    <r>
      <rPr>
        <b/>
        <sz val="12"/>
        <rFont val="Calibri"/>
      </rPr>
      <t xml:space="preserve">More information is available at: </t>
    </r>
    <r>
      <rPr>
        <b/>
        <u/>
        <sz val="12"/>
        <color rgb="FF1155CC"/>
        <rFont val="Calibri"/>
      </rPr>
      <t>https://github.com/cidgoh/DataHarmonizer/wiki/DataHarmonizer-Templates</t>
    </r>
    <r>
      <rPr>
        <b/>
        <sz val="12"/>
        <rFont val="Calibri"/>
      </rPr>
      <t xml:space="preserve"> </t>
    </r>
  </si>
  <si>
    <t>class_name</t>
  </si>
  <si>
    <r>
      <rPr>
        <sz val="12"/>
        <rFont val="Calibri"/>
      </rPr>
      <t xml:space="preserve">DataHarmonizer looks in this column field for a list of semi-colon deliminted template names, each of which corresponds to a LinkML Class which has associated fields (slots) which are rendered as columns of the DataHarmonizer spreadsheet template. When a row having one or more class_names is encountered, all subsequent rows are examined for slot information pertaining to that class / those classes.
A template name should be in </t>
    </r>
    <r>
      <rPr>
        <b/>
        <sz val="12"/>
        <rFont val="Calibri"/>
      </rPr>
      <t>CamelCase format</t>
    </r>
    <r>
      <rPr>
        <sz val="12"/>
        <rFont val="Calibri"/>
      </rPr>
      <t>, i.e. one string without spaces, hyphens or underscores, and with each word capitalized.</t>
    </r>
  </si>
  <si>
    <t>slot_group</t>
  </si>
  <si>
    <t>A plain text title of section (group) under which the slot should be displayed.</t>
  </si>
  <si>
    <t>slot_group_fr</t>
  </si>
  <si>
    <r>
      <rPr>
        <sz val="12"/>
        <rFont val="Calibri"/>
      </rPr>
      <t xml:space="preserve">A french (or other language) title version of section group. </t>
    </r>
    <r>
      <rPr>
        <b/>
        <sz val="12"/>
        <rFont val="Calibri"/>
      </rPr>
      <t>For all language variants, the pattern is [field name]_[itf language abbreviation], e.g. "es", "fr", "it" etc.]</t>
    </r>
  </si>
  <si>
    <t>slot_uri</t>
  </si>
  <si>
    <t>The ontology term that closely matches the semantics of given slot.</t>
  </si>
  <si>
    <t>title</t>
  </si>
  <si>
    <r>
      <rPr>
        <sz val="12"/>
        <rFont val="Calibri"/>
      </rPr>
      <t xml:space="preserve">The plain language title of the given </t>
    </r>
    <r>
      <rPr>
        <b/>
        <sz val="12"/>
        <rFont val="Calibri"/>
      </rPr>
      <t>slot.</t>
    </r>
  </si>
  <si>
    <t>title_fr</t>
  </si>
  <si>
    <t>A french (or other language) title of slot.</t>
  </si>
  <si>
    <t>name</t>
  </si>
  <si>
    <r>
      <rPr>
        <sz val="12"/>
        <rFont val="Calibri"/>
      </rPr>
      <t xml:space="preserve">A coding name for given </t>
    </r>
    <r>
      <rPr>
        <b/>
        <sz val="12"/>
        <rFont val="Calibri"/>
      </rPr>
      <t>slot</t>
    </r>
    <r>
      <rPr>
        <sz val="12"/>
        <rFont val="Calibri"/>
      </rPr>
      <t xml:space="preserve">.  This should be in </t>
    </r>
    <r>
      <rPr>
        <b/>
        <sz val="12"/>
        <rFont val="Calibri"/>
      </rPr>
      <t>snake_case format</t>
    </r>
    <r>
      <rPr>
        <sz val="12"/>
        <rFont val="Calibri"/>
      </rPr>
      <t>, namely a single string with lowercase words separated by underscores, and which doesn't contain dashes ("-").  LinkML python and other code generators use this to refer to slot.</t>
    </r>
  </si>
  <si>
    <t>range</t>
  </si>
  <si>
    <t>A data type such as "decimal", "integer", "date", "datetime", "boolean", "string", or "WhitespaceMinimizedString", or a menu name</t>
  </si>
  <si>
    <t>range_2</t>
  </si>
  <si>
    <t>Additional menu names.  A field can have a combination of basic data type + menu, often in case where a NullValuesMenu is needed for example.</t>
  </si>
  <si>
    <t>identifier</t>
  </si>
  <si>
    <t xml:space="preserve">A boolean TRUE indicates this slot is an identifier, or refers to one.  </t>
  </si>
  <si>
    <t>multivalued</t>
  </si>
  <si>
    <t xml:space="preserve">A boolean TRUE indicates this slot can hold more than one values taken from its range.  </t>
  </si>
  <si>
    <t>required</t>
  </si>
  <si>
    <t xml:space="preserve">A boolean TRUE indicates this slot is a mandatory data field.  </t>
  </si>
  <si>
    <t>recommended</t>
  </si>
  <si>
    <t xml:space="preserve">A boolean TRUE indicates this slot is a recommended data field.  </t>
  </si>
  <si>
    <t>minimum_value</t>
  </si>
  <si>
    <t>A minimum value which is appropriate for the range data type of the slot.</t>
  </si>
  <si>
    <t>maximum_value</t>
  </si>
  <si>
    <t>A maximum value which is appropriate for the range data type of the slot.</t>
  </si>
  <si>
    <t>pattern</t>
  </si>
  <si>
    <t>A regular expression pattern used to validate a slot's string range data type content.</t>
  </si>
  <si>
    <t>structured_pattern</t>
  </si>
  <si>
    <t>description</t>
  </si>
  <si>
    <t>A plan text description of this LinkML schema slot.</t>
  </si>
  <si>
    <t>description_fr</t>
  </si>
  <si>
    <t>comments</t>
  </si>
  <si>
    <t>A free text field for adding other comments to guide usage of field.</t>
  </si>
  <si>
    <t>comments_fr</t>
  </si>
  <si>
    <t>examples</t>
  </si>
  <si>
    <t>A free text field for including examples of string, numeric, date or categorical values.</t>
  </si>
  <si>
    <t>examples_fr</t>
  </si>
  <si>
    <t>EXPORT_GISAID</t>
  </si>
  <si>
    <t>Optional EXPORT_X fields enable export to given data repository.  Some facility for channeling field content to other repository data table fields by name is possible.</t>
  </si>
  <si>
    <t>EXPORT_CNPHI</t>
  </si>
  <si>
    <t>"</t>
  </si>
  <si>
    <t>EXPORT_NML_LIMS</t>
  </si>
  <si>
    <t>EXPORT_BIOSAMPLE</t>
  </si>
  <si>
    <t>EXPORT_VirusSeq_Portal</t>
  </si>
  <si>
    <r>
      <rPr>
        <b/>
        <sz val="12"/>
        <color rgb="FF000000"/>
        <rFont val="Calibri"/>
      </rPr>
      <t xml:space="preserve">"Curation Tips for Enums (picklists) and Permissible Values (picklist choices)
</t>
    </r>
    <r>
      <rPr>
        <sz val="12"/>
        <color rgb="FF000000"/>
        <rFont val="Calibri"/>
      </rPr>
      <t xml:space="preserve">This pertains to the google sheets </t>
    </r>
    <r>
      <rPr>
        <b/>
        <sz val="12"/>
        <color rgb="FF000000"/>
        <rFont val="Calibri"/>
      </rPr>
      <t>[schema name]-enums</t>
    </r>
    <r>
      <rPr>
        <sz val="12"/>
        <color rgb="FF000000"/>
        <rFont val="Calibri"/>
      </rPr>
      <t xml:space="preserve"> tab:
LinkML permissible_values list of terms associated with an Enum (enumeration list) are often backed up by a ""meaning"" slot (field) which is a link to a corresponding ontology term.  A permissible_values term may have a text value which is identical to an ontology term label, but it can be a synonym"                </t>
    </r>
  </si>
  <si>
    <t>A row having a title column menu name entry holds start of list of pick list terms for that menu.  The title can be plain language, but is often helpful to have the word "menu" at end.</t>
  </si>
  <si>
    <t>French (or other language) version of title</t>
  </si>
  <si>
    <r>
      <rPr>
        <sz val="12"/>
        <color rgb="FF000000"/>
        <rFont val="Calibri"/>
      </rPr>
      <t xml:space="preserve">A coding name for the enumeration menu title - this should be in </t>
    </r>
    <r>
      <rPr>
        <b/>
        <sz val="12"/>
        <color rgb="FF000000"/>
        <rFont val="Calibri"/>
      </rPr>
      <t>CamelCase format,</t>
    </r>
    <r>
      <rPr>
        <sz val="12"/>
        <color rgb="FF000000"/>
        <rFont val="Calibri"/>
      </rPr>
      <t xml:space="preserve"> i.e. one string without spaces, hyphens or underscores, and with each word capitalized.</t>
    </r>
  </si>
  <si>
    <t>meaning</t>
  </si>
  <si>
    <t>For a given menu_x entry, this is the ontology URL of the term most closely matching the semantics of the menu choice.  This is not required, and can be added later when available.</t>
  </si>
  <si>
    <t>menu_1</t>
  </si>
  <si>
    <t>The labels (text) of picklist items.  Each picklist item is ideally in singular (not plural) form for consistency (and for better matching to an ontology concept). A menu_x column entry is presented in hierarchy of menu choices at the x depth, consequently only one menu entry is allowed per row.</t>
  </si>
  <si>
    <t>menu_2</t>
  </si>
  <si>
    <t>menu_3</t>
  </si>
  <si>
    <t>menu_4</t>
  </si>
  <si>
    <t>menu_5</t>
  </si>
  <si>
    <t>menu_1_fr</t>
  </si>
  <si>
    <t>French (or other language) version of a menu item</t>
  </si>
  <si>
    <t>menu_2_fr</t>
  </si>
  <si>
    <t>menu_3_fr</t>
  </si>
  <si>
    <t>menu_4_fr</t>
  </si>
  <si>
    <t>menu_5_fr</t>
  </si>
  <si>
    <r>
      <rPr>
        <b/>
        <sz val="12"/>
        <rFont val="Calibri"/>
      </rPr>
      <t>description</t>
    </r>
    <r>
      <rPr>
        <sz val="12"/>
        <rFont val="Calibri"/>
      </rPr>
      <t xml:space="preserve"> (definition)</t>
    </r>
  </si>
  <si>
    <t>A description for a given menu choice or menu.  You are welcome to use first few lines of corresponding wikipedia term, or an ontology term if appropriate. Other sources are fine too, and description or definition doesn't have to be an exact quote.</t>
  </si>
  <si>
    <t>Optional: Channeling a given menu item as a value to an export repository [field name]:[textual value] is possible</t>
  </si>
  <si>
    <t>Issues / Status</t>
  </si>
  <si>
    <t>If desired, add an issues or status column for your own curation notes. This column (and any other not named above) will be ignored when processing the tsv file version of this tab.</t>
  </si>
  <si>
    <t>A note on Class/Slot/Enum and permissable value titles / names and data validation:</t>
  </si>
  <si>
    <r>
      <rPr>
        <sz val="12"/>
        <rFont val="Calibri, sans-serif"/>
      </rPr>
      <t xml:space="preserve">The DH data validation script, </t>
    </r>
    <r>
      <rPr>
        <b/>
        <u/>
        <sz val="12"/>
        <color rgb="FF1155CC"/>
        <rFont val="Calibri, sans-serif"/>
      </rPr>
      <t>dh-validate.py</t>
    </r>
    <r>
      <rPr>
        <b/>
        <sz val="12"/>
        <rFont val="Calibri, sans-serif"/>
      </rPr>
      <t xml:space="preserve"> </t>
    </r>
    <r>
      <rPr>
        <sz val="12"/>
        <rFont val="Calibri, sans-serif"/>
      </rPr>
      <t xml:space="preserve">addresses the issue of validating .csv and .tsv formatted data files that DH produces, where the section headers are in first row, and column names are in second row of the data file.  Simply run it and provide a path to a </t>
    </r>
    <r>
      <rPr>
        <b/>
        <sz val="12"/>
        <rFont val="Calibri, sans-serif"/>
      </rPr>
      <t xml:space="preserve">schema.yaml </t>
    </r>
    <r>
      <rPr>
        <sz val="12"/>
        <rFont val="Calibri, sans-serif"/>
      </rPr>
      <t xml:space="preserve">file that contains the appropriate template, and provide an input data file to validate, and it will output a line-by-line report on field data (spreadsheet cells) that are invalid for some reason. If dh-validate.py can’t figure out which template the data file is about, it will list a few possibilities. Dh-validate.py actually prepares the given data file for </t>
    </r>
    <r>
      <rPr>
        <b/>
        <sz val="12"/>
        <rFont val="Calibri, sans-serif"/>
      </rPr>
      <t>linkml-validate.py</t>
    </r>
    <r>
      <rPr>
        <sz val="12"/>
        <rFont val="Calibri, sans-serif"/>
      </rPr>
      <t xml:space="preserve"> so that can generate the line-by-line report, so LinkML needs to be installed (https://linkml.io/linkml/intro/install.html).
A technical note: We would have used linkml-validate.py directly but at moment it doesn’t quite have the smarts to validate fields that contain more than one picklist (e.g. null value menu + some other menu). As well, dh-validate.py also provides a workaround to something LinkML is picky about – that in order to validate, LinkML wants template and data file fields/Slots to be named in “snake_case” to enable code generation scripts to work for python and other programming languages and databases.  Consequently we are transitioning our DH slot and permitted values specifications to have two columns, one for title, and one for name, where the title field remains the same as it is now across all our templates (and gets to be whatever you want), and name field is the LinkML conformant version of the title. We discovered that linkml-validate also requires alignment with stricter LinkML Class (template) and Enum (picklist) names which must be in CamelCase, so there are some changes in our templates there too. There are no changes in Class or Enum title.</t>
    </r>
  </si>
  <si>
    <t>WhitespaceMinimizedString</t>
  </si>
  <si>
    <t>integer</t>
  </si>
  <si>
    <t>HostCommonNameMenu</t>
  </si>
  <si>
    <t>Database Identifiers</t>
  </si>
  <si>
    <t>specimen collector sample ID</t>
  </si>
  <si>
    <t/>
  </si>
  <si>
    <t>The user-defined name for the sample.</t>
  </si>
  <si>
    <t>prov_rona_99</t>
  </si>
  <si>
    <t>Sample ID given by the sample provider</t>
  </si>
  <si>
    <t>sample_name</t>
  </si>
  <si>
    <t>The identifier used to specify an epidemiologically detected case of disease.</t>
  </si>
  <si>
    <t>Provide the case identifer. The case ID greatly facilitates linkage between laboratory and epidemiological data. The case ID may be considered identifiable information. Consult the data steward before sharing.</t>
  </si>
  <si>
    <t>ABCD1234</t>
  </si>
  <si>
    <t>NullValueMenu</t>
  </si>
  <si>
    <t>{UPPER_CASE}</t>
  </si>
  <si>
    <t>PRJNA623807</t>
  </si>
  <si>
    <t>The INSDC accession number of the BioProject(s) to which the BioSample belongs.</t>
  </si>
  <si>
    <t>bioproject_accession</t>
  </si>
  <si>
    <t>The identifier assigned to a BioSample in INSDC archives.</t>
  </si>
  <si>
    <t>SAMN14180202</t>
  </si>
  <si>
    <t>SRR11177792</t>
  </si>
  <si>
    <t>MN908947.3</t>
  </si>
  <si>
    <t>The GISAID accession number assigned to the sequence.</t>
  </si>
  <si>
    <t>Store the accession returned from the GISAID submission.</t>
  </si>
  <si>
    <t>Sample collection and processing</t>
  </si>
  <si>
    <t>Originating lab</t>
  </si>
  <si>
    <t>collected_by</t>
  </si>
  <si>
    <t>GENEPIO:0100416</t>
  </si>
  <si>
    <t>sequenced by</t>
  </si>
  <si>
    <t>The name of the agency that generated the sequence.</t>
  </si>
  <si>
    <t>Public Health Ontario (PHO)</t>
  </si>
  <si>
    <t>sequenced_by</t>
  </si>
  <si>
    <t>SequenceSubmittedByMenu</t>
  </si>
  <si>
    <t>Submitting lab</t>
  </si>
  <si>
    <t>date</t>
  </si>
  <si>
    <t>{today}</t>
  </si>
  <si>
    <t>The date on which the sample was collected.</t>
  </si>
  <si>
    <t>Collection date</t>
  </si>
  <si>
    <t>year</t>
  </si>
  <si>
    <t>GeoLocNameCountryMenu</t>
  </si>
  <si>
    <t>Canada</t>
  </si>
  <si>
    <t>Location</t>
  </si>
  <si>
    <t>geo_loc_name</t>
  </si>
  <si>
    <t>organism</t>
  </si>
  <si>
    <t>OrganismMenu</t>
  </si>
  <si>
    <t>Taxonomic name of the organism.</t>
  </si>
  <si>
    <t>Severe acute respiratory syndrome coronavirus 2</t>
  </si>
  <si>
    <t>isolate</t>
  </si>
  <si>
    <t>Identifier of the specific isolate.</t>
  </si>
  <si>
    <t>Virus name</t>
  </si>
  <si>
    <t>purpose of sampling</t>
  </si>
  <si>
    <t>PurposeOfSamplingMenu</t>
  </si>
  <si>
    <t>The reason that the sample was collected.</t>
  </si>
  <si>
    <t>Diagnostic testing</t>
  </si>
  <si>
    <t>purpose_of_sampling</t>
  </si>
  <si>
    <t>anatomical material</t>
  </si>
  <si>
    <t>AnatomicalMaterialMenu</t>
  </si>
  <si>
    <t>A substance obtained from an anatomical part of an organism e.g. tissue, blood.</t>
  </si>
  <si>
    <t>Blood</t>
  </si>
  <si>
    <t>Specimen source</t>
  </si>
  <si>
    <t>anatomical part</t>
  </si>
  <si>
    <t>AnatomicalPartMenu</t>
  </si>
  <si>
    <t>An anatomical part of an organism e.g. oropharynx.</t>
  </si>
  <si>
    <t>Nasopharynx (NP)</t>
  </si>
  <si>
    <t>body product</t>
  </si>
  <si>
    <t>BodyProductMenu</t>
  </si>
  <si>
    <t>A substance excreted/secreted from an organism e.g. feces, urine, sweat.</t>
  </si>
  <si>
    <t>Feces</t>
  </si>
  <si>
    <t>environmental material</t>
  </si>
  <si>
    <t>EnvironmentalMaterialMenu</t>
  </si>
  <si>
    <t>Face mask</t>
  </si>
  <si>
    <t>isolation_source;environmental_material</t>
  </si>
  <si>
    <t>environmental site</t>
  </si>
  <si>
    <t>EnvironmentalSiteMenu</t>
  </si>
  <si>
    <t>Production Facility</t>
  </si>
  <si>
    <t>isolation_source;environmental_site</t>
  </si>
  <si>
    <t>collection device</t>
  </si>
  <si>
    <t>CollectionDeviceMenu</t>
  </si>
  <si>
    <t>The instrument or container used to collect the sample e.g. swab.</t>
  </si>
  <si>
    <t>Swab</t>
  </si>
  <si>
    <t>isolation_source;collection_device</t>
  </si>
  <si>
    <t>collection method</t>
  </si>
  <si>
    <t>CollectionMethodMenu</t>
  </si>
  <si>
    <t>The process used to collect the sample e.g. phlebotomy, necropsy.</t>
  </si>
  <si>
    <t>Bronchoalveolar lavage (BAL)</t>
  </si>
  <si>
    <t>isolation_source;collection_method</t>
  </si>
  <si>
    <t>specimen processing</t>
  </si>
  <si>
    <t>SpecimenProcessingMenu</t>
  </si>
  <si>
    <t>Any processing applied to the sample during or after receiving the sample.</t>
  </si>
  <si>
    <t>Critical for interpreting data. Select all the applicable processes from the pick list. If virus was passaged, include information in "lab host", "passage number", and "passage method" fields. If none of the processes in the pick list apply, put "not applicable".</t>
  </si>
  <si>
    <t>Specimens pooled</t>
  </si>
  <si>
    <t>Detailed information regarding the processing applied to a sample during or after receiving the sample.</t>
  </si>
  <si>
    <t>Provide a free text description of any processing details applied to a sample.</t>
  </si>
  <si>
    <t>25 swabs were pooled and further prepared as a single sample during library prep.</t>
  </si>
  <si>
    <t>Host Information</t>
  </si>
  <si>
    <t>host (scientific name)</t>
  </si>
  <si>
    <t>HostScientificNameMenu</t>
  </si>
  <si>
    <t>The taxonomic, or scientific name of the host.</t>
  </si>
  <si>
    <t>Homo sapiens</t>
  </si>
  <si>
    <t>Host</t>
  </si>
  <si>
    <t>host</t>
  </si>
  <si>
    <t>host disease</t>
  </si>
  <si>
    <t>HostDiseaseMenu</t>
  </si>
  <si>
    <t>The name of the disease experienced by the host.</t>
  </si>
  <si>
    <t>COVID-19</t>
  </si>
  <si>
    <t>host_disease</t>
  </si>
  <si>
    <t>decimal</t>
  </si>
  <si>
    <t>Age of host at the time of sampling.</t>
  </si>
  <si>
    <t>Patient age</t>
  </si>
  <si>
    <t>host_age</t>
  </si>
  <si>
    <t>host age unit</t>
  </si>
  <si>
    <t>HostAgeUnitMenu</t>
  </si>
  <si>
    <t>host age bin</t>
  </si>
  <si>
    <t>HostAgeBinMenu</t>
  </si>
  <si>
    <t>60 - 69</t>
  </si>
  <si>
    <t>host gender</t>
  </si>
  <si>
    <t>HostGenderMenu</t>
  </si>
  <si>
    <t>The gender of the host at the time of sample collection.</t>
  </si>
  <si>
    <t>Male</t>
  </si>
  <si>
    <t>Gender</t>
  </si>
  <si>
    <t>host_sex</t>
  </si>
  <si>
    <t>GENEPIO:0001441</t>
  </si>
  <si>
    <t>Sequencing</t>
  </si>
  <si>
    <t>GENEPIO:0001445</t>
  </si>
  <si>
    <t>purpose of sequencing</t>
  </si>
  <si>
    <t>PurposeOfSequencingMenu</t>
  </si>
  <si>
    <t>The reason that the sample was sequenced.</t>
  </si>
  <si>
    <t>Baseline surveillance (random sampling)</t>
  </si>
  <si>
    <t>purpose_of_sequencing</t>
  </si>
  <si>
    <t>GENEPIO:0001446</t>
  </si>
  <si>
    <t>The description of why the sample was sequenced providing specific details.</t>
  </si>
  <si>
    <t>GENEPIO:0001447</t>
  </si>
  <si>
    <t>The date the sample was sequenced.</t>
  </si>
  <si>
    <t>GENEPIO:0001450</t>
  </si>
  <si>
    <t>The name of the DNA library preparation kit used to generate the library being sequenced.</t>
  </si>
  <si>
    <t>Provide the name of the library preparation kit used.</t>
  </si>
  <si>
    <t>Nextera XT</t>
  </si>
  <si>
    <t>GENEPIO:0001452</t>
  </si>
  <si>
    <t>SequencingInstrumentMenu</t>
  </si>
  <si>
    <t>The model of the sequencing instrument used.</t>
  </si>
  <si>
    <t>Sequencing technology</t>
  </si>
  <si>
    <t>GENEPIO:0001476</t>
  </si>
  <si>
    <t>The user-specified filename of the r1 FASTQ file.</t>
  </si>
  <si>
    <t>Provide the r1 FASTQ filename.</t>
  </si>
  <si>
    <t>ABC123_S1_L001_R1_001.fastq.gz</t>
  </si>
  <si>
    <t>GENEPIO:0001477</t>
  </si>
  <si>
    <t>The user-specified filename of the r2 FASTQ file.</t>
  </si>
  <si>
    <t>Provide the r2 FASTQ filename.</t>
  </si>
  <si>
    <t>ABC123_S1_L001_R2_001.fastq.gz</t>
  </si>
  <si>
    <t>GENEPIO:0001457</t>
  </si>
  <si>
    <t>Bioinformatics and QC metrics</t>
  </si>
  <si>
    <t>GENEPIO:0001458</t>
  </si>
  <si>
    <t>Porechop 0.2.3</t>
  </si>
  <si>
    <t>GENEPIO:0001459</t>
  </si>
  <si>
    <t>The method used to remove host reads from the pathogen sequence.</t>
  </si>
  <si>
    <t>Provide the name and version number of the software used to remove host reads.</t>
  </si>
  <si>
    <t>GENEPIO:0001463</t>
  </si>
  <si>
    <t>The name of software used to generate the consensus sequence.</t>
  </si>
  <si>
    <t>Provide the name of the software used to generate the consensus sequence.</t>
  </si>
  <si>
    <t>Assembly method</t>
  </si>
  <si>
    <t>GENEPIO:0001469</t>
  </si>
  <si>
    <t>The version of the software used to generate the consensus sequence.</t>
  </si>
  <si>
    <t>Provide the version of the software used to generate the consensus sequence.</t>
  </si>
  <si>
    <t>GENEPIO:0001489</t>
  </si>
  <si>
    <t>GENEPIO:0001516</t>
  </si>
  <si>
    <t>Contributor acknowledgement</t>
  </si>
  <si>
    <t>GENEPIO:0001517</t>
  </si>
  <si>
    <t>Names of individuals contributing to the processes of sample collection, sequence generation, analysis, and data submission.</t>
  </si>
  <si>
    <t>Include the first and last names of all individuals that should be attributed, separated by a comma.</t>
  </si>
  <si>
    <t>Authors</t>
  </si>
  <si>
    <t>GENEPIO:0001518</t>
  </si>
  <si>
    <t>DataHarmonizer provenance</t>
  </si>
  <si>
    <t>Provenance</t>
  </si>
  <si>
    <t>The DataHarmonizer software and template version provenance.</t>
  </si>
  <si>
    <t>The current software and template version information will be automatically generated in this field after the user utilizes the "validate" function. This information will be generated regardless as to whether the row is valid of not.</t>
  </si>
  <si>
    <t>null value menu</t>
  </si>
  <si>
    <t>Not Applicable</t>
  </si>
  <si>
    <t>GENEPIO:0001619</t>
  </si>
  <si>
    <t>Missing</t>
  </si>
  <si>
    <t>GENEPIO:0001618</t>
  </si>
  <si>
    <t>Not Collected</t>
  </si>
  <si>
    <t>GENEPIO:0001620</t>
  </si>
  <si>
    <t>Not Provided</t>
  </si>
  <si>
    <t>GENEPIO:0001668</t>
  </si>
  <si>
    <t>Restricted Access</t>
  </si>
  <si>
    <t>GENEPIO:0001810</t>
  </si>
  <si>
    <t>host age unit menu</t>
  </si>
  <si>
    <t>month</t>
  </si>
  <si>
    <t>UO:0000035</t>
  </si>
  <si>
    <t>UO:0000036</t>
  </si>
  <si>
    <t>mRNA (cDNA)</t>
  </si>
  <si>
    <t>OBI:0002754</t>
  </si>
  <si>
    <t>anatomical material menu</t>
  </si>
  <si>
    <t>UBERON:0000178</t>
  </si>
  <si>
    <t>Fluid</t>
  </si>
  <si>
    <t>UBERON:0006314</t>
  </si>
  <si>
    <t>Saliva</t>
  </si>
  <si>
    <t>UBERON:0001836</t>
  </si>
  <si>
    <t>Fluid (cerebrospinal (CSF))</t>
  </si>
  <si>
    <t>UBERON:0001359</t>
  </si>
  <si>
    <t>Fluid (pericardial)</t>
  </si>
  <si>
    <t>UBERON:0002409</t>
  </si>
  <si>
    <t>Fluid (pleural)</t>
  </si>
  <si>
    <t>UBERON:0001087</t>
  </si>
  <si>
    <t>Fluid (vaginal)</t>
  </si>
  <si>
    <t>UBERON:0036243</t>
  </si>
  <si>
    <t>Fluid (amniotic)</t>
  </si>
  <si>
    <t>UBERON:0000173</t>
  </si>
  <si>
    <t>Tissue</t>
  </si>
  <si>
    <t>UBERON:0000479</t>
  </si>
  <si>
    <t>anatomical part menu</t>
  </si>
  <si>
    <t>Anus</t>
  </si>
  <si>
    <t>UBERON:0001245</t>
  </si>
  <si>
    <t>Buccal mucosa</t>
  </si>
  <si>
    <t>UBERON:0006956</t>
  </si>
  <si>
    <t>Duodenum</t>
  </si>
  <si>
    <t>UBERON:0002114</t>
  </si>
  <si>
    <t>Eye</t>
  </si>
  <si>
    <t>UBERON:0000970</t>
  </si>
  <si>
    <t>Intestine</t>
  </si>
  <si>
    <t>UBERON:0000160</t>
  </si>
  <si>
    <t>Lower respiratory tract</t>
  </si>
  <si>
    <t>UBERON:0001558</t>
  </si>
  <si>
    <t>Bronchus</t>
  </si>
  <si>
    <t>UBERON:0002185</t>
  </si>
  <si>
    <t>Lung</t>
  </si>
  <si>
    <t>UBERON:0002048</t>
  </si>
  <si>
    <t>Bronchiole</t>
  </si>
  <si>
    <t>UBERON:0002186</t>
  </si>
  <si>
    <t>Alveolar sac</t>
  </si>
  <si>
    <t>UBERON:0002169</t>
  </si>
  <si>
    <t>Pleural sac</t>
  </si>
  <si>
    <t>UBERON:0009778</t>
  </si>
  <si>
    <t>Pleural cavity</t>
  </si>
  <si>
    <t>UBERON:0002402</t>
  </si>
  <si>
    <t>Trachea</t>
  </si>
  <si>
    <t>UBERON:0003126</t>
  </si>
  <si>
    <t>Rectum</t>
  </si>
  <si>
    <t>UBERON:0001052</t>
  </si>
  <si>
    <t>Skin</t>
  </si>
  <si>
    <t>UBERON:0001003</t>
  </si>
  <si>
    <t>Stomach</t>
  </si>
  <si>
    <t>UBERON:0000945</t>
  </si>
  <si>
    <t>Upper respiratory tract</t>
  </si>
  <si>
    <t>UBERON:0001557</t>
  </si>
  <si>
    <t>Anterior Nares</t>
  </si>
  <si>
    <t>UBERON:2001427</t>
  </si>
  <si>
    <t>Esophagus</t>
  </si>
  <si>
    <t>UBERON:0001043</t>
  </si>
  <si>
    <t>Ethmoid sinus</t>
  </si>
  <si>
    <t>UBERON:0002453</t>
  </si>
  <si>
    <t>Nasal Cavity</t>
  </si>
  <si>
    <t>UBERON:0001707</t>
  </si>
  <si>
    <t>Middle Nasal Turbinate</t>
  </si>
  <si>
    <t>UBERON:0005921</t>
  </si>
  <si>
    <t>Inferior Nasal Turbinate</t>
  </si>
  <si>
    <t>UBERON:0005922</t>
  </si>
  <si>
    <t>UBERON:0001728</t>
  </si>
  <si>
    <t>Oropharynx (OP)</t>
  </si>
  <si>
    <t>UBERON:0001729</t>
  </si>
  <si>
    <t>body product menu</t>
  </si>
  <si>
    <t>Breast Milk</t>
  </si>
  <si>
    <t>UBERON:0001913</t>
  </si>
  <si>
    <t>UBERON:0001988</t>
  </si>
  <si>
    <t>Fluid (seminal)</t>
  </si>
  <si>
    <t>UBERON:0006530</t>
  </si>
  <si>
    <t>Mucus</t>
  </si>
  <si>
    <t>UBERON:0000912</t>
  </si>
  <si>
    <t>Sputum</t>
  </si>
  <si>
    <t>UBERON:0007311</t>
  </si>
  <si>
    <t>Sweat</t>
  </si>
  <si>
    <t>UBERON:0001089</t>
  </si>
  <si>
    <t>Tear</t>
  </si>
  <si>
    <t>UBERON:0001827</t>
  </si>
  <si>
    <t>Urine</t>
  </si>
  <si>
    <t>UBERON:0001088</t>
  </si>
  <si>
    <t>environmental material menu</t>
  </si>
  <si>
    <t>Air vent</t>
  </si>
  <si>
    <t>ENVO:03501208</t>
  </si>
  <si>
    <t>Banknote</t>
  </si>
  <si>
    <t>ENVO:00003896</t>
  </si>
  <si>
    <t>Bed rail</t>
  </si>
  <si>
    <t>ENVO:03501209</t>
  </si>
  <si>
    <t>Building floor</t>
  </si>
  <si>
    <t>ENVO:01000486</t>
  </si>
  <si>
    <t>Cloth</t>
  </si>
  <si>
    <t>ENVO:02000058</t>
  </si>
  <si>
    <t>Control panel</t>
  </si>
  <si>
    <t>ENVO:03501210</t>
  </si>
  <si>
    <t xml:space="preserve">Door  </t>
  </si>
  <si>
    <t>ENVO:03501220</t>
  </si>
  <si>
    <t>Door handle</t>
  </si>
  <si>
    <t>ENVO:03501211</t>
  </si>
  <si>
    <t>OBI:0002787</t>
  </si>
  <si>
    <t>Face shield</t>
  </si>
  <si>
    <t>OBI:0002791</t>
  </si>
  <si>
    <t>Food</t>
  </si>
  <si>
    <t>FOODON:00002403</t>
  </si>
  <si>
    <t>Food packaging</t>
  </si>
  <si>
    <t>FOODON:03490100</t>
  </si>
  <si>
    <t>Glass</t>
  </si>
  <si>
    <t>ENVO:01000481</t>
  </si>
  <si>
    <t>Handrail</t>
  </si>
  <si>
    <t>ENVO:03501212</t>
  </si>
  <si>
    <t>Hospital gown</t>
  </si>
  <si>
    <t>OBI:0002796</t>
  </si>
  <si>
    <t>Light switch</t>
  </si>
  <si>
    <t>ENVO:03501213</t>
  </si>
  <si>
    <t>Locker</t>
  </si>
  <si>
    <t>ENVO:03501214</t>
  </si>
  <si>
    <t>N95 mask</t>
  </si>
  <si>
    <t>OBI:0002790</t>
  </si>
  <si>
    <t xml:space="preserve">Nurse call button </t>
  </si>
  <si>
    <t>ENVO:03501215</t>
  </si>
  <si>
    <t>Paper</t>
  </si>
  <si>
    <t>ENVO:03501256</t>
  </si>
  <si>
    <t>Particulate matter</t>
  </si>
  <si>
    <t>ENVO:01000060</t>
  </si>
  <si>
    <t>Plastic</t>
  </si>
  <si>
    <t>ENVO:01000404</t>
  </si>
  <si>
    <t>PPE gown</t>
  </si>
  <si>
    <t>GENEPIO:0100025</t>
  </si>
  <si>
    <t>Sewage</t>
  </si>
  <si>
    <t>ENVO:00002018</t>
  </si>
  <si>
    <t>Sink</t>
  </si>
  <si>
    <t>ENVO:01000990</t>
  </si>
  <si>
    <t>Soil</t>
  </si>
  <si>
    <t>ENVO:00001998</t>
  </si>
  <si>
    <t>Stainless steel</t>
  </si>
  <si>
    <t>ENVO:03501216</t>
  </si>
  <si>
    <t>Tissue paper</t>
  </si>
  <si>
    <t>ENVO:03501217</t>
  </si>
  <si>
    <t>Toilet bowl</t>
  </si>
  <si>
    <t>ENVO:03501218</t>
  </si>
  <si>
    <t>Water</t>
  </si>
  <si>
    <t>ENVO:00002006</t>
  </si>
  <si>
    <t>ENVO:00002001</t>
  </si>
  <si>
    <t>Window</t>
  </si>
  <si>
    <t>ENVO:03501219</t>
  </si>
  <si>
    <t>Wood</t>
  </si>
  <si>
    <t>ENVO:00002040</t>
  </si>
  <si>
    <t>environmental site menu</t>
  </si>
  <si>
    <t>Acute care facility</t>
  </si>
  <si>
    <t>ENVO:03501135</t>
  </si>
  <si>
    <t>Animal house</t>
  </si>
  <si>
    <t>ENVO:00003040</t>
  </si>
  <si>
    <t>Bathroom</t>
  </si>
  <si>
    <t>ENVO:01000422</t>
  </si>
  <si>
    <t>Clinical assessment centre</t>
  </si>
  <si>
    <t>ENVO:03501136</t>
  </si>
  <si>
    <t>Conference venue</t>
  </si>
  <si>
    <t>ENVO:03501127</t>
  </si>
  <si>
    <t>Corridor</t>
  </si>
  <si>
    <t>ENVO:03501121</t>
  </si>
  <si>
    <t>Daycare</t>
  </si>
  <si>
    <t>ENVO:01000927</t>
  </si>
  <si>
    <t>Emergency room (ER)</t>
  </si>
  <si>
    <t>ENVO:03501145</t>
  </si>
  <si>
    <t>Family practice clinic</t>
  </si>
  <si>
    <t>ENVO:03501186</t>
  </si>
  <si>
    <t>Group home</t>
  </si>
  <si>
    <t>ENVO:03501196</t>
  </si>
  <si>
    <t>Homeless shelter</t>
  </si>
  <si>
    <t>ENVO:03501133</t>
  </si>
  <si>
    <t>Hospital</t>
  </si>
  <si>
    <t>ENVO:00002173</t>
  </si>
  <si>
    <t>Intensive Care Unit (ICU)</t>
  </si>
  <si>
    <t>ENVO:03501152</t>
  </si>
  <si>
    <t>Long Term Care Facility</t>
  </si>
  <si>
    <t>ENVO:03501194</t>
  </si>
  <si>
    <t>Patient room</t>
  </si>
  <si>
    <t>ENVO:03501180</t>
  </si>
  <si>
    <t>Prison</t>
  </si>
  <si>
    <t>ENVO:03501204</t>
  </si>
  <si>
    <t>ENVO:01000536</t>
  </si>
  <si>
    <t>School</t>
  </si>
  <si>
    <t>ENVO:03501130</t>
  </si>
  <si>
    <t>Sewage Plant</t>
  </si>
  <si>
    <t>ENVO:00003043</t>
  </si>
  <si>
    <t>Subway train</t>
  </si>
  <si>
    <t>ENVO:03501109</t>
  </si>
  <si>
    <t>ENVO:00000467</t>
  </si>
  <si>
    <t>Wet market</t>
  </si>
  <si>
    <t>ENVO:03501198</t>
  </si>
  <si>
    <t>collection method menu</t>
  </si>
  <si>
    <t>Amniocentesis</t>
  </si>
  <si>
    <t>NCIT:C52009</t>
  </si>
  <si>
    <t>Aspiration</t>
  </si>
  <si>
    <t>NCIT:C15631</t>
  </si>
  <si>
    <t>Suprapubic Aspiration</t>
  </si>
  <si>
    <t>GENEPIO:0100028</t>
  </si>
  <si>
    <t>GENEPIO:0100029</t>
  </si>
  <si>
    <t>Vacuum Aspiration</t>
  </si>
  <si>
    <t>GENEPIO:0100030</t>
  </si>
  <si>
    <t>Biopsy</t>
  </si>
  <si>
    <t>OBI:0002650</t>
  </si>
  <si>
    <t>Needle Biopsy</t>
  </si>
  <si>
    <t>OBI:0002651</t>
  </si>
  <si>
    <t>Filtration</t>
  </si>
  <si>
    <t>OBI:0302885</t>
  </si>
  <si>
    <t>Air filtration</t>
  </si>
  <si>
    <t>GENEPIO:0100031</t>
  </si>
  <si>
    <t>OBI:0600044</t>
  </si>
  <si>
    <t>GENEPIO:0100032</t>
  </si>
  <si>
    <t>Gastric Lavage</t>
  </si>
  <si>
    <t>GENEPIO:0100033</t>
  </si>
  <si>
    <t>Lumbar Puncture</t>
  </si>
  <si>
    <t>NCIT:C15327</t>
  </si>
  <si>
    <t>Necropsy</t>
  </si>
  <si>
    <t>MMO:0000344</t>
  </si>
  <si>
    <t>Phlebotomy</t>
  </si>
  <si>
    <t>NCIT:C28221</t>
  </si>
  <si>
    <t>GENEPIO:0002116</t>
  </si>
  <si>
    <t>Saline gargle (mouth rinse and gargle)</t>
  </si>
  <si>
    <t>GENEPIO:0100034</t>
  </si>
  <si>
    <t>Scraping</t>
  </si>
  <si>
    <t>GENEPIO:0100035</t>
  </si>
  <si>
    <t>Swabbing</t>
  </si>
  <si>
    <t>GENEPIO:0002117</t>
  </si>
  <si>
    <t>Finger Prick</t>
  </si>
  <si>
    <t>GENEPIO:0100036</t>
  </si>
  <si>
    <t>Washout Tear Collection</t>
  </si>
  <si>
    <t>GENEPIO:0100038</t>
  </si>
  <si>
    <t>collection device menu</t>
  </si>
  <si>
    <t>Air filter</t>
  </si>
  <si>
    <t>ENVO:00003968</t>
  </si>
  <si>
    <t>Blood Collection Tube</t>
  </si>
  <si>
    <t>OBI:0002859</t>
  </si>
  <si>
    <t>Bronchoscope</t>
  </si>
  <si>
    <t>OBI:0002826</t>
  </si>
  <si>
    <t>Collection Container</t>
  </si>
  <si>
    <t>OBI:0002088</t>
  </si>
  <si>
    <t>Collection Cup</t>
  </si>
  <si>
    <t>GENEPIO:0100026</t>
  </si>
  <si>
    <t>Fibrobronchoscope Brush</t>
  </si>
  <si>
    <t>OBI:0002825</t>
  </si>
  <si>
    <t>Filter</t>
  </si>
  <si>
    <t>GENEPIO:0100103</t>
  </si>
  <si>
    <t>Fine Needle</t>
  </si>
  <si>
    <t>OBI:0002827</t>
  </si>
  <si>
    <t>Microcapillary tube</t>
  </si>
  <si>
    <t>OBI:0002858</t>
  </si>
  <si>
    <t>Micropipette</t>
  </si>
  <si>
    <t>OBI:0001128</t>
  </si>
  <si>
    <t>Needle</t>
  </si>
  <si>
    <t>OBI:0000436</t>
  </si>
  <si>
    <t>Serum Collection Tube</t>
  </si>
  <si>
    <t>OBI:0002860</t>
  </si>
  <si>
    <t>Sputum Collection Tube</t>
  </si>
  <si>
    <t>OBI:0002861</t>
  </si>
  <si>
    <t>Suction Catheter</t>
  </si>
  <si>
    <t>OBI:0002831</t>
  </si>
  <si>
    <t>GENEPIO:0100027</t>
  </si>
  <si>
    <t>Urine Collection Tube</t>
  </si>
  <si>
    <t>OBI:0002862</t>
  </si>
  <si>
    <t>Virus Transport Medium</t>
  </si>
  <si>
    <t>OBI:0002866</t>
  </si>
  <si>
    <t>host (scientific name) menu</t>
  </si>
  <si>
    <t>NCBITaxon:9606</t>
  </si>
  <si>
    <t>Bos taurus</t>
  </si>
  <si>
    <t>NCBITaxon:9913</t>
  </si>
  <si>
    <t>Canis lupus familiaris</t>
  </si>
  <si>
    <t>NCBITaxon:9615</t>
  </si>
  <si>
    <t>Chiroptera</t>
  </si>
  <si>
    <t>NCBITaxon:9397</t>
  </si>
  <si>
    <t>Columbidae</t>
  </si>
  <si>
    <t>NCBITaxon:8930</t>
  </si>
  <si>
    <t>Felis catus</t>
  </si>
  <si>
    <t>NCBITaxon:9685</t>
  </si>
  <si>
    <t>Gallus gallus</t>
  </si>
  <si>
    <t>NCBITaxon:9031</t>
  </si>
  <si>
    <t>Manis</t>
  </si>
  <si>
    <t>NCBITaxon:9973</t>
  </si>
  <si>
    <t>Manis javanica</t>
  </si>
  <si>
    <t>NCBITaxon:9974</t>
  </si>
  <si>
    <t>Neovison vison</t>
  </si>
  <si>
    <t>NCBITaxon:452646</t>
  </si>
  <si>
    <t>Panthera leo</t>
  </si>
  <si>
    <t>NCBITaxon:9689</t>
  </si>
  <si>
    <t>Panthera tigris</t>
  </si>
  <si>
    <t>NCBITaxon:9694</t>
  </si>
  <si>
    <t>Rhinolophidae</t>
  </si>
  <si>
    <t>NCBITaxon:58055</t>
  </si>
  <si>
    <t>Rhinolophus affinis</t>
  </si>
  <si>
    <t>NCBITaxon:59477</t>
  </si>
  <si>
    <t>Sus scrofa domesticus</t>
  </si>
  <si>
    <t>NCBITaxon:9825</t>
  </si>
  <si>
    <t>Viverridae</t>
  </si>
  <si>
    <t>NCBITaxon:9673</t>
  </si>
  <si>
    <t>organism menu</t>
  </si>
  <si>
    <t>NCBITaxon:2697049</t>
  </si>
  <si>
    <t>purpose of sampling menu</t>
  </si>
  <si>
    <t>Cluster/Outbreak investigation</t>
  </si>
  <si>
    <t>GENEPIO:0100001</t>
  </si>
  <si>
    <t>GENEPIO:0100002</t>
  </si>
  <si>
    <t>Research</t>
  </si>
  <si>
    <t>GENEPIO:0100003</t>
  </si>
  <si>
    <t xml:space="preserve">Surveillance </t>
  </si>
  <si>
    <t>GENEPIO:0100004</t>
  </si>
  <si>
    <t>purpose of sequencing menu</t>
  </si>
  <si>
    <t>GENEPIO:0100005</t>
  </si>
  <si>
    <t>Targeted surveillance (non-random sampling)</t>
  </si>
  <si>
    <t>GENEPIO:0100006</t>
  </si>
  <si>
    <t>Priority surveillance project</t>
  </si>
  <si>
    <t>GENEPIO:0100007</t>
  </si>
  <si>
    <t>Screening for Variants of Concern (VoC)</t>
  </si>
  <si>
    <t>GENEPIO:0100008</t>
  </si>
  <si>
    <t>GENEPIO:0100273</t>
  </si>
  <si>
    <t>GENEPIO:0100274</t>
  </si>
  <si>
    <t xml:space="preserve">Longitudinal surveillance (repeat sampling of individuals) </t>
  </si>
  <si>
    <t>GENEPIO:0100009</t>
  </si>
  <si>
    <t xml:space="preserve">Re-infection surveillance </t>
  </si>
  <si>
    <t>GENEPIO:0100010</t>
  </si>
  <si>
    <t>Vaccine escape surveillance</t>
  </si>
  <si>
    <t>GENEPIO:0100011</t>
  </si>
  <si>
    <t>Travel-associated surveillance</t>
  </si>
  <si>
    <t>GENEPIO:0100012</t>
  </si>
  <si>
    <t>Domestic travel surveillance</t>
  </si>
  <si>
    <t>GENEPIO:0100013</t>
  </si>
  <si>
    <t>GENEPIO:0100275</t>
  </si>
  <si>
    <t>GENEPIO:0100276</t>
  </si>
  <si>
    <t>International travel surveillance</t>
  </si>
  <si>
    <t>GENEPIO:0100014</t>
  </si>
  <si>
    <t>Surveillance of international border crossing by air travel or ground transport</t>
  </si>
  <si>
    <t>GENEPIO:0100015</t>
  </si>
  <si>
    <t>Surveillance of international border crossing by air travel</t>
  </si>
  <si>
    <t>GENEPIO:0100016</t>
  </si>
  <si>
    <t>Surveillance of international border crossing by ground transport</t>
  </si>
  <si>
    <t>GENEPIO:0100017</t>
  </si>
  <si>
    <t>Surveillance from international worker testing</t>
  </si>
  <si>
    <t>GENEPIO:0100018</t>
  </si>
  <si>
    <t>GENEPIO:0100019</t>
  </si>
  <si>
    <t>Multi-jurisdictional outbreak investigation</t>
  </si>
  <si>
    <t>GENEPIO:0100020</t>
  </si>
  <si>
    <t>Intra-jurisdictional outbreak investigation</t>
  </si>
  <si>
    <t>GENEPIO:0100021</t>
  </si>
  <si>
    <t>GENEPIO:0100022</t>
  </si>
  <si>
    <t>Protocol testing experiment</t>
  </si>
  <si>
    <t>GENEPIO:0100024</t>
  </si>
  <si>
    <t>GENEPIO:0100356</t>
  </si>
  <si>
    <t>specimen processing menu</t>
  </si>
  <si>
    <t>Virus passage</t>
  </si>
  <si>
    <t>GENEPIO:0100039</t>
  </si>
  <si>
    <t>RNA re-extraction (post RT-PCR)</t>
  </si>
  <si>
    <t>GENEPIO:0100040</t>
  </si>
  <si>
    <t>OBI:0600016</t>
  </si>
  <si>
    <t>host disease menu</t>
  </si>
  <si>
    <t>MONDO:0100096</t>
  </si>
  <si>
    <t>host age bin menu</t>
  </si>
  <si>
    <t>0 - 9</t>
  </si>
  <si>
    <t>GENEPIO:0100049</t>
  </si>
  <si>
    <t>10 - 19</t>
  </si>
  <si>
    <t>GENEPIO:0100050</t>
  </si>
  <si>
    <t>20 - 29</t>
  </si>
  <si>
    <t>GENEPIO:0100051</t>
  </si>
  <si>
    <t>30 - 39</t>
  </si>
  <si>
    <t>GENEPIO:0100052</t>
  </si>
  <si>
    <t>40 - 49</t>
  </si>
  <si>
    <t>GENEPIO:0100053</t>
  </si>
  <si>
    <t>50 - 59</t>
  </si>
  <si>
    <t>GENEPIO:0100054</t>
  </si>
  <si>
    <t>GENEPIO:0100055</t>
  </si>
  <si>
    <t>70 - 79</t>
  </si>
  <si>
    <t>GENEPIO:0100056</t>
  </si>
  <si>
    <t>80 - 89</t>
  </si>
  <si>
    <t>GENEPIO:0100057</t>
  </si>
  <si>
    <t>90 - 99</t>
  </si>
  <si>
    <t>GENEPIO:0100058</t>
  </si>
  <si>
    <t>100+</t>
  </si>
  <si>
    <t>GENEPIO:0100059</t>
  </si>
  <si>
    <t>host gender menu</t>
  </si>
  <si>
    <t>Female</t>
  </si>
  <si>
    <t>NCIT:C46110</t>
  </si>
  <si>
    <t>NCIT:C46109</t>
  </si>
  <si>
    <t>Non-binary gender</t>
  </si>
  <si>
    <t>GSSO:000132</t>
  </si>
  <si>
    <t>GSSO:004004</t>
  </si>
  <si>
    <t>GSSO:004005</t>
  </si>
  <si>
    <t>Undeclared</t>
  </si>
  <si>
    <t>NCIT:C110959</t>
  </si>
  <si>
    <t>sequencing instrument menu</t>
  </si>
  <si>
    <t>GENEPIO:0100105</t>
  </si>
  <si>
    <t>GENEPIO:0100106</t>
  </si>
  <si>
    <t>GENEPIO:0100107</t>
  </si>
  <si>
    <t>GENEPIO:0100108</t>
  </si>
  <si>
    <t>GENEPIO:0100109</t>
  </si>
  <si>
    <t>GENEPIO:0100110</t>
  </si>
  <si>
    <t>GENEPIO:0100111</t>
  </si>
  <si>
    <t>GENEPIO:0100112</t>
  </si>
  <si>
    <t>GENEPIO:0100113</t>
  </si>
  <si>
    <t>GENEPIO:0100114</t>
  </si>
  <si>
    <t>GENEPIO:0100115</t>
  </si>
  <si>
    <t>GENEPIO:0100116</t>
  </si>
  <si>
    <t>GENEPIO:0100117</t>
  </si>
  <si>
    <t>GENEPIO:0100118</t>
  </si>
  <si>
    <t>GENEPIO:0100119</t>
  </si>
  <si>
    <t>GENEPIO:0100120</t>
  </si>
  <si>
    <t>GENEPIO:0100121</t>
  </si>
  <si>
    <t>GENEPIO:0100122</t>
  </si>
  <si>
    <t>GENEPIO:0100123</t>
  </si>
  <si>
    <t>GENEPIO:0100124</t>
  </si>
  <si>
    <t>GENEPIO:0100125</t>
  </si>
  <si>
    <t>GENEPIO:0100126</t>
  </si>
  <si>
    <t>GENEPIO:0100127</t>
  </si>
  <si>
    <t>GENEPIO:0100128</t>
  </si>
  <si>
    <t>GENEPIO:0100129</t>
  </si>
  <si>
    <t>GENEPIO:0100130</t>
  </si>
  <si>
    <t>GENEPIO:0100131</t>
  </si>
  <si>
    <t>GENEPIO:0100132</t>
  </si>
  <si>
    <t>GENEPIO:0100133</t>
  </si>
  <si>
    <t>GENEPIO:0100134</t>
  </si>
  <si>
    <t>GENEPIO:0100135</t>
  </si>
  <si>
    <t>GENEPIO:0100136</t>
  </si>
  <si>
    <t>GENEPIO:0100137</t>
  </si>
  <si>
    <t>GENEPIO:0100138</t>
  </si>
  <si>
    <t>GENEPIO:0100139</t>
  </si>
  <si>
    <t>GENEPIO:0100140</t>
  </si>
  <si>
    <t>GENEPIO:0100141</t>
  </si>
  <si>
    <t>GENEPIO:0100142</t>
  </si>
  <si>
    <t>GENEPIO:0100143</t>
  </si>
  <si>
    <t>GENEPIO:0100144</t>
  </si>
  <si>
    <t>GENEPIO:0100145</t>
  </si>
  <si>
    <t>GENEPIO:0100146</t>
  </si>
  <si>
    <t>GENEPIO:0100147</t>
  </si>
  <si>
    <t>GENEPIO:0100148</t>
  </si>
  <si>
    <t>GENEPIO:0100149</t>
  </si>
  <si>
    <t>GENEPIO:0100150</t>
  </si>
  <si>
    <t>Alberta Precision Labs (APL)</t>
  </si>
  <si>
    <t>Alberta ProvLab North (APLN)</t>
  </si>
  <si>
    <t>Alberta ProvLab South (APLS)</t>
  </si>
  <si>
    <t>BCCDC Public Health Laboratory</t>
  </si>
  <si>
    <t>Laboratoire de santé publique du Québec (LSPQ)</t>
  </si>
  <si>
    <t>Manitoba Cadham Provincial Laboratory</t>
  </si>
  <si>
    <t>National Microbiology Laboratory (NML)</t>
  </si>
  <si>
    <t>New Brunswick - Vitalité Health Network</t>
  </si>
  <si>
    <t>Newfoundland and Labrador - Eastern Health</t>
  </si>
  <si>
    <t>Nova Scotia Health Authority</t>
  </si>
  <si>
    <t>Ontario Institute for Cancer Research (OICR)</t>
  </si>
  <si>
    <t>Prince Edward Island - Health PEI</t>
  </si>
  <si>
    <t>Saskatchewan - Roy Romanow Provincial Laboratory (RRPL)</t>
  </si>
  <si>
    <t>sequence submitted by menu</t>
  </si>
  <si>
    <t>Canadore College</t>
  </si>
  <si>
    <t>The Centre for Applied Genomics (TCAG)</t>
  </si>
  <si>
    <t>Dynacare</t>
  </si>
  <si>
    <t>Dynacare (Brampton)</t>
  </si>
  <si>
    <t>Dynacare (Manitoba)</t>
  </si>
  <si>
    <t>The Hospital for Sick Children (SickKids)</t>
  </si>
  <si>
    <t>McGill University</t>
  </si>
  <si>
    <t>McMaster University</t>
  </si>
  <si>
    <t>Queen's University / Kingston Health Sciences Centre</t>
  </si>
  <si>
    <t>Sunnybrook Health Sciences Centre</t>
  </si>
  <si>
    <t>Thunder Bay Regional Health Sciences Centre</t>
  </si>
  <si>
    <t>geo_loc_name (country) menu</t>
  </si>
  <si>
    <t>Afghanistan</t>
  </si>
  <si>
    <t>GAZ:00006882</t>
  </si>
  <si>
    <t>Albania</t>
  </si>
  <si>
    <t>GAZ:00002953</t>
  </si>
  <si>
    <t>Algeria</t>
  </si>
  <si>
    <t>GAZ:00000563</t>
  </si>
  <si>
    <t>American Samoa</t>
  </si>
  <si>
    <t>GAZ:00003957</t>
  </si>
  <si>
    <t>Andorra</t>
  </si>
  <si>
    <t>GAZ:00002948</t>
  </si>
  <si>
    <t>Angola</t>
  </si>
  <si>
    <t>GAZ:00001095</t>
  </si>
  <si>
    <t>Anguilla</t>
  </si>
  <si>
    <t>GAZ:00009159</t>
  </si>
  <si>
    <t>Antarctica</t>
  </si>
  <si>
    <t>GAZ:00000462</t>
  </si>
  <si>
    <t>Antigua and Barbuda</t>
  </si>
  <si>
    <t>GAZ:00006883</t>
  </si>
  <si>
    <t>Argentina</t>
  </si>
  <si>
    <t>GAZ:00002928</t>
  </si>
  <si>
    <t>Armenia</t>
  </si>
  <si>
    <t>GAZ:00004094</t>
  </si>
  <si>
    <t>Aruba</t>
  </si>
  <si>
    <t>GAZ:00004025</t>
  </si>
  <si>
    <t>Ashmore and Cartier Islands</t>
  </si>
  <si>
    <t>GAZ:00005901</t>
  </si>
  <si>
    <t>Australia</t>
  </si>
  <si>
    <t>GAZ:00000463</t>
  </si>
  <si>
    <t>Austria</t>
  </si>
  <si>
    <t>GAZ:00002942</t>
  </si>
  <si>
    <t>Azerbaijan</t>
  </si>
  <si>
    <t>GAZ:00004941</t>
  </si>
  <si>
    <t>Bahamas</t>
  </si>
  <si>
    <t>GAZ:00002733</t>
  </si>
  <si>
    <t>Bahrain</t>
  </si>
  <si>
    <t>GAZ:00005281</t>
  </si>
  <si>
    <t>Baker Island</t>
  </si>
  <si>
    <t>GAZ:00007117</t>
  </si>
  <si>
    <t>Bangladesh</t>
  </si>
  <si>
    <t>GAZ:00003750</t>
  </si>
  <si>
    <t>Barbados</t>
  </si>
  <si>
    <t>GAZ:00001251</t>
  </si>
  <si>
    <t>Bassas da India</t>
  </si>
  <si>
    <t>GAZ:00005810</t>
  </si>
  <si>
    <t>Belarus</t>
  </si>
  <si>
    <t>GAZ:00006886</t>
  </si>
  <si>
    <t>Belgium</t>
  </si>
  <si>
    <t>GAZ:00002938</t>
  </si>
  <si>
    <t>Belize</t>
  </si>
  <si>
    <t>GAZ:00002934</t>
  </si>
  <si>
    <t>Benin</t>
  </si>
  <si>
    <t>GAZ:00000904</t>
  </si>
  <si>
    <t>Bermuda</t>
  </si>
  <si>
    <t>GAZ:00001264</t>
  </si>
  <si>
    <t>Bhutan</t>
  </si>
  <si>
    <t>GAZ:00003920</t>
  </si>
  <si>
    <t>Bolivia</t>
  </si>
  <si>
    <t>GAZ:00002511</t>
  </si>
  <si>
    <t>Borneo</t>
  </si>
  <si>
    <t>GAZ:00025355</t>
  </si>
  <si>
    <t>Bosnia and Herzegovina</t>
  </si>
  <si>
    <t>GAZ:00006887</t>
  </si>
  <si>
    <t>Botswana</t>
  </si>
  <si>
    <t>GAZ:00001097</t>
  </si>
  <si>
    <t>Bouvet Island</t>
  </si>
  <si>
    <t>GAZ:00001453</t>
  </si>
  <si>
    <t>Brazil</t>
  </si>
  <si>
    <t>GAZ:00002828</t>
  </si>
  <si>
    <t>British Virgin Islands</t>
  </si>
  <si>
    <t>GAZ:00003961</t>
  </si>
  <si>
    <t>Brunei</t>
  </si>
  <si>
    <t>GAZ:00003901</t>
  </si>
  <si>
    <t>Bulgaria</t>
  </si>
  <si>
    <t>GAZ:00002950</t>
  </si>
  <si>
    <t>Burkina Faso</t>
  </si>
  <si>
    <t>GAZ:00000905</t>
  </si>
  <si>
    <t>Burundi</t>
  </si>
  <si>
    <t>GAZ:00001090</t>
  </si>
  <si>
    <t>Cambodia</t>
  </si>
  <si>
    <t>GAZ:00006888</t>
  </si>
  <si>
    <t>Cameroon</t>
  </si>
  <si>
    <t>GAZ:00001093</t>
  </si>
  <si>
    <t>GAZ:00002560</t>
  </si>
  <si>
    <t>Cape Verde</t>
  </si>
  <si>
    <t>GAZ:00001227</t>
  </si>
  <si>
    <t>Cayman Islands</t>
  </si>
  <si>
    <t>GAZ:00003986</t>
  </si>
  <si>
    <t>Central African Republic</t>
  </si>
  <si>
    <t>GAZ:00001089</t>
  </si>
  <si>
    <t>Chad</t>
  </si>
  <si>
    <t>GAZ:00000586</t>
  </si>
  <si>
    <t>Chile</t>
  </si>
  <si>
    <t>GAZ:00002825</t>
  </si>
  <si>
    <t>China</t>
  </si>
  <si>
    <t>GAZ:00002845</t>
  </si>
  <si>
    <t>Christmas Island</t>
  </si>
  <si>
    <t>GAZ:00005915</t>
  </si>
  <si>
    <t>Clipperton Island</t>
  </si>
  <si>
    <t>GAZ:00005838</t>
  </si>
  <si>
    <t>Cocos Islands</t>
  </si>
  <si>
    <t>GAZ:00009721</t>
  </si>
  <si>
    <t>Colombia</t>
  </si>
  <si>
    <t>GAZ:00002929</t>
  </si>
  <si>
    <t>Comoros</t>
  </si>
  <si>
    <t>GAZ:00005820</t>
  </si>
  <si>
    <t>Cook Islands</t>
  </si>
  <si>
    <t>GAZ:00053798</t>
  </si>
  <si>
    <t>Coral Sea Islands</t>
  </si>
  <si>
    <t>GAZ:00005917</t>
  </si>
  <si>
    <t>Costa Rica</t>
  </si>
  <si>
    <t>GAZ:00002901</t>
  </si>
  <si>
    <t>Cote d'Ivoire</t>
  </si>
  <si>
    <t>GAZ:00000906</t>
  </si>
  <si>
    <t>Croatia</t>
  </si>
  <si>
    <t>GAZ:00002719</t>
  </si>
  <si>
    <t>Cuba</t>
  </si>
  <si>
    <t>GAZ:00003762</t>
  </si>
  <si>
    <t>Curacao</t>
  </si>
  <si>
    <t>GAZ:00012582</t>
  </si>
  <si>
    <t>Cyprus</t>
  </si>
  <si>
    <t>GAZ:00004006</t>
  </si>
  <si>
    <t>Czech Republic</t>
  </si>
  <si>
    <t>GAZ:00002954</t>
  </si>
  <si>
    <t>Democratic Republic of the Congo</t>
  </si>
  <si>
    <t>GAZ:00001086</t>
  </si>
  <si>
    <t>Denmark</t>
  </si>
  <si>
    <t>GAZ:00005852</t>
  </si>
  <si>
    <t>Djibouti</t>
  </si>
  <si>
    <t>GAZ:00000582</t>
  </si>
  <si>
    <t>Dominica</t>
  </si>
  <si>
    <t>GAZ:00006890</t>
  </si>
  <si>
    <t>Dominican Republic</t>
  </si>
  <si>
    <t>GAZ:00003952</t>
  </si>
  <si>
    <t>Ecuador</t>
  </si>
  <si>
    <t>GAZ:00002912</t>
  </si>
  <si>
    <t>Egypt</t>
  </si>
  <si>
    <t>GAZ:00003934</t>
  </si>
  <si>
    <t>El Salvador</t>
  </si>
  <si>
    <t>GAZ:00002935</t>
  </si>
  <si>
    <t>Equatorial Guinea</t>
  </si>
  <si>
    <t>GAZ:00001091</t>
  </si>
  <si>
    <t>Eritrea</t>
  </si>
  <si>
    <t>GAZ:00000581</t>
  </si>
  <si>
    <t>Estonia</t>
  </si>
  <si>
    <t>GAZ:00002959</t>
  </si>
  <si>
    <t>Eswatini</t>
  </si>
  <si>
    <t>GAZ:00001099</t>
  </si>
  <si>
    <t>Ethiopia</t>
  </si>
  <si>
    <t>GAZ:00000567</t>
  </si>
  <si>
    <t>Europa Island</t>
  </si>
  <si>
    <t>GAZ:00005811</t>
  </si>
  <si>
    <t>Falkland Islands (Islas Malvinas)</t>
  </si>
  <si>
    <t>GAZ:00001412</t>
  </si>
  <si>
    <t>Faroe Islands</t>
  </si>
  <si>
    <t>GAZ:00059206</t>
  </si>
  <si>
    <t>Fiji</t>
  </si>
  <si>
    <t>GAZ:00006891</t>
  </si>
  <si>
    <t>Finland</t>
  </si>
  <si>
    <t>GAZ:00002937</t>
  </si>
  <si>
    <t>France</t>
  </si>
  <si>
    <t>GAZ:00003940</t>
  </si>
  <si>
    <t>French Guiana</t>
  </si>
  <si>
    <t>GAZ:00002516</t>
  </si>
  <si>
    <t>French Polynesia</t>
  </si>
  <si>
    <t>GAZ:00002918</t>
  </si>
  <si>
    <t>French Southern and Antarctic Lands</t>
  </si>
  <si>
    <t>GAZ:00003753</t>
  </si>
  <si>
    <t>Gabon</t>
  </si>
  <si>
    <t>GAZ:00001092</t>
  </si>
  <si>
    <t>Gambia</t>
  </si>
  <si>
    <t>GAZ:00000907</t>
  </si>
  <si>
    <t>Gaza Strip</t>
  </si>
  <si>
    <t>GAZ:00009571</t>
  </si>
  <si>
    <t>Georgia</t>
  </si>
  <si>
    <t>GAZ:00004942</t>
  </si>
  <si>
    <t>Germany</t>
  </si>
  <si>
    <t>GAZ:00002646</t>
  </si>
  <si>
    <t>Ghana</t>
  </si>
  <si>
    <t>GAZ:00000908</t>
  </si>
  <si>
    <t>Gibraltar</t>
  </si>
  <si>
    <t>GAZ:00003987</t>
  </si>
  <si>
    <t>Glorioso Islands</t>
  </si>
  <si>
    <t>GAZ:00005808</t>
  </si>
  <si>
    <t>Greece</t>
  </si>
  <si>
    <t>GAZ:00002945</t>
  </si>
  <si>
    <t>Greenland</t>
  </si>
  <si>
    <t>GAZ:00001507</t>
  </si>
  <si>
    <t>Grenada</t>
  </si>
  <si>
    <t>GAZ:02000573</t>
  </si>
  <si>
    <t>Guadeloupe</t>
  </si>
  <si>
    <t>GAZ:00067142</t>
  </si>
  <si>
    <t>Guam</t>
  </si>
  <si>
    <t>GAZ:00003706</t>
  </si>
  <si>
    <t>Guatemala</t>
  </si>
  <si>
    <t>GAZ:00002936</t>
  </si>
  <si>
    <t>Guernsey</t>
  </si>
  <si>
    <t>GAZ:00001550</t>
  </si>
  <si>
    <t>Guinea</t>
  </si>
  <si>
    <t>GAZ:00000909</t>
  </si>
  <si>
    <t>Guinea-Bissau</t>
  </si>
  <si>
    <t>GAZ:00000910</t>
  </si>
  <si>
    <t>Guyana</t>
  </si>
  <si>
    <t>GAZ:00002522</t>
  </si>
  <si>
    <t>Haiti</t>
  </si>
  <si>
    <t>GAZ:00003953</t>
  </si>
  <si>
    <t>Heard Island and McDonald Islands</t>
  </si>
  <si>
    <t>GAZ:00009718</t>
  </si>
  <si>
    <t>Honduras</t>
  </si>
  <si>
    <t>GAZ:00002894</t>
  </si>
  <si>
    <t>Hong Kong</t>
  </si>
  <si>
    <t>GAZ:00003203</t>
  </si>
  <si>
    <t>Howland Island</t>
  </si>
  <si>
    <t>GAZ:00007120</t>
  </si>
  <si>
    <t>Hungary</t>
  </si>
  <si>
    <t>GAZ:00002952</t>
  </si>
  <si>
    <t>Iceland</t>
  </si>
  <si>
    <t>GAZ:00000843</t>
  </si>
  <si>
    <t>India</t>
  </si>
  <si>
    <t>GAZ:00002839</t>
  </si>
  <si>
    <t>Indonesia</t>
  </si>
  <si>
    <t>GAZ:00003727</t>
  </si>
  <si>
    <t>Iran</t>
  </si>
  <si>
    <t>GAZ:00004474</t>
  </si>
  <si>
    <t>Iraq</t>
  </si>
  <si>
    <t>GAZ:00004483</t>
  </si>
  <si>
    <t>Ireland</t>
  </si>
  <si>
    <t>GAZ:00002943</t>
  </si>
  <si>
    <t>Isle of Man</t>
  </si>
  <si>
    <t>GAZ:00052477</t>
  </si>
  <si>
    <t>Israel</t>
  </si>
  <si>
    <t>GAZ:00002476</t>
  </si>
  <si>
    <t>Italy</t>
  </si>
  <si>
    <t>GAZ:00002650</t>
  </si>
  <si>
    <t>Jamaica</t>
  </si>
  <si>
    <t>GAZ:00003781</t>
  </si>
  <si>
    <t>Jan Mayen</t>
  </si>
  <si>
    <t>GAZ:00005853</t>
  </si>
  <si>
    <t>Japan</t>
  </si>
  <si>
    <t>GAZ:00002747</t>
  </si>
  <si>
    <t>Jarvis Island</t>
  </si>
  <si>
    <t>GAZ:00007118</t>
  </si>
  <si>
    <t>Jersey</t>
  </si>
  <si>
    <t>GAZ:00001551</t>
  </si>
  <si>
    <t>Johnston Atoll</t>
  </si>
  <si>
    <t>GAZ:00007114</t>
  </si>
  <si>
    <t>Jordan</t>
  </si>
  <si>
    <t>GAZ:00002473</t>
  </si>
  <si>
    <t>Juan de Nova Island</t>
  </si>
  <si>
    <t>GAZ:00005809</t>
  </si>
  <si>
    <t>Kazakhstan</t>
  </si>
  <si>
    <t>GAZ:00004999</t>
  </si>
  <si>
    <t>Kenya</t>
  </si>
  <si>
    <t>GAZ:00001101</t>
  </si>
  <si>
    <t>Kerguelen Archipelago</t>
  </si>
  <si>
    <t>GAZ:00005682</t>
  </si>
  <si>
    <t>Kingman Reef</t>
  </si>
  <si>
    <t>GAZ:00007116</t>
  </si>
  <si>
    <t>Kiribati</t>
  </si>
  <si>
    <t>GAZ:00006894</t>
  </si>
  <si>
    <t>Kosovo</t>
  </si>
  <si>
    <t>GAZ:00011337</t>
  </si>
  <si>
    <t>Kuwait</t>
  </si>
  <si>
    <t>GAZ:00005285</t>
  </si>
  <si>
    <t>Kyrgyzstan</t>
  </si>
  <si>
    <t>GAZ:00006893</t>
  </si>
  <si>
    <t>Laos</t>
  </si>
  <si>
    <t>GAZ:00006889</t>
  </si>
  <si>
    <t>Latvia</t>
  </si>
  <si>
    <t>GAZ:00002958</t>
  </si>
  <si>
    <t>Lebanon</t>
  </si>
  <si>
    <t>GAZ:00002478</t>
  </si>
  <si>
    <t>Lesotho</t>
  </si>
  <si>
    <t>GAZ:00001098</t>
  </si>
  <si>
    <t>Liberia</t>
  </si>
  <si>
    <t>GAZ:00000911</t>
  </si>
  <si>
    <t>Libya</t>
  </si>
  <si>
    <t>GAZ:00000566</t>
  </si>
  <si>
    <t>Liechtenstein</t>
  </si>
  <si>
    <t>GAZ:00003858</t>
  </si>
  <si>
    <t>Line Islands</t>
  </si>
  <si>
    <t>GAZ:00007144</t>
  </si>
  <si>
    <t>Lithuania</t>
  </si>
  <si>
    <t>GAZ:00002960</t>
  </si>
  <si>
    <t>Luxembourg</t>
  </si>
  <si>
    <t>GAZ:00002947</t>
  </si>
  <si>
    <t>Macau</t>
  </si>
  <si>
    <t>GAZ:00003202</t>
  </si>
  <si>
    <t>Madagascar</t>
  </si>
  <si>
    <t>GAZ:00001108</t>
  </si>
  <si>
    <t>Malawi</t>
  </si>
  <si>
    <t>GAZ:00001105</t>
  </si>
  <si>
    <t>Malaysia</t>
  </si>
  <si>
    <t>GAZ:00003902</t>
  </si>
  <si>
    <t>Maldives</t>
  </si>
  <si>
    <t>GAZ:00006924</t>
  </si>
  <si>
    <t>Mali</t>
  </si>
  <si>
    <t>GAZ:00000584</t>
  </si>
  <si>
    <t>Malta</t>
  </si>
  <si>
    <t>GAZ:00004017</t>
  </si>
  <si>
    <t>Marshall Islands</t>
  </si>
  <si>
    <t>GAZ:00007161</t>
  </si>
  <si>
    <t>Martinique</t>
  </si>
  <si>
    <t>GAZ:00067143</t>
  </si>
  <si>
    <t>Mauritania</t>
  </si>
  <si>
    <t>GAZ:00000583</t>
  </si>
  <si>
    <t>Mauritius</t>
  </si>
  <si>
    <t>GAZ:00003745</t>
  </si>
  <si>
    <t>Mayotte</t>
  </si>
  <si>
    <t>GAZ:00003943</t>
  </si>
  <si>
    <t>Mexico</t>
  </si>
  <si>
    <t>GAZ:00002852</t>
  </si>
  <si>
    <t>Micronesia</t>
  </si>
  <si>
    <t>GAZ:00005862</t>
  </si>
  <si>
    <t>Midway Islands</t>
  </si>
  <si>
    <t>GAZ:00007112</t>
  </si>
  <si>
    <t>Moldova</t>
  </si>
  <si>
    <t>GAZ:00003897</t>
  </si>
  <si>
    <t>Monaco</t>
  </si>
  <si>
    <t>GAZ:00003857</t>
  </si>
  <si>
    <t>Mongolia</t>
  </si>
  <si>
    <t>GAZ:00008744</t>
  </si>
  <si>
    <t>Montenegro</t>
  </si>
  <si>
    <t>GAZ:00006898</t>
  </si>
  <si>
    <t>Montserrat</t>
  </si>
  <si>
    <t>GAZ:00003988</t>
  </si>
  <si>
    <t>Morocco</t>
  </si>
  <si>
    <t>GAZ:00000565</t>
  </si>
  <si>
    <t>Mozambique</t>
  </si>
  <si>
    <t>GAZ:00001100</t>
  </si>
  <si>
    <t>Myanmar</t>
  </si>
  <si>
    <t>GAZ:00006899</t>
  </si>
  <si>
    <t>Namibia</t>
  </si>
  <si>
    <t>GAZ:00001096</t>
  </si>
  <si>
    <t>Nauru</t>
  </si>
  <si>
    <t>GAZ:00006900</t>
  </si>
  <si>
    <t>Navassa Island</t>
  </si>
  <si>
    <t>GAZ:00007119</t>
  </si>
  <si>
    <t>Nepal</t>
  </si>
  <si>
    <t>GAZ:00004399</t>
  </si>
  <si>
    <t>Netherlands</t>
  </si>
  <si>
    <t>GAZ:00002946</t>
  </si>
  <si>
    <t>New Caledonia</t>
  </si>
  <si>
    <t>GAZ:00005206</t>
  </si>
  <si>
    <t>New Zealand</t>
  </si>
  <si>
    <t>GAZ:00000469</t>
  </si>
  <si>
    <t>Nicaragua</t>
  </si>
  <si>
    <t>GAZ:00002978</t>
  </si>
  <si>
    <t>Niger</t>
  </si>
  <si>
    <t>GAZ:00000585</t>
  </si>
  <si>
    <t>Nigeria</t>
  </si>
  <si>
    <t>GAZ:00000912</t>
  </si>
  <si>
    <t>Niue</t>
  </si>
  <si>
    <t>GAZ:00006902</t>
  </si>
  <si>
    <t>Norfolk Island</t>
  </si>
  <si>
    <t>GAZ:00005908</t>
  </si>
  <si>
    <t>North Korea</t>
  </si>
  <si>
    <t>GAZ:00002801</t>
  </si>
  <si>
    <t>North Macedonia</t>
  </si>
  <si>
    <t>GAZ:00006895</t>
  </si>
  <si>
    <t>North Sea</t>
  </si>
  <si>
    <t>GAZ:00002284</t>
  </si>
  <si>
    <t>Northern Mariana Islands</t>
  </si>
  <si>
    <t>GAZ:00003958</t>
  </si>
  <si>
    <t>Norway</t>
  </si>
  <si>
    <t>GAZ:00002699</t>
  </si>
  <si>
    <t>Oman</t>
  </si>
  <si>
    <t>GAZ:00005283</t>
  </si>
  <si>
    <t>Pakistan</t>
  </si>
  <si>
    <t>GAZ:00005246</t>
  </si>
  <si>
    <t>Palau</t>
  </si>
  <si>
    <t>GAZ:00006905</t>
  </si>
  <si>
    <t>Panama</t>
  </si>
  <si>
    <t>GAZ:00002892</t>
  </si>
  <si>
    <t>Papua New Guinea</t>
  </si>
  <si>
    <t>GAZ:00003922</t>
  </si>
  <si>
    <t>Paracel Islands</t>
  </si>
  <si>
    <t>GAZ:00010832</t>
  </si>
  <si>
    <t>Paraguay</t>
  </si>
  <si>
    <t>GAZ:00002933</t>
  </si>
  <si>
    <t>Peru</t>
  </si>
  <si>
    <t>GAZ:00002932</t>
  </si>
  <si>
    <t>Philippines</t>
  </si>
  <si>
    <t>GAZ:00004525</t>
  </si>
  <si>
    <t>Pitcairn Islands</t>
  </si>
  <si>
    <t>GAZ:00005867</t>
  </si>
  <si>
    <t>Poland</t>
  </si>
  <si>
    <t>GAZ:00002939</t>
  </si>
  <si>
    <t>Portugal</t>
  </si>
  <si>
    <t>GAZ:00004126</t>
  </si>
  <si>
    <t>Puerto Rico</t>
  </si>
  <si>
    <t>GAZ:00006935</t>
  </si>
  <si>
    <t>Qatar</t>
  </si>
  <si>
    <t>GAZ:00005286</t>
  </si>
  <si>
    <t>Republic of the Congo</t>
  </si>
  <si>
    <t>GAZ:00001088</t>
  </si>
  <si>
    <t>Reunion</t>
  </si>
  <si>
    <t>GAZ:00003945</t>
  </si>
  <si>
    <t>Romania</t>
  </si>
  <si>
    <t>GAZ:00002951</t>
  </si>
  <si>
    <t>Ross Sea</t>
  </si>
  <si>
    <t>GAZ:00023304</t>
  </si>
  <si>
    <t>Russia</t>
  </si>
  <si>
    <t>GAZ:00002721</t>
  </si>
  <si>
    <t>Rwanda</t>
  </si>
  <si>
    <t>GAZ:00001087</t>
  </si>
  <si>
    <t>Saint Helena</t>
  </si>
  <si>
    <t>GAZ:00000849</t>
  </si>
  <si>
    <t>Saint Kitts and Nevis</t>
  </si>
  <si>
    <t>GAZ:00006906</t>
  </si>
  <si>
    <t>Saint Lucia</t>
  </si>
  <si>
    <t>GAZ:00006909</t>
  </si>
  <si>
    <t>Saint Pierre and Miquelon</t>
  </si>
  <si>
    <t>GAZ:00003942</t>
  </si>
  <si>
    <t>Saint Martin</t>
  </si>
  <si>
    <t>GAZ:00005841</t>
  </si>
  <si>
    <t>Saint Vincent and the Grenadines</t>
  </si>
  <si>
    <t>GAZ:02000565</t>
  </si>
  <si>
    <t>Samoa</t>
  </si>
  <si>
    <t>GAZ:00006910</t>
  </si>
  <si>
    <t>San Marino</t>
  </si>
  <si>
    <t>GAZ:00003102</t>
  </si>
  <si>
    <t>Sao Tome and Principe</t>
  </si>
  <si>
    <t>GAZ:00006927</t>
  </si>
  <si>
    <t>Saudi Arabia</t>
  </si>
  <si>
    <t>GAZ:00005279</t>
  </si>
  <si>
    <t>Senegal</t>
  </si>
  <si>
    <t>GAZ:00000913</t>
  </si>
  <si>
    <t>Serbia</t>
  </si>
  <si>
    <t>GAZ:00002957</t>
  </si>
  <si>
    <t>Seychelles</t>
  </si>
  <si>
    <t>GAZ:00006922</t>
  </si>
  <si>
    <t>Sierra Leone</t>
  </si>
  <si>
    <t>GAZ:00000914</t>
  </si>
  <si>
    <t>Singapore</t>
  </si>
  <si>
    <t>GAZ:00003923</t>
  </si>
  <si>
    <t>Sint Maarten</t>
  </si>
  <si>
    <t>GAZ:00012579</t>
  </si>
  <si>
    <t>Slovakia</t>
  </si>
  <si>
    <t>GAZ:00002956</t>
  </si>
  <si>
    <t>Slovenia</t>
  </si>
  <si>
    <t>GAZ:00002955</t>
  </si>
  <si>
    <t>Solomon Islands</t>
  </si>
  <si>
    <t>GAZ:00005275</t>
  </si>
  <si>
    <t>Somalia</t>
  </si>
  <si>
    <t>GAZ:00001104</t>
  </si>
  <si>
    <t>South Africa</t>
  </si>
  <si>
    <t>GAZ:00001094</t>
  </si>
  <si>
    <t>South Georgia and the South Sandwich Islands</t>
  </si>
  <si>
    <t>GAZ:00003990</t>
  </si>
  <si>
    <t>South Korea</t>
  </si>
  <si>
    <t>GAZ:00002802</t>
  </si>
  <si>
    <t>South Sudan</t>
  </si>
  <si>
    <t>GAZ:00233439</t>
  </si>
  <si>
    <t>Spain</t>
  </si>
  <si>
    <t>Spratly Islands</t>
  </si>
  <si>
    <t>GAZ:00010831</t>
  </si>
  <si>
    <t>Sri Lanka</t>
  </si>
  <si>
    <t>GAZ:00003924</t>
  </si>
  <si>
    <t>State of Palestine</t>
  </si>
  <si>
    <t>GAZ:00002475</t>
  </si>
  <si>
    <t>Sudan</t>
  </si>
  <si>
    <t>GAZ:00000560</t>
  </si>
  <si>
    <t>Suriname</t>
  </si>
  <si>
    <t>GAZ:00002525</t>
  </si>
  <si>
    <t>Svalbard</t>
  </si>
  <si>
    <t>GAZ:00005396</t>
  </si>
  <si>
    <t>Swaziland</t>
  </si>
  <si>
    <t>Sweden</t>
  </si>
  <si>
    <t>GAZ:00002729</t>
  </si>
  <si>
    <t>Switzerland</t>
  </si>
  <si>
    <t>GAZ:00002941</t>
  </si>
  <si>
    <t>Syria</t>
  </si>
  <si>
    <t>GAZ:00002474</t>
  </si>
  <si>
    <t>Taiwan</t>
  </si>
  <si>
    <t>GAZ:00005341</t>
  </si>
  <si>
    <t>Tajikistan</t>
  </si>
  <si>
    <t>GAZ:00006912</t>
  </si>
  <si>
    <t>Tanzania</t>
  </si>
  <si>
    <t>GAZ:00001103</t>
  </si>
  <si>
    <t>Thailand</t>
  </si>
  <si>
    <t>GAZ:00003744</t>
  </si>
  <si>
    <t>Timor-Leste</t>
  </si>
  <si>
    <t>GAZ:00006913</t>
  </si>
  <si>
    <t>Togo</t>
  </si>
  <si>
    <t>GAZ:00000915</t>
  </si>
  <si>
    <t>Tokelau</t>
  </si>
  <si>
    <t>GAZ:00260188</t>
  </si>
  <si>
    <t>Tonga</t>
  </si>
  <si>
    <t>GAZ:00006916</t>
  </si>
  <si>
    <t>Trinidad and Tobago</t>
  </si>
  <si>
    <t>GAZ:00003767</t>
  </si>
  <si>
    <t>Tromelin Island</t>
  </si>
  <si>
    <t>GAZ:00005812</t>
  </si>
  <si>
    <t>Tunisia</t>
  </si>
  <si>
    <t>GAZ:00000562</t>
  </si>
  <si>
    <t>Turkey</t>
  </si>
  <si>
    <t>GAZ:00000558</t>
  </si>
  <si>
    <t>Turkmenistan</t>
  </si>
  <si>
    <t>GAZ:00005018</t>
  </si>
  <si>
    <t>Turks and Caicos Islands</t>
  </si>
  <si>
    <t>GAZ:00003955</t>
  </si>
  <si>
    <t>Tuvalu</t>
  </si>
  <si>
    <t>GAZ:00009715</t>
  </si>
  <si>
    <t>United States of America</t>
  </si>
  <si>
    <t>GAZ:00002459</t>
  </si>
  <si>
    <t>Uganda</t>
  </si>
  <si>
    <t>GAZ:00001102</t>
  </si>
  <si>
    <t>Ukraine</t>
  </si>
  <si>
    <t>GAZ:00002724</t>
  </si>
  <si>
    <t>United Arab Emirates</t>
  </si>
  <si>
    <t>GAZ:00005282</t>
  </si>
  <si>
    <t>United Kingdom</t>
  </si>
  <si>
    <t>GAZ:00002637</t>
  </si>
  <si>
    <t>Uruguay</t>
  </si>
  <si>
    <t>GAZ:00002930</t>
  </si>
  <si>
    <t>Uzbekistan</t>
  </si>
  <si>
    <t>GAZ:00004979</t>
  </si>
  <si>
    <t>Vanuatu</t>
  </si>
  <si>
    <t>GAZ:00006918</t>
  </si>
  <si>
    <t>Venezuela</t>
  </si>
  <si>
    <t>GAZ:00002931</t>
  </si>
  <si>
    <t>Viet Nam</t>
  </si>
  <si>
    <t>GAZ:00003756</t>
  </si>
  <si>
    <t>Virgin Islands</t>
  </si>
  <si>
    <t>GAZ:00003959</t>
  </si>
  <si>
    <t>Wake Island</t>
  </si>
  <si>
    <t>GAZ:00007111</t>
  </si>
  <si>
    <t>Wallis and Futuna</t>
  </si>
  <si>
    <t>GAZ:00007191</t>
  </si>
  <si>
    <t>West Bank</t>
  </si>
  <si>
    <t>GAZ:00009572</t>
  </si>
  <si>
    <t>Western Sahara</t>
  </si>
  <si>
    <t>GAZ:00000564</t>
  </si>
  <si>
    <t>Yemen</t>
  </si>
  <si>
    <t>GAZ:00005284</t>
  </si>
  <si>
    <t>Zambia</t>
  </si>
  <si>
    <t>GAZ:00001107</t>
  </si>
  <si>
    <t>Zimbabwe</t>
  </si>
  <si>
    <t>GAZ:00001106</t>
  </si>
  <si>
    <t>specimen_collector_sample_id</t>
  </si>
  <si>
    <t>biosample_accession</t>
  </si>
  <si>
    <t>gisaid_accession</t>
  </si>
  <si>
    <t>The email address of the contact responsible for follow-up regarding the sample.</t>
  </si>
  <si>
    <t>RespLab@lab.ca</t>
  </si>
  <si>
    <t>The mailing address of the agency submitting the sample.</t>
  </si>
  <si>
    <t>655 Lab St, Vancouver, British Columbia, V5N 2A2, Canada</t>
  </si>
  <si>
    <t>Address</t>
  </si>
  <si>
    <t>sequence_submitter_contact_email</t>
  </si>
  <si>
    <t>The email address of the contact responsible for follow-up regarding the sequence.</t>
  </si>
  <si>
    <t>The mailing address of the agency submitting the sequence.</t>
  </si>
  <si>
    <t>123 Sunnybrooke St, Toronto, Ontario, M4P 1L6, Canada</t>
  </si>
  <si>
    <t>The date on which the sample was received.</t>
  </si>
  <si>
    <t>isolate_id</t>
  </si>
  <si>
    <t>The name and version of a particular protocol used for sampling.</t>
  </si>
  <si>
    <t>lab host</t>
  </si>
  <si>
    <t>LabHostMenu</t>
  </si>
  <si>
    <t>Name and description of the laboratory host used to propagate the source organism or material from which the sample was obtained.</t>
  </si>
  <si>
    <t>Vero E6 cell line</t>
  </si>
  <si>
    <t>passage_number</t>
  </si>
  <si>
    <t>Number of passages.</t>
  </si>
  <si>
    <t>Provide number of known passages. If not passaged, put "not applicable"</t>
  </si>
  <si>
    <t>passage_method</t>
  </si>
  <si>
    <t>Description of how organism was passaged.</t>
  </si>
  <si>
    <t>biomaterial extracted</t>
  </si>
  <si>
    <t>BiomaterialExtractedMenu</t>
  </si>
  <si>
    <t>The biomaterial extracted from samples for the purpose of sequencing.</t>
  </si>
  <si>
    <t>RNA (total)</t>
  </si>
  <si>
    <t>host (common name)</t>
  </si>
  <si>
    <t>The commonly used name of the host.</t>
  </si>
  <si>
    <t>Human</t>
  </si>
  <si>
    <t>host health state</t>
  </si>
  <si>
    <t>host_health_state</t>
  </si>
  <si>
    <t>HostHealthStateMenu</t>
  </si>
  <si>
    <t>Health status of the host at the time of sample collection.</t>
  </si>
  <si>
    <t>Symptomatic</t>
  </si>
  <si>
    <t>Patient status</t>
  </si>
  <si>
    <t>host health status details</t>
  </si>
  <si>
    <t>HostHealthStatusDetailsMenu</t>
  </si>
  <si>
    <t>Further details pertaining to the health or disease status of the host at time of collection.</t>
  </si>
  <si>
    <t>Hospitalized (ICU)</t>
  </si>
  <si>
    <t>host health outcome</t>
  </si>
  <si>
    <t>HostHealthOutcomeMenu</t>
  </si>
  <si>
    <t>Disease outcome in the host.</t>
  </si>
  <si>
    <t>Recovered</t>
  </si>
  <si>
    <t>host_disease_outcome</t>
  </si>
  <si>
    <t>host residence geo_loc name (country)</t>
  </si>
  <si>
    <t>host_subject_id</t>
  </si>
  <si>
    <t>A unique identifier by which each host can be referred to e.g. #131</t>
  </si>
  <si>
    <t>BCxy123</t>
  </si>
  <si>
    <t>The date on which the symptoms began or were first noted.</t>
  </si>
  <si>
    <t>signs and symptoms</t>
  </si>
  <si>
    <t>SignsAndSymptomsMenu</t>
  </si>
  <si>
    <t>Select all of the symptoms experienced by the host from the pick list.</t>
  </si>
  <si>
    <t>pre-existing conditions and risk factors</t>
  </si>
  <si>
    <t>PreExistingConditionsAndRiskFactorsMenu</t>
  </si>
  <si>
    <t>Select all of the pre-existing conditions and risk factors experienced by the host from the pick list. If the desired term is missing, contact the curation team.</t>
  </si>
  <si>
    <t>complications</t>
  </si>
  <si>
    <t>ComplicationsMenu</t>
  </si>
  <si>
    <t>Patient medical complications that are believed to have occurred as a result of host disease.</t>
  </si>
  <si>
    <t>GENEPIO:0001403</t>
  </si>
  <si>
    <t>Host vaccination information</t>
  </si>
  <si>
    <t>GENEPIO:0001404</t>
  </si>
  <si>
    <t>host vaccination status</t>
  </si>
  <si>
    <t>HostVaccinationStatusMenu</t>
  </si>
  <si>
    <t>The vaccination status of the host (fully vaccinated, partially vaccinated, or not vaccinated).</t>
  </si>
  <si>
    <t>Select the vaccination status of the host from the pick list.</t>
  </si>
  <si>
    <t>Fully Vaccinated</t>
  </si>
  <si>
    <t>GENEPIO:0001406</t>
  </si>
  <si>
    <t>Record how many doses of the vaccine the host has received.</t>
  </si>
  <si>
    <t>GENEPIO:0100313</t>
  </si>
  <si>
    <t>The name of the vaccine administered as the first dose of a vaccine regimen.</t>
  </si>
  <si>
    <t>Provide the name and the corresponding manufacturer of the COVID-19 vaccine administered as the first dose by selecting a value from the pick list</t>
  </si>
  <si>
    <t>Pfizer-BioNTech (Comirnaty)</t>
  </si>
  <si>
    <t>GENEPIO:0100314</t>
  </si>
  <si>
    <t>The date the first dose of a vaccine was administered.</t>
  </si>
  <si>
    <t>Provide the date the first dose of COVID-19 vaccine was administered. The date should be provided in ISO 8601 standard format "YYYY-MM-DD".</t>
  </si>
  <si>
    <t>GENEPIO:0100315</t>
  </si>
  <si>
    <t>The name of the vaccine administered as the second dose of a vaccine regimen.</t>
  </si>
  <si>
    <t>Provide the name and the corresponding manufacturer of the COVID-19 vaccine administered as the second dose by selecting a value from the pick list</t>
  </si>
  <si>
    <t>GENEPIO:0100316</t>
  </si>
  <si>
    <t>The date the second dose of a vaccine was administered.</t>
  </si>
  <si>
    <t>Provide the date the second dose of COVID-19 vaccine was administered. The date should be provided in ISO 8601 standard format "YYYY-MM-DD".</t>
  </si>
  <si>
    <t>GENEPIO:0100317</t>
  </si>
  <si>
    <t>The name of the vaccine administered as the third dose of a vaccine regimen.</t>
  </si>
  <si>
    <t>Provide the name and the corresponding manufacturer of the COVID-19 vaccine administered as the third dose by selecting a value from the pick list</t>
  </si>
  <si>
    <t>GENEPIO:0100318</t>
  </si>
  <si>
    <t>The date the third dose of a vaccine was administered.</t>
  </si>
  <si>
    <t>Provide the date the third dose of COVID-19 vaccine was administered. The date should be provided in ISO 8601 standard format "YYYY-MM-DD".</t>
  </si>
  <si>
    <t>GENEPIO:0100319</t>
  </si>
  <si>
    <t>The name of the vaccine administered as the fourth dose of a vaccine regimen.</t>
  </si>
  <si>
    <t>Provide the name and the corresponding manufacturer of the COVID-19 vaccine administered as the fourth dose by selecting a value from the pick list</t>
  </si>
  <si>
    <t>GENEPIO:0100320</t>
  </si>
  <si>
    <t>The date the fourth dose of a vaccine was administered.</t>
  </si>
  <si>
    <t>Provide the date the fourth dose of COVID-19 vaccine was administered. The date should be provided in ISO 8601 standard format "YYYY-MM-DD".</t>
  </si>
  <si>
    <t>GENEPIO:0100321</t>
  </si>
  <si>
    <t>A description of the vaccines received and the administration dates of a series of vaccinations against a specific disease or a set of diseases.</t>
  </si>
  <si>
    <t>Free text description of the dates and vaccines administered against a particular disease/set of diseases. It is also acceptable to concatenate the individual dose information (vaccine name, vaccination date) separated by semicolons.</t>
  </si>
  <si>
    <t>Pfizer-BioNTech (Comirnaty); 2021-03-01; Pfizer-BioNTech (Comirnaty); 2022-01-15</t>
  </si>
  <si>
    <t>GENEPIO:0001409</t>
  </si>
  <si>
    <t>Host exposure information</t>
  </si>
  <si>
    <t>GENEPIO:0001410</t>
  </si>
  <si>
    <t>The country where the host was likely exposed to the causative agent of the illness.</t>
  </si>
  <si>
    <t>GENEPIO:0001411</t>
  </si>
  <si>
    <t>The name of the city that was the destination of most recent travel.</t>
  </si>
  <si>
    <t>Provide the name of the city that the host travelled to. Use this look-up service to identify the standardized term: https://www.ebi.ac.uk/ols/ontologies/gaz</t>
  </si>
  <si>
    <t>New York City</t>
  </si>
  <si>
    <t>GENEPIO:0001412</t>
  </si>
  <si>
    <t>The name of the province that was the destination of most recent travel.</t>
  </si>
  <si>
    <t>Provide the name of the state/province/territory that the host travelled to. Use this look-up service to identify the standardized term: https://www.ebi.ac.uk/ols/ontologies/gaz</t>
  </si>
  <si>
    <t>California</t>
  </si>
  <si>
    <t>GENEPIO:0001413</t>
  </si>
  <si>
    <t>The name of the country that was the destination of most recent travel.</t>
  </si>
  <si>
    <t>Provide the name of the country that the host travelled to. Use this look-up service to identify the standardized term: https://www.ebi.ac.uk/ols/ontologies/gaz</t>
  </si>
  <si>
    <t>GENEPIO:0001414</t>
  </si>
  <si>
    <t>The date of a person's most recent departure from their primary residence (at that time) on a journey to one or more other locations.</t>
  </si>
  <si>
    <t>GENEPIO:0001415</t>
  </si>
  <si>
    <t>The date of a person's most recent return to some residence from a journey originating at that residence.</t>
  </si>
  <si>
    <t>GENEPIO:0001416</t>
  </si>
  <si>
    <t>Travel history in last six months.</t>
  </si>
  <si>
    <t>Canada, Vancouver; USA, Seattle; Italy, Milan</t>
  </si>
  <si>
    <t>GENEPIO:0001417</t>
  </si>
  <si>
    <t>exposure_event</t>
  </si>
  <si>
    <t>ExposureEventMenu</t>
  </si>
  <si>
    <t>Event leading to exposure.</t>
  </si>
  <si>
    <t>Additional location information</t>
  </si>
  <si>
    <t>GENEPIO:0001418</t>
  </si>
  <si>
    <t>ExposureContactLevelMenu</t>
  </si>
  <si>
    <t>The exposure transmission contact type.</t>
  </si>
  <si>
    <t>GENEPIO:0001419</t>
  </si>
  <si>
    <t>HostRoleMenu</t>
  </si>
  <si>
    <t>The role of the host in relation to the exposure setting.</t>
  </si>
  <si>
    <t>Select the host's personal role(s) from the pick list provided in the template. If the desired term is missing, contact the curation team.</t>
  </si>
  <si>
    <t>GENEPIO:0001428</t>
  </si>
  <si>
    <t>ExposureSettingMenu</t>
  </si>
  <si>
    <t>The setting leading to exposure.</t>
  </si>
  <si>
    <t>Select the host exposure setting(s) from the pick list provided in the template. If a desired term is missing, contact the curation team.</t>
  </si>
  <si>
    <t>GENEPIO:0001431</t>
  </si>
  <si>
    <t>Additional host exposure information.</t>
  </si>
  <si>
    <t>Free text description of the exposure.</t>
  </si>
  <si>
    <t>Host role - Other: Bus Driver</t>
  </si>
  <si>
    <t>GENEPIO:0001434</t>
  </si>
  <si>
    <t>Host reinfection information</t>
  </si>
  <si>
    <t>GENEPIO:0001435</t>
  </si>
  <si>
    <t>PriorSarsCov2InfectionMenu</t>
  </si>
  <si>
    <t>Whether there was prior SARS-CoV-2 infection.</t>
  </si>
  <si>
    <t>If known, provide information about whether the individual had a previous SARS-CoV-2 infection. Select a value from the pick list.</t>
  </si>
  <si>
    <t>GENEPIO:0001436</t>
  </si>
  <si>
    <t>The identifier of the isolate found in the prior SARS-CoV-2 infection.</t>
  </si>
  <si>
    <t>Provide the isolate name of the most recent prior infection. Structure the "isolate" name to be ICTV/INSDC compliant in the following format: "SARS-CoV-2/host/country/sampleID/date".</t>
  </si>
  <si>
    <t>SARS-CoV-2/human/USA/CA-CDPH-001/2020</t>
  </si>
  <si>
    <t>GENEPIO:0001437</t>
  </si>
  <si>
    <t>The date of diagnosis of the prior SARS-CoV-2 infection.</t>
  </si>
  <si>
    <t>Provide the date that the most recent prior infection was diagnosed. Provide the prior SARS-CoV-2 infection date in ISO 8601 standard format "YYYY-MM-DD".</t>
  </si>
  <si>
    <t>GENEPIO:0001438</t>
  </si>
  <si>
    <t>PriorSarsCov2AntiviralTreatmentMenu</t>
  </si>
  <si>
    <t>Whether there was prior SARS-CoV-2 treatment with an antiviral agent.</t>
  </si>
  <si>
    <t>GENEPIO:0001439</t>
  </si>
  <si>
    <t>The name of the antiviral treatment agent administered during the prior SARS-CoV-2 infection.</t>
  </si>
  <si>
    <t>Provide the name of the antiviral treatment agent administered during the most recent prior infection. If no treatment was administered, put "No treatment". If multiple antiviral agents were administered, list them all separated by commas.</t>
  </si>
  <si>
    <t>Remdesivir</t>
  </si>
  <si>
    <t>GENEPIO:0001440</t>
  </si>
  <si>
    <t>The date treatment was first administered during the prior SARS-CoV-2 infection.</t>
  </si>
  <si>
    <t>Provide the date that the antiviral treatment agent was first administered during the most recenrt prior infection. Provide the prior SARS-CoV-2 treatment date in ISO 8601 standard format "YYYY-MM-DD".</t>
  </si>
  <si>
    <t>GENEPIO:0001448</t>
  </si>
  <si>
    <t>The user-specified identifier for the library prepared for sequencing.</t>
  </si>
  <si>
    <t>The library name should be unique, and can be an autogenerated ID from your LIMS, or modification of the isolate ID.</t>
  </si>
  <si>
    <t>XYZ_123345</t>
  </si>
  <si>
    <t>GENEPIO:0001449</t>
  </si>
  <si>
    <t>amplicon_size</t>
  </si>
  <si>
    <t>The length of the amplicon generated by PCR amplification.</t>
  </si>
  <si>
    <t>Provide the amplicon size, including the units.</t>
  </si>
  <si>
    <t>300bp</t>
  </si>
  <si>
    <t>GENEPIO:0001451</t>
  </si>
  <si>
    <t>The barcode of the flow cell used for sequencing.</t>
  </si>
  <si>
    <t>Provide the barcode of the flow cell used for sequencing the sample.</t>
  </si>
  <si>
    <t>FAB06069</t>
  </si>
  <si>
    <t>GENEPIO:0001453</t>
  </si>
  <si>
    <t>sequencing_protocol_name</t>
  </si>
  <si>
    <t>The name and version number of the sequencing protocol used.</t>
  </si>
  <si>
    <t>GENEPIO:0001454</t>
  </si>
  <si>
    <t>The protocol used to generate the sequence.</t>
  </si>
  <si>
    <t>Genomes were generated through amplicon sequencing of 1200 bp amplicons with Freed schema primers. Libraries were created using Illumina DNA Prep kits, and sequence data was produced using Miseq Micro v2 (500 cycles) sequencing kits.</t>
  </si>
  <si>
    <t>GENEPIO:0001455</t>
  </si>
  <si>
    <t>The manufacturer's kit number.</t>
  </si>
  <si>
    <t>Alphanumeric value.</t>
  </si>
  <si>
    <t>AB456XYZ789</t>
  </si>
  <si>
    <t>GENEPIO:0001456</t>
  </si>
  <si>
    <t>amplicon_pcr_primer_scheme</t>
  </si>
  <si>
    <t>The specifications of the primers (primer sequences, binding positions, fragment size generated etc) used to generate the amplicons to be sequenced.</t>
  </si>
  <si>
    <t>Provide the name and version of the primer scheme used to generate the amplicons for sequencing.</t>
  </si>
  <si>
    <t>https://github.com/joshquick/artic-ncov2019/blob/master/primer_schemes/nCoV-2019/V3/nCoV-2019.tsv</t>
  </si>
  <si>
    <t>dehosting_method</t>
  </si>
  <si>
    <t>GENEPIO:0001460</t>
  </si>
  <si>
    <t>The name of the consensus sequence.</t>
  </si>
  <si>
    <t>Provide the name and version number of the consensus sequence.</t>
  </si>
  <si>
    <t>ncov123assembly3</t>
  </si>
  <si>
    <t>GENEPIO:0001461</t>
  </si>
  <si>
    <t>The name of the consensus sequence file.</t>
  </si>
  <si>
    <t>Provide the name and version number of the consensus sequence FASTA file.</t>
  </si>
  <si>
    <t>ncov123assembly.fasta</t>
  </si>
  <si>
    <t>GENEPIO:0001462</t>
  </si>
  <si>
    <t>The filepath of the consensus sequence file.</t>
  </si>
  <si>
    <t>Provide the filepath of the consensus sequence FASTA file.</t>
  </si>
  <si>
    <t>/User/Documents/RespLab/Data/ncov123assembly.fasta</t>
  </si>
  <si>
    <t>GENEPIO:0001472</t>
  </si>
  <si>
    <t>The percentage of the reference genome covered by the sequenced data, to a prescribed depth.</t>
  </si>
  <si>
    <t>Provide value as a percent.</t>
  </si>
  <si>
    <t>GENEPIO:0001474</t>
  </si>
  <si>
    <t>The average number of reads representing a given nucleotide in the reconstructed sequence.</t>
  </si>
  <si>
    <t>Provide value as a fold of coverage.</t>
  </si>
  <si>
    <t>400x</t>
  </si>
  <si>
    <t>GENEPIO:0001475</t>
  </si>
  <si>
    <t>The threshold used as a cut-off for the depth of coverage.</t>
  </si>
  <si>
    <t>Provide the threshold fold coverage.</t>
  </si>
  <si>
    <t>100x</t>
  </si>
  <si>
    <t>GENEPIO:0001478</t>
  </si>
  <si>
    <t>/User/Documents/RespLab/Data/ABC123_S1_L001_R1_001.fastq.gz</t>
  </si>
  <si>
    <t>GENEPIO:0001479</t>
  </si>
  <si>
    <t>/User/Documents/RespLab/Data/ABC123_S1_L001_R2_001.fastq.gz</t>
  </si>
  <si>
    <t>GENEPIO:0001480</t>
  </si>
  <si>
    <t>The user-specified filename of the FAST5 file.</t>
  </si>
  <si>
    <t>Provide the FAST5 filename.</t>
  </si>
  <si>
    <t>GENEPIO:0001481</t>
  </si>
  <si>
    <t>GENEPIO:0001482</t>
  </si>
  <si>
    <t>The number of total base pairs generated by the sequencing process.</t>
  </si>
  <si>
    <t>Provide a numerical value (no need to include units).</t>
  </si>
  <si>
    <t>GENEPIO:0001483</t>
  </si>
  <si>
    <t>GENEPIO:0001484</t>
  </si>
  <si>
    <t>The number of N symbols present in the consensus fasta sequence, per 100kbp of sequence.</t>
  </si>
  <si>
    <t>GENEPIO:0001485</t>
  </si>
  <si>
    <t>A persistent, unique identifier of a genome database entry.</t>
  </si>
  <si>
    <t>Provide the accession number of the reference genome.</t>
  </si>
  <si>
    <t>NC_045512.2</t>
  </si>
  <si>
    <t>GENEPIO:0001498</t>
  </si>
  <si>
    <t>Lineage and Variant information</t>
  </si>
  <si>
    <t>GENEPIO:0001500</t>
  </si>
  <si>
    <t>The name of the lineage or clade.</t>
  </si>
  <si>
    <t>Provide the Pangolin or Nextstrain lineage/clade name.</t>
  </si>
  <si>
    <t>GENEPIO:0001501</t>
  </si>
  <si>
    <t>The name of the software used to determine the lineage/clade.</t>
  </si>
  <si>
    <t>Provide the name of the software used to determine the lineage/clade.</t>
  </si>
  <si>
    <t>Pangolin</t>
  </si>
  <si>
    <t>GENEPIO:0001502</t>
  </si>
  <si>
    <t>The version of the software used to determine the lineage/clade.</t>
  </si>
  <si>
    <t>Provide the version of the software used ot determine the lineage/clade.</t>
  </si>
  <si>
    <t>GENEPIO:0001503</t>
  </si>
  <si>
    <t>variant designation</t>
  </si>
  <si>
    <t>VariantDesignationMenu</t>
  </si>
  <si>
    <t>The variant classification of the lineage/clade i.e. variant, variant of concern.</t>
  </si>
  <si>
    <t>If the lineage/clade is considered a Variant of Concern, select Variant of Concern from the pick list. If the lineage/clade contains mutations of concern (mutations that increase transmission, clincal severity, or other epidemiological fa ctors) but it not a global Variant of Concern, select Variant. If the lineage/clade does not contain mutations of concern, leave blank.</t>
  </si>
  <si>
    <t>The evidence used to make the variant determination.</t>
  </si>
  <si>
    <t>GENEPIO:0001505</t>
  </si>
  <si>
    <t>GENEPIO:0001506</t>
  </si>
  <si>
    <t>Pathogen diagnostic testing</t>
  </si>
  <si>
    <t>GENEPIO:0001507</t>
  </si>
  <si>
    <t>GeneNameMenu</t>
  </si>
  <si>
    <t>The name of the gene used in the diagnostic RT-PCR test.</t>
  </si>
  <si>
    <t>GENEPIO:0001508</t>
  </si>
  <si>
    <t>The name and version number of the protocol used for diagnostic marker amplification.</t>
  </si>
  <si>
    <t>The name and version number of the protocol used for carrying out a diagnostic PCR test. This information can be compared to sequence data for evaluation of performance and quality control.</t>
  </si>
  <si>
    <t>GENEPIO:0001509</t>
  </si>
  <si>
    <t>GENEPIO:0001510</t>
  </si>
  <si>
    <t>GENEPIO:0001511</t>
  </si>
  <si>
    <t>The name and version number of the protocol used for carrying out a second diagnostic PCR test. This information can be compared to sequence data for evaluation of performance and quality control.</t>
  </si>
  <si>
    <t>GENEPIO:0001512</t>
  </si>
  <si>
    <t>biomaterial extracted menu</t>
  </si>
  <si>
    <t>OBI:0000895</t>
  </si>
  <si>
    <t>OBI:0000869</t>
  </si>
  <si>
    <t>RNA (poly-A)</t>
  </si>
  <si>
    <t>OBI:0002627</t>
  </si>
  <si>
    <t>RNA (ribo-depleted)</t>
  </si>
  <si>
    <t>GENEPIO:0100104</t>
  </si>
  <si>
    <t>mRNA (messenger RNA)</t>
  </si>
  <si>
    <t>signs and symptoms menu</t>
  </si>
  <si>
    <t>HP:0030829</t>
  </si>
  <si>
    <t>Abnormal lung auscultation</t>
  </si>
  <si>
    <t>HP:0000223</t>
  </si>
  <si>
    <t>Abnormality of taste sensation</t>
  </si>
  <si>
    <t>HP:0041051</t>
  </si>
  <si>
    <t>Ageusia (complete loss of taste)</t>
  </si>
  <si>
    <t>HP:0031249</t>
  </si>
  <si>
    <t>HP:0000224</t>
  </si>
  <si>
    <t>Hypogeusia (reduced sense of taste)</t>
  </si>
  <si>
    <t>HP:0004408</t>
  </si>
  <si>
    <t>Abnormality of the sense of smell</t>
  </si>
  <si>
    <t>HP:0000458</t>
  </si>
  <si>
    <t>Anosmia (lost sense of smell)</t>
  </si>
  <si>
    <t>HP:0004409</t>
  </si>
  <si>
    <t>Hyposmia (reduced sense of smell)</t>
  </si>
  <si>
    <t>HP:0033677</t>
  </si>
  <si>
    <t>Acute Respiratory Distress Syndrome</t>
  </si>
  <si>
    <t>HP:0011446</t>
  </si>
  <si>
    <t>Altered mental status</t>
  </si>
  <si>
    <t>HP:0100543</t>
  </si>
  <si>
    <t>Cognitive impairment</t>
  </si>
  <si>
    <t>HP:0001259</t>
  </si>
  <si>
    <t>Coma</t>
  </si>
  <si>
    <t>HP:0001289</t>
  </si>
  <si>
    <t>Confusion</t>
  </si>
  <si>
    <t>HP:0031258</t>
  </si>
  <si>
    <t>Delirium (sudden severe confusion)</t>
  </si>
  <si>
    <t>GENEPIO:0100061</t>
  </si>
  <si>
    <t>Inability to arouse (inability to stay awake)</t>
  </si>
  <si>
    <t>HP:0000737</t>
  </si>
  <si>
    <t>Irritability</t>
  </si>
  <si>
    <t>HP:0002371</t>
  </si>
  <si>
    <t>Loss of speech</t>
  </si>
  <si>
    <t>HP:0011675</t>
  </si>
  <si>
    <t>Arrhythmia</t>
  </si>
  <si>
    <t>HP:0025406</t>
  </si>
  <si>
    <t>Asthenia (generalized weakness)</t>
  </si>
  <si>
    <t>HP:0031352</t>
  </si>
  <si>
    <t>Chest tightness or pressure</t>
  </si>
  <si>
    <t>HP:0025145</t>
  </si>
  <si>
    <t>Rigors (fever shakes)</t>
  </si>
  <si>
    <t>HP:0025143</t>
  </si>
  <si>
    <t>Chills (sudden cold sensation)</t>
  </si>
  <si>
    <t>HP:0030953</t>
  </si>
  <si>
    <t>Conjunctival injection</t>
  </si>
  <si>
    <t>HP:0000509</t>
  </si>
  <si>
    <t>Conjunctivitis (pink eye)</t>
  </si>
  <si>
    <t>MP:0001867</t>
  </si>
  <si>
    <t>Coryza (rhinitis)</t>
  </si>
  <si>
    <t>HP:0012735</t>
  </si>
  <si>
    <t xml:space="preserve">Cough </t>
  </si>
  <si>
    <t>HP:0031246</t>
  </si>
  <si>
    <t>Nonproductive cough (dry cough)</t>
  </si>
  <si>
    <t>HP:0031245</t>
  </si>
  <si>
    <t>Productive cough (wet cough)</t>
  </si>
  <si>
    <t>HP:0000961</t>
  </si>
  <si>
    <t>Cyanosis (blueish skin discolouration)</t>
  </si>
  <si>
    <t>HP:0001063</t>
  </si>
  <si>
    <t>Acrocyanosis</t>
  </si>
  <si>
    <t>HP:0032556</t>
  </si>
  <si>
    <t>Circumoral cyanosis (bluish around mouth)</t>
  </si>
  <si>
    <t>GENEPIO:0100062</t>
  </si>
  <si>
    <t>Cyanotic face (bluish face)</t>
  </si>
  <si>
    <t>GENEPIO:0100063</t>
  </si>
  <si>
    <t>Central Cyanosis</t>
  </si>
  <si>
    <t>GENEPIO:0100064</t>
  </si>
  <si>
    <t xml:space="preserve">Cyanotic lips (bluish lips) </t>
  </si>
  <si>
    <t>GENEPIO:0100065</t>
  </si>
  <si>
    <t>Peripheral Cyanosis</t>
  </si>
  <si>
    <t>HP:0002094</t>
  </si>
  <si>
    <t xml:space="preserve">Dyspnea (breathing difficulty) </t>
  </si>
  <si>
    <t>HP:0002014</t>
  </si>
  <si>
    <t>Diarrhea (watery stool)</t>
  </si>
  <si>
    <t>MP:0031127</t>
  </si>
  <si>
    <t>Dry gangrene</t>
  </si>
  <si>
    <t>HP:0002383</t>
  </si>
  <si>
    <t>Encephalitis (brain inflammation)</t>
  </si>
  <si>
    <t>HP:0001298</t>
  </si>
  <si>
    <t>Encephalopathy</t>
  </si>
  <si>
    <t>HP:0012378</t>
  </si>
  <si>
    <t>Fatigue (tiredness)</t>
  </si>
  <si>
    <t>HP:0001945</t>
  </si>
  <si>
    <t>Fever</t>
  </si>
  <si>
    <t>GENEPIO:0100066</t>
  </si>
  <si>
    <t>Fever (&gt;=38°C)</t>
  </si>
  <si>
    <t>HP:0000206</t>
  </si>
  <si>
    <t>Glossitis (inflammation of the tongue)</t>
  </si>
  <si>
    <t>GENEPIO:0100067</t>
  </si>
  <si>
    <t>Ground Glass Opacities (GGO)</t>
  </si>
  <si>
    <t>HP:0002315</t>
  </si>
  <si>
    <t>Headache</t>
  </si>
  <si>
    <t>HP:0002105</t>
  </si>
  <si>
    <t>Hemoptysis (coughing up blood)</t>
  </si>
  <si>
    <t>HP:0012417</t>
  </si>
  <si>
    <t>Hypocapnia</t>
  </si>
  <si>
    <t>HP:0002615</t>
  </si>
  <si>
    <t>Hypotension (low blood pressure)</t>
  </si>
  <si>
    <t>HP:0012418</t>
  </si>
  <si>
    <t>Hypoxemia (low blood oxygen)</t>
  </si>
  <si>
    <t>GENEPIO:0100068</t>
  </si>
  <si>
    <t>Silent hypoxemia</t>
  </si>
  <si>
    <t>HP:0011029</t>
  </si>
  <si>
    <t>Internal hemorrhage (internal bleeding)</t>
  </si>
  <si>
    <t>NCIT:C121416</t>
  </si>
  <si>
    <t>Loss of Fine Movements</t>
  </si>
  <si>
    <t>HP:0004396</t>
  </si>
  <si>
    <t>Low appetite</t>
  </si>
  <si>
    <t>HP:0033834</t>
  </si>
  <si>
    <t>Malaise (general discomfort/unease)</t>
  </si>
  <si>
    <t>HP:0031179</t>
  </si>
  <si>
    <t>Meningismus/nuchal rigidity</t>
  </si>
  <si>
    <t>HP:0001324</t>
  </si>
  <si>
    <t>Muscle weakness</t>
  </si>
  <si>
    <t>HP:0001742</t>
  </si>
  <si>
    <t>Nasal obstruction (stuffy nose)</t>
  </si>
  <si>
    <t>HP:0002018</t>
  </si>
  <si>
    <t>Nausea</t>
  </si>
  <si>
    <t>HP:0000421</t>
  </si>
  <si>
    <t>Nose bleed</t>
  </si>
  <si>
    <t>GENEPIO:0100069</t>
  </si>
  <si>
    <t>Otitis</t>
  </si>
  <si>
    <t>HP:0012531</t>
  </si>
  <si>
    <t>Pain</t>
  </si>
  <si>
    <t>HP:0002027</t>
  </si>
  <si>
    <t>Abdominal pain</t>
  </si>
  <si>
    <t>HP:0002829</t>
  </si>
  <si>
    <t>Arthralgia (painful joints)</t>
  </si>
  <si>
    <t>HP:0100749</t>
  </si>
  <si>
    <t>Chest pain</t>
  </si>
  <si>
    <t>HP:0033771</t>
  </si>
  <si>
    <t>Pleuritic chest pain</t>
  </si>
  <si>
    <t>HP:0003326</t>
  </si>
  <si>
    <t xml:space="preserve">Myalgia (muscle pain) </t>
  </si>
  <si>
    <t>HP:0025439</t>
  </si>
  <si>
    <t xml:space="preserve">Pharyngitis (sore throat) </t>
  </si>
  <si>
    <t>GENEPIO:0100070</t>
  </si>
  <si>
    <t>Pharyngeal exudate</t>
  </si>
  <si>
    <t>HP:0002202</t>
  </si>
  <si>
    <t>Pleural effusion</t>
  </si>
  <si>
    <t>HP:0002090</t>
  </si>
  <si>
    <t>Pneumonia</t>
  </si>
  <si>
    <t>HP:0033696</t>
  </si>
  <si>
    <t>Pseudo-chilblains</t>
  </si>
  <si>
    <t>GENEPIO:0100072</t>
  </si>
  <si>
    <t>Pseudo-chilblains on fingers (covid fingers)</t>
  </si>
  <si>
    <t>GENEPIO:0100073</t>
  </si>
  <si>
    <t>Pseudo-chilblains on toes (covid toes)</t>
  </si>
  <si>
    <t>HP:0000988</t>
  </si>
  <si>
    <t>Rash</t>
  </si>
  <si>
    <t>HP:0031417</t>
  </si>
  <si>
    <t>Rhinorrhea (runny nose)</t>
  </si>
  <si>
    <t>HP:0001250</t>
  </si>
  <si>
    <t>Seizure</t>
  </si>
  <si>
    <t>HP:0020219</t>
  </si>
  <si>
    <t>Motor seizure</t>
  </si>
  <si>
    <t>HP:0025144</t>
  </si>
  <si>
    <t>Shivering (involuntary muscle twitching)</t>
  </si>
  <si>
    <t>HP:0001350</t>
  </si>
  <si>
    <t>Slurred speech</t>
  </si>
  <si>
    <t>HP:0025095</t>
  </si>
  <si>
    <t>Sneezing</t>
  </si>
  <si>
    <t>HP:0033709</t>
  </si>
  <si>
    <t>Sputum Production</t>
  </si>
  <si>
    <t>HP:0001297</t>
  </si>
  <si>
    <t>Stroke</t>
  </si>
  <si>
    <t>HP:0002716</t>
  </si>
  <si>
    <t>Swollen Lymph Nodes</t>
  </si>
  <si>
    <t>HP:0002789</t>
  </si>
  <si>
    <t>Tachypnea (accelerated respiratory rate)</t>
  </si>
  <si>
    <t>HP:0002321</t>
  </si>
  <si>
    <t>Vertigo (dizziness)</t>
  </si>
  <si>
    <t>HP:0002013</t>
  </si>
  <si>
    <t>Vomiting (throwing up)</t>
  </si>
  <si>
    <t>host vaccination status menu</t>
  </si>
  <si>
    <t>GENEPIO:0100100</t>
  </si>
  <si>
    <t>GENEPIO:0100101</t>
  </si>
  <si>
    <t>Partially Vaccinated</t>
  </si>
  <si>
    <t>GENEPIO:0100102</t>
  </si>
  <si>
    <t>Not Vaccinated</t>
  </si>
  <si>
    <t>prior SARS-CoV-2 antiviral treatment menu</t>
  </si>
  <si>
    <t>GENEPIO:0100037</t>
  </si>
  <si>
    <t>GENEPIO:0100233</t>
  </si>
  <si>
    <t>pre-existing conditions and risk factors menu</t>
  </si>
  <si>
    <t>VO:0004925</t>
  </si>
  <si>
    <t>Age 60+</t>
  </si>
  <si>
    <t>HP:0001903</t>
  </si>
  <si>
    <t>Anemia</t>
  </si>
  <si>
    <t>HP:0002039</t>
  </si>
  <si>
    <t>Anorexia</t>
  </si>
  <si>
    <t>NCIT:C92743</t>
  </si>
  <si>
    <t>Birthing labor</t>
  </si>
  <si>
    <t>NCIT:C80693</t>
  </si>
  <si>
    <t>Bone marrow failure</t>
  </si>
  <si>
    <t>MONDO:0004992</t>
  </si>
  <si>
    <t>Cancer</t>
  </si>
  <si>
    <t>MONDO:0007254</t>
  </si>
  <si>
    <t>Breast cancer</t>
  </si>
  <si>
    <t>MONDO:0005575</t>
  </si>
  <si>
    <t>Colorectal cancer</t>
  </si>
  <si>
    <t>DOID:2531</t>
  </si>
  <si>
    <t>MONDO:0008903</t>
  </si>
  <si>
    <t>Lung cancer</t>
  </si>
  <si>
    <t>MONDO:0024880</t>
  </si>
  <si>
    <t>Metastatic disease</t>
  </si>
  <si>
    <t>NCIT:C16212</t>
  </si>
  <si>
    <t>Cancer treatment</t>
  </si>
  <si>
    <t>NCIT:C157740</t>
  </si>
  <si>
    <t>Cancer surgery</t>
  </si>
  <si>
    <t>NCIT:C15632</t>
  </si>
  <si>
    <t>Chemotherapy</t>
  </si>
  <si>
    <t>NCIT:C15360</t>
  </si>
  <si>
    <t>Adjuvant chemotherapy</t>
  </si>
  <si>
    <t>NCIT:C3079</t>
  </si>
  <si>
    <t>Cardiac disorder</t>
  </si>
  <si>
    <t>MONDO:0005267</t>
  </si>
  <si>
    <t>Cardiac disease</t>
  </si>
  <si>
    <t>HP:0001638</t>
  </si>
  <si>
    <t>Cardiomyopathy</t>
  </si>
  <si>
    <t>GENEPIO:0100074</t>
  </si>
  <si>
    <t>Cardiac injury</t>
  </si>
  <si>
    <t>HP:0000822</t>
  </si>
  <si>
    <t>Hypertension (high blood pressure)</t>
  </si>
  <si>
    <t>HP:0011410</t>
  </si>
  <si>
    <t>Cesarean section</t>
  </si>
  <si>
    <t>GENEPIO:0100075</t>
  </si>
  <si>
    <t>Chronic cough</t>
  </si>
  <si>
    <t>GENEPIO:0100076</t>
  </si>
  <si>
    <t>Chronic gastrointestinal disease</t>
  </si>
  <si>
    <t>HP:0006528</t>
  </si>
  <si>
    <t>Chronic lung disease</t>
  </si>
  <si>
    <t>NCIT:C211</t>
  </si>
  <si>
    <t>Corticosteroids</t>
  </si>
  <si>
    <t>HP:0000819</t>
  </si>
  <si>
    <t>Diabetes mellitus (diabetes)</t>
  </si>
  <si>
    <t>HP:0100651</t>
  </si>
  <si>
    <t>Type I diabetes mellitus (T1D)</t>
  </si>
  <si>
    <t>HP:0005978</t>
  </si>
  <si>
    <t>Type II diabetes mellitus (T2D)</t>
  </si>
  <si>
    <t>HP:0000964</t>
  </si>
  <si>
    <t>Eczema</t>
  </si>
  <si>
    <t>HP:0003111</t>
  </si>
  <si>
    <t>Electrolyte disturbance</t>
  </si>
  <si>
    <t>HP:0002901</t>
  </si>
  <si>
    <t>Hypocalcemia</t>
  </si>
  <si>
    <t>HP:0002900</t>
  </si>
  <si>
    <t>Hypokalemia</t>
  </si>
  <si>
    <t>HP:0002917</t>
  </si>
  <si>
    <t>Hypomagnesemia</t>
  </si>
  <si>
    <t>MONDO:0005027</t>
  </si>
  <si>
    <t>Epilepsy</t>
  </si>
  <si>
    <t>NCIT:C15248</t>
  </si>
  <si>
    <t>Hemodialysis</t>
  </si>
  <si>
    <t>MONDO:0044348</t>
  </si>
  <si>
    <t>Hemoglobinopathy</t>
  </si>
  <si>
    <t>MONDO:0005109</t>
  </si>
  <si>
    <t>Human immunodeficiency virus (HIV)</t>
  </si>
  <si>
    <t>MONDO:0012268</t>
  </si>
  <si>
    <t>Acquired immunodeficiency syndrome (AIDS)</t>
  </si>
  <si>
    <t>NCIT:C16118</t>
  </si>
  <si>
    <t>HIV and antiretroviral therapy (ART)</t>
  </si>
  <si>
    <t>NCIT:C14139</t>
  </si>
  <si>
    <t>Immunocompromised</t>
  </si>
  <si>
    <t>MONDO:0004670</t>
  </si>
  <si>
    <t>Lupus</t>
  </si>
  <si>
    <t>MONDO:0005265</t>
  </si>
  <si>
    <t>Inflammatory bowel disease (IBD)</t>
  </si>
  <si>
    <t>HP:0002583</t>
  </si>
  <si>
    <t>Colitis</t>
  </si>
  <si>
    <t>HP:0100279</t>
  </si>
  <si>
    <t>Ulcerative colitis</t>
  </si>
  <si>
    <t>HP:0100280</t>
  </si>
  <si>
    <t>Crohn's disease</t>
  </si>
  <si>
    <t>NCIT:C3149</t>
  </si>
  <si>
    <t>Renal disorder</t>
  </si>
  <si>
    <t>MONDO:0005240</t>
  </si>
  <si>
    <t>Renal disease</t>
  </si>
  <si>
    <t>HP:0012622</t>
  </si>
  <si>
    <t>Chronic renal disease</t>
  </si>
  <si>
    <t>HP:0000083</t>
  </si>
  <si>
    <t>Renal failure</t>
  </si>
  <si>
    <t>MONDO:0005154</t>
  </si>
  <si>
    <t>Liver disease</t>
  </si>
  <si>
    <t>NCIT:C113609</t>
  </si>
  <si>
    <t>Chronic liver disease</t>
  </si>
  <si>
    <t>HP:0001397</t>
  </si>
  <si>
    <t>Fatty liver disease (FLD)</t>
  </si>
  <si>
    <t>MONDO:0005404</t>
  </si>
  <si>
    <t>Myalgic encephalomyelitis (chronic fatigue syndrome)</t>
  </si>
  <si>
    <t>MONDO:0005071</t>
  </si>
  <si>
    <t>Neurological disorder</t>
  </si>
  <si>
    <t>MONDO:0019056</t>
  </si>
  <si>
    <t>Neuromuscular disorder</t>
  </si>
  <si>
    <t>HP:0001513</t>
  </si>
  <si>
    <t>Obesity</t>
  </si>
  <si>
    <t>MONDO:0005139</t>
  </si>
  <si>
    <t>Severe obesity</t>
  </si>
  <si>
    <t>MONDO:0005087</t>
  </si>
  <si>
    <t>Respiratory disorder</t>
  </si>
  <si>
    <t>HP:0002099</t>
  </si>
  <si>
    <t>Asthma</t>
  </si>
  <si>
    <t>HP:0004469</t>
  </si>
  <si>
    <t>Chronic bronchitis</t>
  </si>
  <si>
    <t>HP:0006510</t>
  </si>
  <si>
    <t>Chronic obstructive pulmonary disease</t>
  </si>
  <si>
    <t>HP:0002097</t>
  </si>
  <si>
    <t>Emphysema</t>
  </si>
  <si>
    <t>MONDO:0005275</t>
  </si>
  <si>
    <t>Lung disease</t>
  </si>
  <si>
    <t>HP:0002206</t>
  </si>
  <si>
    <t>Pulmonary fibrosis</t>
  </si>
  <si>
    <t>HP:0002878</t>
  </si>
  <si>
    <t>Respiratory failure</t>
  </si>
  <si>
    <t>Adult respiratory distress syndrome</t>
  </si>
  <si>
    <t>MONDO:0009971</t>
  </si>
  <si>
    <t>Newborn respiratory distress syndrome</t>
  </si>
  <si>
    <t>MONDO:0018076</t>
  </si>
  <si>
    <t>Tuberculosis</t>
  </si>
  <si>
    <t>GENEPIO:0100077</t>
  </si>
  <si>
    <t>Postpartum (≤6 weeks)</t>
  </si>
  <si>
    <t>NCIT:C25742</t>
  </si>
  <si>
    <t>Pregnancy</t>
  </si>
  <si>
    <t>MONDO:0005554</t>
  </si>
  <si>
    <t>Rheumatic disease</t>
  </si>
  <si>
    <t>MONDO:0011382</t>
  </si>
  <si>
    <t>Sickle cell disease</t>
  </si>
  <si>
    <t>NBO:0001845</t>
  </si>
  <si>
    <t>Substance use</t>
  </si>
  <si>
    <t>MONDO:0002046</t>
  </si>
  <si>
    <t>Alcohol abuse</t>
  </si>
  <si>
    <t>GENEPIO:0100078</t>
  </si>
  <si>
    <t>Drug abuse</t>
  </si>
  <si>
    <t>GENEPIO:0100079</t>
  </si>
  <si>
    <t>Injection drug abuse</t>
  </si>
  <si>
    <t>NBO:0015005</t>
  </si>
  <si>
    <t>Smoking</t>
  </si>
  <si>
    <t>NCIT:C173621</t>
  </si>
  <si>
    <t>Vaping</t>
  </si>
  <si>
    <t>NCIT:C159659</t>
  </si>
  <si>
    <t>Transplant</t>
  </si>
  <si>
    <t>NCIT:C131759</t>
  </si>
  <si>
    <t>Hematopoietic stem cell transplant (bone marrow transplant)</t>
  </si>
  <si>
    <t>GENEPIO:0100080</t>
  </si>
  <si>
    <t>Cardiac transplant</t>
  </si>
  <si>
    <t>NCIT:C157332</t>
  </si>
  <si>
    <t>Kidney transplant</t>
  </si>
  <si>
    <t>GENEPIO:0100081</t>
  </si>
  <si>
    <t>Liver transplant</t>
  </si>
  <si>
    <t>variant designation menu</t>
  </si>
  <si>
    <t>GENEPIO:0100082</t>
  </si>
  <si>
    <t>Variant of Concern (VOC)</t>
  </si>
  <si>
    <t>GENEPIO:0100083</t>
  </si>
  <si>
    <t>Variant of Interest (VOI)</t>
  </si>
  <si>
    <t>GENEPIO:0100279</t>
  </si>
  <si>
    <t>complications menu</t>
  </si>
  <si>
    <t>HP:0500165</t>
  </si>
  <si>
    <t>Abnormal blood oxygen level</t>
  </si>
  <si>
    <t>HP:0001919</t>
  </si>
  <si>
    <t>Acute kidney injury</t>
  </si>
  <si>
    <t>MONDO:0015796</t>
  </si>
  <si>
    <t>Acute lung injury</t>
  </si>
  <si>
    <t>GENEPIO:0100092</t>
  </si>
  <si>
    <t>Ventilation induced lung injury (VILI)</t>
  </si>
  <si>
    <t>MONDO:0001208</t>
  </si>
  <si>
    <t>Acute respiratory failure</t>
  </si>
  <si>
    <t>Arrhythmia (complication)</t>
  </si>
  <si>
    <t>HP:0001649</t>
  </si>
  <si>
    <t>Tachycardia</t>
  </si>
  <si>
    <t>HP:0031677</t>
  </si>
  <si>
    <t>Polymorphic ventricular tachycardia (VT)</t>
  </si>
  <si>
    <t>GENEPIO:0100084</t>
  </si>
  <si>
    <t>Tachyarrhythmia</t>
  </si>
  <si>
    <t>HP:0001695</t>
  </si>
  <si>
    <t>Cardiac arrest</t>
  </si>
  <si>
    <t>HP:0030149</t>
  </si>
  <si>
    <t>Cardiogenic shock</t>
  </si>
  <si>
    <t>HP:0001977</t>
  </si>
  <si>
    <t>Blood clot</t>
  </si>
  <si>
    <t>HP:0004420</t>
  </si>
  <si>
    <t>Arterial clot</t>
  </si>
  <si>
    <t>HP:0002625</t>
  </si>
  <si>
    <t>Deep vein thrombosis (DVT)</t>
  </si>
  <si>
    <t>HP:0002204</t>
  </si>
  <si>
    <t>Pulmonary embolism (PE)</t>
  </si>
  <si>
    <t>MONDO:0024619</t>
  </si>
  <si>
    <t>Central nervous system invasion</t>
  </si>
  <si>
    <t>Stroke (complication)</t>
  </si>
  <si>
    <t>MONDO:0003346</t>
  </si>
  <si>
    <t>Central Nervous System Vasculitis</t>
  </si>
  <si>
    <t>HP:0002140</t>
  </si>
  <si>
    <t>Acute ischemic stroke</t>
  </si>
  <si>
    <t>HP:0011097</t>
  </si>
  <si>
    <t>Convulsions</t>
  </si>
  <si>
    <t>NCIT:C171562</t>
  </si>
  <si>
    <t>COVID-19 associated coagulopathy (CAC)</t>
  </si>
  <si>
    <t>MONDO:0009061</t>
  </si>
  <si>
    <t>Cystic fibrosis</t>
  </si>
  <si>
    <t>MONDO:0600008</t>
  </si>
  <si>
    <t>Cytokine release syndrome</t>
  </si>
  <si>
    <t>MPATH:108</t>
  </si>
  <si>
    <t>Disseminated intravascular coagulation (DIC)</t>
  </si>
  <si>
    <t>GENEPIO:0100088</t>
  </si>
  <si>
    <t>Fulminant myocarditis</t>
  </si>
  <si>
    <t>MONDO:0016218</t>
  </si>
  <si>
    <t>Guillain-Barré syndrome</t>
  </si>
  <si>
    <t>Internal hemorrhage (complication; internal bleeding)</t>
  </si>
  <si>
    <t>MONDO:0013792</t>
  </si>
  <si>
    <t>Intracerebral haemorrhage</t>
  </si>
  <si>
    <t>MONDO:0012727</t>
  </si>
  <si>
    <t>Kawasaki disease</t>
  </si>
  <si>
    <t>GENEPIO:0100089</t>
  </si>
  <si>
    <t>Complete Kawasaki disease</t>
  </si>
  <si>
    <t>GENEPIO:0100090</t>
  </si>
  <si>
    <t>Incomplete Kawasaki disease</t>
  </si>
  <si>
    <t>HP:0001410</t>
  </si>
  <si>
    <t>Liver dysfunction</t>
  </si>
  <si>
    <t>GENEPIO:0100091</t>
  </si>
  <si>
    <t>Acute liver injury</t>
  </si>
  <si>
    <t>MONDO:0100233</t>
  </si>
  <si>
    <t>Long COVID-19</t>
  </si>
  <si>
    <t>HP:0001287</t>
  </si>
  <si>
    <t>Meningitis</t>
  </si>
  <si>
    <t>HP:0002076</t>
  </si>
  <si>
    <t>Migraine</t>
  </si>
  <si>
    <t>HP:0005268</t>
  </si>
  <si>
    <t>Miscarriage</t>
  </si>
  <si>
    <t>MONDO:0100163</t>
  </si>
  <si>
    <t>Multisystem inflammatory syndrome in children (MIS-C)</t>
  </si>
  <si>
    <t>MONDO:0100319</t>
  </si>
  <si>
    <t>GENEPIO:0100093</t>
  </si>
  <si>
    <t>Muscle injury</t>
  </si>
  <si>
    <t>MONDO:0005068</t>
  </si>
  <si>
    <t>Myocardial infarction (heart attack)</t>
  </si>
  <si>
    <t>MONDO:0004781</t>
  </si>
  <si>
    <t>Acute myocardial infarction</t>
  </si>
  <si>
    <t>MONDO:0041656</t>
  </si>
  <si>
    <t>ST-segment elevation myocardial infarction</t>
  </si>
  <si>
    <t>HP:0001700</t>
  </si>
  <si>
    <t>Myocardial injury</t>
  </si>
  <si>
    <t>NCIT:C168498</t>
  </si>
  <si>
    <t>Neonatal complications</t>
  </si>
  <si>
    <t>GENEPIO:0100085</t>
  </si>
  <si>
    <t>Noncardiogenic pulmonary edema</t>
  </si>
  <si>
    <t>Acute respiratory distress syndrome (ARDS)</t>
  </si>
  <si>
    <t>NCIT:C171551</t>
  </si>
  <si>
    <t>COVID-19 associated ARDS (CARDS)</t>
  </si>
  <si>
    <t>GENEPIO:0100086</t>
  </si>
  <si>
    <t>Neurogenic pulmonary edema (NPE)</t>
  </si>
  <si>
    <t>GENEPIO:0100094</t>
  </si>
  <si>
    <t>Organ failure</t>
  </si>
  <si>
    <t>HP:0001635</t>
  </si>
  <si>
    <t>Heart failure</t>
  </si>
  <si>
    <t>MONDO:0100192</t>
  </si>
  <si>
    <t>Liver failure</t>
  </si>
  <si>
    <t>HP:0003470</t>
  </si>
  <si>
    <t>Paralysis</t>
  </si>
  <si>
    <t>HP:0002107</t>
  </si>
  <si>
    <t>Pneumothorax (collapsed lung)</t>
  </si>
  <si>
    <t>HP:0002108</t>
  </si>
  <si>
    <t>Spontaneous pneumothorax</t>
  </si>
  <si>
    <t>MONDO:0002075</t>
  </si>
  <si>
    <t>Pneumonia (complication)</t>
  </si>
  <si>
    <t>NCIT:C171550</t>
  </si>
  <si>
    <t>COVID-19 pneumonia</t>
  </si>
  <si>
    <t>HP:0001197</t>
  </si>
  <si>
    <t>Pregancy complications</t>
  </si>
  <si>
    <t>HP:0003201</t>
  </si>
  <si>
    <t>Rhabdomyolysis</t>
  </si>
  <si>
    <t>IDO:0000567</t>
  </si>
  <si>
    <t>Secondary infection</t>
  </si>
  <si>
    <t>GENEPIO:0100095</t>
  </si>
  <si>
    <t>Secondary staph infection</t>
  </si>
  <si>
    <t>GENEPIO:0100096</t>
  </si>
  <si>
    <t>Secondary strep infection</t>
  </si>
  <si>
    <t>Seizure (complication)</t>
  </si>
  <si>
    <t>HP:0100806</t>
  </si>
  <si>
    <t>Sepsis/Septicemia</t>
  </si>
  <si>
    <t>IDO:0000636</t>
  </si>
  <si>
    <t>NCIT:C3364</t>
  </si>
  <si>
    <t>HP:0031273</t>
  </si>
  <si>
    <t>Shock</t>
  </si>
  <si>
    <t>GENEPIO:0100097</t>
  </si>
  <si>
    <t>Hyperinflammatory shock</t>
  </si>
  <si>
    <t>GENEPIO:0100098</t>
  </si>
  <si>
    <t>Refractory cardiogenic shock</t>
  </si>
  <si>
    <t>GENEPIO:0100099</t>
  </si>
  <si>
    <t>Refractory cardiogenic plus vasoplegic shock</t>
  </si>
  <si>
    <t>NCIT:C35018</t>
  </si>
  <si>
    <t>Septic shock</t>
  </si>
  <si>
    <t>HP:0002633</t>
  </si>
  <si>
    <t>Vasculitis</t>
  </si>
  <si>
    <t>prior SARS-CoV-2 infection menu</t>
  </si>
  <si>
    <t>host (common name) menu</t>
  </si>
  <si>
    <t>Bat</t>
  </si>
  <si>
    <t>Cat</t>
  </si>
  <si>
    <t>Chicken</t>
  </si>
  <si>
    <t>Civets</t>
  </si>
  <si>
    <t>Cow</t>
  </si>
  <si>
    <t>Dog</t>
  </si>
  <si>
    <t>Lion</t>
  </si>
  <si>
    <t>Mink</t>
  </si>
  <si>
    <t>Pig</t>
  </si>
  <si>
    <t>Pigeon</t>
  </si>
  <si>
    <t>Tiger</t>
  </si>
  <si>
    <t>host health state menu</t>
  </si>
  <si>
    <t>NCIT:C3833</t>
  </si>
  <si>
    <t>Asymptomatic</t>
  </si>
  <si>
    <t>NCIT:C28554</t>
  </si>
  <si>
    <t>Deceased</t>
  </si>
  <si>
    <t>NCIT:C115935</t>
  </si>
  <si>
    <t>Healthy</t>
  </si>
  <si>
    <t>NCIT:C49498</t>
  </si>
  <si>
    <t>NCIT:C25269</t>
  </si>
  <si>
    <t>host health status details menu</t>
  </si>
  <si>
    <t>NCIT:C25179</t>
  </si>
  <si>
    <t>Hospitalized</t>
  </si>
  <si>
    <t>GENEPIO:0100045</t>
  </si>
  <si>
    <t>Hospitalized (Non-ICU)</t>
  </si>
  <si>
    <t>GENEPIO:0100046</t>
  </si>
  <si>
    <t>NCIT:C70909</t>
  </si>
  <si>
    <t>Mechanical Ventilation</t>
  </si>
  <si>
    <t>GENEPIO:0100047</t>
  </si>
  <si>
    <t>Medically Isolated</t>
  </si>
  <si>
    <t>GENEPIO:0100048</t>
  </si>
  <si>
    <t>Medically Isolated (Negative Pressure)</t>
  </si>
  <si>
    <t>NCIT:C173768</t>
  </si>
  <si>
    <t>Self-quarantining</t>
  </si>
  <si>
    <t>host health outcome menu</t>
  </si>
  <si>
    <t>NCIT:C25254</t>
  </si>
  <si>
    <t>Deteriorating</t>
  </si>
  <si>
    <t>NCIT:C30103</t>
  </si>
  <si>
    <t>Stable</t>
  </si>
  <si>
    <t>NCBITaxon:2709072</t>
  </si>
  <si>
    <t>RaTG13</t>
  </si>
  <si>
    <t>GENEPIO:0100000</t>
  </si>
  <si>
    <t>RmYN02</t>
  </si>
  <si>
    <t>GENEPIO:0100023</t>
  </si>
  <si>
    <t>Viral passage experiment</t>
  </si>
  <si>
    <t>lab host menu</t>
  </si>
  <si>
    <t>GENEPIO:0100041</t>
  </si>
  <si>
    <t>293/ACE2 cell line</t>
  </si>
  <si>
    <t>BTO:0000195</t>
  </si>
  <si>
    <t>Caco2 cell line</t>
  </si>
  <si>
    <t>BTO:0002750</t>
  </si>
  <si>
    <t>Calu3 cell line</t>
  </si>
  <si>
    <t>GENEPIO:0100042</t>
  </si>
  <si>
    <t>EFK3B cell line</t>
  </si>
  <si>
    <t>BTO:0002181</t>
  </si>
  <si>
    <t>HEK293T cell line</t>
  </si>
  <si>
    <t>GENEPIO:0100043</t>
  </si>
  <si>
    <t>HRCE cell line</t>
  </si>
  <si>
    <t>BTO:0001950</t>
  </si>
  <si>
    <t>Huh7 cell line</t>
  </si>
  <si>
    <t>CLO:0007330</t>
  </si>
  <si>
    <t>LLCMk2 cell line</t>
  </si>
  <si>
    <t>BTO:0001444</t>
  </si>
  <si>
    <t>BTO:0000836</t>
  </si>
  <si>
    <t>MDBK cell line</t>
  </si>
  <si>
    <t>Vero cell line</t>
  </si>
  <si>
    <t>BTO:0002924</t>
  </si>
  <si>
    <t>NHBE cell line</t>
  </si>
  <si>
    <t>BTO:0001865</t>
  </si>
  <si>
    <t>PK-15 cell line</t>
  </si>
  <si>
    <t>BTO:0002909</t>
  </si>
  <si>
    <t>RK-13 cell line</t>
  </si>
  <si>
    <t>BTO:0002035</t>
  </si>
  <si>
    <t>U251 cell line</t>
  </si>
  <si>
    <t>BTO:0004755</t>
  </si>
  <si>
    <t>GENEPIO:0100044</t>
  </si>
  <si>
    <t>VeroE6/TMPRSS2 cell line</t>
  </si>
  <si>
    <t>exposure event menu</t>
  </si>
  <si>
    <t>GENEPIO:0100237</t>
  </si>
  <si>
    <t>GENEPIO:0100240</t>
  </si>
  <si>
    <t>GENEPIO:0100238</t>
  </si>
  <si>
    <t>GENEPIO:0100239</t>
  </si>
  <si>
    <t>GENEPIO:0100241</t>
  </si>
  <si>
    <t>GENEPIO:0100242</t>
  </si>
  <si>
    <t>PCO:0000033</t>
  </si>
  <si>
    <t>PCO:0000039</t>
  </si>
  <si>
    <t>PCO:0000034</t>
  </si>
  <si>
    <t>GENEPIO:0100243</t>
  </si>
  <si>
    <t>GENEPIO:0100244</t>
  </si>
  <si>
    <t>GENEPIO:0100245</t>
  </si>
  <si>
    <t>PCO:0000035</t>
  </si>
  <si>
    <t>PCO:0000037</t>
  </si>
  <si>
    <t>PCO:0000038</t>
  </si>
  <si>
    <t>Other exposure event</t>
  </si>
  <si>
    <t>exposure contact level menu</t>
  </si>
  <si>
    <t>GENEPIO:0100357</t>
  </si>
  <si>
    <t>Contact with infected individual</t>
  </si>
  <si>
    <t>TRANS:0000001</t>
  </si>
  <si>
    <t>GENEPIO:0100246</t>
  </si>
  <si>
    <t>GENEPIO:0100247</t>
  </si>
  <si>
    <t>GENEPIO:0100248</t>
  </si>
  <si>
    <t>host role menu</t>
  </si>
  <si>
    <t>GENEPIO:0100249</t>
  </si>
  <si>
    <t>OMRSE:00000058</t>
  </si>
  <si>
    <t>OMRSE:00000030</t>
  </si>
  <si>
    <t>NCIT:C25182</t>
  </si>
  <si>
    <t>NCIT:C28293</t>
  </si>
  <si>
    <t>GENEPIO:0100250</t>
  </si>
  <si>
    <t>GENEPIO:0100251</t>
  </si>
  <si>
    <t>GENEPIO:0100252</t>
  </si>
  <si>
    <t>GENEPIO:0100253</t>
  </si>
  <si>
    <t>GENEPIO:0100254</t>
  </si>
  <si>
    <t>GENEPIO:0100255</t>
  </si>
  <si>
    <t>GENEPIO:0100256</t>
  </si>
  <si>
    <t>GENEPIO:0100257</t>
  </si>
  <si>
    <t>GENEPIO:0100258</t>
  </si>
  <si>
    <t>GENEPIO:0100259</t>
  </si>
  <si>
    <t>GENEPIO:0100334</t>
  </si>
  <si>
    <t>GENEPIO:0100420</t>
  </si>
  <si>
    <t>GENEPIO:0100262</t>
  </si>
  <si>
    <t>OMRSE:00000014</t>
  </si>
  <si>
    <t>GENEPIO:0100263</t>
  </si>
  <si>
    <t>GENEPIO:0100264</t>
  </si>
  <si>
    <t>OMRSE:00000013</t>
  </si>
  <si>
    <t>GENEPIO:0100260</t>
  </si>
  <si>
    <t>GENEPIO:0100261</t>
  </si>
  <si>
    <t>GENEPIO:0100354</t>
  </si>
  <si>
    <t>GENEPIO:0100355</t>
  </si>
  <si>
    <t>GENEPIO:0100265</t>
  </si>
  <si>
    <t>OMRSE:00000001</t>
  </si>
  <si>
    <t>GENEPIO:0100266</t>
  </si>
  <si>
    <t>GENEPIO:0100267</t>
  </si>
  <si>
    <t>GENEPIO:0100268</t>
  </si>
  <si>
    <t>GENEPIO:0100269</t>
  </si>
  <si>
    <t>GENEPIO:0100270</t>
  </si>
  <si>
    <t>GENEPIO:0100271</t>
  </si>
  <si>
    <t>GENEPIO:0100272</t>
  </si>
  <si>
    <t>Other Host Role</t>
  </si>
  <si>
    <t>exposure setting menu</t>
  </si>
  <si>
    <t>ECTO:3000005</t>
  </si>
  <si>
    <t>GENEPIO:0100184</t>
  </si>
  <si>
    <t>GENEPIO:0100185</t>
  </si>
  <si>
    <t>GENEPIO:0100186</t>
  </si>
  <si>
    <t>GENEPIO:0100187</t>
  </si>
  <si>
    <t>GENEPIO:0100188</t>
  </si>
  <si>
    <t>GENEPIO:0100189</t>
  </si>
  <si>
    <t>GENEPIO:0100190</t>
  </si>
  <si>
    <t>ECTO:1000033</t>
  </si>
  <si>
    <t>GENEPIO:0100191</t>
  </si>
  <si>
    <t>GENEPIO:0100192</t>
  </si>
  <si>
    <t>GENEPIO:0100193</t>
  </si>
  <si>
    <t>GENEPIO:0100194</t>
  </si>
  <si>
    <t>GENEPIO:0100195</t>
  </si>
  <si>
    <t>GENEPIO:0100196</t>
  </si>
  <si>
    <t>GENEPIO:0100197</t>
  </si>
  <si>
    <t>ECTO:1000034</t>
  </si>
  <si>
    <t>GENEPIO:0100198</t>
  </si>
  <si>
    <t>GENEPIO:0100199</t>
  </si>
  <si>
    <t>GENEPIO:0100200</t>
  </si>
  <si>
    <t>GENEPIO:0100201</t>
  </si>
  <si>
    <t>GENEPIO:0100202</t>
  </si>
  <si>
    <t>GENEPIO:0100203</t>
  </si>
  <si>
    <t>GENEPIO:0100204</t>
  </si>
  <si>
    <t>GENEPIO:0100415</t>
  </si>
  <si>
    <t>GENEPIO:0100205</t>
  </si>
  <si>
    <t>ECTO:1000035</t>
  </si>
  <si>
    <t>GENEPIO:0100206</t>
  </si>
  <si>
    <t>GENEPIO:0100207</t>
  </si>
  <si>
    <t>GENEPIO:0100208</t>
  </si>
  <si>
    <t>ECTO:1000036</t>
  </si>
  <si>
    <t>GENEPIO:0100209</t>
  </si>
  <si>
    <t>GENEPIO:0100210</t>
  </si>
  <si>
    <t>GENEPIO:0100211</t>
  </si>
  <si>
    <t>GENEPIO:0100212</t>
  </si>
  <si>
    <t>GENEPIO:0100213</t>
  </si>
  <si>
    <t>GENEPIO:0100214</t>
  </si>
  <si>
    <t>GENEPIO:0100215</t>
  </si>
  <si>
    <t>ECTO:1000037</t>
  </si>
  <si>
    <t>GENEPIO:0100216</t>
  </si>
  <si>
    <t>ECTO:5000009</t>
  </si>
  <si>
    <t>GENEPIO:0100217</t>
  </si>
  <si>
    <t>ECTO:6000030</t>
  </si>
  <si>
    <t>GENEPIO:0100218</t>
  </si>
  <si>
    <t>ECTO:5000008</t>
  </si>
  <si>
    <t>GENEPIO:0100220</t>
  </si>
  <si>
    <t>GENEPIO:0100221</t>
  </si>
  <si>
    <t>GENEPIO:0100222</t>
  </si>
  <si>
    <t>GENEPIO:0100223</t>
  </si>
  <si>
    <t>ECTO:1000040</t>
  </si>
  <si>
    <t>ECTO:1000041</t>
  </si>
  <si>
    <t>GENEPIO:0100224</t>
  </si>
  <si>
    <t>GENEPIO:0100225</t>
  </si>
  <si>
    <t>GENEPIO:0100226</t>
  </si>
  <si>
    <t>GENEPIO:0100227</t>
  </si>
  <si>
    <t>GENEPIO:0100228</t>
  </si>
  <si>
    <t>GENEPIO:0100229</t>
  </si>
  <si>
    <t>GENEPIO:0100230</t>
  </si>
  <si>
    <t>GENEPIO:0100231</t>
  </si>
  <si>
    <t>GENEPIO:0100232</t>
  </si>
  <si>
    <t>GENEPIO:0001118</t>
  </si>
  <si>
    <t>GENEPIO:0001119</t>
  </si>
  <si>
    <t>GENEPIO:0100235</t>
  </si>
  <si>
    <t>gene name menu</t>
  </si>
  <si>
    <t>GENEPIO:0100151</t>
  </si>
  <si>
    <t>GENEPIO:0100152</t>
  </si>
  <si>
    <t>GENEPIO:0100153</t>
  </si>
  <si>
    <t>GENEPIO:0100154</t>
  </si>
  <si>
    <t>GENEPIO:0100155</t>
  </si>
  <si>
    <t>GENEPIO:0100156</t>
  </si>
  <si>
    <t>GENEPIO:0100157</t>
  </si>
  <si>
    <t>GENEPIO:0100158</t>
  </si>
  <si>
    <t>GENEPIO:0100159</t>
  </si>
  <si>
    <t>GENEPIO:0100160</t>
  </si>
  <si>
    <t>GENEPIO:0100161</t>
  </si>
  <si>
    <t>GENEPIO:0100162</t>
  </si>
  <si>
    <t>GENEPIO:0100163</t>
  </si>
  <si>
    <t>GENEPIO:0100164</t>
  </si>
  <si>
    <t>GENEPIO:0100165</t>
  </si>
  <si>
    <t>GENEPIO:0100166</t>
  </si>
  <si>
    <t>GENEPIO:0100167</t>
  </si>
  <si>
    <t>GENEPIO:0100168</t>
  </si>
  <si>
    <t>GENEPIO:0100169</t>
  </si>
  <si>
    <t>GENEPIO:0100170</t>
  </si>
  <si>
    <t>GENEPIO:0100171</t>
  </si>
  <si>
    <t>GENEPIO:0100172</t>
  </si>
  <si>
    <t>GENEPIO:0100173</t>
  </si>
  <si>
    <t>GENEPIO:0100174</t>
  </si>
  <si>
    <t>GENEPIO:0100175</t>
  </si>
  <si>
    <t>GENEPIO:0100176</t>
  </si>
  <si>
    <t>GENEPIO:0100177</t>
  </si>
  <si>
    <t>GENEPIO:0100178</t>
  </si>
  <si>
    <t>GENEPIO:0100179</t>
  </si>
  <si>
    <t>GENEPIO:0100180</t>
  </si>
  <si>
    <t>GENEPIO:0100181</t>
  </si>
  <si>
    <t>GENEPIO:0100182</t>
  </si>
  <si>
    <t>GENEPIO:0100183</t>
  </si>
  <si>
    <t>EXPORT_NCBI_SRA</t>
  </si>
  <si>
    <t>prov_mpox_1234</t>
  </si>
  <si>
    <t>Required if submission is linked to a BioProject. BioProjects are an organizing tool that links together raw sequence data, assemblies, and their associated metadata. A valid BioProject accession has prefix PRJN, PRJE or PRJD, e.g., PRJNA12345 and is created once at the beginning of a new sequencing project. Your laboratory can have one or many BioProjects.</t>
  </si>
  <si>
    <t>PRJNA12345</t>
  </si>
  <si>
    <t>Store the accession returned from the BioSample submission. NCBI BioSamples will have the prefix SAMN, while ENA BioSamples will have the prefix SAMEA.</t>
  </si>
  <si>
    <t>gisaid_virus_name</t>
  </si>
  <si>
    <t>collection_date</t>
  </si>
  <si>
    <t>United States of America [GAZ:00002459]</t>
  </si>
  <si>
    <t>The county/region of origin of the sample.</t>
  </si>
  <si>
    <t>Provide the county/region name from the GAZ geography ontology. Search for geography terms here: https://www.ebi.ac.uk/ols/ontologies/gaz</t>
  </si>
  <si>
    <t>Derbyshire</t>
  </si>
  <si>
    <t>The latitude coordinates of the geographical location of sample collection.</t>
  </si>
  <si>
    <t>Provide latitude coordinates if available. Do not use the centre of the city/region/province/state/country or the location of your agency as a proxy, as this implicates a real location and is misleading. Specify as degrees latitude in format "d[d.dddd] N|S".</t>
  </si>
  <si>
    <t>38.98 N</t>
  </si>
  <si>
    <t>lat_lon</t>
  </si>
  <si>
    <t>The longitude coordinates of the geographical location of sample collection.</t>
  </si>
  <si>
    <t>Provide longitude coordinates if available. Do not use the centre of the city/region/province/state/country or the location of your agency as a proxy, as this implicates a real location and is misleading. Specify as degrees longitude in format "d[dd.dddd] W|E".</t>
  </si>
  <si>
    <t>77.11 W</t>
  </si>
  <si>
    <t>Diagnostic testing [GENEPIO:0100002]</t>
  </si>
  <si>
    <t>An environmental location may describe a site in the natural or built environment e.g. hospital, wet market, bat cave.</t>
  </si>
  <si>
    <t>Hospital [ENVO:00002173]</t>
  </si>
  <si>
    <t>Swab [GENEPIO:0100027]</t>
  </si>
  <si>
    <t>Biopsy [OBI:0002650]</t>
  </si>
  <si>
    <t>Specimens pooled [OBI:0600016]</t>
  </si>
  <si>
    <t>Homo sapiens [NCBITaxon:9606]</t>
  </si>
  <si>
    <t>If known, select a value from the pick list.</t>
  </si>
  <si>
    <t>Asymptomatic [NCIT:C3833]</t>
  </si>
  <si>
    <t>Hospitalized [NCIT:C25179]</t>
  </si>
  <si>
    <t>Recovered [NCIT:C49498]</t>
  </si>
  <si>
    <t>If known, provide age. Age-binning is also acceptable.</t>
  </si>
  <si>
    <t>The units used to measure the host's age.</t>
  </si>
  <si>
    <t>If known, provide the age units used to measure the host's age from the pick list.</t>
  </si>
  <si>
    <t>The age category of the host at the time of sampling.</t>
  </si>
  <si>
    <t>Age bins in 10 year intervals have been provided. If a host's age cannot be specified due to provacy concerns, an age bin can be used as an alternative.</t>
  </si>
  <si>
    <t>50 - 59 [GENEPIO:0100054]</t>
  </si>
  <si>
    <t>Male [NCIT:C46109]</t>
  </si>
  <si>
    <t>Canada [GAZ:00002560]</t>
  </si>
  <si>
    <t>If known, provide the symptom onset date in ISO 8601 standard format "YYYY-MM-DD".</t>
  </si>
  <si>
    <t>A perceived change in function or sensation, (loss, disturbance or appearance) indicative of a disease, reported by a patient.</t>
  </si>
  <si>
    <t>Not Vaccinated [GENEPIO:0100102]</t>
  </si>
  <si>
    <t>United Kingdom [GAZ:00002637]</t>
  </si>
  <si>
    <t>Party [PCO:0000035]</t>
  </si>
  <si>
    <t>Acquaintance of case [GENEPIO:0100266]</t>
  </si>
  <si>
    <t>Healthcare Setting [GENEPIO:0100201]</t>
  </si>
  <si>
    <t>Prior antiviral treatment [GENEPIO:0100037]</t>
  </si>
  <si>
    <t>Sampling Strategy</t>
  </si>
  <si>
    <t>Baseline surveillance (random sampling) [GENEPIO:0100005]</t>
  </si>
  <si>
    <t>library_ID</t>
  </si>
  <si>
    <t>Oxford Nanopore MinION [GENEPIO:0100142]</t>
  </si>
  <si>
    <t>Depth of coverage</t>
  </si>
  <si>
    <t>A categorical choice recorded when a datum does not apply to a given context.</t>
  </si>
  <si>
    <t>A categorical choice recorded when a datum is not included for an unknown reason.</t>
  </si>
  <si>
    <t>A categorical choice recorded when a datum was not measured or collected.</t>
  </si>
  <si>
    <t>A categorical choice recorded when a datum was collected but is not currently provided in the information being shared. This value indicates the information may be shared at the later stage.</t>
  </si>
  <si>
    <t>A categorical choice recorded when a given datum is available but not shared publicly because of information privacy concerns.</t>
  </si>
  <si>
    <t>A time unit which is equal to 12 months which in science is taken to be equal to 365.25 days.</t>
  </si>
  <si>
    <t>A time unit which is approximately equal to the length of time of one of cycle of the moon's phases which in science is taken to be equal to 30 days.</t>
  </si>
  <si>
    <t>Liquid components of living organisms. includes fluids that are excreted or secreted from the body as well as body water that normally is not.</t>
  </si>
  <si>
    <t>A device which is a soft, absorbent material mounted on one or both ends of a stick.</t>
  </si>
  <si>
    <t>Multicellular anatomical structure that consists of many cells of one or a few types, arranged in an extracellular matrix such that their long-range organisation is at least partly a repetition of their short-range organisation.</t>
  </si>
  <si>
    <t>A fluid that is composed of blood plasma and erythrocytes.</t>
  </si>
  <si>
    <t>Venous or arterial thrombosis (formation of blood clots) of spontaneous nature and which cannot be fully explained by acquired risk (e.g. atherosclerosis).</t>
  </si>
  <si>
    <t>A fluid produced in the oral cavity by salivary glands, typically used in predigestion, but also in other functions.</t>
  </si>
  <si>
    <t>A clear, colorless, bodily fluid, that occupies the subarachnoid space and the ventricular system around and inside the brain and spinal cord.</t>
  </si>
  <si>
    <t>Transudate contained in the pericardial cavity.</t>
  </si>
  <si>
    <t>Transudate contained in the pleural cavity.</t>
  </si>
  <si>
    <t>Blood [UBERON:0000178]</t>
  </si>
  <si>
    <t>Fluid [UBERON:0006314]</t>
  </si>
  <si>
    <t>Saliva [UBERON:0001836]</t>
  </si>
  <si>
    <t>Fluid (cerebrospinal (CSF)) [UBERON:0001359]</t>
  </si>
  <si>
    <t>Fluid (pericardial) [UBERON:0002409]</t>
  </si>
  <si>
    <t>Fluid (pleural) [UBERON:0001087]</t>
  </si>
  <si>
    <t>Fluid (vaginal) [UBERON:0036243]</t>
  </si>
  <si>
    <t>Fluid (amniotic) [UBERON:0000173]</t>
  </si>
  <si>
    <t>Tissue [UBERON:0000479]</t>
  </si>
  <si>
    <t>The inner lining of the cheeks and lips.</t>
  </si>
  <si>
    <t>An organ that detects light.</t>
  </si>
  <si>
    <t>An anatomical cavity that is part of the olfactory apparatus. This includes the space bounded anteriorly by the nares and posteriorly by the choanae, when these structures are present.</t>
  </si>
  <si>
    <t>The medial surface of the labyrinth of ethmoid consists of a thin lamella, which descends from the under surface of the cribriform plate, and ends below in a free, convoluted margin, the middle nasal concha. It is rough, and marked above by numerous grooves, directed nearly vertically downward from the cribriform plate; they lodge branches of the olfactory nerves, which are distributed to the mucous membrane covering the superior nasal concha.</t>
  </si>
  <si>
    <t>A turbinal located on the maxilla bone.</t>
  </si>
  <si>
    <t>The section of the pharynx that lies above the soft palate.</t>
  </si>
  <si>
    <t>The portion of the pharynx that lies between the soft palate and the upper edge of the epiglottis.</t>
  </si>
  <si>
    <t>The trachea is the portion of the airway that attaches to the bronchi as it branches.</t>
  </si>
  <si>
    <t>The terminal portion of the intestinal tube, terminating with the anus.</t>
  </si>
  <si>
    <t>The outer epithelial layer of the skin that is superficial to the dermis.</t>
  </si>
  <si>
    <t>Anus [UBERON:0001245]</t>
  </si>
  <si>
    <t>Buccal mucosa [UBERON:0006956]</t>
  </si>
  <si>
    <t>Eye [UBERON:0000970]</t>
  </si>
  <si>
    <t>Nasal Cavity [UBERON:0001707]</t>
  </si>
  <si>
    <t>Anterior Nares [UBERON:2001427]</t>
  </si>
  <si>
    <t>Nasopharynx (NP) [UBERON:0001728]</t>
  </si>
  <si>
    <t>Oropharynx (OP) [UBERON:0001729]</t>
  </si>
  <si>
    <t>Trachea [UBERON:0003126]</t>
  </si>
  <si>
    <t>Rectum [UBERON:0001052]</t>
  </si>
  <si>
    <t>Skin [UBERON:0001003]</t>
  </si>
  <si>
    <t>An emulsion of fat globules within a fluid that is secreted by the mammary gland during lactation.</t>
  </si>
  <si>
    <t>Portion of semisolid bodily waste discharged through the anus.</t>
  </si>
  <si>
    <t>A substance formed from the secretion of one or more glands of the male genital tract in which sperm cells are suspended.</t>
  </si>
  <si>
    <t>Mucus is a bodily fluid consisting of a slippery secretion of the lining of the mucous membranes in the body. It is a viscous colloid containing antiseptic enzymes (such as lysozyme) and immunoglobulins. Mucus is produced by goblet cells in the mucous membranes that cover the surfaces of the membranes. It is made up of mucins and inorganic salts suspended in water.</t>
  </si>
  <si>
    <t>Matter ejected from the lungs, bronchi, and trachea, through the mouth.</t>
  </si>
  <si>
    <t>Secretion produced by a sweat gland.</t>
  </si>
  <si>
    <t>Aqueous substance secreted by the lacrimal gland.</t>
  </si>
  <si>
    <t>Excretion that is the output of a kidney.</t>
  </si>
  <si>
    <t>Breast Milk [UBERON:0001913]</t>
  </si>
  <si>
    <t>Feces [UBERON:0001988]</t>
  </si>
  <si>
    <t>Fluid (seminal) [UBERON:0006530]</t>
  </si>
  <si>
    <t>Mucus [UBERON:0000912]</t>
  </si>
  <si>
    <t>Sputum [UBERON:0007311]</t>
  </si>
  <si>
    <t>Sweat [UBERON:0001089]</t>
  </si>
  <si>
    <t>Tear [UBERON:0001827]</t>
  </si>
  <si>
    <t>Urine [UBERON:0001088]</t>
  </si>
  <si>
    <t>Water that has been adversely affected in quality by anthropogenic influence.</t>
  </si>
  <si>
    <t>Acute care facility [ENVO:03501135]</t>
  </si>
  <si>
    <t>A healthcare facility which is used for short-term patient care.</t>
  </si>
  <si>
    <t>Covid-19</t>
  </si>
  <si>
    <t>Animal house [ENVO:00003040]</t>
  </si>
  <si>
    <t>A house used for sheltering non-human animals.</t>
  </si>
  <si>
    <t>Bathroom [ENVO:01000422]</t>
  </si>
  <si>
    <t>A bathroom is a room which contains a washbasin or other fixture, such as a shower or bath, used for bathing by humans.</t>
  </si>
  <si>
    <t>Clinical assessment centre [ENVO:03501136]</t>
  </si>
  <si>
    <t>A healthcare facility in which patients are medically assessed.</t>
  </si>
  <si>
    <t>Conference venue [ENVO:03501127]</t>
  </si>
  <si>
    <t>A building which accomodates conferences.</t>
  </si>
  <si>
    <t>Corridor [ENVO:03501121]</t>
  </si>
  <si>
    <t>A building part which is a narrow hall or passage in a building with rooms leading off it.</t>
  </si>
  <si>
    <t>Daycare [ENVO:01000927]</t>
  </si>
  <si>
    <t>A building which is used to care for a human child during the working day by a person, outside the child's immediate family, other than that child's legal guardians.</t>
  </si>
  <si>
    <t>Emergency room (ER) [ENVO:03501145]</t>
  </si>
  <si>
    <t>A room in which emergency medical care is provided.</t>
  </si>
  <si>
    <t>Family practice clinic [ENVO:03501186]</t>
  </si>
  <si>
    <t>A medical clinic which is used to provide family medicine services.</t>
  </si>
  <si>
    <t>Group home [ENVO:03501196]</t>
  </si>
  <si>
    <t>A long-term care facility which is used to provide care for people with complex health needs, and which typically has at least one caregiver in attendance twenty four hours a day.</t>
  </si>
  <si>
    <t>Homeless shelter [ENVO:03501133]</t>
  </si>
  <si>
    <t>An institutional building which temporarily houses homeless people.</t>
  </si>
  <si>
    <t>A hospital is a building in which health care services are provided by specialized staff and equipment.</t>
  </si>
  <si>
    <t>Intensive Care Unit (ICU) [ENVO:03501152]</t>
  </si>
  <si>
    <t>A hospital unit facility which is used to provide cardiac patient care.</t>
  </si>
  <si>
    <t>Long Term Care Facility [ENVO:03501194]</t>
  </si>
  <si>
    <t>A residential building which is used to provides long-term care for residents.</t>
  </si>
  <si>
    <t>Patient room [ENVO:03501180]</t>
  </si>
  <si>
    <t>A room which is used for patient care during a patient's visit or stay in a healthcare facility.</t>
  </si>
  <si>
    <t>Prison [ENVO:03501204]</t>
  </si>
  <si>
    <t>A human construction which is a facility where convicts are forcibly confined, and punished and/or rehabilitated.</t>
  </si>
  <si>
    <t>Production Facility [ENVO:01000536]</t>
  </si>
  <si>
    <t>A factory (previously manufactory) or manufacturing plant is an industrial site, usually consisting of buildings and machinery, or more commonly a complex having several buildings, where workers manufacture goods or operate machines processing one product into another.</t>
  </si>
  <si>
    <t>School [ENVO:03501130]</t>
  </si>
  <si>
    <t>An institutional building in which students are educated.</t>
  </si>
  <si>
    <t>Sewage Plant [ENVO:00003043]</t>
  </si>
  <si>
    <t>A waste treatment plant where sewage is processed to reduce the potential for environmental contamination.</t>
  </si>
  <si>
    <t>Subway train [ENVO:03501109]</t>
  </si>
  <si>
    <t>A passenger train which runs along an undergroud rail system.</t>
  </si>
  <si>
    <t>University campus [ENVO:00000467]</t>
  </si>
  <si>
    <t>Wet market [ENVO:03501198]</t>
  </si>
  <si>
    <t>A market which is used for the sale and purchase of perishable goods.</t>
  </si>
  <si>
    <t>A prenatal diagnostic procedure in which a small sample of amniotic fluid is removed from the uterus by a needle inserted into the abdomen. This procedure is used to detect various genetic abnormalities in the fetus and/or the sex of the fetus.</t>
  </si>
  <si>
    <t>An aspiration process which involves putting a needle through the skin just above the pubic bone into the bladder to take a urine sample.</t>
  </si>
  <si>
    <t>An aspiration process which collects tracheal secretions.</t>
  </si>
  <si>
    <t>An aspiration process which uses a vacuum source to remove a sample.</t>
  </si>
  <si>
    <t>A specimen collection that obtains a sample of tissue or cell from a living multicellular organism body for diagnostic purposes by means intended to be minimally invasive.</t>
  </si>
  <si>
    <t>A biopsy that uses a hollow needle to extract cells.</t>
  </si>
  <si>
    <t>A filtration process which removes solid particulates from the air via an air filtration device.</t>
  </si>
  <si>
    <t>The collection of bronchoalveolar lavage fluid (BAL) from the lungs.</t>
  </si>
  <si>
    <t>The administration and evacuation of small volumes of liquid through an orogastric tube to remove toxic substances within the stomach.</t>
  </si>
  <si>
    <t>An invasive procedure in which a hollow needle is introduced through an intervertebral space in the lower back to access the subarachnoid space in order to sample cerebrospinal fluid or to administer medication.</t>
  </si>
  <si>
    <t>A postmortem examination of the body of an animal to determine the cause of death or the character and extent of changes produced by disease.</t>
  </si>
  <si>
    <t>The collection of blood from a vein, most commonly via needle venipuncture.</t>
  </si>
  <si>
    <t>The process of removal and collection of specimen material from the surface of an entity by washing, or a similar application of fluids.</t>
  </si>
  <si>
    <t>A collecting specimen from organism process in which a salt water solution is taken into the oral cavity, rinsed around, and gargled before being deposited into an external collection device.</t>
  </si>
  <si>
    <t>A specimen collection process in which a sample is collected by scraping a surface with a sterile sampling device.</t>
  </si>
  <si>
    <t>The process of collecting specimen material using a swab collection device.</t>
  </si>
  <si>
    <t>Amniocentesis [NCIT:C52009]</t>
  </si>
  <si>
    <t>Aspiration [NCIT:C15631]</t>
  </si>
  <si>
    <t>Procedure using suction, usually with a thin needle and syringe, to remove bodily fluid or tissue.</t>
  </si>
  <si>
    <t>Suprapubic Aspiration [GENEPIO:0100028]</t>
  </si>
  <si>
    <t>Vacuum Aspiration [GENEPIO:0100030]</t>
  </si>
  <si>
    <t>Needle Biopsy [OBI:0002651]</t>
  </si>
  <si>
    <t>Filtration [OBI:0302885]</t>
  </si>
  <si>
    <t>Filtration is a process which separates components suspended in a fluid based on granularity properties relying on a filter device.</t>
  </si>
  <si>
    <t>Air filtration [GENEPIO:0100031]</t>
  </si>
  <si>
    <t>A protocol application to separate cells and/or cellular secretions from an anatomical space by the introduction and removal of fluid.</t>
  </si>
  <si>
    <t>Bronchoalveolar lavage (BAL) [GENEPIO:0100032]</t>
  </si>
  <si>
    <t>Gastric Lavage [GENEPIO:0100033]</t>
  </si>
  <si>
    <t>Lumbar Puncture [NCIT:C15327]</t>
  </si>
  <si>
    <t>Necropsy [MMO:0000344]</t>
  </si>
  <si>
    <t>Phlebotomy [NCIT:C28221]</t>
  </si>
  <si>
    <t>Saline gargle (mouth rinse and gargle) [GENEPIO:0100034]</t>
  </si>
  <si>
    <t>Scraping [GENEPIO:0100035]</t>
  </si>
  <si>
    <t>Swabbing [GENEPIO:0002117]</t>
  </si>
  <si>
    <t>Finger Prick [GENEPIO:0100036]</t>
  </si>
  <si>
    <t>A device which is a thin, tube-like instrument which includes a light and a lens used to examine a lung.</t>
  </si>
  <si>
    <t>A container with the function of containing a specimen.</t>
  </si>
  <si>
    <t>A device which is used to collect liquid samples.</t>
  </si>
  <si>
    <t>A manufactured product which separates solids from fluids by adding a medium through which only a fluid can pass.</t>
  </si>
  <si>
    <t>A needle is a sharp, hollow device used to penetrate tissue or soft material. When attached to a syringe. it allows delivery of a specific volume of liquid or gaseous mixture.</t>
  </si>
  <si>
    <t>A specimen collection tube which is designed for collecting whole blood and enabling the separation of serum.</t>
  </si>
  <si>
    <t>A specimen collection tube which is designed for collecting sputum.</t>
  </si>
  <si>
    <t>A catheter which is used to remove mucus and other secretions from the body.</t>
  </si>
  <si>
    <t>A specimen container which is designed for holding urine.</t>
  </si>
  <si>
    <t>Blood Collection Tube [OBI:0002859]</t>
  </si>
  <si>
    <t>Bronchoscope [OBI:0002826]</t>
  </si>
  <si>
    <t>Collection Container [OBI:0002088]</t>
  </si>
  <si>
    <t>Collection Cup [GENEPIO:0100026]</t>
  </si>
  <si>
    <t>Filter [GENEPIO:0100103]</t>
  </si>
  <si>
    <t>Needle [OBI:0000436]</t>
  </si>
  <si>
    <t>Serum Collection Tube [OBI:0002860]</t>
  </si>
  <si>
    <t>Sputum Collection Tube [OBI:0002861]</t>
  </si>
  <si>
    <t>Suction Catheter [OBI:0002831]</t>
  </si>
  <si>
    <t>Urine Collection Tube [OBI:0002862]</t>
  </si>
  <si>
    <t>Virus Transport Medium [OBI:0002866]</t>
  </si>
  <si>
    <t>The process of growing a virus in serial iterations.</t>
  </si>
  <si>
    <t>Physical combination of several instances of like material.</t>
  </si>
  <si>
    <t>Virus passage [GENEPIO:0100039]</t>
  </si>
  <si>
    <t>EFO:0002090</t>
  </si>
  <si>
    <t>Technical replicate [EFO:0002090]</t>
  </si>
  <si>
    <t>Human [NCBITaxon:9606]</t>
  </si>
  <si>
    <t>Without clinical signs or indications that raise the possibility of a particular disorder or dysfunction.</t>
  </si>
  <si>
    <t>The cessation of life.</t>
  </si>
  <si>
    <t>Having no significant health-related issues.</t>
  </si>
  <si>
    <t>One of the possible results of an adverse event outcome that indicates that the event has improved or recuperated.</t>
  </si>
  <si>
    <t>Exhibiting the symptoms of a particular disease.</t>
  </si>
  <si>
    <t>Deceased [NCIT:C28554]</t>
  </si>
  <si>
    <t>Healthy [NCIT:C115935]</t>
  </si>
  <si>
    <t>Symptomatic [NCIT:C25269]</t>
  </si>
  <si>
    <t>The condition of being treated as a patient in a hospital.</t>
  </si>
  <si>
    <t>The condition of being treated as a patient in a hospital without admission to an intensive care unit (ICU).</t>
  </si>
  <si>
    <t>The condition of being treated as a patient in a hospital intensive care unit (ICU).</t>
  </si>
  <si>
    <t>Separation of people with a contagious disease from population to reduce the spread of the disease.</t>
  </si>
  <si>
    <t>Medical isolation in a negative pressure environment: 6 to 12 air exchanges per hour, and direct exhaust to the outside or through a high efficiency particulate air filter.</t>
  </si>
  <si>
    <t>A method used by an individual to be kept apart in seclusion from others for a period of time in an attempt to minimize the risk of transmission of an infectious disease.</t>
  </si>
  <si>
    <t>Hospitalized (Non-ICU) [GENEPIO:0100045]</t>
  </si>
  <si>
    <t>Hospitalized (ICU) [GENEPIO:0100046]</t>
  </si>
  <si>
    <t>Medically Isolated [GENEPIO:0100047]</t>
  </si>
  <si>
    <t>Medically Isolated (Negative Pressure) [GENEPIO:0100048]</t>
  </si>
  <si>
    <t>Self-quarantining [NCIT:C173768]</t>
  </si>
  <si>
    <t>Advancing in extent or severity.</t>
  </si>
  <si>
    <t>Subject to little fluctuation; showing little if any change.</t>
  </si>
  <si>
    <t>Deteriorating [NCIT:C25254]</t>
  </si>
  <si>
    <t>Stable [NCIT:C30103]</t>
  </si>
  <si>
    <t>month [UO:0000035]</t>
  </si>
  <si>
    <t>year [UO:0000036]</t>
  </si>
  <si>
    <t>An age group that stratifies the age of a case to be between 0 to 9 years old (inclusive).</t>
  </si>
  <si>
    <t>An age group that stratifies the age of a case to be between 10 to 19 years old (inclusive).</t>
  </si>
  <si>
    <t>An age group that stratifies the age of a case to be between 20 to 29 years old (inclusive).</t>
  </si>
  <si>
    <t>An age group that stratifies the age of a case to be between 30 to 39 years old (inclusive).</t>
  </si>
  <si>
    <t>An age group that stratifies the age of a case to be between 40 to 49 years old (inclusive).</t>
  </si>
  <si>
    <t>An age group that stratifies the age of a case to be between 50 to 59 years old (inclusive).</t>
  </si>
  <si>
    <t>An age group that stratifies the age of a case to be between 60 to 69 years old (inclusive).</t>
  </si>
  <si>
    <t>An age group that stratifies the age of a case to be between 70 to 79 years old (inclusive).</t>
  </si>
  <si>
    <t>An age group that stratifies the age of a case to be between 80 to 89 years old (inclusive).</t>
  </si>
  <si>
    <t>An age group that stratifies the age of a case to be between 90 to 99 years old (inclusive).</t>
  </si>
  <si>
    <t>An age group that stratifies the age of a case to be greater than or equal to 100 years old.</t>
  </si>
  <si>
    <t>0 - 9 [GENEPIO:0100049]</t>
  </si>
  <si>
    <t>10 - 19 [GENEPIO:0100050]</t>
  </si>
  <si>
    <t>20 - 29 [GENEPIO:0100051]</t>
  </si>
  <si>
    <t>30 - 39 [GENEPIO:0100052]</t>
  </si>
  <si>
    <t>40 - 49 [GENEPIO:0100053]</t>
  </si>
  <si>
    <t>60 - 69 [GENEPIO:0100055]</t>
  </si>
  <si>
    <t>70 - 79 [GENEPIO:0100056]</t>
  </si>
  <si>
    <t>80 - 89 [GENEPIO:0100057]</t>
  </si>
  <si>
    <t>90 - 99 [GENEPIO:0100058]</t>
  </si>
  <si>
    <t>100+ [GENEPIO:0100059]</t>
  </si>
  <si>
    <t>An individual who reports belonging to the cultural gender role distinction of female.</t>
  </si>
  <si>
    <t>An individual who reports belonging to the cultural gender role distinction of male.</t>
  </si>
  <si>
    <t>Either, a specific gender identity which is not male or female; or, more broadly, an umbrella term for gender identities not considered male or female.</t>
  </si>
  <si>
    <t>Having a feminine gender (identity) which is different from the sex one was assigned at birth.</t>
  </si>
  <si>
    <t>Having a masculine gender (identity) which is different from the sex one was assigned at birth.</t>
  </si>
  <si>
    <t>A categorical choice recorded when an individual being interviewed is unable or chooses not to provide a datum.</t>
  </si>
  <si>
    <t>Female [NCIT:C46110]</t>
  </si>
  <si>
    <t>Non-binary gender [GSSO:000132]</t>
  </si>
  <si>
    <t>Transgender (assigned male at birth) [GSSO:004004]</t>
  </si>
  <si>
    <t>Transgender (assigned female at birth) [GSSO:004005]</t>
  </si>
  <si>
    <t>Undeclared [NCIT:C110959]</t>
  </si>
  <si>
    <t>A sudden sensation of feeling cold.</t>
  </si>
  <si>
    <t>Inflammation of the conjunctiva.</t>
  </si>
  <si>
    <t>A sudden, audible expulsion of air from the lungs through a partially closed glottis, preceded by inhalation.</t>
  </si>
  <si>
    <t>A subjective feeling of tiredness characterized by a lack of energy and motivation.</t>
  </si>
  <si>
    <t>Body temperature elevated above the normal range.</t>
  </si>
  <si>
    <t>Cephalgia, or pain sensed in various parts of the head, not confined to the area of distribution of any nerve.</t>
  </si>
  <si>
    <t>Pain in muscle.</t>
  </si>
  <si>
    <t>A sensation of unease in the stomach together with an urge to vomit.</t>
  </si>
  <si>
    <t>A red eruption of the skin.</t>
  </si>
  <si>
    <t>Enlargment (swelling) of a lymph node.</t>
  </si>
  <si>
    <t>Forceful ejection of the contents of the stomach through the mouth by means of a series of involuntary spasmic contractions.</t>
  </si>
  <si>
    <t>Chills (sudden cold sensation) [HP:0025143]</t>
  </si>
  <si>
    <t>Conjunctivitis (pink eye) [HP:0000509]</t>
  </si>
  <si>
    <t>Cough [HP:0012735]</t>
  </si>
  <si>
    <t>Fatigue (tiredness) [HP:0012378]</t>
  </si>
  <si>
    <t>Fever [HP:0001945]</t>
  </si>
  <si>
    <t>Headache [HP:0002315]</t>
  </si>
  <si>
    <t>Myalgia (muscle pain) [HP:0003326]</t>
  </si>
  <si>
    <t>Nausea [HP:0002018]</t>
  </si>
  <si>
    <t>Rash [HP:0000988]</t>
  </si>
  <si>
    <t>Swollen Lymph Nodes [HP:0002716]</t>
  </si>
  <si>
    <t>Vomiting (throwing up) [HP:0002013]</t>
  </si>
  <si>
    <t>A tumor composed of atypical neoplastic, often pleomorphic cells that invade other tissues. Malignant neoplasms often metastasize to distant anatomic sites and may recur after excision. The most common malignant neoplasms are carcinomas (adenocarcinomas or squamous cell carcinomas), Hodgkin and non-Hodgkin lymphomas, leukemias, melanomas, and sarcomas.</t>
  </si>
  <si>
    <t>A group of abnormalities characterized by hyperglycemia and glucose intolerance.</t>
  </si>
  <si>
    <t>A chronic condition in which the pancreas produces little or no insulin. Type I diabetes mellitus is manifested by the sudden onset of severe hyperglycemia with rapid progression to diabetic ketoacidosis unless treated with insulin.</t>
  </si>
  <si>
    <t>A type of diabetes mellitus initially characterized by insulin resistance and hyperinsulinemia and subsequently by glucose interolerance and hyperglycemia.</t>
  </si>
  <si>
    <t>A loss of any arm of immune functions, resulting in potential or actual increase in infections. This state may be reached secondary to specific genetic lesions, syndromes with unidentified or polygenic causes, acquired deficits from other disease states, or as result of therapy for other diseases or conditions.</t>
  </si>
  <si>
    <t>An infection caused by the human immunodeficiency virus.</t>
  </si>
  <si>
    <t>An autoimmune, connective tissue chronic inflammatory disorder affecting the skin, joints, kidneys, lungs, heart, and the peripheral blood cells. It is more commonly seen in women than men. Variants include discoid and systemic lupus erythematosus.</t>
  </si>
  <si>
    <t>The state or condition of having a developing embryo or fetus in the body (uterus), after union of an ovum and spermatozoon, during the period from conception to birth.</t>
  </si>
  <si>
    <t>Any intervention for management of a malignant neoplasm.</t>
  </si>
  <si>
    <t>The use of synthetic or naturally-occurring chemicals for the treatment of diseases.</t>
  </si>
  <si>
    <t>Treatment of human immunodeficiency virus (HIV) infections with medications that target the virus directly, limiting the ability of infected cells to produce new HIV particles.</t>
  </si>
  <si>
    <t>An individual receiving a transplant.</t>
  </si>
  <si>
    <t>Cancer [MONDO:0004992]</t>
  </si>
  <si>
    <t>Diabetes mellitus (diabetes) [HP:0000819]</t>
  </si>
  <si>
    <t>Type I diabetes mellitus (T1D) [HP:0100651]</t>
  </si>
  <si>
    <t>Type II diabetes mellitus (T2D) [HP:0005978]</t>
  </si>
  <si>
    <t>Immunocompromised [NCIT:C14139]</t>
  </si>
  <si>
    <t>Human immunodeficiency virus (HIV) [MONDO:0005109]</t>
  </si>
  <si>
    <t>Acquired immunodeficiency syndrome (AIDS) [MONDO:0012268]</t>
  </si>
  <si>
    <t>Lupus [MONDO:0004670]</t>
  </si>
  <si>
    <t>Pregnancy [NCIT:C25742]</t>
  </si>
  <si>
    <t>Cancer treatment [NCIT:C16212]</t>
  </si>
  <si>
    <t>Chemotherapy [NCIT:C15632]</t>
  </si>
  <si>
    <t>Transplant [NCIT:C159659]</t>
  </si>
  <si>
    <t>An infection bearing the secondary infection role.</t>
  </si>
  <si>
    <t>Systemic inflammatory response to infection.</t>
  </si>
  <si>
    <t>Secondary infection [IDO:0000567]</t>
  </si>
  <si>
    <t>Completed a full series of an authorized vaccine according to the regional health institutional guidance.</t>
  </si>
  <si>
    <t>Fully Vaccinated [GENEPIO:0100100]</t>
  </si>
  <si>
    <t>Partially Vaccinated [GENEPIO:0100101]</t>
  </si>
  <si>
    <t>Mass Gathering [GENEPIO:0100237]</t>
  </si>
  <si>
    <t>Agricultural Event [GENEPIO:0100240]</t>
  </si>
  <si>
    <t>Social Gathering [PCO:0000033]</t>
  </si>
  <si>
    <t>Community Event [PCO:0000034]</t>
  </si>
  <si>
    <t>Direct (human-to-human contact) [TRANS:0000001]</t>
  </si>
  <si>
    <t>Indirect contact [GENEPIO:0100246]</t>
  </si>
  <si>
    <t>Close contact (face-to-face contact) [GENEPIO:0100247]</t>
  </si>
  <si>
    <t>Casual contact [GENEPIO:0100248]</t>
  </si>
  <si>
    <t>Attendee [GENEPIO:0100249]</t>
  </si>
  <si>
    <t>Student [OMRSE:00000058]</t>
  </si>
  <si>
    <t>Patient [OMRSE:00000030]</t>
  </si>
  <si>
    <t>Inpatient [NCIT:C25182]</t>
  </si>
  <si>
    <t>Outpatient [NCIT:C28293]</t>
  </si>
  <si>
    <t>Passenger [GENEPIO:0100250]</t>
  </si>
  <si>
    <t>Resident [GENEPIO:0100251]</t>
  </si>
  <si>
    <t>Visitor [GENEPIO:0100252]</t>
  </si>
  <si>
    <t>Volunteer [GENEPIO:0100253]</t>
  </si>
  <si>
    <t>Work [GENEPIO:0100254]</t>
  </si>
  <si>
    <t>Administrator [GENEPIO:0100255]</t>
  </si>
  <si>
    <t>First Responder [GENEPIO:0100256]</t>
  </si>
  <si>
    <t>Housekeeper [GENEPIO:0100260]</t>
  </si>
  <si>
    <t>Kitchen Worker [GENEPIO:0100261]</t>
  </si>
  <si>
    <t>Healthcare Worker [GENEPIO:0100334]</t>
  </si>
  <si>
    <t>Community Healthcare Worker [GENEPIO:0100420]</t>
  </si>
  <si>
    <t>Laboratory Worker [GENEPIO:0100262]</t>
  </si>
  <si>
    <t>Nurse [OMRSE:00000014]</t>
  </si>
  <si>
    <t>Personal Care Aid [GENEPIO:0100263]</t>
  </si>
  <si>
    <t>Pharmacist [GENEPIO:0100264]</t>
  </si>
  <si>
    <t>Physician [OMRSE:00000013]</t>
  </si>
  <si>
    <t>Rotational Worker [GENEPIO:0100354]</t>
  </si>
  <si>
    <t>Seasonal Worker [GENEPIO:0100355]</t>
  </si>
  <si>
    <t>Veterinarian [GENEPIO:0100265]</t>
  </si>
  <si>
    <t>Social role [OMRSE:00000001]</t>
  </si>
  <si>
    <t>Relative of case [GENEPIO:0100267]</t>
  </si>
  <si>
    <t>Child of case [GENEPIO:0100268]</t>
  </si>
  <si>
    <t>Parent of case [GENEPIO:0100269]</t>
  </si>
  <si>
    <t>Father of case [GENEPIO:0100270]</t>
  </si>
  <si>
    <t>Mother of case [GENEPIO:0100271]</t>
  </si>
  <si>
    <t>Spouse of case [GENEPIO:0100272]</t>
  </si>
  <si>
    <t>Human Exposure [ECTO:3000005]</t>
  </si>
  <si>
    <t>Contact with Patient [GENEPIO:0100185]</t>
  </si>
  <si>
    <t>Contact with Person who Recently Travelled [GENEPIO:0100189]</t>
  </si>
  <si>
    <t>Occupational, Residency or Patronage Exposure [GENEPIO:0100190]</t>
  </si>
  <si>
    <t>Abbatoir [ECTO:1000033]</t>
  </si>
  <si>
    <t>Animal Rescue [GENEPIO:0100191]</t>
  </si>
  <si>
    <t>Childcare [GENEPIO:0100192]</t>
  </si>
  <si>
    <t>Daycare [GENEPIO:0100193]</t>
  </si>
  <si>
    <t>Nursery [GENEPIO:0100194]</t>
  </si>
  <si>
    <t>Community Service Centre [GENEPIO:0100195]</t>
  </si>
  <si>
    <t>Correctional Facility [GENEPIO:0100196]</t>
  </si>
  <si>
    <t>Dormitory [GENEPIO:0100197]</t>
  </si>
  <si>
    <t>Farm [ECTO:1000034]</t>
  </si>
  <si>
    <t>First Nations Reserve [GENEPIO:0100198]</t>
  </si>
  <si>
    <t>Funeral Home [GENEPIO:0100199]</t>
  </si>
  <si>
    <t>Group Home [GENEPIO:0100200]</t>
  </si>
  <si>
    <t>Ambulance [GENEPIO:0100202]</t>
  </si>
  <si>
    <t>Acute Care Facility [GENEPIO:0100203]</t>
  </si>
  <si>
    <t>Clinic [GENEPIO:0100204]</t>
  </si>
  <si>
    <t>Community Healthcare (At-Home) Setting [GENEPIO:0100415]</t>
  </si>
  <si>
    <t>Community Health Centre [GENEPIO:0100205]</t>
  </si>
  <si>
    <t>Hospital [ECTO:1000035]</t>
  </si>
  <si>
    <t>Emergency Department [GENEPIO:0100206]</t>
  </si>
  <si>
    <t>ICU [GENEPIO:0100207]</t>
  </si>
  <si>
    <t>Ward [GENEPIO:0100208]</t>
  </si>
  <si>
    <t>Laboratory [ECTO:1000036]</t>
  </si>
  <si>
    <t>Long-Term Care Facility [GENEPIO:0100209]</t>
  </si>
  <si>
    <t>Pharmacy [GENEPIO:0100210]</t>
  </si>
  <si>
    <t>Physician's Office [GENEPIO:0100211]</t>
  </si>
  <si>
    <t>Household [GENEPIO:0100212]</t>
  </si>
  <si>
    <t>Insecure Housing (Homeless) [GENEPIO:0100213]</t>
  </si>
  <si>
    <t>Occupational Exposure [GENEPIO:0100214]</t>
  </si>
  <si>
    <t>Worksite [GENEPIO:0100215]</t>
  </si>
  <si>
    <t>Office [ECTO:1000037]</t>
  </si>
  <si>
    <t>Outdoors [GENEPIO:0100216]</t>
  </si>
  <si>
    <t>Camp/camping [ECTO:5000009]</t>
  </si>
  <si>
    <t>Hiking Trail [GENEPIO:0100217]</t>
  </si>
  <si>
    <t>Hunting Ground [ECTO:6000030]</t>
  </si>
  <si>
    <t>Ski Resort [GENEPIO:0100218]</t>
  </si>
  <si>
    <t>Petting zoo [ECTO:5000008]</t>
  </si>
  <si>
    <t>Place of Worship [GENEPIO:0100220]</t>
  </si>
  <si>
    <t>Church [GENEPIO:0100221]</t>
  </si>
  <si>
    <t>Mosque [GENEPIO:0100222]</t>
  </si>
  <si>
    <t>Temple [GENEPIO:0100223]</t>
  </si>
  <si>
    <t>Restaurant [ECTO:1000040]</t>
  </si>
  <si>
    <t>Retail Store [ECTO:1000041]</t>
  </si>
  <si>
    <t>School [GENEPIO:0100224]</t>
  </si>
  <si>
    <t>Temporary Residence [GENEPIO:0100225]</t>
  </si>
  <si>
    <t>Homeless Shelter [GENEPIO:0100226]</t>
  </si>
  <si>
    <t>Hotel [GENEPIO:0100227]</t>
  </si>
  <si>
    <t>Veterinary Care Clinic [GENEPIO:0100228]</t>
  </si>
  <si>
    <t>Travel Exposure [GENEPIO:0100229]</t>
  </si>
  <si>
    <t>Travelled on a Cruise Ship [GENEPIO:0100230]</t>
  </si>
  <si>
    <t>Travelled on a Plane [GENEPIO:0100231]</t>
  </si>
  <si>
    <t>Travelled on Ground Transport [GENEPIO:0100232]</t>
  </si>
  <si>
    <t>Other Exposure Setting [GENEPIO:0100235]</t>
  </si>
  <si>
    <t>No prior antiviral treatment [GENEPIO:0100233]</t>
  </si>
  <si>
    <t>A sampling strategy in which individuals are chosen for investigation into a disease cluster or outbreak.</t>
  </si>
  <si>
    <t>A sampling strategy in which individuals are sampled in the context of diagnostic testing.</t>
  </si>
  <si>
    <t>A sampling strategy in which individuals are sampled for surveillance investigations.</t>
  </si>
  <si>
    <t>Cluster/Outbreak investigation [GENEPIO:0100001]</t>
  </si>
  <si>
    <t>Research [GENEPIO:0100003]</t>
  </si>
  <si>
    <t>Surveillance [GENEPIO:0100004]</t>
  </si>
  <si>
    <t>A surveillance sampling strategy in which baseline is established at the beginning of a study or project by the selection of sample units via random sampling.</t>
  </si>
  <si>
    <t>A targeted surveillance strategy which is considered important and/or urgent.</t>
  </si>
  <si>
    <t>A priority surveillance strategy in which subsets of a defined population can be identified who are, have been, or in the future may be exposed or not exposed - or exposed in different degrees - to a disease of interest and are selected to under go repeat sampling over a defined period of time.</t>
  </si>
  <si>
    <t>A priority surveillance strategy in which a population that previously tested positive for a disease of interest, and since confirmed to have recovered via a negative test, are monitored for positive test indication of re-infection with the disease of interest within a defined period of time.</t>
  </si>
  <si>
    <t>A priority surveillance strategy in which individuals are monitored for investigation into vaccine escape, i.e., identifying variants that contain mutations that counteracted the immunity provided by vaccine(s) of interest.</t>
  </si>
  <si>
    <t>A priority surveillance strategy in which individuals are selected if they have a travel history outside of the reporting region within a specified number of days before onset of symptoms.</t>
  </si>
  <si>
    <t>A travel-associated surveillance strategy in which individuals are selected if they have an intranational travel history within a specified number of days before onset of symptoms.</t>
  </si>
  <si>
    <t>A travel-associated surveillance strategy in which individuals are selected if they have a travel history outside of the reporting country in a specified number of days before onset of symptoms.</t>
  </si>
  <si>
    <t>An outbreak investigation sampling strategy in which individuals are chosen for investigation into a disease outbreak that has connections to two or more jurisdictions.</t>
  </si>
  <si>
    <t>An outbreak investigation sampling strategy in which individuals are chosen for investigation into a disease outbreak that only has connections within a single jurisdiction.</t>
  </si>
  <si>
    <t>A research sampling strategy in which individuals are sampled in order to perform a viral passage experiment.</t>
  </si>
  <si>
    <t>A research sampling strategy in which individuals are sampled in order to perform a protocol testing experiment.</t>
  </si>
  <si>
    <t>Targeted surveillance (non-random sampling) [GENEPIO:0100006]</t>
  </si>
  <si>
    <t>Priority surveillance project [GENEPIO:0100007]</t>
  </si>
  <si>
    <t>Longitudinal surveillance (repeat sampling of individuals) [GENEPIO:0100009]</t>
  </si>
  <si>
    <t>Re-infection surveillance [GENEPIO:0100010]</t>
  </si>
  <si>
    <t>Vaccine escape surveillance [GENEPIO:0100011]</t>
  </si>
  <si>
    <t>Travel-associated surveillance [GENEPIO:0100012]</t>
  </si>
  <si>
    <t>Domestic travel surveillance [GENEPIO:0100013]</t>
  </si>
  <si>
    <t>Interstate/ interprovincial travel surveillance [GENEPIO:0100275]</t>
  </si>
  <si>
    <t>Intra-state/ intra-provincial travel surveillance [GENEPIO:0100276]</t>
  </si>
  <si>
    <t>International travel surveillance [GENEPIO:0100014]</t>
  </si>
  <si>
    <t>Cluster/Outbreak investigation [GENEPIO:0100019]</t>
  </si>
  <si>
    <t>Multi-jurisdictional outbreak investigation [GENEPIO:0100020]</t>
  </si>
  <si>
    <t>Intra-jurisdictional outbreak investigation [GENEPIO:0100021]</t>
  </si>
  <si>
    <t>Research [GENEPIO:0100022]</t>
  </si>
  <si>
    <t>Viral passage experiment [GENEPIO:0100023]</t>
  </si>
  <si>
    <t>Protocol testing experiment [GENEPIO:0100024]</t>
  </si>
  <si>
    <t>Retrospective sequencing [GENEPIO:0100356]</t>
  </si>
  <si>
    <t>Illumina HiScanSQ [GENEPIO:0100109]</t>
  </si>
  <si>
    <t>Illumina HiSeq [GENEPIO:0100110]</t>
  </si>
  <si>
    <t>Illumina HiSeq X [GENEPIO:0100111]</t>
  </si>
  <si>
    <t>Illumina HiSeq X Five [GENEPIO:0100112]</t>
  </si>
  <si>
    <t>Illumina iSeq [GENEPIO:0100120]</t>
  </si>
  <si>
    <t>Illumina iSeq 100 [GENEPIO:0100121]</t>
  </si>
  <si>
    <t>Illumina NovaSeq [GENEPIO:0100122]</t>
  </si>
  <si>
    <t>Illumina NextSeq [GENEPIO:0100126]</t>
  </si>
  <si>
    <t>Illumina NextSeq 550 [GENEPIO:0100128]</t>
  </si>
  <si>
    <t>Illumina NextSeq 2000 [GENEPIO:0100129]</t>
  </si>
  <si>
    <t>PacBio RS [GENEPIO:0100131]</t>
  </si>
  <si>
    <t>Ion Torrent PGM [GENEPIO:0100136]</t>
  </si>
  <si>
    <t>Ion Torrent Proton [GENEPIO:0100137]</t>
  </si>
  <si>
    <t>Ion Torrent S5 XL [GENEPIO:0100138]</t>
  </si>
  <si>
    <t>Ion Torrent S5 [GENEPIO:0100139]</t>
  </si>
  <si>
    <t>Oxford Nanopore GridION [GENEPIO:0100141]</t>
  </si>
  <si>
    <t>BGI Genomics BGISEQ-500 [GENEPIO:0100145]</t>
  </si>
  <si>
    <t>MGI DNBSEQ-T7 [GENEPIO:0100147]</t>
  </si>
  <si>
    <t>MGI DNBSEQ-G400 [GENEPIO:0100148]</t>
  </si>
  <si>
    <t>MGI DNBSEQ-G50 [GENEPIO:0100150]</t>
  </si>
  <si>
    <t>A landlocked country that is located approximately in the center of Asia. It is bordered by Pakistan in the south and east Iran in the west, Turkmenistan, Uzbekistan and Tajikistan in the north, and China in the far northeast. Afghanistan is administratively divided into thirty-four (34) provinces (welayats). Each province is then divided into many provincial districts, and each district normally covers a city or several townships. [ url:http://en.wikipedia.org/wiki/Afghanistan ]</t>
  </si>
  <si>
    <t>A country in South Eastern Europe. Albania is bordered by Greece to the south-east, Montenegro to the north, Kosovo to the northeast, and the Republic of Macedonia to the east. It has a coast on the Adriatic Sea to the west, and on the Ionian Sea to the southwest. From the Strait of Otranto, Albania is less than 100 km from Italy. Albania is divided into 12 administrative divisions called (Albanian: official qark/qarku, but often prefekture/prefektura Counties), 36 districts (Rrethe) and 351 municipalities (Bashkia) and communes (Komuna). [ url:http://en.wikipedia.org/wiki/Albania ]</t>
  </si>
  <si>
    <t>A country in North Africa. It is bordered by Tunisia in the northeast, Libya in the east, Niger in the southeast, Mali and Mauritania in the southwest, a few km of the Western Sahara in the west, Morocco in the northwest, and the Mediterranean Sea in the north. It divided into 48 provinces (wilayas), 553 districts (dairas) and 1,541 municipalities (communes, baladiyahs). [ url:http://en.wikipedia.org/wiki/Algeria ]</t>
  </si>
  <si>
    <t>An unincorporated territory of the United States located in the South Pacific Ocean, southeast of the sovereign State of Samoa. The main (largest and most populous) island is Tutuila, with the Manu'a Islands, Rose Atoll, and Swains Island also included in the territory. [ url:http://en.wikipedia.org/wiki/American_Samoa ]</t>
  </si>
  <si>
    <t>A small landlocked country in western Europe, located in the eastern Pyrenees mountains and bordered by Spain (Catalonia) and France. Andorra consists of seven communities known as parishes (Catalan: parroquies, singular - parroquia). Until relatively recently, it had only six parishes; the seventh, Escaldes-Engordany, was created in 1978. Some parishes have a further territorial subdivision. Ordino, La Massana and Sant Julia de Loria are subdivided into quarts (quarters), while Canillo is subdivided into veinats (neighborhoods). Those mostly coincide with villages, which are found in all parishes. [ url:http://en.wikipedia.org/wiki/Andorra ]</t>
  </si>
  <si>
    <t>A country in south-central Africa bordering Namibia to the south, Democratic Republic of the Congo to the north, and Zambia to the east, and with a west coast along the Atlantic Ocean. The exclave province Cabinda has a border with the Republic of the Congo and the Democratic Republic of the Congo. [ url:http://en.wikipedia.org/wiki/Angola ]</t>
  </si>
  <si>
    <t>A British overseas territory in the Caribbean, one of the most northerly of the Leeward Islands in the Lesser Antilles. It consists of the main island of Anguilla itself, approximately 26 km long by 5 km wide at its widest point, together with a number of much smaller islands and cays with no permanent population. [ url:http://en.wikipedia.org/wiki/Anguila ]</t>
  </si>
  <si>
    <t>The Earth's southernmost continent, overlying the South Pole. It is situated in the southern hemisphere, almost entirely south of the Antarctic Circle, and is surrounded by the Southern Ocean. [ url:http://en.wikipedia.org/wiki/Antarctica ]</t>
  </si>
  <si>
    <t>An island nation located on the eastern boundary of the Caribbean Sea with the Atlantic Ocean. [ url:http://en.wikipedia.org/wiki/Antigua_and_Barbuda ]</t>
  </si>
  <si>
    <t>A South American country, constituted as a federation of twenty-three provinces and an autonomous city. It is bordered by Paraguay and Bolivia in the north, Brazil and Uruguay in the northeast, and Chile in the west and south. The country claims the British controlled territories of the Falkland Islands and South Georgia and the South Sandwich Islands. Argentina also claims 969,464 km2 of Antarctica, known as Argentine Antarctica, overlapping other claims made by Chile and the United Kingdom. Argentina is subdivided into twenty-three provinces (Spanish: provincias, singular provincia) and one federal district (Capital de la Republica or Capital de la Nacion, informally the Capital Federal). The federal district and the provinces have their own constitutions, but exist under a federal system. Provinces are then divided into departments (Spanish: departamentos, singular departamento), except for Buenos Aires Province, which is divided into partidos. [ url:http://en.wikipedia.org/wiki/Argentina ]</t>
  </si>
  <si>
    <t>A landlocked mountainous country in Eurasia between the Black Sea and the Caspian Sea in the Southern Caucasus. It borders Turkey to the west, Georgia to the north, Azerbaijan to the east, and Iran and the Nakhchivan exclave of Azerbaijan to the south. A transcontinental country at the juncture of Eastern Europe and Western Asia. A former republic of the Soviet Union. Armenia is divided into ten marzes (provinces, singular marz), with the city (kaghak) of Yerevan having special administrative status as the country's capital. [ url:http://en.wikipedia.org/wiki/Armenia ]</t>
  </si>
  <si>
    <t>An autonomous region within the Kingdom of the Netherlands, Aruba has no administrative subdivisions. [ url:http://en.wikipedia.org/wiki/Aruba ]</t>
  </si>
  <si>
    <t>A Territory of Australia that includes two groups of small low-lying uninhabited tropical islands in the Indian Ocean situated on the edge of the continental shelf north-west of Australia and south of the Indonesian island of Roti. [ url:http://en.wikipedia.org/wiki/Ashmore_and_Cartier_Islands ]</t>
  </si>
  <si>
    <t>A country in the southern hemisphere comprising the mainland of the world's smallest continent, the major island of Tasmania, and a number of other islands in the Indian and Pacific Oceans. The neighbouring countries are Indonesia, East Timor, and Papua New Guinea to the north, the Solomon Islands, Vanuatu, and New Caledonia to the north-east, and New Zealand to the south-east. Australia has six states, two major mainland territories, and other minor territories.</t>
  </si>
  <si>
    <t>A landlocked country in Central Europe. It borders both Germany and the Czech Republic to the north, Slovakia and Hungary to the east, Slovenia and Italy to the south, and Switzerland and Liechtenstein to the west. The capital is the city of Vienna on the Danube River. Austria is divided into nine states (Bundeslander). These states are then divided into districts (Bezirke) and cities (Statutarstadte). Districts are subdivided into municipalities (Gemeinden). Cities have the competencies otherwise granted to both districts and municipalities.</t>
  </si>
  <si>
    <t>A country in the he South Caucasus region of Eurasia, it is bounded by the Caspian Sea to the east, Russia to the north, Georgia to the northwest, Armenia to the west, and Iran to the south. The Azerbaijani exclave of Nakhchivan is bordered by Armenia to the north and east, Iran to the south and west, and Turkey to the northwest. Nagorno-Karabakh, along with 7 other districts in Azerbaijan's southwest, have been controlled by Armenia since the end of the Nagorno-Karabakh War in 1994. Azerbaijan is divided into 59 rayons 11 city districts (saharlar), and one autonomous republic (muxtar respublika).</t>
  </si>
  <si>
    <t>A country consisting of two thousand cays and seven hundred islands that form an archipelago. It is located in the Atlantic Ocean, southeast of Florida and the United States, north of Cuba, the island of Hispanola and the Caribbean, and northwest of the British overseas territory of the Turks and Caicos Islands. It is divided into 32 districts, plus New Providence, whose affairs are handled directly by the central government.</t>
  </si>
  <si>
    <t>A borderless island country in the Persian Gulf. Saudi Arabia lies to the west and is connected to Bahrain by the King Fahd Causeway, and Qatar is to the south across the Gulf of Bahrain. Bahrain is split into five governorates.</t>
  </si>
  <si>
    <t>An uninhabited atoll located just north of the equator in the central Pacific Ocean about 3,100 km southwest of Honolulu. Baker Island is an unincorporated and unorganized territory of the US.</t>
  </si>
  <si>
    <t>A country in South Asia. It is bordered by India on all sides except for a small border with Myanmar to the far southeast and by the Bay of Bengal to the south. Bangladesh is divided into six administrative divisions. Divisions are subdivided into districts (zila). There are 64 districts in Bangladesh, each further subdivided into upazila (subdistricts) or thana ("police stations").</t>
  </si>
  <si>
    <t>An island country in the Lesser Antilles of the West Indies, in the Caribbean region of the Americas, and the most easterly of the Caribbean Islands. It is 34 kilometres (21 miles) in length and up to 23 km (14 mi) in width, covering an area of 432 km2 (167 sq mi). It is in the western part of the North Atlantic, 100 km (62 mi) east of the Windward Islands and the Caribbean Sea.[7] Barbados is east of the Windwards, part of the Lesser Antilles, at roughly 13°N of the equator. It is about 168 km (104 mi) east of both the countries of Saint Lucia and Saint Vincent and the Grenadines and 180 km (110 mi) south-east of Martinique and 400 km (250 mi) north-east of Trinidad and Tobago. Barbados is outside the principal Atlantic hurricane belt. Its capital and largest city is Bridgetown.</t>
  </si>
  <si>
    <t>A roughly circular atoll about 10 km in diameter, which corresponds to a total size (including lagoon) of 80 km2. It is located in the southern Mozambique Channel, about half-way between Madagascar (which is 385 km to the east) and Mozambique, and 110 km northwest of Europa Island. It rises steeply from the seabed 3000 m below.</t>
  </si>
  <si>
    <t>A landlocked country in Eastern Europe, that borders Russia to the north and east, Ukraine to the south, Poland to the west, and Lithuania and Latvia to the north. Its capital is Minsk. Belarus is divided into six voblasts, or provinces. Voblasts are further subdivided into raions (commonly translated as districts or regions). As of 2002, there are six voblasts, 118 raions, 102 towns and 108 urbanized settlements. Minsk is given a special status, due to the city serving as the national capital.</t>
  </si>
  <si>
    <t>A country in northwest Europe. Belgium shares borders with France (620 km), Germany (167 km), Luxembourg (148 km) and the Netherlands (450 km). The Flemish Region (Flanders) and the Walloon Region (Wallonia) each comprise five provinces; the third region, Brussels-Capital Region, is not a province, nor does it contain any Together, these comprise 589 municipalities, which in general consist of several sub-municipalities (which were independent municipalities before the municipal merger operation mainly in 1977).</t>
  </si>
  <si>
    <t>A country in Central America. It is the only officially English speaking country in the region. Belize was a British colony for more than a century and was known as British Honduras until 1973. It became an independent nation within The Commonwealth in 1981. Belize is divided into 6 districts, which are further divided into 31 constituencies.</t>
  </si>
  <si>
    <t>A country in Western Africa. It borders Togo to the west, Nigeria to the east and Burkina Faso and Niger to the north; its short coastline to the south leads to the Bight of Benin. Its capital is Porto Novo, but the seat of government is Cotonou. Benin is divided into 12 departments and subdivided into 77 communes.</t>
  </si>
  <si>
    <t>A British overseas territory in the North Atlantic Ocean. Located off the east coast of the United States, it is situated around 1770 km NE of Miami, Florida and 1350 km S of Halifax, Nova Scotia. Comprised of approximately 138 islands.</t>
  </si>
  <si>
    <t>A landlocked nation in South Asia. It is located amidst the eastern end of the Himalaya Mountains and is bordered to the south, east and west by India and to the north by Tibet. Bhutan is separated from Nepal by the Indian State of Sikkim. Bhutan is divided into four dzongdey (administrative zones). Each dzongdey is further divided into dzongkhag (districts). There are twenty dzongkhag in Bhutan. Large dzongkhags are further divided into subdistricts known as dungkhag. At the basic level, groups of villages form a constituency called gewog.</t>
  </si>
  <si>
    <t>A landlocked country in central South America. It is bordered by Brazil on the north and east, Paraguay and Argentina on the south, and Chile and Peru on the west. Bolivia is divided into 9 departments (Spanish: departamentos). Each of the departments is subdivided into provinces (provincias), which are further subdivided into municipalities (municipios).</t>
  </si>
  <si>
    <t>An island at the grographic centre of Maritime Southeast Adia, in relation to major Indonesian islands, it is located north of Java, west of Sulawesi, and east of Sumatra. It is the third-largest island in the world and the larest in Asia. The island is politically divided among three countries: Malaysia and Brunei in the north, and Indonesia to the south.[1] Approximately 73% of the island is Indonesian territory. In the north, the East Malaysian states of Sabah and Sarawak make up about 26% of the island. Additionally, the Malaysian federal territory of Labuan is situated on a small island just off the coast of Borneo. The sovereign state of Brunei, located on the north coast, comprises about 1% of Borneo's land area. A little more than half of the island is in the Northern Hemisphere, including Brunei and the Malaysian portion, while the Indonesian portion spans the Northern and Southern hemispheres.</t>
  </si>
  <si>
    <t>A country on the Balkan peninsula of Southern Europe. Bordered by Croatia to the north, west and south, Serbia to the east, and Montenegro to the south, Bosnia and Herzegovina is mostly landlocked, except for 26 km of the Adriatic Sea coastline. Bosnia and Herzegovina is now divided into three political regions of which one, the Brcko District is part of the other two, the Federacija Bosne i Hercegovine and the Republika Srpska. All three have an equal constitutional status on the whole territory of Bosnia and Herzegovina.</t>
  </si>
  <si>
    <t>A landlocked nation in Southern Africa. It is bordered by South Africa to the south and southeast, Namibia to the west, Zambia to the north, and Zimbabwe to the northeast. Botswana is divided into nine districts, which are subdivided into a total twenty-eight subdistricts.</t>
  </si>
  <si>
    <t>A sub-antarctic volcanic island in the South Atlantic Ocean, south-southwest of the Cape of Good Hope (South Africa). It is a dependent area of Norway and is not subject to the Antarctic Treaty, as it is north of the latitude south of which claims are suspended.</t>
  </si>
  <si>
    <t>A country in South America. Bordered by the Atlantic Ocean and by Venezuela, Suriname, Guyana and the department of French Guiana to the north, Colombia to the northwest, Bolivia and Peru to the west, Argentina and Paraguay to the southwest, and Uruguay to the south. Federation of twenty-six states (estados) and one federal district (Distrito Federal). The states are subdivided into municipalities. For statistical purposes, the States are grouped into five main regions: North, Northeast, Central-West, Southeast and South.</t>
  </si>
  <si>
    <t>A British overseas territory, located in the Caribbean to the east of Puerto Rico. The islands make up part of the Virgin Islands archipelago, the remaining islands constituting the US Virgin Islands. The British Virgin Islands consist of the main islands of Tortola, Virgin Gorda, Anegada and Jost Van Dyke, along with over fifty other smaller islands and cays. Approximately fifteen of the islands are inhabited.</t>
  </si>
  <si>
    <t>A country located on the north coast of the island of Borneo, in Southeast Asia. Apart from its coastline with the South China Sea it is completely surrounded by the State of Sarawak, Malaysia, and in fact it is separated into two parts by Limbang, which is part of Sarawak. Brunei is divided into four districts (daerah), the districts are subdivided into thirty-eight mukims, which are then divided into kampong (villages).</t>
  </si>
  <si>
    <t>A country in Southeastern Europe, borders five other countries; Romania to the north (mostly along the Danube), Serbia and the Republic of Macedonia to the west, and Greece and Turkey to the south. The Black Sea defines the extent of the country to the east. Since 1999, it has consisted of twenty-eight provinces. The provinces subdivide into 264 municipalities.</t>
  </si>
  <si>
    <t>A landlocked nation in West Africa. It is surrounded by six countries: Mali to the north, Niger to the east, Benin to the south east, Togo and Ghana to the south, and Cote d'Ivoire to the south west. Burkina Faso is divided into thirteen regions, forty-five provinces, and 301 departments (communes).</t>
  </si>
  <si>
    <t>A small country in the Great Lakes region of Africa. It is bordered by Rwanda on the north, Tanzania on the south and east, and the Democratic Republic of the Congo on the west. Although the country is landlocked, much of its western border is adjacent to Lake Tanganyika. Burundi is divided into 17 provinces, 117 communes, and 2,638 collines.</t>
  </si>
  <si>
    <t>A country in Southeast Asia. The country borders Thailand to its west and northwest, Laos to its northeast, and Vietnam to its east and southeast. In the south it faces the Gulf of Thailand.</t>
  </si>
  <si>
    <t>A country of central and western Africa. It borders Nigeria to the west; Chad to the northeast; the Central African Republic to the east; and Equatorial Guinea, Gabon, and the Republic of the Congo to the south. Cameroon's coastline lies on the Bight of Bonny, part of the Gulf of Guinea and the Atlantic Ocean. The Republic of Cameroon is divided into ten provinces and 58 divisions or departments. The divisions are further sub-divided into sub-divisions (arrondissements) and districts.</t>
  </si>
  <si>
    <t>A country occupying most of northern North America, extending from the Atlantic Ocean in the east to the Pacific Ocean in the west and northward into the Arctic Ocean. Canada is a federation composed of ten provinces and three territories; in turn, these may be grouped into regions. Western Canada consists of British Columbia and the three Prairie provinces (Alberta, Saskatchewan, and Manitoba). Central Canada consists of Quebec and Ontario. Atlantic Canada consists of the three Maritime provinces (New Brunswick, Prince Edward Island, and Nova Scotia), along with Newfoundland and Labrador. Eastern Canada refers to Central Canada and Atlantic Canada together. Three territories (Yukon, Northwest Territories, and Nunavut) make up Northern Canada.</t>
  </si>
  <si>
    <t>A republic located on an archipelago in the Macaronesia ecoregion of the North Atlantic Ocean, off the western coast of Africa. Cape Verde is divided into 22 municipalities (concelhos), and subdivided into 32 parishes (freguesias).</t>
  </si>
  <si>
    <t>A British overseas territory located in the western Caribbean Sea, comprising the islands of Grand Cayman, Cayman Brac, and Little Cayman. The Cayman Islands are divided into seven districts.</t>
  </si>
  <si>
    <t>A landlocked country in Central Africa. It borders Chad in the north, Sudan in the east, the Republic of the Congo and the Democratic Republic of the Congo in the south, and Cameroon in the west. The Central African Republic is divided into 14 administrative prefectures (prefectures), along with 2 economic prefectures (prefectures economiques) and one autonomous commune. The prefectures are further divided into 71 sub-prefectures (sous-prefectures).</t>
  </si>
  <si>
    <t>A landlocked country in central Africa. It is bordered by Libya to the north, Sudan to the east, the Central African Republic to the south, Cameroon and Nigeria to the southwest, and Niger to the west. Chad is divided into 18 regions. The departments are divided into 200 sub-prefectures, which are in turn composed of 446 cantons. This is due to change.</t>
  </si>
  <si>
    <t>A country in South America occupying a long and narrow coastal strip wedged between the Andes mountains and the Pacific Ocean. The Pacific forms the country's entire western border, with Peru to the north, Bolivia to the northeast, Argentina to the east, and the Drake Passage at the country's southernmost tip. Chile claims 1,250,000 km2 of territory in Antarctica. Chile is divided into 15 regions. Every region is further divided into provinces. Finally each province is divided into communes. Each region is designated by a name and a Roman numeral, assigned from north to south. The only exception is the region housing the nation's capital, which is designated RM, that stands for Region Metropolitana (Metropolitan Region). Two new regions were created in 2006: Arica-Parinacota in the north, and Los Rios in the south. Both became operative in 2007-10.</t>
  </si>
  <si>
    <t>A large country in Northeast Asia. China borders 14 nations (counted clockwise from south): Vietnam, Laos, Burma, India, Bhutan, Nepal, Pakistan, Afghanistan, Tajikistan, Kyrgyzstan, Kazakhstan, Russia, Mongolia and North Korea. Additionally the border between PRC and ROC is located in territorial waters. The People's Republic of China has administrative control over twenty-two provinces and considers Taiwan to be its twenty-third province. There are also five autonomous regions, each with a designated minority group; four municipalities; and two Special Administrative Regions that enjoy considerable autonomy. The People's Republic of China administers 33 province-level regions, 333 prefecture-level regions, 2,862 county-level regions, 41,636 township-level regions, and several village-level regions.</t>
  </si>
  <si>
    <t>An island in the Indian Ocean, 500 km south of Indonesia and about 2600 km northwest of Perth. The island is the flat summit of a submarine mountain.</t>
  </si>
  <si>
    <t>A nine-square km coral atoll in the North Pacific Ocean, southwest of Mexico and west of Costa Rica.</t>
  </si>
  <si>
    <t>Islands that located in the Indian Ocean, about halfway between Australia and Sri Lanka. A territory of Australia. There are two atolls and twenty-seven coral islands in the group.</t>
  </si>
  <si>
    <t>A country located in the northwestern region of South America. Colombia is bordered to the east by Venezuela and Brazil; to the south by Ecuador and Peru; to the North by the Atlantic Ocean, through the Caribbean Sea; to the north-west by Panama; and to the west by the Pacific Ocean. Besides the countries in South America, the Republic of Colombia is recognized to share maritime borders with the Caribbean countries of Jamaica, Haiti, the Dominican Republic and the Central American countries of Honduras, Nicaragua, and Costa Rica. Colombia is divided into 32 departments and one capital district which is treated as a department. There are in total 10 districts assigned to cities in Colombia including Bogota, Barranquilla, Cartagena, Santa Marta, Tunja, Cucuta, Popayan, Buenaventura, Tumaco and Turbo. Colombia is also subdivided into some municipalities which form departments, each with a municipal seat capital city assigned. Colombia is also subdivided into corregimientos which form municipalities.</t>
  </si>
  <si>
    <t>An island nation in the Indian Ocean, located off the eastern coast of Africa on the northern end of the Mozambique Channel between northern Madagascar and northeastern Mozambique.</t>
  </si>
  <si>
    <t>A self-governing parliamentary democracy in free association with New Zealand. The fifteen small islands in this South Pacific Ocean country have a total land area of 240 km2, but the Cook Islands Exclusive Economic Zone (EEZ) covers 1.8 million km2 of ocean.</t>
  </si>
  <si>
    <t>A Territory of Australia which includes a group of small and mostly uninhabited tropical islands and reefs in the Coral Sea, northeast of Queensland, Australia. The only inhabited island is Willis Island. The territory covers 780,000 km2, extending east and south from the outer edge of the Great Barrier Reef, and including Heralds Beacon Island, Osprey Reef, the Willis Group, and fifteen other reef/island groups.</t>
  </si>
  <si>
    <t>A republic in Central America, bordered by Nicaragua to the north, Panama to the east-southeast, the Pacific Ocean to the west and south, and the Caribbean Sea to the east. Costa Rica is composed of seven provinces, which in turn are divided into 81 cantons.</t>
  </si>
  <si>
    <t>A country in West Africa. It borders Liberia and Guinea to the west, Mali and Burkina Faso to the north, Ghana to the east, and the Gulf of Guinea to the south. Cote d'Ivoire is divided into nineteen regions (regions). The regions are further divided into 58 departments.</t>
  </si>
  <si>
    <t>A country at the crossroads of the Mediterranean, Central Europe, and the Balkans. Its capital is Zagreb. Croatia borders with Slovenia and Hungary to the north, Serbia to the northeast, Bosnia and Herzegovina to the east, Montenegro to the far southeast, and the Adriatic Sea to the south. Croatia is divided into 21 counties (zupanija) and the capital Zagreb's city district.</t>
  </si>
  <si>
    <t>A country that consists of the island of Cuba (the largest and second-most populous island of the Greater Antilles), Isla de la Juventud and several adjacent small islands. Fourteen provinces and one special municipality (the Isla de la Juventud) now compose Cuba.</t>
  </si>
  <si>
    <t>One of five island areas of the Netherlands Antilles.</t>
  </si>
  <si>
    <t>The third largest island in the Mediterranean Sea (after Sicily and Sardinia), Cyprus is situated in the eastern Mediterranean, just south of the Anatolian peninsula (or Asia Minor) of the Asian mainland; thus, it is often included in the Middle East (see also Western Asia and Near East). Turkey is 75 km north; other neighbouring countries include Syria and Lebanon to the east, Israel to the southeast, Egypt to the south, and Greece to the west-north-west.</t>
  </si>
  <si>
    <t>A landlocked country in Central Europe. It has borders with Poland to the north, Germany to the northwest and southwest, Austria to the south, and Slovakia to the east. The capital and largest city is Prague. The country is composed of the historic regions of Bohemia and Moravia, as well as parts of Silesia. Since 2000, the Czech Republic is divided into thirteen regions (kraje, singular kraj) and the capital city of Prague. The older seventy-six districts (okresy, singular okres) including three 'statutory cities' (without Prague, which had special status) were disbanded in 1999 in an administrative reform; they remain as territorial division and seats of various branches of state administration. Since 2003-01-01, the regions have been divided into around 203 Municipalities with Extended Competence (unofficially named "Little Districts" (Czech: 'male okresy') which took over most of the administration of the former District Authorities. Some of these are further divided into Municipalities with Commissioned Local Authority. However, the old districts still exist as territorial units and remain as seats of some of the offices.</t>
  </si>
  <si>
    <t>A country of central Africa. It borders the Central African Republic and Sudan on the north, Uganda, Rwanda, and Burundi on the east, Zambia and Angola on the south, the Republic of the Congo on the west, and is separated from Tanzania by Lake Tanganyika on the east. The country enjoys access to the ocean through a 40 km stretch of Atlantic coastline at Muanda and the roughly 9 km wide mouth of the Congo river which opens into the Gulf of Guinea. Congo Kinshasa is now divided into 11 Provinces, to be redistributed into 25 Provinces from 2.2009. Each Province is divided into Zones.</t>
  </si>
  <si>
    <t>That part of the Kingdom of Denmark located in continental Europe. The mainland is bordered to the south by Germany; Denmark is located to the southwest of Sweden and the south of Norway. Denmark borders both the Baltic and the North Sea. The country consists of a large peninsula, Jutland (Jylland) and a large number of islands, most notably Zealand (Sjaelland), Funen (Fyn), Vendsyssel-Thy, Lolland, Falster and Bornholm as well as hundreds of minor islands often referred to as the Danish Archipelago.</t>
  </si>
  <si>
    <t>A country in eastern Africa. Djibouti is bordered by Eritrea in the north, Ethiopia in the west and south, and Somalia in the southeast. The remainder of the border is formed by the Red Sea and the Gulf of Aden. On the other side of the Red Sea, on the Arabian Peninsula, 20 km from the coast of Djibouti, is Yemen. The capital of Djibouti is the city of Djibouti. Djibouti is divided into 5 regions and one city. It is further subdivided into 11 districts.</t>
  </si>
  <si>
    <t>An island nation in the Caribbean Sea. Dominica is divided into ten parishes.</t>
  </si>
  <si>
    <t>A country in the West Indies that occupies the E two-thirds of the Hispaniola island. The Dominican Republic's shores are washed by the Atlantic Ocean to the north and the Caribbean Sea to the south. The Mona Passage, a channel about 130 km wide, separates the country (and the Hispaniola) from Puerto Rico. The Dominican Republic is divided into 31 provinces. Additionally, the national capital, Santo Domingo, is contained within its own Distrito Nacional (National District). The provinces are divided into municipalities (municipios; singular municipio).</t>
  </si>
  <si>
    <t>A country in South America, bordered by Colombia on the north, by Peru on the east and south, and by the Pacific Ocean to the west. The country also includes the Galapagos Islands (Archipelago de Colon) in the Pacific, about 965 km west of the mainland. Ecuador is divided into 24 provinces, divided into 199 cantons and subdivided into parishes (or parroquias).</t>
  </si>
  <si>
    <t>A country in North Africa that includes the Sinai Peninsula, a land bridge to Asia. Egypt borders Libya to the west, Sudan to the south, and the Gaza Strip and Israel to the east. The northern coast borders the Mediterranean Sea and the island of Cyprus; the eastern coast borders the Red Sea. Egypt is divided into 26 governorates (in Arabic, called muhafazat, singular muhafazah). The governorates are further divided into regions (markazes).</t>
  </si>
  <si>
    <t>A country in Central America, bordering the Pacific Ocean between Guatemala and Honduras. El Salvador is divided into 14 departments (departamentos), which, in turn, are subdivided into 267 municipalities (municipios).</t>
  </si>
  <si>
    <t>A country in Central Africa. It is one of the smallest countries in continental Africa, and comprises two regions: Rio Muni, continental region including several offshore islands; and Insular Region containing Annobon island in the South Atlantic Ocean, and Bioko island (formerly Fernando Po) that contains the capital, Malabo. Equatorial Guinea is divided into seven provinces which are divided into districts.</t>
  </si>
  <si>
    <t>A country situated in northern East Africa. It is bordered by Sudan in the west, Ethiopia in the south, and Djibouti in the southeast. The east and northeast of the country have an extensive coastline on the Red Sea, directly across from Saudi Arabia and Yemen. The Dahlak Archipelago and several of the Hanish Islands are part of Eritrea. Eritrea is divided into six regions (zobas) and subdivided into districts ("sub-zobas").</t>
  </si>
  <si>
    <t>A country in Northern Europe. Estonia has land borders to the south with Latvia and to the east with Russia. It is separated from Finland in the north by the Gulf of Finland and from Sweden in the west by the Baltic Sea. Estonia is divided into 15 counties. (maakonnad; sing. - maakond). Estonian counties are divided into rural (vallad, singular vald) and urban (linnad, singular linn; alevid, singular alev; alevikud, singular alevik) municipalities. The municipalities comprise populated places (asula or asustusuksus) - various settlements and territorial units that have no administrative function. A group of populated places form a rural municipality with local administration. Most towns constitute separate urban municipalities, while some have joined with surrounding rural municipalities.</t>
  </si>
  <si>
    <t>A small, landlocked country in Africa embedded between South Africa in the west, north and south and Mozambique in the east. Swaziland is divided into four districts, each of which is divided into Tinkhundla (singular, Inkhundla).</t>
  </si>
  <si>
    <t>A country situated in the Horn of Africa that has been landlocked since the independence of its northern neighbor Eritrea in 1993. Apart from Eritrea to the north, Ethiopia is bordered by Sudan to the west, Kenya to the south, Djibouti to the northeast, and Somalia to the east. Since 1996 Ethiopia has had a tiered government system consisting of a federal government overseeing ethnically-based regional states, zones, districts (woredas), and neighborhoods (kebele). It is divided into nine ethnically-based administrative states (kililoch, singular kilil) and subdivided into sixty-eight zones and two chartered cities (astedader akababiwoch, singular astedader akababi): Addis Ababa and Dire Dawa. It is further subdivided into 550 woredas and six special woredas.</t>
  </si>
  <si>
    <t>A 28 km2 low-lying tropical island in the Mozambique Channel, about a third of the way from southern Madagascar to southern Mozambique.</t>
  </si>
  <si>
    <t>An archipelago in the South Atlantic Ocean, located 483 km from the coast of Argentina, 1,080 km west of the Shag Rocks (South Georgia), and 940 km north of Antarctica (Elephant Island). They consist of two main islands, East Falkland and West Falkland, together with 776 smaller islands.</t>
  </si>
  <si>
    <t>An autonomous province of the Kingdom of Denmark since 1948 located in the Faroes. Administratively, the islands are divided into 34 municipalities (kommunur) within which 120 or so cities and villages lie.</t>
  </si>
  <si>
    <t>An island nation in the South Pacific Ocean east of Vanuatu, west of Tonga and south of Tuvalu. The country occupies an archipelago of about 322 islands, of which 106 are permanently inhabited, and 522 islets. The two major islands, Viti Levu and Vanua Levu, account for 87% of the population.</t>
  </si>
  <si>
    <t>A Nordic country situated in the Fennoscandian region of Northern Europe. It has borders with Sweden to the west, Russia to the east, and Norway to the north, while Estonia lies to its south across the Gulf of Finland. The capital city is Helsinki. Finland is divided into six administrative provinces (laani, plural laanit). These are divided into 20 regions (maakunt), 77 subregions (seutukunta) and then into municipalities (kunta).</t>
  </si>
  <si>
    <t>A part of the country of France that extends from the Mediterranean Sea to the English Channel and the North Sea, and from the Rhine to the Atlantic Ocean. Metropolitan France is bordered by Belgium, Luxembourg, Germany, Switzerland, Italy, Monaco, Andorra, and Spain. Due to its overseas departments.</t>
  </si>
  <si>
    <t>An overseas department (departement d'outre-mer) of France, located on the northern coast of South America. It is bordered by Suriname, to the E, and Brazil, to the S and W, and by the North Atlantic Ocean, to the N. French Guiana is divided into 2 departmental arrondissements, 19 cantons and 22 communes.</t>
  </si>
  <si>
    <t>A French overseas collectivity in the southern Pacific Ocean. It is made up of several groups of Polynesian islands. French Polynesia has five administrative subdivisions (French: subdivisions administratives).</t>
  </si>
  <si>
    <t>The French Southern and Antarctic Lands have formed a territoire d'outre-mer (an overseas territory) of France since 1955. The territory is divided into five districts.</t>
  </si>
  <si>
    <t>A country in west central Africa sharing borders with Equatorial Guinea, Cameroon, Republic of the Congo and the Gulf of Guinea. The capital and largest city is Libreville. Gabon is divided into 9 provinces and further divided into 37 departments.</t>
  </si>
  <si>
    <t>A country in Western Africa. It is the smallest country on the African continental mainland and is bordered to the north, east, and south by Senegal, and has a small coast on the Atlantic Ocean in the west. Flowing through the centre of the country and discharging to the Atlantic Ocean is the Gambia River. The Gambia is divided into five divisions and one city (Banjul). The divisions are further subdivided into 37 districts.</t>
  </si>
  <si>
    <t>A Palestinian enclave on the eastern coast of the Mediterranean Sea. It borders Egypt on the southwest for 11 kilometers (6.8 mi) and Israel on the east and north along a 51 km (32 mi) border. Gaza and the West Bank are claimed by the de jure sovereign State of Palestine.</t>
  </si>
  <si>
    <t>A Eurasian country in the Caucasus located at the east coast of the Black Sea. In the north, Georgia has a 723 km common border with Russia, specifically with the Northern Caucasus federal district. The following Russian republics/subdivisions: from west to east: border Georgia: Krasnodar Krai, Karachay-Cherkessia, Kabardino-Balkaria, North Ossetia-Alania, Ingushetia, Chechnya, Dagestan. Georgia also shares borders with Azerbaijan (322 km) to the south-east, Armenia (164 km) to the south, and Turkey (252 km) to the south-west. It is a transcontinental country, located at the juncture of Eastern Europe and Western Asia. Georgia is divided into 9 regions, 2 autonomous republics (avtonomiuri respublika), and 1 city (k'alak'i). The regions are further subdivided into 69 districts (raioni).</t>
  </si>
  <si>
    <t>A country in Central Europe. It is bordered to the north by the North Sea, Denmark, and the Baltic Sea; to the east by Poland and the Czech Republic; to the south by Austria and Switzerland; and to the west by France, Luxembourg, Belgium, and the Netherlands. Germany comprises 16 states (Lander, Bundeslander), which are further subdivided into 439 districts (Kreise/Landkreise) and cities (kreisfreie Stadte).</t>
  </si>
  <si>
    <t>A country in West Africa. It borders Cote d'Ivoire to the west, Burkina Faso to the north, Togo to the east, and the Gulf of Guinea to the south. Ghana is a divided into 10 regions, subdivided into a total of 138 districts.</t>
  </si>
  <si>
    <t>A British overseas territory located near the southernmost tip of the Iberian Peninsula overlooking the Strait of Gibraltar. The territory shares a border with Spain to the north.</t>
  </si>
  <si>
    <t>A group of islands and rocks totalling 5 km2, in the northern Mozambique channel, about 160 km northwest of Madagascar.</t>
  </si>
  <si>
    <t>A country in southeastern Europe, situated on the southern end of the Balkan Peninsula. It has borders with Albania, the former Yugoslav Republic of Macedonia and Bulgaria to the north, and Turkey to the east. The Aegean Sea lies to the east and south of mainland Greece, while the Ionian Sea lies to the west. Both parts of the Eastern Mediterranean basin feature a vast number of islands. Greece consists of thirteen peripheries subdivided into a total of fifty-one prefectures (nomoi, singular nomos). There is also one autonomous area, Mount Athos, which borders the periphery of Central Macedonia.</t>
  </si>
  <si>
    <t>A self-governing Danish province located between the Arctic and Atlantic Oceans, east of the Canadian Arctic Archipelago.</t>
  </si>
  <si>
    <t>An island country in the West Indies in the Caribbean Sea at the southern end of the Grenadines island chain. Grenada consists of the island of Grenada itself, two smaller islands, Carriacou and Petite Martinique, and several small islands which lie to the north of the main island and are a part of the Grenadines. It is located northwest of Trinidad and Tobago, northeast of Venezuela and southwest of Saint Vincent and the Grenadines. Its size is 348.5 square kilometres (134.6 sq mi), and it had an estimated population of 112,523 in July 2020.</t>
  </si>
  <si>
    <t>An archipelago and overseas department and region of France in the Caribbean. It consists of six inhabited islands—Basse-Terre, Grande-Terre, Marie-Galante, La Désirade, and the two inhabited Îles des Saintes—as well as many uninhabited islands and outcroppings. It is south of Antigua and Barbuda and Montserrat, and north of Dominica.</t>
  </si>
  <si>
    <t>An organized, unincorporated territory of the United States in the Micronesia subregion of the western Pacific Ocean. It is the westernmost point and territory of the United States (reckoned from the geographic center of the U.S.); in Oceania, it is the largest and southernmost of the Mariana Islands and the largest island in Micronesia.</t>
  </si>
  <si>
    <t>A country in Central America bordered by Mexico to the northwest, the Pacific Ocean to the southwest, Belize and the Caribbean Sea to the northeast, and Honduras and El Salvador to the southeast. Guatemala is divided into 22 departments (departamentos) and sub-divided into about 332 municipalities (municipios).</t>
  </si>
  <si>
    <t>A British Crown Dependency in the English Channel off the coast of Normandy.</t>
  </si>
  <si>
    <t>A nation in West Africa, formerly known as French Guinea. Guinea's territory has a curved shape, with its base at the Atlantic Ocean, inland to the east, and turning south. The base borders Guinea-Bissau and Senegal to the north, and Mali to the north and north-east; the inland part borders Cote d'Ivoire to the south-east, Liberia to the south, and Sierra Leone to the west of the southern tip.</t>
  </si>
  <si>
    <t>A country in western Africa, and one of the smallest nations in continental Africa. It is bordered by Senegal to the north, and Guinea to the south and east, with the Atlantic Ocean to its west. Formerly the Portuguese colony of Portuguese Guinea, upon independence, the name of its capital, Bissau, was added to the country's name in order to prevent confusion between itself and the Republic of Guinea.</t>
  </si>
  <si>
    <t>A country in the N of South America. Guyana lies north of the equator, in the tropics, and is located on the Atlantic Ocean. Guyana is bordered to the east by Suriname, to the south and southwest by Brazil and to the west by Venezuela. Guyana is divided into 10 regions. The regions of Guyana are divided into 27 neighborhood councils.</t>
  </si>
  <si>
    <t>A country located in the Greater Antilles archipelago on the Caribbean island of Hispaniola, which it shares with the Dominican Republic. Haiti is divided into 10 departments. The departments are further divided into 41 arrondissements, and 133 communes which serve as second and third level administrative divisions.</t>
  </si>
  <si>
    <t>An Australian external territory comprising a volcanic group of mostly barren Antarctic islands, about two-thirds of the way from Madagascar to Antarctica.</t>
  </si>
  <si>
    <t>A republic in Central America. The country is bordered to the west by Guatemala, to the southwest by El Salvador, to the southeast by Nicaragua, to the south by the Pacific Ocean at the Gulf of Fonseca, and to the north by the Gulf of Honduras, a large inlet of the Caribbean Sea. Honduras is divided into 18 departments. The capital city is Tegucigalpa Central District of the department of Francisco Morazan.</t>
  </si>
  <si>
    <t>A special administrative region of the People's Republic of China (PRC). The territory lies on the eastern side of the Pearl River Delta, bordering Guangdong province in the north and facing the South China Sea in the east, west and south. Hong Kong was a crown colony of the United Kingdom from 1842 until the transfer of its sovereignty to the People's Republic of China in 1997.</t>
  </si>
  <si>
    <t>An uninhabited coral island located just north of the equator in the central Pacific Ocean, about 3,100 km (1,670 nm) southwest of Honolulu. The island is almost half way between Hawaii and Australia and is an unincorporated, unorganized territory of the United States, and is often included as one of the Phoenix Islands. For statistical purposes, Howland is grouped as one of the United States Minor Outlying Islands.</t>
  </si>
  <si>
    <t>A landlocked country in the Carpathian Basin of Central Europe, bordered by Austria, Slovakia, Ukraine, Romania, Serbia, Croatia, and Slovenia. Its capital is Budapest. Hungary is divided into 19 counties (megyek, singular: megye). In addition, the capital city (fovaros), Budapest, is independent of any county government. The counties are further subdivided into 173 subregions (kistersegek), and Budapest is comprised of its own subregion. Since 1996, the counties and City of Budapest have been grouped into 7 regions for statistical and development purposes. These seven regions constitute NUTS second-level units of Hungary.</t>
  </si>
  <si>
    <t>A country in northern Europe, comprising the island of Iceland and its outlying islands in the North Atlantic Ocean between the rest of Europe and Greenland.</t>
  </si>
  <si>
    <t>A country in South Asia. Bounded by the Indian Ocean on the south, the Arabian Sea on the west, and the Bay of Bengal on the east, India has a coastline of 7,517 km. It borders Pakistan to the west; China, Nepal, and Bhutan to the north-east; and Bangladesh and Burma to the east. India is in the vicinity of Sri Lanka, the Maldives, and Indonesia in the Indian Ocean. India is a federal republic of twenty-eight states and seven Union Territories. Each state or union territory is divided into basic units of government and administration called districts. There are nearly 600 districts in India. The districts in turn are further divided into tehsils and eventually into villages.</t>
  </si>
  <si>
    <t>An archipelagic state in Southeast Asia. The country shares land borders with Papua New Guinea, East Timor and Malaysia. Other neighboring countries include Singapore, the Philippines, Australia, and the Indian territory of the Andaman and Nicobar Islands. Indonesia consists of 33 provinces, five of which have special status. The provinces are subdivided into regencies (kabupaten, distrik in Papua and West Papua Provinces) and cities (kota), which are further subdivided into subdistricts (kecamatan), and again into village groupings (either desa or kelurahan).</t>
  </si>
  <si>
    <t>A country in Central Eurasia. Iran is bounded by the Gulf of Oman and the Persian Gulf to the south and the Caspian Sea to its north. It borders Armenia, Azerbaijan, Turkmenistan to the north, Afghanistan and Pakistan to the east, and Turkey and Iraq to the west. Iran is divided into 30 provinces (ostan). The provinces are divided into counties (shahrestan), and subdivided into districts (bakhsh) and sub-districts (dehestan).</t>
  </si>
  <si>
    <t>A country in the Middle East spanning most of the northwestern end of the Zagros mountain range, the eastern part of the Syrian Desert and the northern part of the Arabian Desert. It shares borders with Kuwait and Saudi Arabia to the south, Jordan to the west, Syria to the northwest, Turkey to the north, and Iran to the east. It has a very narrow section of coastline at Umm Qasr on the Persian Gulf. There are two major flowing rivers: the Tigris and the Euphrates. Iraq is divided into 18 governorates (or provinces) (muhafazah). The governorates are divided into qadhas (or districts).</t>
  </si>
  <si>
    <t>A Crown dependency of the United Kingdom in the centre of the Irish Sea. It is not part of the United Kingdom, European Union or United Nations.</t>
  </si>
  <si>
    <t>A country in Western Asia located on the eastern edge of the Mediterranean Sea. It borders Lebanon in the north, Syria in the northeast, Jordan in the east, and Egypt on the southwest. The West Bank and Gaza Strip, which are partially administrated by the Palestinian National Authority, are also adjacent. The State of Israel is divided into six main administrative districts, known as mehozot (singular mahoz). Districts are further divided into fifteen sub-districts known as nafot (singular: nafa), which are themselves partitioned into fifty natural regions.</t>
  </si>
  <si>
    <t>A country located on the Italian Peninsula in Southern Europe, and on the two largest islands in the Mediterranean Sea, Sicily and Sardinia. Italy shares its northern Alpine boundary with France, Switzerland, Austria and Slovenia. The independent states of San Marino and the Vatican City are enclaves within the Italian Peninsula, while Campione d'Italia is an Italian exclave in Switzerland. Italy is subdivided into 20 regions (regioni, singular regione). Five of these regions have a special autonomous status that enables them to enact legislation on some of their local matters. It is further divided into 109 provinces (province) and 8,101 municipalities (comuni).</t>
  </si>
  <si>
    <t>A nation of the Greater Antilles. Jamaica is divided into 14 parishes, which are grouped into three historic counties that have no administrative relevance.</t>
  </si>
  <si>
    <t>A volcanic island that is part of the Kingdom of Norway, It has two parts: larger Nord-Jan and smaller Sor-Jan, linked by an isthmus 2.5 km wide. It lies 600 km north of Iceland, 500 km east of Greenland and 1,000 km west of the Norwegian mainland. The island is mountainous, the highest summit being the Beerenberg volcano in the north. The isthmus is the location of the two largest lakes of the island, Sorlaguna (South Lagoon), and Nordlaguna (North Lagoon). A third lake is called Ullerenglaguna (Ullereng Lagoon). Jan Mayen was formed by the Jan Mayen hotspot.</t>
  </si>
  <si>
    <t>An island country in East Asia. Located in the Pacific Ocean, it lies to the east of China, Korea and Russia, stretching from the Sea of Okhotsk in the north to the East China Sea in the south.</t>
  </si>
  <si>
    <t>An uninhabited 4.5 km2 coral atoll located in the South Pacific Ocean about halfway between Hawaii and the Cook Islands. It is an unincorporated territory of the United States administered from Washington, DC by the United States Fish and Wildlife Service of the United States Department of the Interior as part of the National Wildlife Refuge system. Jarvis is one of the southern Line Islands and for statistical purposes is also grouped as one of the United States Minor Outlying Islands. Sits atop the Jarvis Seamount.</t>
  </si>
  <si>
    <t>A British Crown Dependency[6] off the coast of Normandy, France. As well as the island of Jersey itself, the bailiwick includes two groups of small islands that are no longer permanently inhabited, the Minquiers and Ecrehous, and the Pierres de Lecq.</t>
  </si>
  <si>
    <t>A 130 km2 atoll in the North Pacific Ocean about 1400 km (750 nm) west of Hawaii. There are four islands located on the coral reef platform, two natural islands, Johnston Island and Sand Island, which have been expanded by coral dredging, as well as North Island (Akau) and East Island (Hikina), artificial islands formed from coral dredging. Johnston is an unincorporated territory of the United States, administered by the US Fish and Wildlife Service of the Department of the Interior as part of the United States Pacific Island Wildlife Refuges. Sits atop Johnston Seamount.</t>
  </si>
  <si>
    <t>A country in Southwest Asia, bordered by Syria to the north, Iraq to the north-east, Israel and the West Bank to the west, and Saudi Arabia to the east and south. It shares the coastlines of the Dead Sea, and the Gulf of Aqaba with Israel, Saudi Arabia, and Egypt. Jordan is divided into 12 provinces called governorates. The Governorates are subdivided into approximately fifty-two nahias.</t>
  </si>
  <si>
    <t>A 4.4 km2 low, flat, tropical island in the narrowest part of the Mozambique Channel, about one-third of the way between Madagascar and Mozambique.</t>
  </si>
  <si>
    <t>A country in Central Asia and Europe. It is bordered by Russia, Kyrgyzstan, Turkmenistan, Uzbekistan and China. The country also borders on a significant part of the Caspian Sea. Kazakhstan is divided into 14 provinces and two municipal districts. The provinces of Kazakhstan are divided into raions.</t>
  </si>
  <si>
    <t>A country in Eastern Africa. It is bordered by Ethiopia to the north, Somalia to the east, Tanzania to the south, Uganda to the west, and Sudan to the northwest, with the Indian Ocean running along the southeast border. Kenya comprises eight provinces each headed by a Provincial Commissioner (centrally appointed by the president). The provinces (mkoa singular mikoa plural in Swahili) are subdivided into districts (wilaya). There were 69 districts as of 1999 census. Districts are then subdivided into 497 divisions (taarafa). The divisions are then subdivided into 2,427 locations (kata) and then 6,612 sublocations (kata ndogo). The City of Nairobi enjoys the status of a full administrative province.</t>
  </si>
  <si>
    <t>A group of islands in the southern Indian Ocean. It is a territory of France. They are composed primarily of Tertiary flood basalts and a complex of plutonic rocks. The trachybasaltic-to-trachytic Mount Ross stratovolcano at the southern end was active during the late Pleistocene. The Rallier du Baty Peninsula on the SW tip of the island contains two youthful subglacial eruptive centers, Mont St. Allouarn and Mont Henri Rallier du Baty. An active fumarole field is related to a series of Holocene trachytic lava flows and lahars that extend beyond the icecap.</t>
  </si>
  <si>
    <t>A largely submerged, uninhabited tropical atoll located in the North Pacific Ocean, roughly half way between Hawaiian Islands and American Samoa. It is the northernmost of the Northern Line Islands and lies 65 km NNW of Palmyra Atoll, the next closest island, and has the status of an unincorporated territory of the United States, administered from Washington, DC by the US Navy. Sits atop Kingman Reef Seamount.</t>
  </si>
  <si>
    <t>An island nation located in the central tropical Pacific Ocean. It is composed of 32 atolls and one raised coral island dispersed over 3,500,000 km2 straddling the equator and bordering the International Date Line to the east. It is divided into three island groups which have no administrative function, including a group which unites the Line Islands and the Phoenix Islands (ministry at London, Christmas). Each inhabited island has its own council (three councils on Tarawa: Betio, South-Tarawa, North-Tarawa; two councils on Tabiteuea).</t>
  </si>
  <si>
    <t>A country on the Balkan Peninsula. Kosovo borders Central Serbia to the north and east, Montenegro to the northwest, Albania to the west and the Republic of Macedonia to the south. Kosovo is divided into 7 districts (Rreth) and 30 municipalities. Serbia does not recognise the unilateral secession of Kosovo[8] and considers it a United Nations-governed entity within its sovereign territory, the Autonomous Province of Kosovo and Metohija.</t>
  </si>
  <si>
    <t>A sovereign emirate on the coast of the Persian Gulf, enclosed by Saudi Arabia to the south and Iraq to the north and west. Kuwait is divided into six governorates (muhafazat, singular muhafadhah).</t>
  </si>
  <si>
    <t>A country in Central Asia. Landlocked and mountainous, it is bordered by Kazakhstan to the north, Uzbekistan to the west, Tajikistan to the southwest and China to the east. Kyrgyzstan is divided into seven provinces (oblast. The capital, Bishkek, and the second large city Osh are administratively the independent cities (shaar) with a status equal to a province. Each province comprises a number of districts (raions).</t>
  </si>
  <si>
    <t>A landlocked country in southeast Asia, bordered by Burma (Myanmar) and China to the northwest, Vietnam to the east, Cambodia to the south, and Thailand to the west. Laos is divided into sixteen provinces (qwang) and Vientiane Capital (Na Kone Luang Vientiane). The provinces further divided into districts (muang).</t>
  </si>
  <si>
    <t>A country in Northern Europe. Latvia shares land borders with Estonia to the north and Lithuania to the south, and both Russia and Belarus to the east. It is separated from Sweden in the west by the Baltic Sea. The capital of Latvia is Riga. Latvia is divided into 26 districts (raioni). There are also seven cities (lielpilsetas) that have a separate status. Latvia is also historically, culturally and constitutionally divided in four or more distinct regions.</t>
  </si>
  <si>
    <t>A small, mostly mountainous country in Western Asia, on the eastern shore of the Mediterranean Sea. It is bordered by Syria to the north and east, and Israel to the south. Lebanon is divided into six governorates (mohaafazaat, which are further subdivided into twenty-five districts (aqdya, singular: qadaa).</t>
  </si>
  <si>
    <t>A land-locked country, entirely surrounded by the Republic of South Africa. Lesotho is divided into ten districts; these are further subdivided into 80 constituencies, which consists of 129 local community councils.</t>
  </si>
  <si>
    <t>A country on the west coast of Africa, bordered by Sierra Leone, Guinea, Cote d'Ivoire, and the Atlantic Ocean.</t>
  </si>
  <si>
    <t>A country in North Africa. Bordering the Mediterranean Sea to the north, Libya lies between Egypt to the east, Sudan to the southeast, Chad and Niger to the south, and Algeria and Tunisia to the west. There are thirty-four municipalities of Libya, known by the Arabic term sha'biyat (singular sha'biyah). These came recently (in the 1990s to replaced old Baladiyat systam. The Baladiyat system in turn was introduced to replace the system of muhafazah (governorates or provinces) that existed from the 1960s to the 1970s.</t>
  </si>
  <si>
    <t>A tiny, doubly landlocked alpine country in Western Europe, bordered by Switzerland to its west and by Austria to its east. The principality of Liechtenstein is divided into 11 municipalities called Gemeinden (singular Gemeinde). The Gemeinden mostly consist only of a single town. Five of them fall within the electoral district Unterland (the lower county), and the remainder within Oberland (the upper county).</t>
  </si>
  <si>
    <t>A group of eleven atolls and low coral islands in the central Pacific Ocean south of the Hawaiian Islands, eight of which belong to Kiribati, while three are United States territories that are grouped with the United States Minor Outlying Islands.</t>
  </si>
  <si>
    <t>A country located along the south-eastern shore of the Baltic Sea, sharing borders with Latvia to the north, Belarus to the southeast, Poland, and the Russian exclave of the Kaliningrad Oblast to the southwest. Lithuania has a three-tier administrative division: the country is divided into 10 counties (singular apskritis, plural, apskritys) that are further subdivided into 60 municipalities (singular savivaldybe, plural savivaldybes) which consist of over 500 elderates (singular seniunija, plural seniunijos).</t>
  </si>
  <si>
    <t>A small landlocked country in western Europe, bordered by Belgium, France, and Germany. Luxembourg is divided into 3 districts, which are further divided into 12 cantons and then 116 communes. Twelve of the communes have city status, of which the city of Luxembourg is the largest.</t>
  </si>
  <si>
    <t>One of the two special administrative regions of the People's Republic of China, the other being Hong Kong. Macau lies on the western side of the Pearl River Delta, bordering Guangdong province in the north and facing the South China Sea in the east and south. Macau is situated 60 kmsouthwest of Hong Kong and 145 km from Guangzhou. It consists of the Macau Peninsula itself and the islands of Taipa and Coloane. The peninsula is formed by the Zhujiang (Pearl River) estuary on the east and the Xijiang (West River) on the west. It borders the Zhuhai Special Economic Zone in mainland China.</t>
  </si>
  <si>
    <t>An island nation in the Indian Ocean off the southeastern coast of Africa. The main island, also called Madagascar, is the fourth largest island in the world, and is home to 5% of the world's plant and animal species, of which more than 80% are endemic to Madagascar. Most notable are the lemur infraorder of primates, the carnivorous fossa, three endemic bird families and six endemic baobab species. Madagascar is divided into six autonomous provinces (faritany mizakatena), and 22 regions. The regions are further subdivided into 116 districts, 1,548 communes, and 16,969 fokontany.</t>
  </si>
  <si>
    <t>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t>
  </si>
  <si>
    <t>An archipelago which consists of approximately 1,196 coral islands grouped in a double chain of 27 atolls, spread over roughly 90,000 km2.</t>
  </si>
  <si>
    <t>A landlocked country in northern Africa. It borders Algeria on the north, Niger on the east, Burkina Faso and the Cote d'Ivoire on the south, Guinea on the south-west, and Senegal and Mauritania on the west. Mali is divided into 8 regions (regions) and 1 district, and subdivided into 49 cercles, totalling 288 arrondissements.</t>
  </si>
  <si>
    <t>A Southern European country and consists of an archipelago situated centrally in the Mediterranean.</t>
  </si>
  <si>
    <t>An archipelago that consists of twenty-nine atolls and five isolated islands. The most important atolls and islands form two groups: the Ratak Chain and the Ralik Chain (meaning "sunrise" and "sunset" chains). Two-thirds of the nation's population lives on Majuro (which is also the capital) and Ebeye. The outer islands are sparsely populated.</t>
  </si>
  <si>
    <t>An island and an overseas department/region and single territorial collectivity of France.</t>
  </si>
  <si>
    <t>A country in North-West Africa. It is bordered by the Atlantic Ocean on the west, by Senegal on the southwest, by Mali on the east and southeast, by Algeria on the northeast, and by Western Sahara on the northwest (most of which is occupied by Morocco). The capital and largest city is Nouakchott, located on the Atlantic coast. Mauritania is divided into 12 regions (regions) and one capital district, which in turn are subdivided into 44 departments (departements).</t>
  </si>
  <si>
    <t>An island nation off the coast of the African continent in the southwest Indian Ocean, about 900 km east of Madagascar. In addition to the island of Mauritius, the republic includes the islands of St. Brandon, Rodrigues and the Agalega Islands.</t>
  </si>
  <si>
    <t>An overseas collectivity of France consisting of a main island, Grande-Terre (or Mahore), a smaller island, Petite-Terre (or Pamanzi), and several islets around these two.</t>
  </si>
  <si>
    <t>A federal constitutional republic in North America. It is bounded on the north by the United States; on the south and west by the North Pacific Ocean; on the southeast by Guatemala, Belize, and the Caribbean Sea; and on the east by the Gulf of Mexico. The United Mexican States comprise a federation of thirty-one states and a federal district, the capital Mexico City.</t>
  </si>
  <si>
    <t>A subregion of Oceania, comprising hundreds of small islands in the Pacific Ocean. The Philippines lie to the northwest, Indonesia, Papua New Guinea and Melanesia to the west and southwest, and Polynesia to the east.</t>
  </si>
  <si>
    <t>A 6.2 km2 atoll located in the North Pacific Ocean (near the northwestern end of the Hawaiian archipelago). It is an unincorporated territory of the United States, designated an insular area under the authority of the US Department of the Interior.</t>
  </si>
  <si>
    <t>A landlocked country in Eastern Europe, located between Romania to the west and Ukraine to the north, east and south. Moldova is divided into thirty-two districts (raioane, singular raion); three municipalities (Balti, Chisinau, Tighina); and two autonomous regions (Gagauzia and Transnistria). The cities of Comrat and Tiraspol also have municipality status, however not as first-tier subdivisions of Moldova, but as parts of the regions of Gagauzia and Transnistria, respectively. The status of Transnistria is however under dispute. Although it is de jure part of Moldova and is recognized as such by the international community, Transnistria is not de facto under the control of the central government of Moldova. It is administered by an unrecognized breakaway authority under the name Pridnestrovian Moldovan Republic.</t>
  </si>
  <si>
    <t>A small country that is completely bordered by France to the north, west, and south; to the east it is bordered by the Mediterranean Sea. It consists of a single municipality (commune) currently divided into 4 quartiers and 10 wards.</t>
  </si>
  <si>
    <t>A country in East-Central Asia. The landlocked country borders Russia to the north and China to the south. The capital and largest city is Ulan Bator. Mongolia is divided into 21 aimags (provinces), which are in turn divided into 315 sums (districts). The capital Ulan Bator is administrated separately as a khot (municipality) with provincial status.</t>
  </si>
  <si>
    <t>A country located in Southeastern Europe. It has a coast on the Adriatic Sea to the south and borders Croatia to the west, Bosnia and Herzegovina to the northwest, Serbia and its partially recognized breakaway southern province of Kosovo to the northeast and Albania to the southeast. Its capital and largest city is Podgorica. Montenegro is divided into twenty-one municipalities (opstina), and two urban municipalities, subdivisions of Podgorica municipality.</t>
  </si>
  <si>
    <t>A British overseas territory located in the Leeward Islands. Montserrat is divided into three parishes.</t>
  </si>
  <si>
    <t>A country in North Africa. It has a coast on the Atlantic Ocean that reaches past the Strait of Gibraltar into the Mediterranean Sea. Morocco has international borders with Algeria to the east, Spain to the north (a water border through the Strait and land borders with two small Spanish autonomous cities, Ceuta and Melilla), and Mauritania to the south. Morocco is divided into 16 regions, and subdivided into 62 prefectures and provinces. Because of the conflict over Western Sahara, the status of both regions of "Saguia el-Hamra" and "Rio de Oro" is disputed.</t>
  </si>
  <si>
    <t>A country in southeastern Africa bordered by the Indian Ocean to the east, Tanzania to the north, Malawi and Zambia to the northwest, Zimbabwe to the west and Swaziland and South Africa to the southwest. Mozambique is divided into ten provinces (provincias) and one capital city (cidade capital) with provincial status. The provinces are subdivided into 129 districts (distritos). Districts are further divided in "Postos Administrativos" (Administrative Posts) and these in Localidades (Localities) the lowest geographical level of central state administration.</t>
  </si>
  <si>
    <t>A country in SE Asia that is bordered by China on the north, Laos on the east, Thailand on the southeast, Bangladesh on the west, and India on the northwest, with the Bay of Bengal to the southwest. Myanmar is divided into seven states and seven divisions. The administrative divisions are further subdivided into districts, which are further subdivided into townships, wards, and villages.</t>
  </si>
  <si>
    <t>A country in southern Africa on the Atlantic coast. It shares borders with Angola and Zambia to the north, Botswana to the east, and South Africa to the south. Namibia is divided into 13 regions and subdivided into 102 constituencies.</t>
  </si>
  <si>
    <t>An island nation in the Micronesian South Pacific. The nearest neighbour is Banaba Island in the Republic of Kiribati, 300 km due east. Nauru is divided into fourteen administrative districts which are grouped into eight electoral constituencies.</t>
  </si>
  <si>
    <t>A small, uninhabited island in the Caribbean Sea, and is an unorganized unincorporated territory of the United States, which administers it through the US Fish and Wildlife Service. The island is also claimed by Haiti.</t>
  </si>
  <si>
    <t>A landlocked nation in South Asia. It is bordered by the Tibet Autonomous Region of the People's Republic of China to the northeast and India to the south and west; it is separated from Bhutan by the Indian State of Sikkim and from Bangladesh by a small strip of the Indian State of West Bengal, known as the "Chicken's Neck". The Himalaya mountain range runs across Nepal's north and western parts, and eight of the world's ten highest mountains, including the highest, Mount Everest are situated within its territory. Nepal is divided into 14 zones and 75 districts, grouped into 5 development regions.</t>
  </si>
  <si>
    <t>The European part of the Kingdom of the Netherlands. It is bordered by the North Sea to the north and west, Belgium to the south, and Germany to the east. The Netherlands is divided into twelve administrative regions, called provinces. All provinces of the Netherlands are divided into municipalities (gemeenten), together 443 (2007).</t>
  </si>
  <si>
    <t>A "sui generis collectivity" (in practice an overseas territory) of France, made up of a main island (Grande Terre), the Loyalty Islands, and several smaller islands. It is located in the region of Melanesia in the southwest Pacific. Administratively, the archipelago is divided into three provinces, and then into 33 communes.</t>
  </si>
  <si>
    <t>A nation in the south-western Pacific Ocean comprising two large islands (the North Island and the South Island) and numerous smaller islands, most notably Stewart Island/Rakiura and the Chatham Islands.</t>
  </si>
  <si>
    <t>A republic in Central America. It is also the least densely populated with a demographic similar in size to its smaller neighbors. The country is bordered by Honduras to the north and by Costa Rica to the south. The Pacific Ocean lies to the west of the country, while the Caribbean Sea lies to the east. For administrative purposes it is divided into 15 departments (departamentos) and two self-governing regions (autonomous communities) based on the Spanish model. The departments are then subdivided into 153 municipios (municipalities). The two autonomous regions are Region Autonoma del Atlantico Norte and Region Autonoma del Atlantico Sur, often referred to as RAAN and RAAS, respectively. Until they were granted autonomy in 1985 they formed the single department of Zelaya.</t>
  </si>
  <si>
    <t>A landlocked country in Western Africa, named after the Niger River. It borders Nigeria and Benin to the south, Burkina Faso and Mali to the west, Algeria and Libya to the north and Chad to the east. The capital city is Niamey. Niger is divided into 7 departments and one capital district. The departments are subdivided into 36 arrondissements and further subdivided into 129 communes.</t>
  </si>
  <si>
    <t>A federal constitutional republic comprising thirty-six states and one Federal Capital Territory. The country is located in West Africa and shares land borders with the Republic of Benin in the west, Chad and Cameroon in the east, and Niger in the north. Its coast lies on the Gulf of Guinea, part of the Atlantic Ocean, in the south. The capital city is Abuja. Nigeria is divided into thirty-six states and one Federal Capital Territory, which are further sub-divided into 774 Local Government Areas (LGAs).</t>
  </si>
  <si>
    <t>An island nation located in the South Pacific Ocean. Although self-governing, Niue is in free association with New Zealand, meaning that the Sovereign in Right of New Zealand is also Niue's head of state.</t>
  </si>
  <si>
    <t>A Territory of Australia that includes Norfolk Island and neighboring islands.</t>
  </si>
  <si>
    <t>A state in East Asia in the northern half of the Korean Peninsula, with its capital in the city of Pyongyang. To the south and separated by the Korean Demilitarized Zone is South Korea, with which it formed one nation until division following World War II. At its northern Amnok River border are China and, separated by the Tumen River in the extreme north-east, Russia.</t>
  </si>
  <si>
    <t>A landlocked country on the Balkan peninsula in southeastern Europe. It is bordered by Serbia and Kosovo to the north, Albania to the west, Greece to the south, and Bulgaria to the east. In 2004-08, the Republic of Macedonia was reorganised into 85 municipalities (opstini; singular opstina), 10 of which comprise Greater Skopje. This is reduced from the previous 123 municipalities established in 1996-09. Prior to this, local government was organised into 34 administrative districts.</t>
  </si>
  <si>
    <t>A sea situated between the eastern coasts of the British Isles and the western coast of Europe.</t>
  </si>
  <si>
    <t>A group of 15 islands about three-quarters of the way from Hawaii to the Philippines.</t>
  </si>
  <si>
    <t>A country and constitutional monarchy in Northern Europe that occupies the western portion of the Scandinavian Peninsula. It is bordered by Sweden, Finland, and Russia. The Kingdom of Norway also includes the Arctic island territories of Svalbard and Jan Mayen. Norwegian sovereignty over Svalbard is based upon the Svalbard Treaty, but that treaty does not apply to Jan Mayen. Bouvet Island in the South Atlantic Ocean and Peter I Island and Queen Maud Land in Antarctica are external dependencies, but those three entities do not form part of the kingdom.</t>
  </si>
  <si>
    <t>A country in southwest Asia, on the southeast coast of the Arabian Peninsula. It borders the United Arab Emirates on the northwest, Saudi Arabia on the west, and Yemen on the southwest. The coast is formed by the Arabian Sea on the south and east, and the Gulf of Oman on the northeast. The country also contains Madha, an exclave enclosed by the United Arab Emirates, and Musandam, an exclave also separated by Emirati territory. Oman is divided into four governorates (muhafazah) and five regions (mintaqat). The regions are subdivided into provinces (wilayat).</t>
  </si>
  <si>
    <t>A country in Middle East which lies on the Iranian Plateau and some parts of South Asia. It is located in the region where South Asia converges with Central Asia and the Middle East. It has a 1,046 km coastline along the Arabian Sea in the south, and is bordered by Afghanistan and Iran in the west, India in the east and China in the far northeast. Pakistan is subdivided into four provinces and two territories. In addition, the portion of Kashmir that is administered by the Pakistani government is divided into two separate administrative units. The provinces are divided into a total of 105 zillas (districts). A zilla is further subdivided into tehsils (roughly equivalent to counties). Tehsils may contain villages or municipalities. There are over five thousand local governments in Pakistan.</t>
  </si>
  <si>
    <t>A nation that consists of eight principal islands and more than 250 smaller ones lying roughly 500 miles southeast of the Philippines.</t>
  </si>
  <si>
    <t>The southernmost country of Central America. Situated on an isthmus, some categorize it as a transcontinental nation connecting the north and south part of America. It borders Costa Rica to the north-west, Colombia to the south-east, the Caribbean Sea to the north and the Pacific Ocean to the south. Panama's major divisions are nine provinces and five indigenous territories (comarcas indigenas). The provincial borders have not changed since they were determined at independence in 1903. The provinces are divided into districts, which in turn are subdivided into sections called corregimientos. Configurations of the corregimientos are changed periodically to accommodate population changes as revealed in the census reports.</t>
  </si>
  <si>
    <t>A country in Oceania that comprises the eastern half of the island of New Guinea and its offshore islands in Melanesia (a region of the southwestern Pacific Ocean north of Australia).</t>
  </si>
  <si>
    <t>A group of small islands and reefs in the South China Sea, about one-third of the way from Vietnam to the Philippines.</t>
  </si>
  <si>
    <t>A landlocked country in South America. It lies on both banks of the Paraguay River, bordering Argentina to the south and southwest, Brazil to the east and northeast, and Bolivia to the northwest, and is located in the very heart of South America. Paraguay consists of seventeen departments and one capital district (distrito capital). Each department is divided into districts.</t>
  </si>
  <si>
    <t>A country in western South America. It is bordered on the north by Ecuador and Colombia, on the east by Brazil, on the southeast by Bolivia, on the south by Chile, and on the west by the Pacific Ocean. Peru is divided into 25 regions and the province of Lima. These regions are subdivided into provinces, which are composed of districts (provincias and distritos). There are 195 provinces and 1833 districts in Peru. The Lima Province, located in the central coast of the country, is unique in that it doesn't belong to any of the twenty-five regions. The city of Lima, which is the nation's capital, is located in this province. Callao is its own region, even though it only contains one province, the Constitutional Province of Callao.</t>
  </si>
  <si>
    <t>An archipelagic nation located in Southeast Asia. The Philippine archipelago comprises 7,107 islands in the western Pacific Ocean, bordering countries such as Indonesia, Malaysia, Palau and the Republic of China, although it is the only Southeast Asian country to share no land borders with its neighbors. The Philippines is divided into three island groups: Luzon, Visayas, and Mindanao. These are divided into 17 regions, 81 provinces, 136 cities, 1,494 municipalities and 41,995 barangays.</t>
  </si>
  <si>
    <t>A group of four islands in the southern Pacific Ocean. The Pitcairn Islands form the southeasternmost extension of the geological archipelago of the Tuamotus of French Polynesia.</t>
  </si>
  <si>
    <t>A country in Central Europe. Poland is bordered by Germany to the west; the Czech Republic and Slovakia to the south; Ukraine, Belarus and Lithuania to the east; and the Baltic Sea and Kaliningrad Oblast, a Russian exclave, to the north. The administrative division of Poland since 1999 has been based on three levels of subdivision. The territory of Poland is divided into voivodeships (provinces); these are further divided into powiats (counties), and these in turn are divided into gminas (communes or municipalities). Major cities normally have the status of both gmina and powiat. Poland currently has 16 voivodeships, 379 powiats (including 65 cities with powiat status), and 2,478 gminas.</t>
  </si>
  <si>
    <t>That part of the Portugese Republic that occupies the W part of the Iberian Peninsula, and immediately adjacent islands.</t>
  </si>
  <si>
    <t>A semi-autonomous territory composed of an archipelago in the northeastern Caribbean, east of the Dominican Republic and west of the Virgin Islands, approximately 2,000 km off the coast of Florida (the nearest of the mainland United States).</t>
  </si>
  <si>
    <t>An Arab emirate in Southwest Asia, occupying the small Qatar Peninsula on the northeasterly coast of the larger Arabian Peninsula. It is bordered by Saudi Arabia to the south; otherwise the Persian Gulf surrounds the state. Qatar is divided into ten municipalities (Arabic: baladiyah), which are further divided into zones (districts).</t>
  </si>
  <si>
    <t>A country in Central Africa. It is bordered by Gabon, Cameroon, the Central African Republic, the Democratic Republic of the Congo, the Angolan exclave province of Cabinda, and the Gulf of Guinea. The Republic of the Congo is divided into 10 regions (regions) and one commune, the capital Brazzaville. The regions are subdivided into forty-six districts.</t>
  </si>
  <si>
    <t>An island, located in the Indian Ocean east of Madagascar, about 200 km south west of Mauritius, the nearest island.</t>
  </si>
  <si>
    <t>A country in Southeastern Europe. It shares a border with Hungary and Serbia to the west, Ukraine and the Republic of Moldova to the northeast, and Bulgaria to the south. Romania has a stretch of sea coast along the Black Sea. It is located roughly in the lower basin of the Danube and almost all of the Danube Delta is located within its territory. Romania is divided into forty-one counties (judete), as well as the municipality of Bucharest (Bucuresti) - which is its own administrative unit. The country is further subdivided into 319 cities and 2686 communes (rural localities).</t>
  </si>
  <si>
    <t>A large embayment of the Southern Ocean, extending deeply into Antarctica between Cape Adare, at 170degE, on the west and Cape Colbeck on the east, at 158degW.</t>
  </si>
  <si>
    <t>A transcontinental country extending over much of northern Eurasia. Russia shares land borders with the following countries (counter-clockwise from northwest to southeast): Norway, Finland, Estonia, Latvia, Lithuania (Kaliningrad Oblast), Poland (Kaliningrad Oblast), Belarus, Ukraine, Georgia, Azerbaijan, Kazakhstan, China, Mongolia and North Korea. The Russian Federation comprises 83 federal subjectsm 46 oblasts(provinces), 21 republics, 9 krais (territories), 4 autonomous okrugs (autonomous districts), one autonomous oblast, and two federal cities. The federal subjects are grouped into seven federal districts. These subjects are divided into districts (raions), cities/towns and urban-type settlements, and, at level 4, selsovets (rural councils), towns and urban-type settlements under the jurisdiction of the district and city districts.</t>
  </si>
  <si>
    <t>A small landlocked country in the Great Lakes region of east-central Africa, bordered by Uganda, Burundi, the Democratic Republic of the Congo and Tanzania. Rwanda is divided into five provinces (intara) and subdivided into thirty districts (akarere). The districts are divided into sectors (imirenge).</t>
  </si>
  <si>
    <t>An island of volcanic origin and a British overseas territory in the South Atlantic Ocean.</t>
  </si>
  <si>
    <t>A federal two-island nation in the West Indies. Located in the Leeward Islands. Saint Kitts and Nevis are geographically part of the Leeward Islands. To the north-northwest lie the islands of Saint Eustatius, Saba, Saint Barthelemy, and Saint-Martin/Sint Maarten. To the east and northeast are Antigua and Barbuda, and to the southeast is the small uninhabited island of Redonda, and the island of Montserrat. The federation of Saint Kitts and Nevis is divided into fourteen parishes: nine divisions on Saint Kitts and five on Nevis.</t>
  </si>
  <si>
    <t>An island nation in the eastern Caribbean Sea on the boundary with the Atlantic Ocean.</t>
  </si>
  <si>
    <t>An Overseas Collectivity of France located in a group of small islands in the North Atlantic Ocean, the main ones being Saint Pierre and Miquelon, 25 km off the coast of Newfoundland, Canada. Saint Pierre and Miquelon became an overseas department in 1976, but its status changed to that of an Overseas collectivity in 1985.</t>
  </si>
  <si>
    <t>An overseas collectivity of France that came into being on 2007-02-22, encompassing the northern parts of the island of Saint Martin and neighboring islets. The southern part of the island, Sint Maarten, is part of the Netherlands Antilles. Formerly, with Saint-Barthelemy, an arrondissement of Guadeloupe.</t>
  </si>
  <si>
    <t>An island nation in the Lesser Antilles chain of the Caribbean Sea.</t>
  </si>
  <si>
    <t>A country governing the western part of the Samoan Islands archipelago in the South Pacific Ocean. Samoa is made up of eleven itumalo (political districts).</t>
  </si>
  <si>
    <t>A country in the Apennine Mountains. It is a landlocked enclave, completely surrounded by Italy. San Marino is an enclave in Italy, on the border between the regioni of Emilia Romagna and Marche. Its topography is dominated by the Apennines mountain range. San Marino is divided into nine municipalities, known locally as Castelli (singular castello).</t>
  </si>
  <si>
    <t>An island nation in the Gulf of Guinea, off the western equatorial coast of Africa. It consists of two islands: Sao Tome and Principe, located about 140 km apart and about 250 and 225 km respectively, off of the northwestern coast of Gabon. Both islands are part of an extinct volcanic mountain range. Sao Tome and Principe is divided into 2 provinces: Principe, Sao Tome. The provinces are further divided into seven districts, six on Sao Tome and one on Principe (with Principe having self-government since 1995-04-29).</t>
  </si>
  <si>
    <t>A country on the Arabian Peninsula. It is bordered by Jordan on the northwest, Iraq on the north and northeast, Kuwait, Qatar, Bahrain, and the United Arab Emirates on the east, Oman on the southeast, and Yemen on the south. The Persian Gulf lies to the northeast and the Red Sea to its west. Saudi Arabia is divided into 13 provinces or regions (manatiq; singular mintaqah). Each is then divided into Governorates.</t>
  </si>
  <si>
    <t>A country south of the Senegal River in western Africa. Senegal is bounded by the Atlantic Ocean to the west, Mauritania to the north, Mali to the east, and Guinea and Guinea-Bissau to the south. The Gambia lies almost entirely within Senegal, surrounded on the north, east and south; from its western coast Gambia's territory follows the Gambia River more than 300 km inland. Dakar is the capital city of Senegal, located on the Cape Verde Peninsula on the country's Atlantic coast. Senegal is subdivided into 11 regions and further subdivided into 34 Departements, 103 Arrondissements (neither of which have administrative function) and by Collectivites Locales.</t>
  </si>
  <si>
    <t>A landlocked country in Central and Southeastern Europe, covering the southern part of the Pannonian Plain and the central part of the Balkan Peninsula. It is bordered by Hungary to the north; Romania and Bulgaria to the east; Republic of Macedonia, Montenegro to the south; Croatia and Bosnia and Herzegovina to the west. The capital is Belgrade. Serbia is divided into 29 districts plus the City of Belgrade. The districts and the city of Belgrade are further divided into municipalities. Serbia has two autonomous provinces: Kosovo and Metohija in the south (5 districts, 30 municipalities), and Vojvodina in the north (7 districts, 46 municipalities).</t>
  </si>
  <si>
    <t>An archipelagic island country in the Indian Ocean at the eastern edge of the Somali Sea. It consists of 115 islands.</t>
  </si>
  <si>
    <t>A country in West Africa. It is bordered by Guinea in the north and east, Liberia in the southeast, and the Atlantic Ocean in the southwest and west. The Republic of Sierra Leone is composed of 3 provinces and one area called the Western Area; the provinces are further divided into 12 districts. The Western Area is also divided into 2 districts.</t>
  </si>
  <si>
    <t>An island nation located at the southern tip of the Malay Peninsula. It lies 137 km north of the Equator, south of the Malaysian State of Johor and north of Indonesia's Riau Islands. Singapore consists of 63 islands, including mainland Singapore. There are two man-made connections to Johor, Malaysia, Johor-Singapore Causeway in the north, and Tuas Second Link in the west. Since 2001-11-24, Singapore has had an administrative subdivision into 5 districts. It is also divided into five Regions, urban planning subdivisions with no administrative role.</t>
  </si>
  <si>
    <t>One of five island areas (Eilandgebieden) of the Netherlands Antilles, encompassing the southern half of the island of Saint Martin/Sint Maarten.</t>
  </si>
  <si>
    <t>A landlocked country in Central Europe. The Slovak Republic borders the Czech Republic and Austria to the west, Poland to the north, Ukraine to the east and Hungary to the south. The largest city is its capital, Bratislava. Slovakia is subdivided into 8 kraje (singular - kraj, usually translated as regions. The kraje are subdivided into many okresy (singular okres, usually translated as districts). Slovakia currently has 79 districts.</t>
  </si>
  <si>
    <t>A country in southern Central Europe bordering Italy to the west, the Adriatic Sea to the southwest, Croatia to the south and east, Hungary to the northeast, and Austria to the north. The capital of Slovenia is Ljubljana. As of 2005-05 Slovenia is divided into 12 statistical regions for legal and statistical purposes. Slovenia is divided into 210 local municipalities, eleven of which have urban status.</t>
  </si>
  <si>
    <t>A nation in Melanesia, east of Papua New Guinea, consisting of nearly one thousand islands. Together they cover a land mass of 28,400 km2. The capital is Honiara, located on the island of Guadalcanal.</t>
  </si>
  <si>
    <t>A country located in the Horn of Africa. It is bordered by Djibouti to the northwest, Kenya on its southwest, the Gulf of Aden with Yemen on its north, the Indian Ocean at its east, and Ethiopia to the west. Prior to the civil war, Somalia was divided into eighteen regions (gobollada, singular gobol), which were in turn subdivided into districts. On a de facto basis, northern Somalia is now divided up among the quasi-independent states of Puntland, Somaliland, Galmudug and Maakhir.</t>
  </si>
  <si>
    <t>A country located at the southern tip of Africa. It borders the Atlantic and Indian oceans and Namibia, Botswana, Zimbabwe, Mozambique, Swaziland, and Lesotho, an independent enclave surrounded by South African territory. It is divided into nine provinces which are further subdivided into 52 districts: 6 metropolitan and 46 district municipalities. The 46 district municipalities are further subdivided into 231 local municipalities. The district municipalities also contain 20 district management areas (mostly game parks) that are directly governed by the district municipalities. The six metropolitan municipalities perform the functions of both district and local municipalities.</t>
  </si>
  <si>
    <t>A British overseas territory in the southern Atlantic Ocean. It iconsists of South Georgia and the Sandwich Islands, some 640 km to the SE.</t>
  </si>
  <si>
    <t>A republic in East Asia, occupying the southern half of the Korean Peninsula. South Korea is divided into 8 provinces (do), 1 special autonomous province (teukbyeol jachido), 6 metropolitan cities (gwangyeoksi), and 1 special city (teukbyeolsi). These are further subdivided into a variety of smaller entities, including cities (si), counties (gun), districts (gu), towns (eup), townships (myeon), neighborhoods (dong) and villages (ri).</t>
  </si>
  <si>
    <t>A state located in Africa with Juba as its capital city. It's bordered by Ethiopia to the east, Kenya, Uganda, and the Democratic Republic of the Congo to the south, and the Central African Republic to the west and Sudan to the North. Southern Sudan includes the vast swamp region of the Sudd formed by the White Nile, locally called the Bahr el Jebel.</t>
  </si>
  <si>
    <t>That part of the Kingdom of Spain that occupies the Iberian Peninsula plus the Balaeric Islands. The Spanish mainland is bordered to the south and east almost entirely by the Mediterranean Sea (except for a small land boundary with Gibraltar); to the north by France, Andorra, and the Bay of Biscay; and to the west by the Atlantic Ocean and Portugal.</t>
  </si>
  <si>
    <t>A group of &gt;100 islands located in the Southeastern Asian group of reefs and islands in the South China Sea, about two-thirds of the way from southern Vietnam to the southern Philippines.</t>
  </si>
  <si>
    <t>An island nation in South Asia, located about 31 km off the southern coast of India. Sri Lanka is divided into 9 provinces and 25 districts. Districts are divided into Divisional Secretariats.</t>
  </si>
  <si>
    <t>The territory under the administration of the Palestine National Authority, as established by the Oslo Accords. The PNA divides the Palestinian territories into 16 governorates.</t>
  </si>
  <si>
    <t>A country in North Africa. It is bordered by Egypt to the north, the Red Sea to the northeast, Eritrea and Ethiopia to the east, Kenya and Uganda to the southeast, Democratic Republic of the Congo and the Central African Republic to the southwest, Chad to the west and Libya to the northwest. Sudan is divided into twenty-six states (wilayat, singular wilayah) which in turn are subdivided into 133 districts.</t>
  </si>
  <si>
    <t>A country in northern South America. It is situated between French Guiana to the east and Guyana to the west. The southern border is shared with Brazil and the northern border is the Atlantic coast. The southernmost border with French Guiana is disputed along the Marowijne river. Suriname is divided into 10 districts, each of which is divided into Ressorten.</t>
  </si>
  <si>
    <t>An archipelago of continental islands lying in the Arctic Ocean north of mainland Europe, about midway between Norway and the North Pole.</t>
  </si>
  <si>
    <t>A Nordic country on the Scandinavian Peninsula in Northern Europe. It has borders with Norway (west and north) and Finland (northeast). Sweden is a unitary state, currently divided into twenty-one counties (lan). Each county further divides into a number of municipalities or kommuner, with a total of 290 municipalities in 2004.</t>
  </si>
  <si>
    <t>A federal republic in Europe. Switzerland is bordered by Germany, France, Italy, Austria and Liechtenstein. The Swiss Confederation consists of 26 cantons. The Cantons comprise a total of 2,889 municipalities. Within Switzerland there are two enclaves: Busingen belongs to Germany, Campione d'Italia belongs to Italy.</t>
  </si>
  <si>
    <t>A country in Southwest Asia, bordering Lebanon, the Mediterranean Sea and the island of Cyprus to the west, Israel to the southwest, Jordan to the south, Iraq to the east, and Turkey to the north. Syria has fourteen governorates, or muhafazat (singular: muhafazah). The governorates are divided into sixty districts, or manatiq (singular: mintaqah), which are further divided into sub-districts, or nawahi (singular: nahia).</t>
  </si>
  <si>
    <t>A state in East Asia with de facto rule of the island of Tawain and adjacent territory. The Republic of China currently administers two historical provinces of China (one completely and a small part of another one) and centrally administers two direct-controlled municipalities.</t>
  </si>
  <si>
    <t>A mountainous landlocked country in Central Asia. Afghanistan borders to the south, Uzbekistan to the west, Kyrgyzstan to the north, and People's Republic of China to the east. Tajikistan consists of 4 administrative divisions. These are the provinces (viloyat) of Sughd and Khatlon, the autonomous province of Gorno-Badakhshan (abbreviated as GBAO), and the Region of Republican Subordination (RRP, Raiony Respublikanskogo Podchineniya in Russian; formerly known as Karotegin Province). Each region is divided into several districts (nohiya or raion).</t>
  </si>
  <si>
    <t>A country in East Africa bordered by Kenya and Uganda on the north, Rwanda, Burundi and the Democratic Republic of the Congo on the west, and Zambia, Malawi and Mozambique on the south. To the east it borders the Indian Ocean. Tanzania is divided into 26 regions (mkoa), twenty-one on the mainland and five on Zanzibar (three on Unguja, two on Pemba). Ninety-eight districts (wilaya), each with at least one council, have been created to further increase local authority; the councils are also known as local government authorities. Currently there are 114 councils operating in 99 districts; 22 are urban and 92 are rural. The 22 urban units are further classified as city councils (Dar es Salaam and Mwanza), municipal councils (Arusha, Dodoma, Iringa, Kilimanjaro, Mbeya, Morogoro, Shinyanga, Tabora, and Tanga) or town councils (the remaining eleven communities).</t>
  </si>
  <si>
    <t>A country in Southeast Asia. To its east lie Laos and Cambodia; to its south, the Gulf of Thailand and Malaysia; and to its west, the Andaman Sea and Burma. Its capital and largest city is Bangkok. Thailand is divided into 75 provinces (changwat), which are gathered into 5 groups of provinces by location. There are also 2 special governed districts: the capital Bangkok (Krung Thep Maha Nakhon) and Pattaya, of which Bangkok is at provincial level and thus often counted as a 76th province.</t>
  </si>
  <si>
    <t>A country in Southeast Asia. It comprises the eastern half of the island of Timor, the nearby islands of Atauro and Jaco, and Oecussi-Ambeno, an exclave on the northwestern side of the island, within Indonesian West Timor. The small country of 15,410 km2 is located about 640 km northwest of Darwin, Australia. East Timor is divided into thirteen administrative districts, are subdivided into 65 subdistricts, 443 sucos and 2,336 towns, villages and hamlets.</t>
  </si>
  <si>
    <t>A country in West Africa bordering Ghana in the west, Benin in the east and Burkina Faso in the north. In the south, it has a short Gulf of Guinea coast, on which the capital Lome is located.</t>
  </si>
  <si>
    <t>A dependent territory of New Zealand in the southern Pacific Ocean. It consists of three tropical coral atolls: Atafu, Nukunonu, and Fakaofo. They have a combined land area of 10 km2 (4 sq mi).</t>
  </si>
  <si>
    <t>A Polynesian country, and also an archipelago comprising 169 islands, of which 36 are inhabited. The archipelago's total surface area is about 750 square kilometres (290 sq mi) scattered over 700,000 square kilometres (270,000 sq mi) of the southern Pacific Ocean.</t>
  </si>
  <si>
    <t>An archipelagic state in the southern Caribbean, lying northeast of the South American nation of Venezuela and south of Grenada in the Lesser Antilles. It also shares maritime boundaries with Barbados to the northeast and Guyana to the southeast. The country covers an area of 5,128 km2and consists of two main islands, Trinidad and Tobago, and 21 smaller islands.</t>
  </si>
  <si>
    <t>A low, flat 0.8 km2 island in the Indian Ocean, about 350 km east of Madagascar. Tromelin is a low, scrub-covered sandbank about 1,700 m long and 700 m wide, surrounded by coral reefs. The island is 7 m high at its highest point.</t>
  </si>
  <si>
    <t>A country situated on the Mediterranean coast of North Africa. It is bordered by Algeria to the west and Libya to the southeast. Tunisia is subdivided into 24 governorates, divided into 262 "delegations" or "districts" (mutamadiyat), and further subdivided into municipalities (shaykhats).</t>
  </si>
  <si>
    <t>A Eurasian country that stretches across the Anatolian peninsula in western Asia and Thrace (Rumelia) in the Balkan region of southeastern Europe. Turkey borders eight countries: Bulgaria to the northwest; Greece to the west, Georgia to the northeast; Armenia, Azerbaijan (the exclave of Nakhichevan), and Iran to the east; and Iraq and Syria to the southeast. The Mediterranean Sea and Cyprus are to the south; the Aegean Sea and Archipelago are to the west; and the Black Sea is to the north. Separating Anatolia and Thrace are the Sea of Marmara and the Turkish Straits (the Bosporus and the Dardanelles), which are commonly reckoned to delineate the border between Asia and Europe, thereby making Turkey transcontinental. The territory of Turkey is subdivided into 81 provinces for administrative purposes. The provinces are organized into 7 regions for census purposes; however, they do not represent an administrative structure. Each province is divided into districts, for a total of 923 districts.</t>
  </si>
  <si>
    <t>A country in Central Asia. It is bordered by Afghanistan to the southeast, Iran to the southwest, Uzbekistan to the northeast, Kazakhstan to the northwest, and the Caspian Sea to the west. It was a constituent republic of the Soviet Union, the Turkmen Soviet Socialist Republic. Turkmenistan is divided into five provinces or welayatlar (singular - welayat) and one independent city.</t>
  </si>
  <si>
    <t>A British Overseas Territory consisting of two groups of tropical islands in the West Indies. The Turks and Caicos Islands are divided into six administrative districts (two in the Turks Islands and four in the Caicos Islands.</t>
  </si>
  <si>
    <t>A Polynesian island nation located in the Pacific Ocean midway between Hawaii and Australia.</t>
  </si>
  <si>
    <t>A federal constitutional republic comprising fifty states and a federal district. The country is situated mostly in central North America, where its forty-eight contiguous states and Washington, DC, the capital district, lie between the Pacific and Atlantic Oceans, bordered by Canada to the north and Mexico to the south. The State of Alaska is in the northwest of the continent, with Canada to its east and Russia to the west across the Bering Strait, and the State of Hawaii is in the mid-Pacific. The United States also possesses several territories, or insular areas, that are scattered around the Caribbean and Pacific. The states are divided into smaller administrative regions, called counties in most states, exceptions being Alaska (parts of the state are organized into subdivisions called boroughs; the rest of the state's territory that is not included in any borough is divided into "census areas"), and Louisiana (which is divided into county-equivalents that are called parishes). There are also independent cities which are within particular states but not part of any particular county or consolidated city-counties. Another type of organization is where the city and county are unified and function as an independent city. There are thirty-nine independent cities in Virginia and other independent cities or city-counties are San Francisco, California, Baltimore, Maryland, St. Louis, Missouri, Denver, Colorado and Carson City, Nevada. Counties can include a number of cities, towns, villages, or hamlets, or sometimes just a part of a city. Counties have varying degrees of political and legal significance, but they are always administrative divisions of the state. Counties in many states are further subdivided into townships, which, by definition, are administrative divisions of a county. In some states, such as Michigan, a township can file a charter with the state government, making itself into a "charter township", which is a type of mixed municipal and township status (giving the township some of the rights of a city without all of the responsibilities), much in the way a metropolitan municipality is a mixed municipality and county.</t>
  </si>
  <si>
    <t>A landlocked country in East Africa, bordered on the east by Kenya, the north by Sudan, on the west by the Democratic Republic of the Congo, on the southwest by Rwanda, and on the south by Tanzania. The southern part of the country includes a substantial portion of Lake Victoria, within which it shares borders with Kenya and Tanzania. Uganda is divided into 80 districts, spread across four administrative regions: Northern, Eastern, Central and Western. The districts are subdivided into counties.</t>
  </si>
  <si>
    <t>A country in Eastern Europe. It borders Russia to the east, Belarus to the north, Poland, Slovakia and Hungary to the west, Romania and Moldova to the southwest, and the Black Sea and Sea of Azov to the south. Ukraine is subdivided into twenty-four oblasts (provinces) and one autonomous republic (avtonomna respublika), Crimea. Additionally, the cities of Kiev, the capital, and Sevastopol, both have a special legal status. The 24 oblasts and Crimea are subdivided into 490 raions (districts), or second-level administrative units.</t>
  </si>
  <si>
    <t>A Middle Eastern federation of seven states situated in the southeast of the Arabian Peninsula in Southwest Asia on the Persian Gulf, bordering Oman and Saudi Arabia. The seven states, termed emirates, are Abu Dhabi, Ajman, Dubai, Fujairah, Ras al-Khaimah, Sharjah, and Umm al-Quwain.</t>
  </si>
  <si>
    <t>A sovereign island country located off the northwestern coast of mainland Europe comprising of the four constituent countries; England, Scotland, Wales and Northern Ireland. It comprises the island of Great Britain, the northeast part of the island of Ireland and many small islands. Apart from Northern Ireland the UK is surrounded by the Atlantic Ocean, the North Sea, the English Channel and the Irish Sea. The largest island, Great Britain, is linked to France by the Channel Tunnel.</t>
  </si>
  <si>
    <t>A country located in the southeastern part of South America. It is bordered by Brazil to the north, by Argentina across the bank of both the Uruguay River to the west and the estuary of Rio de la Plata to the southwest, and the South Atlantic Ocean to the southeast. Uraguay consists of 19 departments (departamentos, singular - departamento).</t>
  </si>
  <si>
    <t>A doubly landlocked country in Central Asia, formerly part of the Soviet Union. It shares borders with Kazakhstan to the west and to the north, Kyrgyzstan and Tajikistan to the east, and Afghanistan and Turkmenistan to the south. Uzbekistan is divided into twelve provinces (viloyatlar) one autonomous republic (respublika and one independent city (shahar).</t>
  </si>
  <si>
    <t>An island country located in the South Pacific Ocean. The archipelago, which is of volcanic origin, is 1,750 kilometres (1,090 mi) east of northern Australia, 540 kilometres (340 mi) northeast of New Caledonia, east of New Guinea, southeast of the Solomon Islands, and west of Fiji.</t>
  </si>
  <si>
    <t>A country on the northern coast of South America. The country comprises a continental mainland and numerous islands located off the Venezuelan coastline in the Caribbean Sea. The Bolivarian Republic of Venezuela possesses borders with Guyana to the east, Brazil to the south, and Colombia to the west. Trinidad and Tobago, Grenada, St. Lucia, Barbados, Curacao, Bonaire, Aruba, Saint Vincent and the Grenadines and the Leeward Antilles lie just north, off the Venezuelan coast. Venezuela is divided into twenty-three states (Estados), a capital district (distrito capital) corresponding to the city of Caracas, the Federal Dependencies (Dependencias Federales, a special territory), and Guayana Esequiba (claimed in a border dispute with Guyana). Venezuela is further subdivided into 335 municipalities (municipios); these are subdivided into over one thousand parishes (parroquias).</t>
  </si>
  <si>
    <t>The easternmost country on the Indochina Peninsula in Southeast Asia. It borders the Gulf of Thailand, Gulf of Tonkin, and South China Sea, alongside China, Laos, and Cambodia.</t>
  </si>
  <si>
    <t>A group of islands in the Caribbean that are an insular area of the United States. The islands are geographically part of the Virgin Islands archipelago and are located in the Leeward Islands of the Lesser Antilles. The US Virgin Islands are an organized, unincorporated United States territory. The US Virgin Islands are administratively divided into two districts and subdivided into 20 sub-districts.</t>
  </si>
  <si>
    <t>A coral atoll (despite its name) having a coastline of 19 km in the North Pacific Ocean, located about two-thirds of the way from Honolulu (3,700 km west) to Guam (2,430 km east).</t>
  </si>
  <si>
    <t>A Polynesian French island territory (but not part of, or even contiguous with, French Polynesia) in the South Pacific between Fiji and Samoa. It is made up of three main volcanic tropical islands and a number of tiny islets.</t>
  </si>
  <si>
    <t>A landlocked territory near the Mediterranean coast of Western Asia, bordered by Jordan and the Dead Sea to the east and by Israel to the south, west and north.[2] Under Israeli occupation since 1967, the area is split into 167 Palestinian "islands" under partial Palestinian National Authority civil rule, and 230 Israeli settlements into which Israeli law is "pipelined".</t>
  </si>
  <si>
    <t>A territory of northwestern Africa, bordered by Morocco to the north, Algeria in the northeast, Mauritania to the east and south, and the Atlantic Ocean on the west. Western Sahara is administratively divided into four regions.</t>
  </si>
  <si>
    <t>A country located on the Arabian Peninsula in Southwest Asia. Yemen is bordered by Saudi Arabia to the North, the Red Sea to the West, the Arabian Sea and Gulf of Aden to the South, and Oman to the east. Yemen's territory includes over 200 islands, the largest of which is Socotra, about 415 km to the south of Yemen, off the coast of Somalia. As of 2004-02, Yemen is divided into twenty governorates (muhafazah) and one municipality. The population of each governorate is listed in the table below. The governorates of Yemen are divided into 333 districts (muderiah). The districts are subdivided into 2,210 sub-districts, and then into 38,284 villages (as of 2001).</t>
  </si>
  <si>
    <t>A landlocked country in Southern Africa. The neighbouring countries are the Democratic Republic of the Congo to the north, Tanzania to the north-east, Malawi to the east, Mozambique, Zimbabwe, Botswana, and Namibia to the south, and Angola to the west. The capital city is Lusaka. Zambia is divided into nine provinces. Each province is subdivided into several districts with a total of 73 districts.</t>
  </si>
  <si>
    <t>A landlocked country in the southern part of the continent of Africa, between the Zambezi and Limpopo rivers. It is bordered by South Africa to the south, Botswana to the southwest, Zambia to the northwest, and Mozambique to the east. Zimbabwe is divided into eight provinces and two cities with provincial status. The provinces are subdivided into 59 districts and 1,200 municipalities.</t>
  </si>
  <si>
    <t>Afghanistan [GAZ:00006882]</t>
  </si>
  <si>
    <t>Albania [GAZ:00002953]</t>
  </si>
  <si>
    <t>Algeria [GAZ:00000563]</t>
  </si>
  <si>
    <t>American Samoa [GAZ:00003957]</t>
  </si>
  <si>
    <t>Andorra [GAZ:00002948]</t>
  </si>
  <si>
    <t>Angola [GAZ:00001095]</t>
  </si>
  <si>
    <t>Anguilla [GAZ:00009159]</t>
  </si>
  <si>
    <t>Antarctica [GAZ:00000462]</t>
  </si>
  <si>
    <t>Antigua and Barbuda [GAZ:00006883]</t>
  </si>
  <si>
    <t>Argentina [GAZ:00002928]</t>
  </si>
  <si>
    <t>Armenia [GAZ:00004094]</t>
  </si>
  <si>
    <t>Aruba [GAZ:00004025]</t>
  </si>
  <si>
    <t>Ashmore and Cartier Islands [GAZ:00005901]</t>
  </si>
  <si>
    <t>Australia [GAZ:00000463]</t>
  </si>
  <si>
    <t>Austria [GAZ:00002942]</t>
  </si>
  <si>
    <t>Azerbaijan [GAZ:00004941]</t>
  </si>
  <si>
    <t>Bahamas [GAZ:00002733]</t>
  </si>
  <si>
    <t>Bahrain [GAZ:00005281]</t>
  </si>
  <si>
    <t>Baker Island [GAZ:00007117]</t>
  </si>
  <si>
    <t>Bangladesh [GAZ:00003750]</t>
  </si>
  <si>
    <t>Barbados [GAZ:00001251]</t>
  </si>
  <si>
    <t>Bassas da India [GAZ:00005810]</t>
  </si>
  <si>
    <t>Belarus [GAZ:00006886]</t>
  </si>
  <si>
    <t>Belgium [GAZ:00002938]</t>
  </si>
  <si>
    <t>Belize [GAZ:00002934]</t>
  </si>
  <si>
    <t>Benin [GAZ:00000904]</t>
  </si>
  <si>
    <t>Bermuda [GAZ:00001264]</t>
  </si>
  <si>
    <t>Bhutan [GAZ:00003920]</t>
  </si>
  <si>
    <t>Bolivia [GAZ:00002511]</t>
  </si>
  <si>
    <t>Borneo [GAZ:00025355]</t>
  </si>
  <si>
    <t>Bosnia and Herzegovina [GAZ:00006887]</t>
  </si>
  <si>
    <t>Botswana [GAZ:00001097]</t>
  </si>
  <si>
    <t>Bouvet Island [GAZ:00001453]</t>
  </si>
  <si>
    <t>Brazil [GAZ:00002828]</t>
  </si>
  <si>
    <t>British Virgin Islands [GAZ:00003961]</t>
  </si>
  <si>
    <t>Brunei [GAZ:00003901]</t>
  </si>
  <si>
    <t>Bulgaria [GAZ:00002950]</t>
  </si>
  <si>
    <t>Burkina Faso [GAZ:00000905]</t>
  </si>
  <si>
    <t>Burundi [GAZ:00001090]</t>
  </si>
  <si>
    <t>Cambodia [GAZ:00006888]</t>
  </si>
  <si>
    <t>Cameroon [GAZ:00001093]</t>
  </si>
  <si>
    <t>Cape Verde [GAZ:00001227]</t>
  </si>
  <si>
    <t>Cayman Islands [GAZ:00003986]</t>
  </si>
  <si>
    <t>Central African Republic [GAZ:00001089]</t>
  </si>
  <si>
    <t>Chad [GAZ:00000586]</t>
  </si>
  <si>
    <t>Chile [GAZ:00002825]</t>
  </si>
  <si>
    <t>China [GAZ:00002845]</t>
  </si>
  <si>
    <t>Christmas Island [GAZ:00005915]</t>
  </si>
  <si>
    <t>Clipperton Island [GAZ:00005838]</t>
  </si>
  <si>
    <t>Cocos Islands [GAZ:00009721]</t>
  </si>
  <si>
    <t>Colombia [GAZ:00002929]</t>
  </si>
  <si>
    <t>Comoros [GAZ:00005820]</t>
  </si>
  <si>
    <t>Cook Islands [GAZ:00053798]</t>
  </si>
  <si>
    <t>Coral Sea Islands [GAZ:00005917]</t>
  </si>
  <si>
    <t>Costa Rica [GAZ:00002901]</t>
  </si>
  <si>
    <t>Cote d'Ivoire [GAZ:00000906]</t>
  </si>
  <si>
    <t>Croatia [GAZ:00002719]</t>
  </si>
  <si>
    <t>Cuba [GAZ:00003762]</t>
  </si>
  <si>
    <t>Curacao [GAZ:00012582]</t>
  </si>
  <si>
    <t>Cyprus [GAZ:00004006]</t>
  </si>
  <si>
    <t>Czech Republic [GAZ:00002954]</t>
  </si>
  <si>
    <t>Democratic Republic of the Congo [GAZ:00001086]</t>
  </si>
  <si>
    <t>Denmark [GAZ:00005852]</t>
  </si>
  <si>
    <t>Djibouti [GAZ:00000582]</t>
  </si>
  <si>
    <t>Dominica [GAZ:00006890]</t>
  </si>
  <si>
    <t>Dominican Republic [GAZ:00003952]</t>
  </si>
  <si>
    <t>Ecuador [GAZ:00002912]</t>
  </si>
  <si>
    <t>Egypt [GAZ:00003934]</t>
  </si>
  <si>
    <t>El Salvador [GAZ:00002935]</t>
  </si>
  <si>
    <t>Equatorial Guinea [GAZ:00001091]</t>
  </si>
  <si>
    <t>Eritrea [GAZ:00000581]</t>
  </si>
  <si>
    <t>Estonia [GAZ:00002959]</t>
  </si>
  <si>
    <t>Eswatini [GAZ:00001099]</t>
  </si>
  <si>
    <t>Ethiopia [GAZ:00000567]</t>
  </si>
  <si>
    <t>Europa Island [GAZ:00005811]</t>
  </si>
  <si>
    <t>Falkland Islands (Islas Malvinas) [GAZ:00001412]</t>
  </si>
  <si>
    <t>Faroe Islands [GAZ:00059206]</t>
  </si>
  <si>
    <t>Fiji [GAZ:00006891]</t>
  </si>
  <si>
    <t>Finland [GAZ:00002937]</t>
  </si>
  <si>
    <t>France [GAZ:00003940]</t>
  </si>
  <si>
    <t>French Guiana [GAZ:00002516]</t>
  </si>
  <si>
    <t>French Polynesia [GAZ:00002918]</t>
  </si>
  <si>
    <t>French Southern and Antarctic Lands [GAZ:00003753]</t>
  </si>
  <si>
    <t>Gabon [GAZ:00001092]</t>
  </si>
  <si>
    <t>Gambia [GAZ:00000907]</t>
  </si>
  <si>
    <t>Gaza Strip [GAZ:00009571]</t>
  </si>
  <si>
    <t>Georgia [GAZ:00004942]</t>
  </si>
  <si>
    <t>Germany [GAZ:00002646]</t>
  </si>
  <si>
    <t>Ghana [GAZ:00000908]</t>
  </si>
  <si>
    <t>Gibraltar [GAZ:00003987]</t>
  </si>
  <si>
    <t>Glorioso Islands [GAZ:00005808]</t>
  </si>
  <si>
    <t>Greece [GAZ:00002945]</t>
  </si>
  <si>
    <t>Greenland [GAZ:00001507]</t>
  </si>
  <si>
    <t>Grenada [GAZ:02000573]</t>
  </si>
  <si>
    <t>Guadeloupe [GAZ:00067142]</t>
  </si>
  <si>
    <t>Guam [GAZ:00003706]</t>
  </si>
  <si>
    <t>Guatemala [GAZ:00002936]</t>
  </si>
  <si>
    <t>Guernsey [GAZ:00001550]</t>
  </si>
  <si>
    <t>Guinea [GAZ:00000909]</t>
  </si>
  <si>
    <t>Guinea-Bissau [GAZ:00000910]</t>
  </si>
  <si>
    <t>Guyana [GAZ:00002522]</t>
  </si>
  <si>
    <t>Haiti [GAZ:00003953]</t>
  </si>
  <si>
    <t>Heard Island and McDonald Islands [GAZ:00009718]</t>
  </si>
  <si>
    <t>Honduras [GAZ:00002894]</t>
  </si>
  <si>
    <t>Hong Kong [GAZ:00003203]</t>
  </si>
  <si>
    <t>Howland Island [GAZ:00007120]</t>
  </si>
  <si>
    <t>Hungary [GAZ:00002952]</t>
  </si>
  <si>
    <t>Iceland [GAZ:00000843]</t>
  </si>
  <si>
    <t>India [GAZ:00002839]</t>
  </si>
  <si>
    <t>Indonesia [GAZ:00003727]</t>
  </si>
  <si>
    <t>Iran [GAZ:00004474]</t>
  </si>
  <si>
    <t>Iraq [GAZ:00004483]</t>
  </si>
  <si>
    <t>Ireland [GAZ:00002943]</t>
  </si>
  <si>
    <t>Isle of Man [GAZ:00052477]</t>
  </si>
  <si>
    <t>Israel [GAZ:00002476]</t>
  </si>
  <si>
    <t>Italy [GAZ:00002650]</t>
  </si>
  <si>
    <t>Jamaica [GAZ:00003781]</t>
  </si>
  <si>
    <t>Jan Mayen [GAZ:00005853]</t>
  </si>
  <si>
    <t>Japan [GAZ:00002747]</t>
  </si>
  <si>
    <t>Jarvis Island [GAZ:00007118]</t>
  </si>
  <si>
    <t>Jersey [GAZ:00001551]</t>
  </si>
  <si>
    <t>Johnston Atoll [GAZ:00007114]</t>
  </si>
  <si>
    <t>Jordan [GAZ:00002473]</t>
  </si>
  <si>
    <t>Juan de Nova Island [GAZ:00005809]</t>
  </si>
  <si>
    <t>Kazakhstan [GAZ:00004999]</t>
  </si>
  <si>
    <t>Kenya [GAZ:00001101]</t>
  </si>
  <si>
    <t>Kerguelen Archipelago [GAZ:00005682]</t>
  </si>
  <si>
    <t>Kingman Reef [GAZ:00007116]</t>
  </si>
  <si>
    <t>Kiribati [GAZ:00006894]</t>
  </si>
  <si>
    <t>Kosovo [GAZ:00011337]</t>
  </si>
  <si>
    <t>Kuwait [GAZ:00005285]</t>
  </si>
  <si>
    <t>Kyrgyzstan [GAZ:00006893]</t>
  </si>
  <si>
    <t>Laos [GAZ:00006889]</t>
  </si>
  <si>
    <t>Latvia [GAZ:00002958]</t>
  </si>
  <si>
    <t>Lebanon [GAZ:00002478]</t>
  </si>
  <si>
    <t>Lesotho [GAZ:00001098]</t>
  </si>
  <si>
    <t>Liberia [GAZ:00000911]</t>
  </si>
  <si>
    <t>Libya [GAZ:00000566]</t>
  </si>
  <si>
    <t>Liechtenstein [GAZ:00003858]</t>
  </si>
  <si>
    <t>Line Islands [GAZ:00007144]</t>
  </si>
  <si>
    <t>Lithuania [GAZ:00002960]</t>
  </si>
  <si>
    <t>Luxembourg [GAZ:00002947]</t>
  </si>
  <si>
    <t>Macau [GAZ:00003202]</t>
  </si>
  <si>
    <t>Madagascar [GAZ:00001108]</t>
  </si>
  <si>
    <t>Malawi [GAZ:00001105]</t>
  </si>
  <si>
    <t>Malaysia [GAZ:00003902]</t>
  </si>
  <si>
    <t>Maldives [GAZ:00006924]</t>
  </si>
  <si>
    <t>Mali [GAZ:00000584]</t>
  </si>
  <si>
    <t>Malta [GAZ:00004017]</t>
  </si>
  <si>
    <t>Marshall Islands [GAZ:00007161]</t>
  </si>
  <si>
    <t>Martinique [GAZ:00067143]</t>
  </si>
  <si>
    <t>Mauritania [GAZ:00000583]</t>
  </si>
  <si>
    <t>Mauritius [GAZ:00003745]</t>
  </si>
  <si>
    <t>Mayotte [GAZ:00003943]</t>
  </si>
  <si>
    <t>Mexico [GAZ:00002852]</t>
  </si>
  <si>
    <t>Micronesia [GAZ:00005862]</t>
  </si>
  <si>
    <t>Midway Islands [GAZ:00007112]</t>
  </si>
  <si>
    <t>Moldova [GAZ:00003897]</t>
  </si>
  <si>
    <t>Monaco [GAZ:00003857]</t>
  </si>
  <si>
    <t>Mongolia [GAZ:00008744]</t>
  </si>
  <si>
    <t>Montenegro [GAZ:00006898]</t>
  </si>
  <si>
    <t>Montserrat [GAZ:00003988]</t>
  </si>
  <si>
    <t>Morocco [GAZ:00000565]</t>
  </si>
  <si>
    <t>Mozambique [GAZ:00001100]</t>
  </si>
  <si>
    <t>Myanmar [GAZ:00006899]</t>
  </si>
  <si>
    <t>Namibia [GAZ:00001096]</t>
  </si>
  <si>
    <t>Nauru [GAZ:00006900]</t>
  </si>
  <si>
    <t>Navassa Island [GAZ:00007119]</t>
  </si>
  <si>
    <t>Nepal [GAZ:00004399]</t>
  </si>
  <si>
    <t>Netherlands [GAZ:00002946]</t>
  </si>
  <si>
    <t>New Caledonia [GAZ:00005206]</t>
  </si>
  <si>
    <t>New Zealand [GAZ:00000469]</t>
  </si>
  <si>
    <t>Nicaragua [GAZ:00002978]</t>
  </si>
  <si>
    <t>Niger [GAZ:00000585]</t>
  </si>
  <si>
    <t>Nigeria [GAZ:00000912]</t>
  </si>
  <si>
    <t>Niue [GAZ:00006902]</t>
  </si>
  <si>
    <t>Norfolk Island [GAZ:00005908]</t>
  </si>
  <si>
    <t>North Korea [GAZ:00002801]</t>
  </si>
  <si>
    <t>North Macedonia [GAZ:00006895]</t>
  </si>
  <si>
    <t>North Sea [GAZ:00002284]</t>
  </si>
  <si>
    <t>Northern Mariana Islands [GAZ:00003958]</t>
  </si>
  <si>
    <t>Norway [GAZ:00002699]</t>
  </si>
  <si>
    <t>Oman [GAZ:00005283]</t>
  </si>
  <si>
    <t>Pakistan [GAZ:00005246]</t>
  </si>
  <si>
    <t>Palau [GAZ:00006905]</t>
  </si>
  <si>
    <t>Panama [GAZ:00002892]</t>
  </si>
  <si>
    <t>Papua New Guinea [GAZ:00003922]</t>
  </si>
  <si>
    <t>Paracel Islands [GAZ:00010832]</t>
  </si>
  <si>
    <t>Paraguay [GAZ:00002933]</t>
  </si>
  <si>
    <t>Peru [GAZ:00002932]</t>
  </si>
  <si>
    <t>Philippines [GAZ:00004525]</t>
  </si>
  <si>
    <t>Pitcairn Islands [GAZ:00005867]</t>
  </si>
  <si>
    <t>Poland [GAZ:00002939]</t>
  </si>
  <si>
    <t>Portugal [GAZ:00004126]</t>
  </si>
  <si>
    <t>Puerto Rico [GAZ:00006935]</t>
  </si>
  <si>
    <t>Qatar [GAZ:00005286]</t>
  </si>
  <si>
    <t>Republic of the Congo [GAZ:00001088]</t>
  </si>
  <si>
    <t>Reunion [GAZ:00003945]</t>
  </si>
  <si>
    <t>Romania [GAZ:00002951]</t>
  </si>
  <si>
    <t>Ross Sea [GAZ:00023304]</t>
  </si>
  <si>
    <t>Russia [GAZ:00002721]</t>
  </si>
  <si>
    <t>Rwanda [GAZ:00001087]</t>
  </si>
  <si>
    <t>Saint Helena [GAZ:00000849]</t>
  </si>
  <si>
    <t>Saint Kitts and Nevis [GAZ:00006906]</t>
  </si>
  <si>
    <t>Saint Lucia [GAZ:00006909]</t>
  </si>
  <si>
    <t>Saint Pierre and Miquelon [GAZ:00003942]</t>
  </si>
  <si>
    <t>Saint Martin [GAZ:00005841]</t>
  </si>
  <si>
    <t>Saint Vincent and the Grenadines [GAZ:02000565]</t>
  </si>
  <si>
    <t>Samoa [GAZ:00006910]</t>
  </si>
  <si>
    <t>San Marino [GAZ:00003102]</t>
  </si>
  <si>
    <t>Sao Tome and Principe [GAZ:00006927]</t>
  </si>
  <si>
    <t>Saudi Arabia [GAZ:00005279]</t>
  </si>
  <si>
    <t>Senegal [GAZ:00000913]</t>
  </si>
  <si>
    <t>Serbia [GAZ:00002957]</t>
  </si>
  <si>
    <t>Seychelles [GAZ:00006922]</t>
  </si>
  <si>
    <t>Sierra Leone [GAZ:00000914]</t>
  </si>
  <si>
    <t>Singapore [GAZ:00003923]</t>
  </si>
  <si>
    <t>Sint Maarten [GAZ:00012579]</t>
  </si>
  <si>
    <t>Slovakia [GAZ:00002956]</t>
  </si>
  <si>
    <t>Slovenia [GAZ:00002955]</t>
  </si>
  <si>
    <t>Solomon Islands [GAZ:00005275]</t>
  </si>
  <si>
    <t>Somalia [GAZ:00001104]</t>
  </si>
  <si>
    <t>South Africa [GAZ:00001094]</t>
  </si>
  <si>
    <t>South Georgia and the South Sandwich Islands [GAZ:00003990]</t>
  </si>
  <si>
    <t>South Korea [GAZ:00002802]</t>
  </si>
  <si>
    <t>South Sudan [GAZ:00233439]</t>
  </si>
  <si>
    <t>GAZ:00003936</t>
  </si>
  <si>
    <t>Spain [GAZ:00003936]</t>
  </si>
  <si>
    <t>Spratly Islands [GAZ:00010831]</t>
  </si>
  <si>
    <t>Sri Lanka [GAZ:00003924]</t>
  </si>
  <si>
    <t>State of Palestine [GAZ:00002475]</t>
  </si>
  <si>
    <t>Sudan [GAZ:00000560]</t>
  </si>
  <si>
    <t>Suriname [GAZ:00002525]</t>
  </si>
  <si>
    <t>Svalbard [GAZ:00005396]</t>
  </si>
  <si>
    <t>Swaziland [GAZ:00001099]</t>
  </si>
  <si>
    <t>Sweden [GAZ:00002729]</t>
  </si>
  <si>
    <t>Switzerland [GAZ:00002941]</t>
  </si>
  <si>
    <t>Syria [GAZ:00002474]</t>
  </si>
  <si>
    <t>Taiwan [GAZ:00005341]</t>
  </si>
  <si>
    <t>Tajikistan [GAZ:00006912]</t>
  </si>
  <si>
    <t>Tanzania [GAZ:00001103]</t>
  </si>
  <si>
    <t>Thailand [GAZ:00003744]</t>
  </si>
  <si>
    <t>Timor-Leste [GAZ:00006913]</t>
  </si>
  <si>
    <t>Togo [GAZ:00000915]</t>
  </si>
  <si>
    <t>Tokelau [GAZ:00260188]</t>
  </si>
  <si>
    <t>Tonga [GAZ:00006916]</t>
  </si>
  <si>
    <t>Trinidad and Tobago [GAZ:00003767]</t>
  </si>
  <si>
    <t>Tromelin Island [GAZ:00005812]</t>
  </si>
  <si>
    <t>Tunisia [GAZ:00000562]</t>
  </si>
  <si>
    <t>Turkey [GAZ:00000558]</t>
  </si>
  <si>
    <t>Turkmenistan [GAZ:00005018]</t>
  </si>
  <si>
    <t>Turks and Caicos Islands [GAZ:00003955]</t>
  </si>
  <si>
    <t>Tuvalu [GAZ:00009715]</t>
  </si>
  <si>
    <t>Uganda [GAZ:00001102]</t>
  </si>
  <si>
    <t>Ukraine [GAZ:00002724]</t>
  </si>
  <si>
    <t>United Arab Emirates [GAZ:00005282]</t>
  </si>
  <si>
    <t>Uruguay [GAZ:00002930]</t>
  </si>
  <si>
    <t>Uzbekistan [GAZ:00004979]</t>
  </si>
  <si>
    <t>Vanuatu [GAZ:00006918]</t>
  </si>
  <si>
    <t>Venezuela [GAZ:00002931]</t>
  </si>
  <si>
    <t>Viet Nam [GAZ:00003756]</t>
  </si>
  <si>
    <t>Virgin Islands [GAZ:00003959]</t>
  </si>
  <si>
    <t>Wake Island [GAZ:00007111]</t>
  </si>
  <si>
    <t>Wallis and Futuna [GAZ:00007191]</t>
  </si>
  <si>
    <t>West Bank [GAZ:00009572]</t>
  </si>
  <si>
    <t>Western Sahara [GAZ:00000564]</t>
  </si>
  <si>
    <t>Yemen [GAZ:00005284]</t>
  </si>
  <si>
    <t>Zambia [GAZ:00001107]</t>
  </si>
  <si>
    <t>Zimbabwe [GAZ:00001106]</t>
  </si>
  <si>
    <t>EXPORT_SOMEWHERE</t>
  </si>
  <si>
    <t>TemplateName</t>
  </si>
  <si>
    <t>A menu of data collection status options for this field.</t>
  </si>
  <si>
    <t>A menu of analytic laboratories.</t>
  </si>
  <si>
    <t>in_subset</t>
  </si>
  <si>
    <t>EXPORT_NCBI_BIOSAMPLE</t>
  </si>
  <si>
    <t>EXPORT_NCBI_Genbank</t>
  </si>
  <si>
    <t>EXPORT_NCBI_Genbank_source_modifiers</t>
  </si>
  <si>
    <t>PHA4GE</t>
  </si>
  <si>
    <t>Every Sample ID from a single submitter must be unique. It can have any format, but we suggest that you make it concise, unique and consistent within your lab, and as informative as possible.</t>
  </si>
  <si>
    <t>Sample ID given by the sample provider;Sample ID given by the submitting laboratory</t>
  </si>
  <si>
    <t>Sequence_ID</t>
  </si>
  <si>
    <t>The INSDC umbrella accession number of the BioProject to which the BioSample belongs.</t>
  </si>
  <si>
    <t>Required if submission is linked to an umbrella BioProject. An umbrella BioProject links together related BioProjects. A valid BioProject umbrella accession has prefix PRJN, PRJE or PRJD. Your laboratory can have one or many BioProjects.</t>
  </si>
  <si>
    <t>BioProject</t>
  </si>
  <si>
    <t>BioSample</t>
  </si>
  <si>
    <t>The Sequence Read Archive (SRA), European Nucleotide Archive (ENA) or DDBJ Sequence Read Archive (DRA) identifier linking raw read data, methodological metadata and quality control metrics submitted to the INSDC.</t>
  </si>
  <si>
    <t>Store the accession assigned to the submitted "run". NCBI-SRA accessions start with SRR, EBI-ENA runs start with ERR and DRA accessions start with DRR.</t>
  </si>
  <si>
    <t>The GenBank/ENA/DDBJ identifier assigned to the sequence in the INSDC archives.</t>
  </si>
  <si>
    <t>Store the accession returned from a GenBank/ENA/DDBJ submission (viral genome assembly).</t>
  </si>
  <si>
    <t>EPI_ISL_123456</t>
  </si>
  <si>
    <t>The user-defined GISAID virus name assigned to the sequence.</t>
  </si>
  <si>
    <t>GISAID virus names should be in the format "hCoV-19/Country/Identifier/year".</t>
  </si>
  <si>
    <t>hCoV-19/Canada/prov_rona_99/2020</t>
  </si>
  <si>
    <t>Identifier for the physical specimen.</t>
  </si>
  <si>
    <r>
      <rPr>
        <sz val="10"/>
        <rFont val="Arial"/>
      </rPr>
      <t xml:space="preserve">Include a URI (Uniform Resource Identifier) in the form of a URL providing a direct link to the physical host specimen. If the specimen was destroyed in the process of analysis, electronic images (e-vouchers) are an adequate substitute for a physical host voucher specimen. If a URI is not available, a museum-provided globally unique identifier (GUID) can be used. If no persistent unique identifier is available, follow the INSDC guidance for populating the voucher_specimen attribute using standard triplets for institution codes (i.e., /specimen_voucher="[&lt;institution-code&gt;:[&lt;collection-code&gt;:]]&lt;specimen_id&gt;"): </t>
    </r>
    <r>
      <rPr>
        <u/>
        <sz val="10"/>
        <color rgb="FF1155CC"/>
        <rFont val="Arial"/>
      </rPr>
      <t>http://www.insdc.org/controlled-vocabulary-specimenvoucher-qualifier</t>
    </r>
  </si>
  <si>
    <t>URI example: http://portal.vertnet.org/o/fmnh/mammals?id=33e55cfe-330b-40d9-aaae-8d042cba7542, INSDC triplet example: UAM:Mamm:52179</t>
  </si>
  <si>
    <t>host_specimen_voucher</t>
  </si>
  <si>
    <t>The name of the organization with which the sample collector is affiliated.</t>
  </si>
  <si>
    <t>The name of the agency should be written out in full, (with minor exceptions) and be consistent across multiple submissions.</t>
  </si>
  <si>
    <t>Public Health Agency of Canada</t>
  </si>
  <si>
    <t>The email address can represent a specific individual or laboratory.</t>
  </si>
  <si>
    <t>johnnyblogs@lab.ca</t>
  </si>
  <si>
    <t>The mailing address should be in the format: Street number and name, City, State/Province/Region, Country, Postal Code/Zip Code</t>
  </si>
  <si>
    <t>Centers for Disease Control and Prevention</t>
  </si>
  <si>
    <t>Record the collection date accurately in the template. Required granularity includes year, month and day. Before sharing this data, ensure this date is not considered identifiable information. If this date is considered identifiable, it is acceptable to add "jitter" to the collection date by adding or subtracting calendar days. Do not change the collection date in your original records. Alternatively, ”received date” may be used as a substitute in the data you share. The date should be provided in ISO 8601 standard format "YYYY-MM-DD".</t>
  </si>
  <si>
    <t>collection-date</t>
  </si>
  <si>
    <t>The date the sample was received by a lab that was not the point of collection. ISO 8601 standard "YYYY-MM-DD".</t>
  </si>
  <si>
    <t>The country of origin of the sample.</t>
  </si>
  <si>
    <t>Provide the country name from the pick list in the template</t>
  </si>
  <si>
    <t>country</t>
  </si>
  <si>
    <t>The state/province/territory of origin of the sample.</t>
  </si>
  <si>
    <r>
      <rPr>
        <sz val="10"/>
        <rFont val="Arial"/>
      </rPr>
      <t xml:space="preserve">Provide the state/province/territory name from the GAZ geography ontology. Search for geography terms here: </t>
    </r>
    <r>
      <rPr>
        <u/>
        <sz val="10"/>
        <color rgb="FF1155CC"/>
        <rFont val="Arial"/>
      </rPr>
      <t>https://www.ebi.ac.uk/ols/ontologies/gaz</t>
    </r>
  </si>
  <si>
    <t>Western Cape</t>
  </si>
  <si>
    <t>The city of origin of the sample.</t>
  </si>
  <si>
    <t>Provide the city name from the GAZ geography ontology. Search for geography terms here: https://www.ebi.ac.uk/ols/ontologies/gaz</t>
  </si>
  <si>
    <t>Vancouver</t>
  </si>
  <si>
    <t>Select "Severe acute respiratory syndrome coronavirus 2" if sequencing SARS-CoV-2. If another Coronaviridae is being sequenced, provide the taxonomic name from NCBITaxon. Search for taxonomy terms at https://www.ebi.ac.uk/ols/ontologies/ncbitaxon.</t>
  </si>
  <si>
    <t>This identifier should be an unique, indexed, alpha-numeric ID within your laboratory. If submitted to the INSDC, the "isolate" name is propagated throughtout different databases. As such, structure the "isolate" name to be ICTV/INSDC compliant in the following format: "SARS-CoV-2/host/country/sampleID/date".</t>
  </si>
  <si>
    <t>The name of the source collection and unique culture identifier.</t>
  </si>
  <si>
    <t>Format: "&lt;institution-code&gt;:[&lt;collection-code&gt;:]&lt;culture_id&gt;". For more information, see http://www.insdc.org/controlled-vocabulary-culturecollection-qualifier.</t>
  </si>
  <si>
    <t>/culture_collection="ATCC:26370"</t>
  </si>
  <si>
    <t>Select a value from the pick list in the template.</t>
  </si>
  <si>
    <t>Further details pertaining to the reason the sample was collected.</t>
  </si>
  <si>
    <t>Provide a free text description of the sampling strategy or samples collected.</t>
  </si>
  <si>
    <t>Screening of bat specimens in museum collections.</t>
  </si>
  <si>
    <t>The name of the sample plan implemented for sample collection.</t>
  </si>
  <si>
    <t>Provide the name and version of the sample plan outlining the sample strategy.</t>
  </si>
  <si>
    <t>CanCOGeN Sampling Strategy 1.0</t>
  </si>
  <si>
    <t>Whether the sample was collected from an individual in quarantine.</t>
  </si>
  <si>
    <t>Whether a sample was collected under quarantine conditions (e.g. self-quarantining, medically isolated, staying at a quarantine hotel) can inform public health measure assessments. Use the picklist provided in the template.</t>
  </si>
  <si>
    <t>Provide a descriptor if an anatomical material was sampled. Use the pick list provided in the template. If a desired term is missing from the pick list, use this look-up service to identify a standardized term: https://www.ebi.ac.uk/ols/ontologies/uberon. If not applicable, leave blank.</t>
  </si>
  <si>
    <t>isolation_source;host_anatomical_material</t>
  </si>
  <si>
    <t>isolation-source</t>
  </si>
  <si>
    <t>Provide a descriptor if an anatomical part was sampled. Use the pick list provided in the template. If a desired term is missing from the pick list, use this look-up service to identify a standardized term: https://www.ebi.ac.uk/ols/ontologies/uberon. If not applicable, leave blank.</t>
  </si>
  <si>
    <t>isolation_source;host_anatomical_part</t>
  </si>
  <si>
    <t>Provide a descriptor if a body product was sampled. Use the pick list provided in the template. If a desired term is missing from the pick list, use this look-up service to identify a standardized term: https://www.ebi.ac.uk/ols/ontologies/uberon. If not applicable, leave blank.</t>
  </si>
  <si>
    <t>isolation_source;host_body_product</t>
  </si>
  <si>
    <t>A substance obtained from the natural or man-made environment e.g. soil, water, sewage, door handle, bed handrail, face mask.</t>
  </si>
  <si>
    <t>Provide a descriptor if an environmental material was sampled. Use the pick list provided in the template. If a desired term is missing from the pick list, use this look-up service to identify a standardized term: https://www.ebi.ac.uk/ols/ontologies/envo. If not applicable, leave blank.</t>
  </si>
  <si>
    <t>Provide a descriptor if an environmental site was sampled. Use the pick list provided in the template. If a desired term is missing from the pick list, use this look-up service to identify a standardized term: https://www.ebi.ac.uk/ols/ontologies/envo. If not applicable, leave blank.</t>
  </si>
  <si>
    <t>Provide a descriptor if a collection device was used for sampling. Use the pick list provided in the template. If a desired term is missing from the pick list, use this look-up service to identify a standardized term: https://www.ebi.ac.uk/ols/ontologies/obi. If not applicable, leave blank.</t>
  </si>
  <si>
    <t>Provide a descriptor if a collection method was used for sampling. Use the pick list provided in the template. If a desired term is missing from the pick list, use this look-up service to identify a standardized term: https://www.ebi.ac.uk/ols/ontologies/obi. If not applicable, leave blank.</t>
  </si>
  <si>
    <t>Provide the name and version of the protocol used to collect the samples.</t>
  </si>
  <si>
    <t>SC2SamplingProtocol 1.2</t>
  </si>
  <si>
    <t>Type of cell line used for propagation. Select a value form the pick list. If not passaged, put "not applicable".</t>
  </si>
  <si>
    <t>Free text. Provide a short description. If not passaged, put "not applicable".</t>
  </si>
  <si>
    <t>AVL buffer+30%EtOH lysate received from Respiratory Lab. P3 passage in Vero-1 via bioreactor large-scale batch passage. P3 batch derived from the SP-2/reference lab strain.</t>
  </si>
  <si>
    <t>Provide the biomaterial extracted from the pick list in the template.</t>
  </si>
  <si>
    <t>A description of how any data elements were altered to preserve patient privacy.</t>
  </si>
  <si>
    <t>If applicable, provide a description of how each data element was abstracted.</t>
  </si>
  <si>
    <t>Jitter added to publicly shared collection dates to prevent re-identifiability.</t>
  </si>
  <si>
    <t>Common name or scientific name are required if there was a host. Common name examples e.g. human, bat. Select a value from the pick list. If the sample was environmental, put "not applicable".</t>
  </si>
  <si>
    <t>Common name or scientific name are required if there was a host. Scientific name examples e.g. Homo sapiens. Select a value from the pick list. If the sample was environmental, put "not applicable".</t>
  </si>
  <si>
    <t>This field is only required if there was a host. If the host was a human select COVID-19 from the pick list. If the host was asymptomatic, this can be recorded under “host health state details”. "COVID-19" should still be provided if patient is asymptomatic. If the host is not human, and the disease state is not known or the host appears healthy, put “not applicable”.</t>
  </si>
  <si>
    <t>The country where the host resides.</t>
  </si>
  <si>
    <t>The self-identified ethnicity(ies) of the host.</t>
  </si>
  <si>
    <t>If known, provide the self-identified ethnicity or ethnicities of the host as a free text description. This is highly sensitive information which must be treated respectfully and carefully when sharing. The information may have implications for equitable access and benefit sharing. Consult your privacy officer, data steward and/or cultural services representative.</t>
  </si>
  <si>
    <t>Indigenous, European</t>
  </si>
  <si>
    <t>Should be a unique, user-defined identifier. This ID can help link laboratory data with epidemiological data, however, is likely sensitive information. Consult the data steward.</t>
  </si>
  <si>
    <t>Cough [HP:0012735], Fever [HP:0001945],  Rigors (fever shakes) [HP:0025145]</t>
  </si>
  <si>
    <t>Patient pre-existing conditions and risk factors.
Pre-existing condition: A medical condition that existed prior to the current infection.
Risk Factor: A variable associated with an increased risk of disease or infection.</t>
  </si>
  <si>
    <t>Select all of the complications experienced by the host from the pick list.</t>
  </si>
  <si>
    <t>prior_sars_cov_2_vaccination</t>
  </si>
  <si>
    <t>The number of doses of the vaccine received by the host.</t>
  </si>
  <si>
    <t>date_of_sars_cov_2_vaccination</t>
  </si>
  <si>
    <t>Last vaccinated</t>
  </si>
  <si>
    <t>This location pertains to the country the host was believed to be exposed, and may not be the same as the host's country of residence. If known, provide the country name from the pick list.</t>
  </si>
  <si>
    <t>geo_loc_exposure</t>
  </si>
  <si>
    <t>host_recent_travel_loc</t>
  </si>
  <si>
    <t>Provide the travel departure date in ISO 8601 standard format "YYYY-MM-DD".</t>
  </si>
  <si>
    <t>Provide the travel return date in ISO 8601 standard format "YYYY-MM-DD".</t>
  </si>
  <si>
    <t>host_recent_travel_return_date</t>
  </si>
  <si>
    <t>Specify the countries (and more granular locations if known) travelled in the last six months; can include multiple travels. Separate multiple travel events with a semicolon. Provide as free text.</t>
  </si>
  <si>
    <t>If known, select the exposure event from the pick list.</t>
  </si>
  <si>
    <t>Select direct or indirect exposure from the pick list.</t>
  </si>
  <si>
    <t>Additional host information</t>
  </si>
  <si>
    <t>prior_sars_cov_2_infection</t>
  </si>
  <si>
    <t>virus_isolate_of_prior_infection</t>
  </si>
  <si>
    <t>date_of_prior_sars_cov_2_infection</t>
  </si>
  <si>
    <t>If known, provide infromation about whether the individual had a previous SARS-CoV-2 antiviral treatment. Select a value from the pick list.</t>
  </si>
  <si>
    <t>prior_sars_cov_2_antiviral_treat</t>
  </si>
  <si>
    <t>antiviral_treatment_agent</t>
  </si>
  <si>
    <t>date_of_prior_antiviral_treat</t>
  </si>
  <si>
    <t>The reason why a sample was originally collected may differ from the reason why it was selected for sequencing. The reason a sample was sequenced may provide information about potential biases in sequencing strategy. Provide the purpose of sequencing from the picklist in the template. The reason for sample collection should be indicated in the "purpose of sampling" field.</t>
  </si>
  <si>
    <t>Provide an expanded description of why the sample was sequenced using pick list. The description may include the importance of the sequences for a particular public health investigation/surveillance activity/research question. Suggested standardized descriptions include: Screened for S gene target failure (S dropout), Screened for mink variants, Screened for B.1.1.7 variant, Screened for B.1.135 variant, Screened for P.1 variant, Screened due to travel history, Screened due to close contact with infected individual, Assessing public health control measures, Determining early introductions and spread, Investigating airline-related exposures, Investigating temporary foreign worker, Investigating remote regions, Investigating health care workers, Investigating schools/universities, Investigating reinfection.</t>
  </si>
  <si>
    <t>Provide the sequencing date in ISO 8601 standard format "YYYY-MM-DD".</t>
  </si>
  <si>
    <t>Select the sequencing instrument from the pick list.</t>
  </si>
  <si>
    <t>platform;instrument_model</t>
  </si>
  <si>
    <t>sequencing_technology</t>
  </si>
  <si>
    <t>Provide the name and version of the sequencing protocol.</t>
  </si>
  <si>
    <t>1D_DNA_MinION, ARTIC Network Protocol V3</t>
  </si>
  <si>
    <t>Provide a free text description of the methods and materials used to generate the sequence. Suggested text, fill in information where indicated.: "Viral sequencing was performed following a tiling amplicon strategy using the &lt;fill in&gt; primer scheme. Sequencing was performed using a &lt;fill in&gt; sequencing instrument. Libraries were prepared using &lt;fill in&gt; library kit. "</t>
  </si>
  <si>
    <t>design_description</t>
  </si>
  <si>
    <t>The method used for raw data processing such as removing barcodes, adapter trimming, filtering etc.</t>
  </si>
  <si>
    <t>Provide the name and version numbers of the software used to process the raw data.</t>
  </si>
  <si>
    <t xml:space="preserve">raw_sequence_data_processing_method </t>
  </si>
  <si>
    <t>Nanostripper 1.2.3</t>
  </si>
  <si>
    <t>filename</t>
  </si>
  <si>
    <t>Ivar</t>
  </si>
  <si>
    <t>assembly_method</t>
  </si>
  <si>
    <t>assembly_method_version</t>
  </si>
  <si>
    <t>genome_coverage</t>
  </si>
  <si>
    <t>The filepath of the r1 FASTQ file.</t>
  </si>
  <si>
    <t>Provide the filepath of the r1 FASTQ file.</t>
  </si>
  <si>
    <t>The filepath of the r2 FASTQ file.</t>
  </si>
  <si>
    <t>Provide the filepath of the r2 FASTQ file.</t>
  </si>
  <si>
    <t>batch1a_sequences.fast5</t>
  </si>
  <si>
    <t>The filepath of the FAST5 file.</t>
  </si>
  <si>
    <t>Provide the filepath of the FAST5 file.</t>
  </si>
  <si>
    <t>/User/Documents/RespLab/Data/batch1a_sequences.fast5</t>
  </si>
  <si>
    <t>Size of the assembled genome described as the number of base pairs.</t>
  </si>
  <si>
    <t>reference_genome</t>
  </si>
  <si>
    <t>The name and version number of the bioinformatics protocol used.</t>
  </si>
  <si>
    <t>Further details regarding the methods used to process raw data, and/or generate assemblies, and/or generate consensus sequences can be provided in an SOP or protocol. Provide the name and version number of the protocol, or a link if deposited in a protocol repository.</t>
  </si>
  <si>
    <t>https://www.protocols.io/groups/cphln-sarscov2-sequencing-consortium/members</t>
  </si>
  <si>
    <t>List the set of lineage-defining mutations used to make the variant determination. If there are mutations of interest/concern observed in addition to lineage-defining mutations, describe those here.</t>
  </si>
  <si>
    <t>Select a gene from the pick list. If the gene of interest is not in the list, provide the full name of the gene or the gene symbol (short form of gene name). Standardized gene names and symbols can be found in the Gene Ontology using this look-up service: https://bit.ly/2Sq1LbI</t>
  </si>
  <si>
    <t>E gene (orf4) [GENEPIO:0100151]</t>
  </si>
  <si>
    <t>sars_cov_2_diag_gene_name_1</t>
  </si>
  <si>
    <t>PCREGene 2.0</t>
  </si>
  <si>
    <t>The cycle threshold (Ct) value result from a diagnostic SARS-CoV-2 RT-PCR test.</t>
  </si>
  <si>
    <t>Provide the cycle threshold (Ct) value of the sample from the diagnostic RT-PCR test.</t>
  </si>
  <si>
    <t>sars_cov_2_diag_pcr_ct_value_1</t>
  </si>
  <si>
    <t>RdRp gene (nsp12) [GENEPIO:0100168]</t>
  </si>
  <si>
    <t>sars_cov_2_diag_gene_name_2</t>
  </si>
  <si>
    <t>PCRRdRpGene 3.0</t>
  </si>
  <si>
    <t>Provide the cycle threshold (Ct) value of the sample from the second diagnostic RT-PCR test.</t>
  </si>
  <si>
    <t>sars_cov_2_diag_pcr_ct_value_2</t>
  </si>
  <si>
    <t>GENEPIO:0100322</t>
  </si>
  <si>
    <t>NCBI SRA information</t>
  </si>
  <si>
    <t>GENEPIO:0100323</t>
  </si>
  <si>
    <t>Short description that will identify  the dataset on public pages.</t>
  </si>
  <si>
    <t>Format: {methodology} of {organism}: {sample info}</t>
  </si>
  <si>
    <t>Genomic sequencing of SARS-CoV-2: Nasopharynx (NP), Swab</t>
  </si>
  <si>
    <t>GENEPIO:0100324</t>
  </si>
  <si>
    <t>library_strategy</t>
  </si>
  <si>
    <t>See NCBI SRA template for details.</t>
  </si>
  <si>
    <t xml:space="preserve">Provide the library strategy by selecting a value from the pick list. For amplicon sequencing select "AMPLICON". </t>
  </si>
  <si>
    <t>GENEPIO:0100325</t>
  </si>
  <si>
    <t>library_source</t>
  </si>
  <si>
    <t xml:space="preserve">Provide the library source by selecting a value from the pick list. For amplicon sequencing select "Viral RNA". </t>
  </si>
  <si>
    <t>GENEPIO:0100326</t>
  </si>
  <si>
    <t>library_selection</t>
  </si>
  <si>
    <t xml:space="preserve">Provide the library selection by selecting a value from the pick list. For amplicon sequencing select "PCR". </t>
  </si>
  <si>
    <t>GENEPIO:0100327</t>
  </si>
  <si>
    <t>library_layout</t>
  </si>
  <si>
    <t>Provide the library layout by selecting a value from the pick list. For Illumina instruments, select "PAIRED". For Oxford Nanopore instruments, select "SINGLE".</t>
  </si>
  <si>
    <t>GENEPIO:0100328</t>
  </si>
  <si>
    <t>filetype</t>
  </si>
  <si>
    <t xml:space="preserve">Provide the filetype by selecting a value from the pick list. </t>
  </si>
  <si>
    <t>GENEPIO:0100329</t>
  </si>
  <si>
    <t>Provide the appropriate filename recorded in the Bioinformatics and QC metrics section. If sequence data is "paired", provide the second filename under "Filename 2".</t>
  </si>
  <si>
    <t>GENEPIO:0100330</t>
  </si>
  <si>
    <t>filename2</t>
  </si>
  <si>
    <t>Provide the appropriate filename recorded in the Bioinformatics and QC metrics section.</t>
  </si>
  <si>
    <t>Tejinder Singh, Fei Hu, Johnny Blogs</t>
  </si>
  <si>
    <t>DataHarmonizer v1.4.3, PHA4GE v1.0.0</t>
  </si>
  <si>
    <t>Not Applicable [GENEPIO:0001619]</t>
  </si>
  <si>
    <t>Not Collected [GENEPIO:0001620]</t>
  </si>
  <si>
    <t>Not Provided [GENEPIO:0001668]</t>
  </si>
  <si>
    <t>Missing [GENEPIO:0001618]</t>
  </si>
  <si>
    <t>Restricted Access [GENEPIO:0001810]</t>
  </si>
  <si>
    <t>RNA (Total) [OBI:0000895]</t>
  </si>
  <si>
    <t>RNA (Poly-A) [OBI:0000869]</t>
  </si>
  <si>
    <t>RNA (Ribo-Depleted) [OBI:0002627]</t>
  </si>
  <si>
    <t>mRNA (messenger RNA) [GENEPIO:0100104]</t>
  </si>
  <si>
    <t>mRNA (cDNA) [OBI:0002754]</t>
  </si>
  <si>
    <t>Abnormal lung auscultation [HP:0030829]</t>
  </si>
  <si>
    <t>Abnormality of taste sensation [HP:0000223]</t>
  </si>
  <si>
    <t>Ageusia (complete loss of taste) [HP:0041051]</t>
  </si>
  <si>
    <t>Parageusia (distorted sense of taste) [HP:0031249]</t>
  </si>
  <si>
    <t>Hypogeusia (reduced sense of taste) [HP:0000224]</t>
  </si>
  <si>
    <t>Abnormality of the sense of smell [HP:0004408]</t>
  </si>
  <si>
    <t>Anosmia (lost sense of smell) [HP:0000458]</t>
  </si>
  <si>
    <t>Hyposmia (reduced sense of smell) [HP:0004409]</t>
  </si>
  <si>
    <t>Acute Respiratory Distress Syndrome [HP:0033677]</t>
  </si>
  <si>
    <t>Altered mental status [HP:0011446]</t>
  </si>
  <si>
    <t>Cognitive impairment [HP:0100543]</t>
  </si>
  <si>
    <t>Coma [HP:0001259]</t>
  </si>
  <si>
    <t>Confusion [HP:0001289]</t>
  </si>
  <si>
    <t>Delirium (sudden severe confusion) [HP:0031258]</t>
  </si>
  <si>
    <t>Inability to arouse (inability to stay awake) [GENEPIO:0100061]</t>
  </si>
  <si>
    <t>Irritability [HP:0000737]</t>
  </si>
  <si>
    <t>Loss of speech [HP:0002371]</t>
  </si>
  <si>
    <t>Arrhythmia [HP:0011675]</t>
  </si>
  <si>
    <t>Asthenia (generalized weakness) [HP:0025406]</t>
  </si>
  <si>
    <t>Chest tightness or pressure [HP:0031352]</t>
  </si>
  <si>
    <t>Rigors (fever shakes) [HP:0025145]</t>
  </si>
  <si>
    <t>Conjunctival injection [HP:0030953]</t>
  </si>
  <si>
    <t>Coryza (rhinitis) [MP:0001867]</t>
  </si>
  <si>
    <t>Nonproductive cough (dry cough) [HP:0031246]</t>
  </si>
  <si>
    <t>Productive cough (wet cough) [HP:0031245]</t>
  </si>
  <si>
    <t>Cyanosis (blueish skin discolouration) [HP:0000961]</t>
  </si>
  <si>
    <t>Acrocyanosis [HP:0001063]</t>
  </si>
  <si>
    <t>Circumoral cyanosis (bluish around mouth) [HP:0032556]</t>
  </si>
  <si>
    <t>Cyanotic face (bluish face) [GENEPIO:0100062]</t>
  </si>
  <si>
    <t>Central Cyanosis [GENEPIO:0100063]</t>
  </si>
  <si>
    <t>Cyanotic lips (bluish lips) [GENEPIO:0100064]</t>
  </si>
  <si>
    <t>Peripheral Cyanosis [GENEPIO:0100065]</t>
  </si>
  <si>
    <t>Dyspnea (breathing difficulty) [HP:0002094]</t>
  </si>
  <si>
    <t>Diarrhea (watery stool) [HP:0002014]</t>
  </si>
  <si>
    <t>Dry gangrene [MP:0031127]</t>
  </si>
  <si>
    <t>Encephalitis (brain inflammation) [HP:0002383]</t>
  </si>
  <si>
    <t>Encephalopathy [HP:0001298]</t>
  </si>
  <si>
    <t>Fever (&gt;=38°C) [GENEPIO:0100066]</t>
  </si>
  <si>
    <t>Glossitis (inflammation of the tongue) [HP:0000206]</t>
  </si>
  <si>
    <t>Ground Glass Opacities (GGO) [GENEPIO:0100067]</t>
  </si>
  <si>
    <t>Hemoptysis (coughing up blood) [HP:0002105]</t>
  </si>
  <si>
    <t>Hypocapnia [HP:0012417]</t>
  </si>
  <si>
    <t>Hypotension (low blood pressure) [HP:0002615]</t>
  </si>
  <si>
    <t>Hypoxemia (low blood oxygen) [HP:0012418]</t>
  </si>
  <si>
    <t>Silent hypoxemia [GENEPIO:0100068]</t>
  </si>
  <si>
    <t>Internal hemorrhage (internal bleeding) [HP:0011029]</t>
  </si>
  <si>
    <t>Loss of Fine Movements [NCIT:C121416]</t>
  </si>
  <si>
    <t>Low appetite [HP:0004396]</t>
  </si>
  <si>
    <t>Malaise (general discomfort/unease) [HP:0033834]</t>
  </si>
  <si>
    <t>Meningismus/nuchal rigidity [HP:0031179]</t>
  </si>
  <si>
    <t>Muscle weakness [HP:0001324]</t>
  </si>
  <si>
    <t>Nasal obstruction (stuffy nose) [HP:0001742]</t>
  </si>
  <si>
    <t>Nose bleed [HP:0000421]</t>
  </si>
  <si>
    <t>Otitis [GENEPIO:0100069]</t>
  </si>
  <si>
    <t>Pain [HP:0012531]</t>
  </si>
  <si>
    <t>Abdominal pain [HP:0002027]</t>
  </si>
  <si>
    <t>Arthralgia (painful joints) [HP:0002829]</t>
  </si>
  <si>
    <t>Chest pain [HP:0100749]</t>
  </si>
  <si>
    <t>Pleuritic chest pain [HP:0033771]</t>
  </si>
  <si>
    <t>Pharyngitis (sore throat) [HP:0025439]</t>
  </si>
  <si>
    <t>Pharyngeal exudate [GENEPIO:0100070]</t>
  </si>
  <si>
    <t>Pleural effusion [HP:0002202]</t>
  </si>
  <si>
    <t>Pneumonia [HP:0002090]</t>
  </si>
  <si>
    <t>Pseudo-chilblains [HP:0033696]</t>
  </si>
  <si>
    <t>Pseudo-chilblains on fingers (covid fingers) [GENEPIO:0100072]</t>
  </si>
  <si>
    <t>Pseudo-chilblains on toes (covid toes) [GENEPIO:0100073]</t>
  </si>
  <si>
    <t>Rhinorrhea (runny nose) [HP:0031417]</t>
  </si>
  <si>
    <t>Seizure [HP:0001250]</t>
  </si>
  <si>
    <t>Motor seizure [HP:0020219]</t>
  </si>
  <si>
    <t>Shivering (involuntary muscle twitching) [HP:0025144]</t>
  </si>
  <si>
    <t>Slurred speech [HP:0001350]</t>
  </si>
  <si>
    <t>Sneezing [HP:0025095]</t>
  </si>
  <si>
    <t>Sputum Production [HP:0033709]</t>
  </si>
  <si>
    <t>Stroke [HP:0001297]</t>
  </si>
  <si>
    <t>Tachypnea (accelerated respiratory rate) [HP:0002789]</t>
  </si>
  <si>
    <t>Vertigo (dizziness) [HP:0002321]</t>
  </si>
  <si>
    <t>prior_sars_cov_2_vaccination:Yes</t>
  </si>
  <si>
    <t>prior_sars_cov_2_vaccination:No</t>
  </si>
  <si>
    <t>prior_sars_cov_2_antiviral_treatment:Yes</t>
  </si>
  <si>
    <t>prior_sars_cov_2_antiviral_treatment:No</t>
  </si>
  <si>
    <t>Age 60+ [VO:0004925]</t>
  </si>
  <si>
    <t>Anemia [HP:0001903]</t>
  </si>
  <si>
    <t>Anorexia [HP:0002039]</t>
  </si>
  <si>
    <t>Birthing labor [NCIT:C92743]</t>
  </si>
  <si>
    <t>Bone marrow failure [NCIT:C80693]</t>
  </si>
  <si>
    <t>Breast cancer [MONDO:0007254]</t>
  </si>
  <si>
    <t>Colorectal cancer [MONDO:0005575]</t>
  </si>
  <si>
    <t>Hematologic malignancy (cancer of the blood) [DOID:2531]</t>
  </si>
  <si>
    <t>Lung cancer [MONDO:0008903]</t>
  </si>
  <si>
    <t>Metastatic disease [MONDO:0024880]</t>
  </si>
  <si>
    <t>Cancer surgery [NCIT:C157740]</t>
  </si>
  <si>
    <t>Adjuvant chemotherapy [NCIT:C15360]</t>
  </si>
  <si>
    <t>Cardiac disorder [NCIT:C3079]</t>
  </si>
  <si>
    <t>Cardiac disease [MONDO:0005267]</t>
  </si>
  <si>
    <t>Cardiomyopathy [HP:0001638]</t>
  </si>
  <si>
    <t>Cardiac injury [GENEPIO:0100074]</t>
  </si>
  <si>
    <t>Hypertension (high blood pressure) [HP:0000822]</t>
  </si>
  <si>
    <t>Cesarean section [HP:0011410]</t>
  </si>
  <si>
    <t>Chronic cough [GENEPIO:0100075]</t>
  </si>
  <si>
    <t>Chronic gastrointestinal disease [GENEPIO:0100076]</t>
  </si>
  <si>
    <t>Corticosteroids [NCIT:C211]</t>
  </si>
  <si>
    <t>Eczema [HP:0000964]</t>
  </si>
  <si>
    <t>Electrolyte disturbance [HP:0003111]</t>
  </si>
  <si>
    <t>Hypocalcemia [HP:0002901]</t>
  </si>
  <si>
    <t>Hypokalemia [HP:0002900]</t>
  </si>
  <si>
    <t>Hypomagnesemia [HP:0002917]</t>
  </si>
  <si>
    <t>Epilepsy [MONDO:0005027]</t>
  </si>
  <si>
    <t>Hemodialysis [NCIT:C15248]</t>
  </si>
  <si>
    <t>Hemoglobinopathy [MONDO:0044348]</t>
  </si>
  <si>
    <t>HIV and antiretroviral therapy (ART) [NCIT:C16118]</t>
  </si>
  <si>
    <t>Inflammatory bowel disease (IBD) [MONDO:0005265]</t>
  </si>
  <si>
    <t>Colitis [HP:0002583]</t>
  </si>
  <si>
    <t>Ulcerative colitis [HP:0100279]</t>
  </si>
  <si>
    <t>Crohn's disease [HP:0100280]</t>
  </si>
  <si>
    <t>Renal disorder [NCIT:C3149]</t>
  </si>
  <si>
    <t>Renal disease [MONDO:0005240]</t>
  </si>
  <si>
    <t>Chronic renal disease [HP:0012622]</t>
  </si>
  <si>
    <t>Renal failure [HP:0000083]</t>
  </si>
  <si>
    <t>Liver disease [MONDO:0005154]</t>
  </si>
  <si>
    <t>Chronic liver disease [NCIT:C113609]</t>
  </si>
  <si>
    <t>Fatty liver disease (FLD) [HP:0001397]</t>
  </si>
  <si>
    <t>Myalgia (muscle pain)  [HP:0003326]</t>
  </si>
  <si>
    <t>Myalgic encephalomyelitis (ME) [MONDO:0005404]</t>
  </si>
  <si>
    <t>Neurological disorder [MONDO:0005071]</t>
  </si>
  <si>
    <t>Neuromuscular disorder [MONDO:0019056]</t>
  </si>
  <si>
    <t>Obesity [HP:0001513]</t>
  </si>
  <si>
    <t>Severe obesity [MONDO:0005139]</t>
  </si>
  <si>
    <t>Respiratory disorder [MONDO:0005087]</t>
  </si>
  <si>
    <t>Asthma [HP:0002099]</t>
  </si>
  <si>
    <t>Chronic bronchitis [HP:0004469]</t>
  </si>
  <si>
    <t>Chronic obstructive pulmonary disease [HP:0006510]</t>
  </si>
  <si>
    <t>Emphysema [HP:0002097]</t>
  </si>
  <si>
    <t>Lung disease [MONDO:0005275]</t>
  </si>
  <si>
    <t>Chronic lung disease [HP:0006528]</t>
  </si>
  <si>
    <t>Pulmonary fibrosis [HP:0002206]</t>
  </si>
  <si>
    <t>Respiratory failure [HP:0002878]</t>
  </si>
  <si>
    <t>Adult respiratory distress syndrome [HP:0033677]</t>
  </si>
  <si>
    <t>Newborn respiratory distress syndrome [MONDO:0009971]</t>
  </si>
  <si>
    <t>Tuberculosis [MONDO:0018076]</t>
  </si>
  <si>
    <t>Postpartum (≤6 weeks) [GENEPIO:0100077]</t>
  </si>
  <si>
    <t>Rheumatic disease [MONDO:0005554]</t>
  </si>
  <si>
    <t>Sickle cell disease [MONDO:0011382]</t>
  </si>
  <si>
    <t>Substance use [NBO:0001845]</t>
  </si>
  <si>
    <t>Alcohol abuse [MONDO:0002046]</t>
  </si>
  <si>
    <t>Drug abuse [GENEPIO:0100078]</t>
  </si>
  <si>
    <t>Injection drug abuse [GENEPIO:0100079]</t>
  </si>
  <si>
    <t>Smoking [NBO:0015005]</t>
  </si>
  <si>
    <t>Vaping [NCIT:C173621]</t>
  </si>
  <si>
    <t>Cardiac transplant [NCIT:C131759]</t>
  </si>
  <si>
    <t>Hematopoietic stem cell transplant (bone marrow transplant) [GENEPIO:0100080]</t>
  </si>
  <si>
    <t>Kidney transplant [NCIT:C157332]</t>
  </si>
  <si>
    <t>Liver transplant [GENEPIO:0100081]</t>
  </si>
  <si>
    <t>Variant of Interest (VOI) [GENEPIO:0100082]</t>
  </si>
  <si>
    <t>Variant of Concern (VOC) [GENEPIO:0100083]</t>
  </si>
  <si>
    <t>Variant Under Monitoring (VUM) [GENEPIO:0100279]</t>
  </si>
  <si>
    <t>Abnormal blood oxygen level [HP:0500165]</t>
  </si>
  <si>
    <t>Acute kidney injury [HP:0001919]</t>
  </si>
  <si>
    <t>Acute lung injury [MONDO:0015796]</t>
  </si>
  <si>
    <t>Ventilation induced lung injury (VILI) [GENEPIO:0100092]</t>
  </si>
  <si>
    <t>Acute respiratory failure [MONDO:0001208]</t>
  </si>
  <si>
    <t>Arrhythmia (complication) [HP:0011675]</t>
  </si>
  <si>
    <t>Tachycardia [HP:0001649]</t>
  </si>
  <si>
    <t>Polymorphic ventricular tachycardia (VT) [HP:0031677]</t>
  </si>
  <si>
    <t>Tachyarrhythmia [GENEPIO:0100084]</t>
  </si>
  <si>
    <t>GENEPIO:0100087</t>
  </si>
  <si>
    <t>Cardiac arrest [HP:0001695]</t>
  </si>
  <si>
    <t>Cardiogenic shock [HP:0030149]</t>
  </si>
  <si>
    <t>Blood clot [HP:0001977]</t>
  </si>
  <si>
    <t>Arterial clot [HP:0004420]</t>
  </si>
  <si>
    <t>Deep vein thrombosis (DVT) [HP:0002625]</t>
  </si>
  <si>
    <t>Pulmonary embolism (PE) [HP:0002204]</t>
  </si>
  <si>
    <t>Central nervous system invasion [MONDO:0024619]</t>
  </si>
  <si>
    <t>Stroke (complication) [HP:0001297]</t>
  </si>
  <si>
    <t>Central Nervous System Vasculitis [MONDO:0003346]</t>
  </si>
  <si>
    <t>Acute ischemic stroke [HP:0002140]</t>
  </si>
  <si>
    <t>Convulsions [HP:0011097]</t>
  </si>
  <si>
    <t>COVID-19 associated coagulopathy (CAC) [NCIT:C171562]</t>
  </si>
  <si>
    <t>Cystic fibrosis [MONDO:0009061]</t>
  </si>
  <si>
    <t>Cytokine release syndrome [MONDO:0600008]</t>
  </si>
  <si>
    <t>Disseminated intravascular coagulation (DIC) [MPATH:108]</t>
  </si>
  <si>
    <t>Fulminant myocarditis [GENEPIO:0100088]</t>
  </si>
  <si>
    <t>Guillain-Barré syndrome [MONDO:0016218]</t>
  </si>
  <si>
    <t>Internal hemorrhage (complication; internal bleeding) [HP:0011029]</t>
  </si>
  <si>
    <t>Intracerebral haemorrhage [MONDO:0013792]</t>
  </si>
  <si>
    <t>Kawasaki disease [MONDO:0012727]</t>
  </si>
  <si>
    <t>Complete Kawasaki disease [GENEPIO:0100089]</t>
  </si>
  <si>
    <t>Incomplete Kawasaki disease [GENEPIO:0100090]</t>
  </si>
  <si>
    <t>Liver dysfunction [HP:0001410]</t>
  </si>
  <si>
    <t>Acute liver injury [GENEPIO:0100091]</t>
  </si>
  <si>
    <t>Long COVID-19 [MONDO:0100233]</t>
  </si>
  <si>
    <t>Meningitis [HP:0001287]</t>
  </si>
  <si>
    <t>Migraine [HP:0002076]</t>
  </si>
  <si>
    <t>Miscarriage [HP:0005268]</t>
  </si>
  <si>
    <t>Multisystem inflammatory syndrome in children (MIS-C) [MONDO:0100163]</t>
  </si>
  <si>
    <t>Multisystem inflammatory syndrome in adults (MIS-A) [MONDO:0100319]</t>
  </si>
  <si>
    <t>Muscle injury [GENEPIO:0100093]</t>
  </si>
  <si>
    <t>Myalgic encephalomyelitis (chronic fatigue syndrome) [MONDO:0005404]</t>
  </si>
  <si>
    <t>Myocardial infarction (heart attack) [MONDO:0005068]</t>
  </si>
  <si>
    <t>Acute myocardial infarction [MONDO:0004781]</t>
  </si>
  <si>
    <t>ST-segment elevation myocardial infarction [MONDO:0041656]</t>
  </si>
  <si>
    <t>Myocardial injury [HP:0001700]</t>
  </si>
  <si>
    <t>Neonatal complications [NCIT:C168498]</t>
  </si>
  <si>
    <t>Noncardiogenic pulmonary edema [GENEPIO:0100085]</t>
  </si>
  <si>
    <t>Acute respiratory distress syndrome (ARDS) [HP:0033677]</t>
  </si>
  <si>
    <t>COVID-19 associated ARDS (CARDS) [NCIT:C171551]</t>
  </si>
  <si>
    <t>Neurogenic pulmonary edema (NPE) [GENEPIO:0100086]</t>
  </si>
  <si>
    <t>Organ failure [GENEPIO:0100094]</t>
  </si>
  <si>
    <t>Heart failure [HP:0001635]</t>
  </si>
  <si>
    <t>Liver failure [MONDO:0100192]</t>
  </si>
  <si>
    <t>Paralysis [HP:0003470]</t>
  </si>
  <si>
    <t>Pneumothorax (collapsed lung) [HP:0002107]</t>
  </si>
  <si>
    <t>Spontaneous pneumothorax [HP:0002108]</t>
  </si>
  <si>
    <t>Spontaneous tension pneymothorax [MONDO:0002075]</t>
  </si>
  <si>
    <t>Pneumonia (complication) [HP:0002090]</t>
  </si>
  <si>
    <t>COVID-19 pneumonia [NCIT:C171550]</t>
  </si>
  <si>
    <t>Pregancy complications [HP:0001197]</t>
  </si>
  <si>
    <t>Rhabdomyolysis [HP:0003201]</t>
  </si>
  <si>
    <t>Secondary staph infection [GENEPIO:0100095]</t>
  </si>
  <si>
    <t>Secondary strep infection [GENEPIO:0100096]</t>
  </si>
  <si>
    <t>Seizure (complication) [HP:0001250]</t>
  </si>
  <si>
    <t>Sepsis/Septicemia [HP:0100806]</t>
  </si>
  <si>
    <t>Sepsis (systemic inflammatory response to infection) [IDO:0000636]</t>
  </si>
  <si>
    <t>Septicemia (bloodstream infection) [NCIT:C3364]</t>
  </si>
  <si>
    <t>Shock [HP:0031273]</t>
  </si>
  <si>
    <t>Hyperinflammatory shock [GENEPIO:0100097]</t>
  </si>
  <si>
    <t>Refractory cardiogenic shock [GENEPIO:0100098]</t>
  </si>
  <si>
    <t>Refractory cardiogenic plus vasoplegic shock [GENEPIO:0100099]</t>
  </si>
  <si>
    <t>Septic shock [NCIT:C35018]</t>
  </si>
  <si>
    <t>Vasculitis [HP:0002633]</t>
  </si>
  <si>
    <t>sample collected in quarantine menu</t>
  </si>
  <si>
    <t>SampleCollectedInQuarantineMenu</t>
  </si>
  <si>
    <t>NCIT:C49488</t>
  </si>
  <si>
    <t>Yes [NCIT:C49488]</t>
  </si>
  <si>
    <t>NCIT:C49487</t>
  </si>
  <si>
    <t>No [NCIT:C49487]</t>
  </si>
  <si>
    <t>Duodenum [UBERON:0002114]</t>
  </si>
  <si>
    <t>Intestine [UBERON:0000160]</t>
  </si>
  <si>
    <t>Lower respiratory tract [UBERON:0001558]</t>
  </si>
  <si>
    <t>Bronchus [UBERON:0002185]</t>
  </si>
  <si>
    <t>Lung [UBERON:0002048]</t>
  </si>
  <si>
    <t>Bronchiole [UBERON:0002186]</t>
  </si>
  <si>
    <t>Alveolar sac [UBERON:0002169]</t>
  </si>
  <si>
    <t>Pleural sac [UBERON:0009778]</t>
  </si>
  <si>
    <t>Pleural cavity [UBERON:0002402]</t>
  </si>
  <si>
    <t>Stomach [UBERON:0000945]</t>
  </si>
  <si>
    <t>Upper respiratory tract [UBERON:0001557]</t>
  </si>
  <si>
    <t>Esophagus [UBERON:0001043]</t>
  </si>
  <si>
    <t>Ethmoid sinus [UBERON:0002453]</t>
  </si>
  <si>
    <t>Middle Nasal Turbinate [UBERON:0005921]</t>
  </si>
  <si>
    <t>Inferior Nasal Turbinate [UBERON:0005922]</t>
  </si>
  <si>
    <t>Air vent [ENVO:03501208]</t>
  </si>
  <si>
    <t>Banknote [ENVO:00003896]</t>
  </si>
  <si>
    <t>Bed rail [ENVO:03501209]</t>
  </si>
  <si>
    <t>Building floor [ENVO:01000486]</t>
  </si>
  <si>
    <t>Cloth [ENVO:02000058]</t>
  </si>
  <si>
    <t>Control panel [ENVO:03501210]</t>
  </si>
  <si>
    <t>Door [ENVO:03501220]</t>
  </si>
  <si>
    <t>Door handle [ENVO:03501211]</t>
  </si>
  <si>
    <t>Face mask [OBI:0002787]</t>
  </si>
  <si>
    <t>Face shield [OBI:0002791]</t>
  </si>
  <si>
    <t>Food [FOODON:00002403]</t>
  </si>
  <si>
    <t>Food packaging [FOODON:03490100]</t>
  </si>
  <si>
    <t>Glass [ENVO:01000481]</t>
  </si>
  <si>
    <t>Handrail [ENVO:03501212]</t>
  </si>
  <si>
    <t>Hospital gown [OBI:0002796]</t>
  </si>
  <si>
    <t>Light switch [ENVO:03501213]</t>
  </si>
  <si>
    <t>Locker [ENVO:03501214]</t>
  </si>
  <si>
    <t>N95 mask [OBI:0002790]</t>
  </si>
  <si>
    <t>Nurse call button [ENVO:03501215]</t>
  </si>
  <si>
    <t>Paper [ENVO:03501256]</t>
  </si>
  <si>
    <t>Particulate matter [ENVO:01000060]</t>
  </si>
  <si>
    <t>Plastic [ENVO:01000404]</t>
  </si>
  <si>
    <t>PPE gown [GENEPIO:0100025]</t>
  </si>
  <si>
    <t>Sewage [ENVO:00002018]</t>
  </si>
  <si>
    <t>Sink [ENVO:01000990]</t>
  </si>
  <si>
    <t>Soil [ENVO:00001998]</t>
  </si>
  <si>
    <t>Stainless steel [ENVO:03501216]</t>
  </si>
  <si>
    <t>Tissue paper [ENVO:03501217]</t>
  </si>
  <si>
    <t>Toilet bowl [ENVO:03501218]</t>
  </si>
  <si>
    <t>Water [ENVO:00002006]</t>
  </si>
  <si>
    <t>Wastewater [ENVO:00002001]</t>
  </si>
  <si>
    <t>Window [ENVO:03501219]</t>
  </si>
  <si>
    <t>Wood [ENVO:00002040]</t>
  </si>
  <si>
    <t>Tracheal Aspiration [GENEPIO:0100029]</t>
  </si>
  <si>
    <t>Lavage (medical wash) [OBI:0600044]</t>
  </si>
  <si>
    <t>Rinsing (wash) [GENEPIO:0002116]</t>
  </si>
  <si>
    <t>Washout Tear Collection [GENEPIO:0100038]</t>
  </si>
  <si>
    <t>Air filter [ENVO:00003968]</t>
  </si>
  <si>
    <t>Fibrobronchoscope Brush [OBI:0002825]</t>
  </si>
  <si>
    <t>Fine Needle [OBI:0002827]</t>
  </si>
  <si>
    <t>Microcapillary tube [OBI:0002858]</t>
  </si>
  <si>
    <t>Micropipette [OBI:0001128]</t>
  </si>
  <si>
    <t>Bos taurus [NCBITaxon:9913]</t>
  </si>
  <si>
    <t>Canis lupus familiaris [NCBITaxon:9615]</t>
  </si>
  <si>
    <t>Chiroptera [NCBITaxon:9397]</t>
  </si>
  <si>
    <t>Columbidae [NCBITaxon:8930]</t>
  </si>
  <si>
    <t>Felis catus [NCBITaxon:9685]</t>
  </si>
  <si>
    <t>Gallus gallus [NCBITaxon:9031]</t>
  </si>
  <si>
    <t>Manis [NCBITaxon:9973]</t>
  </si>
  <si>
    <t>Manis javanica [NCBITaxon:9974]</t>
  </si>
  <si>
    <t>Neovison vison [NCBITaxon:452646]</t>
  </si>
  <si>
    <t>Panthera leo [NCBITaxon:9689]</t>
  </si>
  <si>
    <t>Panthera tigris [NCBITaxon:9694]</t>
  </si>
  <si>
    <t>Rhinolophidae [NCBITaxon:58055]</t>
  </si>
  <si>
    <t>Rhinolophus affinis [NCBITaxon:59477]</t>
  </si>
  <si>
    <t>Sus scrofa domesticus [NCBITaxon:9825]</t>
  </si>
  <si>
    <t>Viverridae [NCBITaxon:9673]</t>
  </si>
  <si>
    <t>NCBITaxon:9605</t>
  </si>
  <si>
    <t>Bat [NCBITaxon:9397]</t>
  </si>
  <si>
    <t>Cat [NCBITaxon:9685]</t>
  </si>
  <si>
    <t>Chicken [NCBITaxon:9031]</t>
  </si>
  <si>
    <t>Civets [NCBITaxon:9673]</t>
  </si>
  <si>
    <t>Cow [NCBITaxon:9913]</t>
  </si>
  <si>
    <t>Dog [NCBITaxon:9615]</t>
  </si>
  <si>
    <t>Lion [NCBITaxon:9689]</t>
  </si>
  <si>
    <t>Mink [NCBITaxon:452646]</t>
  </si>
  <si>
    <t>Pangolin [NCBITaxon:9973]</t>
  </si>
  <si>
    <t>Pig [NCBITaxon:9825]</t>
  </si>
  <si>
    <t>Pigeon [NCBITaxon:8930]</t>
  </si>
  <si>
    <t>Tiger [NCBITaxon:9694]</t>
  </si>
  <si>
    <t>Mechanical Ventilation [NCIT:C70909]</t>
  </si>
  <si>
    <t>Severe acute respiratory syndrome coronavirus 2 [NCBITaxon:2697049]</t>
  </si>
  <si>
    <t>RaTG13 [NCBITaxon:2709072]</t>
  </si>
  <si>
    <t>RmYN02 [GENEPIO:0100000]</t>
  </si>
  <si>
    <t>Protocol testing [GENEPIO:0100024]</t>
  </si>
  <si>
    <t>Screening for Variants of Concern (VoC) [GENEPIO:0100008]</t>
  </si>
  <si>
    <t>Sample has epidemiological link to Variant of Concern (VoC) [GENEPIO:0100273]</t>
  </si>
  <si>
    <t>Sample has epidemiological link to Omicron Variant [GENEPIO:0100274]</t>
  </si>
  <si>
    <t>Surveillance of international border crossing by air travel or ground transport [GENEPIO:0100015]</t>
  </si>
  <si>
    <t>Surveillance of international border crossing by air travel [GENEPIO:0100016]</t>
  </si>
  <si>
    <t>Surveillance of international border crossing by ground transport [GENEPIO:0100017]</t>
  </si>
  <si>
    <t>Surveillance from international worker testing [GENEPIO:0100018]</t>
  </si>
  <si>
    <t>RNA re-extraction (post RT-PCR) [GENEPIO:0100040]</t>
  </si>
  <si>
    <t>293/ACE2 cell line [GENEPIO:0100041]</t>
  </si>
  <si>
    <t>Caco2 cell line [BTO:0000195]</t>
  </si>
  <si>
    <t>Calu3 cell line [BTO:0002750]</t>
  </si>
  <si>
    <t>EFK3B cell line [GENEPIO:0100042]</t>
  </si>
  <si>
    <t>HEK293T cell line [BTO:0002181]</t>
  </si>
  <si>
    <t>HRCE cell line [GENEPIO:0100043]</t>
  </si>
  <si>
    <t>Huh7 cell line [BTO:0001950]</t>
  </si>
  <si>
    <t>LLCMk2 cell line [CLO:0007330]</t>
  </si>
  <si>
    <t>MDBK cell line [BTO:0000836]</t>
  </si>
  <si>
    <t>NHBE cell line [BTO:0002924]</t>
  </si>
  <si>
    <t>PK-15 cell line [BTO:0001865]</t>
  </si>
  <si>
    <t>RK-13 cell line [BTO:0002909]</t>
  </si>
  <si>
    <t>U251 cell line [BTO:0002035]</t>
  </si>
  <si>
    <t>Vero cell line [BTO:0001444]</t>
  </si>
  <si>
    <t>Vero E6 cell line [BTO:0004755]</t>
  </si>
  <si>
    <t>VeroE6/TMPRSS2 cell line [GENEPIO:0100044]</t>
  </si>
  <si>
    <t>COVID-19 [MONDO:0100096]</t>
  </si>
  <si>
    <t>Convention [GENEPIO:0100238]</t>
  </si>
  <si>
    <t>Convocation [GENEPIO:0100239]</t>
  </si>
  <si>
    <t>Religious Gathering [GENEPIO:0100241]</t>
  </si>
  <si>
    <t>Mass [GENEPIO:0100242]</t>
  </si>
  <si>
    <t>Baby Shower [PCO:0000039]</t>
  </si>
  <si>
    <t>Family Gathering [GENEPIO:0100243]</t>
  </si>
  <si>
    <t>Family Reunion [GENEPIO:0100244]</t>
  </si>
  <si>
    <t>Funeral [GENEPIO:0100245]</t>
  </si>
  <si>
    <t>Potluck [PCO:0000037]</t>
  </si>
  <si>
    <t>Wedding [PCO:0000038]</t>
  </si>
  <si>
    <t>Firefighter [GENEPIO:0100257]</t>
  </si>
  <si>
    <t>Paramedic [GENEPIO:0100258]</t>
  </si>
  <si>
    <t>Police Officer [GENEPIO:0100259]</t>
  </si>
  <si>
    <t>Contact with Known COVID-19 Case [GENEPIO:0100184]</t>
  </si>
  <si>
    <t>Contact with Probable COVID-19 Case [GENEPIO:0100186]</t>
  </si>
  <si>
    <t>Contact with Person with Acute Respiratory Illness [GENEPIO:0100187]</t>
  </si>
  <si>
    <t>Contact with Person with Fever and/or Cough [GENEPIO:0100188]</t>
  </si>
  <si>
    <t>Travelled outside Province/Territory [GENEPIO:0001118]</t>
  </si>
  <si>
    <t>Travelled outside Canada [GENEPIO:0001119]</t>
  </si>
  <si>
    <t>GENEPIO:0100234</t>
  </si>
  <si>
    <t>Prior infection [GENEPIO:0100234]</t>
  </si>
  <si>
    <t>GENEPIO:0100236</t>
  </si>
  <si>
    <t>No prior infection [GENEPIO:0100236]</t>
  </si>
  <si>
    <t>Illumina sequencing instrument [GENEPIO:0100105]</t>
  </si>
  <si>
    <t>platform:ILLUMINA</t>
  </si>
  <si>
    <t>Illumina Genome Analyzer [GENEPIO:0100106]</t>
  </si>
  <si>
    <t>platform:ILLUMINA;instrument_model:Illumina Genome Analyzer</t>
  </si>
  <si>
    <t>Illumina Genome Analyzer II [GENEPIO:0100107]</t>
  </si>
  <si>
    <t>platform:ILLUMINA;instrument_model:Illumina Genome Analyzer II</t>
  </si>
  <si>
    <t>Illumina Genome Analyzer IIx [GENEPIO:0100108]</t>
  </si>
  <si>
    <t>platform:ILLUMINA;instrument_model:Illumina Genome Analyzer IIx</t>
  </si>
  <si>
    <t>platform:ILLUMINA;instrument_model:Illumina HiScanSQ</t>
  </si>
  <si>
    <t>platform:ILLUMINA;instrument_model: Illumina HiSeq X Five</t>
  </si>
  <si>
    <t>Illumina HiSeq X Ten [GENEPIO:0100113]</t>
  </si>
  <si>
    <t>platform:ILLUMINA;instrument_model:Illumina HiSeq X Ten</t>
  </si>
  <si>
    <t>Illumina HiSeq 1000 [GENEPIO:0100114]</t>
  </si>
  <si>
    <t>platform:ILLUMINA;instrument_model:Illumina HiSeq 1000</t>
  </si>
  <si>
    <t>Illumina HiSeq 1500 [GENEPIO:0100115]</t>
  </si>
  <si>
    <t>Illumina HiSeq 2000 [GENEPIO:0100116]</t>
  </si>
  <si>
    <t>platform:ILLUMINA;instrument_model:Illumina HiSeq 2000</t>
  </si>
  <si>
    <t>Illumina HiSeq 2500 [GENEPIO:0100117]</t>
  </si>
  <si>
    <t>platform:ILLUMINA;instrument_model:Illumina HiSeq 2500</t>
  </si>
  <si>
    <t>Illumina HiSeq 3000 [GENEPIO:0100118]</t>
  </si>
  <si>
    <t>Illumina HiSeq 4000 [GENEPIO:0100119]</t>
  </si>
  <si>
    <t>Illumina NovaSeq 6000 [GENEPIO:0100123]</t>
  </si>
  <si>
    <t>Illumina MiniSeq [GENEPIO:0100124]</t>
  </si>
  <si>
    <t>Illumina MiSeq [GENEPIO:0100125]</t>
  </si>
  <si>
    <t>platform:ILLUMINA;instrument_model:Illumina MiSeq</t>
  </si>
  <si>
    <t>Illumina NextSeq 500 [GENEPIO:0100127]</t>
  </si>
  <si>
    <t>platform:ILLUMINA;instrument_model:Illumina NextSeq 500</t>
  </si>
  <si>
    <t>Pacific Biosciences sequencing instrument [GENEPIO:0100130]</t>
  </si>
  <si>
    <t>platform:PACBIO_SMRT</t>
  </si>
  <si>
    <t>platform:PACBIO_SMRT;instrument_model:PacBio RS</t>
  </si>
  <si>
    <t>PacBio RS II [GENEPIO:0100132]</t>
  </si>
  <si>
    <t>platform:PACBIO_SMRT;instrument_model:PacBio RS II</t>
  </si>
  <si>
    <t>PacBio Sequel [GENEPIO:0100133]</t>
  </si>
  <si>
    <t>PacBio Sequel II [GENEPIO:0100134]</t>
  </si>
  <si>
    <t>Ion Torrent sequencing instrument [GENEPIO:0100135]</t>
  </si>
  <si>
    <t>platform:ION_TORRENT</t>
  </si>
  <si>
    <t>platform:ION_TORRENT;instrument_model:Ion Torrent PGM</t>
  </si>
  <si>
    <t>platform:ION_TORRENT;instrument_model:Ion Torrent Proton</t>
  </si>
  <si>
    <t>Oxford Nanopore sequencing instrument [GENEPIO:0100140]</t>
  </si>
  <si>
    <t>platform:OXFORD_NANOPORE</t>
  </si>
  <si>
    <t>platform:OXFORD_NANOPORE;instrument_model:GridION</t>
  </si>
  <si>
    <t>platform:OXFORD_NANOPORE;instrument_model:MinION</t>
  </si>
  <si>
    <t>Oxford Nanopore PromethION [GENEPIO:0100143]</t>
  </si>
  <si>
    <t>BGI Genomics sequencing instrument [GENEPIO:0100144]</t>
  </si>
  <si>
    <t>MGI sequencing instrument [GENEPIO:0100146]</t>
  </si>
  <si>
    <t>MGI DNBSEQ-G400RS FAST [GENEPIO:0100149]</t>
  </si>
  <si>
    <t>M gene (orf5) [GENEPIO:0100152]</t>
  </si>
  <si>
    <t>N gene (orf9) [GENEPIO:0100153]</t>
  </si>
  <si>
    <t>Spike gene (orf2) [GENEPIO:0100154]</t>
  </si>
  <si>
    <t>orf1ab (rep) [GENEPIO:0100155]</t>
  </si>
  <si>
    <t>orf1a (pp1a) [GENEPIO:0100156]</t>
  </si>
  <si>
    <t>nsp11 [GENEPIO:0100157]</t>
  </si>
  <si>
    <t>nsp1 [GENEPIO:0100158]</t>
  </si>
  <si>
    <t>nsp2 [GENEPIO:0100159]</t>
  </si>
  <si>
    <t>nsp3 [GENEPIO:0100160]</t>
  </si>
  <si>
    <t>nsp4 [GENEPIO:0100161]</t>
  </si>
  <si>
    <t>nsp5 [GENEPIO:0100162]</t>
  </si>
  <si>
    <t>nsp6 [GENEPIO:0100163]</t>
  </si>
  <si>
    <t>nsp7 [GENEPIO:0100164]</t>
  </si>
  <si>
    <t>nsp8 [GENEPIO:0100165]</t>
  </si>
  <si>
    <t>nsp9 [GENEPIO:0100166]</t>
  </si>
  <si>
    <t>nsp10 [GENEPIO:0100167]</t>
  </si>
  <si>
    <t>hel gene (nsp13) [GENEPIO:0100169]</t>
  </si>
  <si>
    <t>exoN gene (nsp14) [GENEPIO:0100170]</t>
  </si>
  <si>
    <t>nsp15 [GENEPIO:0100171]</t>
  </si>
  <si>
    <t>nsp16 [GENEPIO:0100172]</t>
  </si>
  <si>
    <t>orf3a [GENEPIO:0100173]</t>
  </si>
  <si>
    <t>orf3b [GENEPIO:0100174]</t>
  </si>
  <si>
    <t>orf6 (ns6) [GENEPIO:0100175]</t>
  </si>
  <si>
    <t>orf7a [GENEPIO:0100176]</t>
  </si>
  <si>
    <t>orf7b (ns7b) [GENEPIO:0100177]</t>
  </si>
  <si>
    <t>orf8 (ns8) [GENEPIO:0100178]</t>
  </si>
  <si>
    <t>orf9b [GENEPIO:0100179]</t>
  </si>
  <si>
    <t>orf9c [GENEPIO:0100180]</t>
  </si>
  <si>
    <t>orf10 [GENEPIO:0100181]</t>
  </si>
  <si>
    <t>orf14 [GENEPIO:0100182]</t>
  </si>
  <si>
    <t>SARS-COV-2 5' UTR [GENEPIO:0100183]</t>
  </si>
  <si>
    <t>library_strategy menu</t>
  </si>
  <si>
    <t>LibraryStrategyMenu</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</si>
  <si>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</si>
  <si>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</si>
  <si>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</si>
  <si>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</si>
  <si>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</si>
  <si>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</si>
  <si>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</si>
  <si>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</si>
  <si>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</si>
  <si>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</si>
  <si>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</si>
  <si>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</si>
  <si>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</si>
  <si>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</si>
  <si>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</si>
  <si>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</si>
  <si>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</si>
  <si>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</si>
  <si>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</si>
  <si>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</si>
  <si>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</si>
  <si>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</si>
  <si>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</si>
  <si>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library_source menu</t>
  </si>
  <si>
    <t>LibrarySourceMenu</t>
  </si>
  <si>
    <t>GENOMIC</t>
  </si>
  <si>
    <t>TRANSCRIPTOMIC</t>
  </si>
  <si>
    <t>METAGENOMIC</t>
  </si>
  <si>
    <t>METATRANSCRIPTOMIC</t>
  </si>
  <si>
    <t>SYNTHETIC</t>
  </si>
  <si>
    <t>VIRAL RNA</t>
  </si>
  <si>
    <t>library_selection menu</t>
  </si>
  <si>
    <t>LibrarySelectionMenu</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</si>
  <si>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</si>
  <si>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</si>
  <si>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</si>
  <si>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</si>
  <si>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</si>
  <si>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</si>
  <si>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</si>
  <si>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</si>
  <si>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</si>
  <si>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</si>
  <si>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</si>
  <si>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</si>
  <si>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</si>
  <si>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</si>
  <si>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</si>
  <si>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</si>
  <si>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</si>
  <si>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</si>
  <si>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</si>
  <si>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</si>
  <si>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</si>
  <si>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</si>
  <si>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</si>
  <si>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</si>
  <si>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</si>
  <si>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</si>
  <si>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unspecified</t>
  </si>
  <si>
    <t>library_layout menu</t>
  </si>
  <si>
    <t>LibraryLayoutMenu</t>
  </si>
  <si>
    <t>single</t>
  </si>
  <si>
    <t>paired</t>
  </si>
  <si>
    <t>filetype menu</t>
  </si>
  <si>
    <t>FiletypeMenu</t>
  </si>
  <si>
    <t>bam</t>
  </si>
  <si>
    <t>sra</t>
  </si>
  <si>
    <t>kar</t>
  </si>
  <si>
    <t>srf</t>
  </si>
  <si>
    <t>sff</t>
  </si>
  <si>
    <t>fastq</t>
  </si>
  <si>
    <t>tab</t>
  </si>
  <si>
    <t>454_native</t>
  </si>
  <si>
    <t>Helicos_native</t>
  </si>
  <si>
    <t>SOLiD_native</t>
  </si>
  <si>
    <t>PacBio_HDF5</t>
  </si>
  <si>
    <t>CompleteGenomics_native</t>
  </si>
  <si>
    <t>species</t>
  </si>
  <si>
    <t>platform</t>
  </si>
  <si>
    <t>bioSample_ID</t>
  </si>
  <si>
    <t>resistance_phenotype</t>
  </si>
  <si>
    <t>measurement</t>
  </si>
  <si>
    <t>measurement_units</t>
  </si>
  <si>
    <t>measurement_sign</t>
  </si>
  <si>
    <t>laboratory_typing_method</t>
  </si>
  <si>
    <t>laboratory_typing_platform</t>
  </si>
  <si>
    <t>vendor</t>
  </si>
  <si>
    <t>testing_standard</t>
  </si>
  <si>
    <t>A plumbing fixture which is bowl-shaped, part of a toilet fixture, and capable of contain human waste until it is disposed of.</t>
  </si>
  <si>
    <t>Soil is an environmental material which is primarily composed of minerals, varying proportions of sand, silt, and clay, organic material such as humus, gases, liquids, and a broad range of resident micro- and macroorganisms.</t>
  </si>
  <si>
    <t>The first part of the small intestine. At the junction of the stomach and the duodenum the alimentary canal is inflected. The duodenum first goes anteriorly for a short distance, turns dorsally, and eventually caudally, thus it is a U-shaped structure with two horizontal sections (a ventral and a dorsal one).</t>
  </si>
  <si>
    <t>An expanded region of the vertebrate alimentary tract that serves as a food storage compartment and digestive organ. A stomach is lined, in whole or in part by a glandular epithelium.</t>
  </si>
  <si>
    <t>bisample_accession</t>
  </si>
  <si>
    <t>antibiotic</t>
  </si>
  <si>
    <t>antibiotic_name</t>
  </si>
  <si>
    <t>ast_standard</t>
  </si>
  <si>
    <t>A building floor is a surface layer which is part of a building and used for walking.</t>
  </si>
  <si>
    <t>A manufactured product consisting of a duct opening which allows air to circulate.</t>
  </si>
  <si>
    <t>A poll which is attached to the head, foot, or side of a bed frame.</t>
  </si>
  <si>
    <t>A manufactured product consisting of a handle used to open or close a door.</t>
  </si>
  <si>
    <t>A pole which provides stability or support when grasped by the hand.</t>
  </si>
  <si>
    <t>A switch which turns a light on or off.</t>
  </si>
  <si>
    <t>The Vero cell line was initiated from the kidney of a normal adult African green monkey on March 27, 1962, by Y. Yasumura and Y. Kawakita at the Chiba University in Chiba, Japan.</t>
  </si>
  <si>
    <t>Inflammation of the mucous membrane of the nose.</t>
  </si>
  <si>
    <t>Field</t>
  </si>
  <si>
    <t>Term</t>
  </si>
  <si>
    <t>Ontology Identifier</t>
  </si>
  <si>
    <t>Definition</t>
  </si>
  <si>
    <t>Guidance</t>
  </si>
  <si>
    <t>null values</t>
  </si>
  <si>
    <t>A sarbecovirus which 1) is the virus that causes COVID-19 (coronavirus disease 2019), 2) infects humans, and 3) declared an a pandemic by the World Health Organization on 11 March 2020.</t>
  </si>
  <si>
    <t>A severe acute respiratory syndrome-related coronavirus which 1) infects the horshoe bat Rhinolophous affinis and 2) is the closest known relative of SARS-CoV-2.</t>
  </si>
  <si>
    <t>A severe acute respiratory syndrome-related coronavirus which is 1) bat-derived, 2) sharing 93.3% nucleotide identify with SARS-CoV-2, and 3) contains an insertion at the S1/S2 cleavage site in the spike protein.</t>
  </si>
  <si>
    <t>The terms cluster and outbreak both describe the occurrence of new disease cases within a particular location and time period. The number of cases within a cluster are not necessarily greater than what is expected, however in an outbreak the number of cases does exceed the usual norm. In an outbreak the cases are confirmed to be epidemiologically linked while in a cluster an epidemiological connection is only suspected. Not all clusters are outbreaks, however each cluster needs to be investigated. [Source: https://covid19evidencereviews.saskhealthauthority.ca/en/permalink/coviddoc153]</t>
  </si>
  <si>
    <t xml:space="preserve">A sampling strategy in which individuals are sampled in order to perform research. </t>
  </si>
  <si>
    <t>Such that each possible unit has a fixed and known or equal probability of selection. [Source: "Random Sample" (p.238) in Porta, M. (2014). A Dictionary of Epidemiology (6th ed.). Oxford University Press, Incorporated.]</t>
  </si>
  <si>
    <t xml:space="preserve">A surveillance sampling strategy in which an aspired outcome is explicity stated. </t>
  </si>
  <si>
    <t>A targeted surveillance strategy in which the aim is early detection of variants of concern (VoC) in individuals.</t>
  </si>
  <si>
    <t>An international travel-associated surveillance strategy in which individuals are selected if they have a travel history of crossing an international border via air travel or ground transport.</t>
  </si>
  <si>
    <t>An international travel-associated surveillance strategy in which individuals are selected if they have a travel history of crossing an international border via air travel.</t>
  </si>
  <si>
    <t>An international travel-associated surveillance strategy in which individuals are selected if they have a travel history of crossing an international border via ground transport.</t>
  </si>
  <si>
    <t>Fluid that lines the vaginal walls that consists of multiple secretions that collect in the vagina from different glands.</t>
  </si>
  <si>
    <t>Amniotic fluid is a bodily fluid consisting of watery liquid surrounding and cushioning a growing fetus within the amnion. It allows the fetus to move freely without the walls of the uterus being too tight against its body. Buoyancy is also provided. The composition of the fluid changes over the course of gestation. Initially, amniotic fluid is similar to maternal plasma, mainly water with electrolytes. As the fetus develops, proteins, carbohydrates, lipids, phospholipids originating from the lungs, fetal cells, and urea are deposited in the fluid.</t>
  </si>
  <si>
    <t xml:space="preserve">Orifice at the opposite end of an animal's digestive tract from the mouth. Its function is to expel feces, unwanted semi-solid matter produced during digestion, which, depending on the type of animal, may be one or more of: matter which the animal cannot digest, such as bones; food material after all the nutrients have been extracted, for example cellulose or lignin; ingested matter which would be toxic if it remained in the digestive tract; and dead or excess gut bacteria and other endosymbionts. </t>
  </si>
  <si>
    <t>Segment of the alimentary canal extending from the stomach to the anus and, in humans and other mammals, consists of two segments, the small intestine and the large intestine.</t>
  </si>
  <si>
    <t>The segment of the respiratory tract that starts proximally with the nose and ends distally with the cricoid cartilage, before continuing to the trachea.</t>
  </si>
  <si>
    <t>Anterior nares are the external (or "proper") portion of the nose.</t>
  </si>
  <si>
    <t>Tube that connects the pharynx to the stomach. In mammals, the oesophagus connects the buccal cavity with the stomach.</t>
  </si>
  <si>
    <t>The evaginations of the mucous membrane of the nasal cavity into the ethmoidal bony labyrinth, forming multiple small paranasal sinuses.</t>
  </si>
  <si>
    <t>The segment of the respiratory tract that starts proximally with the trachea and includes all distal structures including the lungs.</t>
  </si>
  <si>
    <t>The upper conducting airways of the lung; these airways arise from the terminus of the trachea.</t>
  </si>
  <si>
    <t>Respiration organ that develops as an outpocketing of the esophagus.</t>
  </si>
  <si>
    <t>The conducting airway of the lungs found terminal to the bronchi; these structures contain neither cartilage nor mucous-secreting glands; the epithelium of the bronchioles becomes thinner with each branching.</t>
  </si>
  <si>
    <t>The small terminal dilation of the alveolar ducts around which the alveoli form pocket-like clusters.</t>
  </si>
  <si>
    <t>A serous sac that has the pleura and the pleural cavity as parts.</t>
  </si>
  <si>
    <t>The fluid-filled cavity that lies between the visceral and parietal pleurae.</t>
  </si>
  <si>
    <t>A paper product which is 1) a negotiable promissory note, 2) manufactured by a licensed authority, and 3) payable to the bearer on demand.</t>
  </si>
  <si>
    <t>A textile comprised of a pliable material made usually by weaving, felting, or knitting natural or synthetic fibers and filaments.</t>
  </si>
  <si>
    <t>A manufactured product consisting of a panel on which control or monitoring instruments are set.</t>
  </si>
  <si>
    <t>A manufactured product which is composed of a hinged, sliding, or revolving barrier which is installed at the entrance to a building, room, vehicle, or in the framework of a cabinet.</t>
  </si>
  <si>
    <t>A personal protective device worn over the nose and mouth as a respiratory filter to inhibit the flow of particles.</t>
  </si>
  <si>
    <t>A personal protective device used to protect the wearer's entire face (or part of it) from hazards such as flying objects and road debris, chemical splashes, or alternately potentially infectious materials.</t>
  </si>
  <si>
    <t>Any substance that can be consumed by an organism to satisfy nutritional or other health needs, or to provide a social or organoleptic food experience.</t>
  </si>
  <si>
    <t>Type of container or wrapping defined by the main container material, the container form, and the material of the liner lids or ends. Also type of container or wrapping by form; prefer description by material first, then by form.</t>
  </si>
  <si>
    <t>Silica-based glass is a glass composed primarily of silicon dioxide, the primary constituent of sand.</t>
  </si>
  <si>
    <t>A personal protective clothing item which is a gown worn by a medical professional in order to provide a barrier between patient and professional.</t>
  </si>
  <si>
    <t>A manufactured product which is a storage compartment with a lock.</t>
  </si>
  <si>
    <t>A face mask that meets the U.S. National Institute for Occupational Safety and Health (NIOSH) N95 classification of air filtration, meaning that it filters at least 95% of incoming airborne particles.</t>
  </si>
  <si>
    <t>A switch which allows patients in health care settings to alert a nurse or other health care staff member.</t>
  </si>
  <si>
    <t>A paper product which is a thin sheet material made of processed cellulose fibres.</t>
  </si>
  <si>
    <t>Particulate material is an environmental material which is composed of microscopic portions of solid or liquid material suspended in another environmental material.</t>
  </si>
  <si>
    <t>A (portion of) plastic is an (portion of) anthropogenic environmental material including any of numerous organic synthetic or processed materials which are primarily composed of thermoplastic or thermosetting polymers of high molecular weight.</t>
  </si>
  <si>
    <t>A personal protective clothing item which is a gown worn in order to provide a barrier between wearer from contact with potentially infectious liquid and solid material.</t>
  </si>
  <si>
    <t>Wastewater that is contaminated with feces or urine.</t>
  </si>
  <si>
    <t>A plumbing fixture which is bowl-shaped and used for washing hands, dishwashing, and other purposes.</t>
  </si>
  <si>
    <t>Steel which is composed primarily of a corrosion resistant alloy of iron and chromium.</t>
  </si>
  <si>
    <t>A paper product which is thin translucent paper.</t>
  </si>
  <si>
    <t xml:space="preserve">An environmental material primarily composed of dihydrogen oxide in its liquid form. </t>
  </si>
  <si>
    <t xml:space="preserve">     Wastewater</t>
  </si>
  <si>
    <t>A manufactured product which is composed of one or more glass or other transparent or semi-transparent materials set inside a frame, and installed in wall, door, roof or vehicle surfaces to allow the passage of light, and sometimes air.</t>
  </si>
  <si>
    <t>An organic material derived from plantae organisms and composed of a natural composite of cellulose fibers embedded in a matrix of lignin.</t>
  </si>
  <si>
    <t>An air filter is a device that removes some substance from air.</t>
  </si>
  <si>
    <t xml:space="preserve">A specimen collection tube which is designed for the collection of whole blood. See also: https://en.wikipedia.org/wiki/Blood_culture#Collection </t>
  </si>
  <si>
    <t>A protected specimen brush which is used during a fibrobronchoscope biopsy to collect a sample.</t>
  </si>
  <si>
    <t>A needle which is hollow and thin.</t>
  </si>
  <si>
    <t>A specimen collection tube with a very narrow diameter designed to hold a liquid by capillary action.</t>
  </si>
  <si>
    <t>A microinjection device that is used to measure very small volumes of liquids.</t>
  </si>
  <si>
    <t>A medium designed to promote longevity of a viral sample.
FROM Corona19</t>
  </si>
  <si>
    <t>Tracheal Aspiration</t>
  </si>
  <si>
    <r>
      <rPr>
        <sz val="10"/>
        <rFont val="Arial"/>
      </rPr>
      <t xml:space="preserve">Lavage </t>
    </r>
    <r>
      <rPr>
        <sz val="10"/>
        <rFont val="Arial"/>
      </rPr>
      <t>(medical wash)</t>
    </r>
  </si>
  <si>
    <r>
      <rPr>
        <sz val="10"/>
        <color rgb="FF000000"/>
        <rFont val="Arial"/>
      </rPr>
      <t xml:space="preserve">Rinsing </t>
    </r>
    <r>
      <rPr>
        <sz val="10"/>
        <color rgb="FF000000"/>
        <rFont val="Arial"/>
      </rPr>
      <t>(wash)</t>
    </r>
  </si>
  <si>
    <t>May apply to biological or non-biological entities.</t>
  </si>
  <si>
    <t xml:space="preserve">A collecting specimen from organism process in which a skin site free of surface arterial flow is pierced with a sterile lancet, after a capillary blood droplet is formed a sample is captured in a capillary tupe. </t>
  </si>
  <si>
    <t>A collecting specimen from organism process  in which fluid is added to the eye prior to sample collection, effectively "washing out" ocular surface molecules.</t>
  </si>
  <si>
    <t>A secondary RNA extraction after performing reverse transcription polymerase chain reaction (RT-PCR). The desired output is RNA.</t>
  </si>
  <si>
    <t>293 cells stably expressing the SARS-CoV receptor protein, angiotensin-converting enzyme 2 (ACE2).</t>
  </si>
  <si>
    <t>Human colon adenocarcinoma cell line, established from the primary colon tumor (adenocarcinoma) of a 72-year-old Caucasian man in 1974.</t>
  </si>
  <si>
    <t>Human lung adenocarcinoma cell line; established from a 25-year-old caucasian male.</t>
  </si>
  <si>
    <t>Eptesicus fucus (big brown bat) kidney 3B cells.</t>
  </si>
  <si>
    <t>A highly transformed human renal epithelial line expressing two viral oncogenes, adenovirus E1a and SV40 large T antigen.</t>
  </si>
  <si>
    <t>Normal human primary renal cortical epithelial cells.</t>
  </si>
  <si>
    <t>Human hepatoma cell line.</t>
  </si>
  <si>
    <t>Macaca mulatta (Rhesus macaque) monkey kidney 2 cells.</t>
  </si>
  <si>
    <t>The MDBK cell line was derived from a kidney of an apparently normal adult steer, February 18, 1957, by S.H. Madin and N.B. Darby.</t>
  </si>
  <si>
    <t>Normal human bronchial epithelial cell line.</t>
  </si>
  <si>
    <t>Pig kidney cell line. Original line: PK-2a; contains type C viruses. Morphology: epithelial-like.</t>
  </si>
  <si>
    <t>Rabbit renal epithelium cell line.</t>
  </si>
  <si>
    <t>Human glioma cell line. Morphology: glial; Species: human; Tumor: glioma.</t>
  </si>
  <si>
    <t>This line is a clone of VERO 76.</t>
  </si>
  <si>
    <t>VeroE6 cells expressing the transmembrane serine protease TMPRSS2.</t>
  </si>
  <si>
    <t>A RNA extract that is the output of an extraction process in which total celluar and organelle RNA molecules are isolated from a specimen.</t>
  </si>
  <si>
    <t>A RNA extract that is the output of an extraction process in which RNA molecules with poly A tail at its 3' end are purified.</t>
  </si>
  <si>
    <t>An extract of RNA which is produced through rRNA (ribosomal RNA) depletion (the removal of highly abundant rRNA species).</t>
  </si>
  <si>
    <t>An extract which is the output of an extraction process in which messenger RNA molecules are isolated from a specimen.</t>
  </si>
  <si>
    <t>A collection of DNA molecules with sequences complementary to a specified set of mRNA molecules and commonly developed by enzymatic reverse transcription.</t>
  </si>
  <si>
    <t>Humans (Homo sapiens) are the most abundant and widespread species of primate, characterized by bipedality, large and complex brains enabling the development of advanced tools, culture and language.</t>
  </si>
  <si>
    <t>Bats are mammals of the order Chiroptera. With their forelimbs adapted as wings, they are the only mammals capable of true and sustained flight.</t>
  </si>
  <si>
    <t>The cat (Felis catus) is a domestic species of small carnivorous mammal.  A cat can either be a house cat, a farm cat or a feral cat; the latter ranges freely and avoids human contact.</t>
  </si>
  <si>
    <t>The chicken (Gallus gallus domesticus) is a domesticated subspecies of the red junglefowl originally from Southeastern Asia.</t>
  </si>
  <si>
    <t>A civet is a small, lean, mostly nocturnal mammal native to tropical Asia and Africa, especially the tropical forests. The term civet applies to over a dozen different mammal species belong to the Viverridae family, not including the African palm civet (Nandinia binotata).</t>
  </si>
  <si>
    <t>Cattle, taurine cattle, or European cattle (Bos taurus or Bos primigenius taurus) are large domesticated cloven-hooved herbivores. They are a prominent modern member of the subfamily Bovinae, are the most widespread species of the genus Bos.</t>
  </si>
  <si>
    <t>The dog or domestic dog (Canis familiaris) is a domesticated descendant of the grey wolf.  Dog breeds vary widely in shape, size, and color.</t>
  </si>
  <si>
    <t>The lion (Panthera leo) is a large cat of the genus Panthera native to Africa and India. It has a muscular, deep-chested body, short, rounded head, round ears, and a hairy tuft at the end of its tail.</t>
  </si>
  <si>
    <t>The American mink (Neogale vison) is a semiaquatic species of mustelid native to North America, though human intervention has expanded its range to many parts of Europe, Asia and South America.</t>
  </si>
  <si>
    <t>Manis is a genus of South Asian and East Asian pangolins, the Asiatic pangolins, from subfamily Maninae, within family Manidae.</t>
  </si>
  <si>
    <t>The domestic pig (Sus domesticus), often called swine, hog, or simply pig when there is no need to distinguish it from other pigs, is an omnivorous, domesticated even-toed ungulate.</t>
  </si>
  <si>
    <t>Columbidae is a bird family consisting of pigeons and doves. It is the only family in the order Columbiformes. These are stout-bodied birds with short necks, and short slender bills that in some species feature fleshy ceres.</t>
  </si>
  <si>
    <t>The tiger (Panthera tigris) is the largest living cat species and a member of the genus Panthera. It is most recognisable for its dark vertical stripes on orange-brown fur with a lighter underside.</t>
  </si>
  <si>
    <t xml:space="preserve">host (scientific name) </t>
  </si>
  <si>
    <t>Bats are mammals of the order Chiroptera.[a] With their forelimbs adapted as wings, they are the only mammals capable of true and sustained flight.</t>
  </si>
  <si>
    <t>The Sunda pangolin (Manis javanica), also known as the Malayan or Javan pangolin, is a species of pangolin. It is found throughout Southeast Asia,</t>
  </si>
  <si>
    <t>The American mink (Neovision vison) is a semiaquatic species of mustelid native to North America, though human intervention has expanded its range to many parts of Europe, Asia and South America.</t>
  </si>
  <si>
    <t>Horseshoe bats are bats in the family Rhinolophidae. They get their common name from their large nose-leafs, which are shaped like horseshoes.</t>
  </si>
  <si>
    <t>The intermediate horseshoe bat (Rhinolophus affinis) is a bat species of the family Rhinolophidae (“nose crest”) that is very widespread throughout much of the Indian subcontinent, southern and central China and Southeast Asia.</t>
  </si>
  <si>
    <t>A method to mechanically assist or replace spontaneous breathing in patients by use of a powered device that forces oxygenated air into the lungs.</t>
  </si>
  <si>
    <t>Focuses on protecting a population from a person rather than the other way around.</t>
  </si>
  <si>
    <t>A disease caused by infection with severe acute respiratory syndrome coronavirus 2.</t>
  </si>
  <si>
    <t>Transgender (Male to Female)</t>
  </si>
  <si>
    <t>Transgender (Female to Male)</t>
  </si>
  <si>
    <t xml:space="preserve">A country in north-western Europe. The modern sovereign state occupies five-sixths of the island of Ireland, which was partitioned in 1921. It is bordered by Northern Ireland (part of the United Kingdom) to the north, by the Atlantic Ocean to the west and by the Irish Sea to the east. Administration follows the 34 "county-level" counties and cities of Ireland. Of these twenty-nine are counties, governed by county councils while the five cities of Dublin, Cork, Limerick, Galway and Waterford have city councils, (previously known as corporations), and are administered separately from the counties bearing those names. The City of Kilkenny is the only city in the republic which does not have a "city council"; it is still a borough but not a county borough and is administered as part of County Kilkenny. Ireland is split into eight regions for NUTS statistical purposes. These are not related to the four traditional provinces but are based on the administrative counties. </t>
  </si>
  <si>
    <t>An anomalous (adventitious) sound produced by the breathing process.</t>
  </si>
  <si>
    <t>Abnormality of taste sensation.</t>
  </si>
  <si>
    <t>A rare condition that is characterized by a complete loss of taste function of the tongue.</t>
  </si>
  <si>
    <t xml:space="preserve"> Parageusia (distorted sense of taste)</t>
  </si>
  <si>
    <t>A distortion of the sense of taste, often characterized by the sensation of a metallic taste.</t>
  </si>
  <si>
    <t>A decreased ability to perceive flavor.</t>
  </si>
  <si>
    <t>An anomaly in the ability to perceive and distinguish scents (odors).</t>
  </si>
  <si>
    <t>An inability to perceive odors. This is a general term describing inability to smell arising in any part of the process of smelling from absorption of odorants into the nasal mucous overlying the olfactory epithelium, diffusion to the cilia, binding to olfactory receptor sites, generation of action potentials in olfactory neurons, and perception of a smell.</t>
  </si>
  <si>
    <t>A decreased sensitivity to odorants (that is, a decreased ability to perceive odors).</t>
  </si>
  <si>
    <t>Acute respiratory distress syndrome (ARDS) is defined as an acute disorder that starts within seven days of the inciting event and is characterized by bilateral lung infiltrates and severe progressive hypoxemia in the absence of any evidence of cardiogenic pulmonary edema. ARDS is defined by the patient's oxygen in arterial blood (PaO2) to the fraction of the oxygen in the inspired air (FiO2). These patients have a PaO2/FiO2 ratio of less than 300.</t>
  </si>
  <si>
    <t>Cognitive, psychiatric or memory anomaly.</t>
  </si>
  <si>
    <t>Any cardiac rhythm other than the normal sinus rhythm. Such a rhythm may be either of sinus or ectopic origin and either regular or irregular. An arrhythmia may be due to a disturbance in impulse formation or conduction or both.</t>
  </si>
  <si>
    <t>Abnormal cognition with deficits in thinking, reasoning, or remembering.</t>
  </si>
  <si>
    <t>Complete absence of wakefulness and content of conscience, which manifests itself as a lack of response to any kind of external stimuli.</t>
  </si>
  <si>
    <t>Lack of clarity and coherence of thought, perception, understanding, or action.</t>
  </si>
  <si>
    <t>A state of sudden and severe confusion.</t>
  </si>
  <si>
    <t>Inability to arouse in response to one or more external stimuli.</t>
  </si>
  <si>
    <t>A proneness to anger, i.e., a condition of being easily bothered or annoyed.</t>
  </si>
  <si>
    <t>Loss of speech.</t>
  </si>
  <si>
    <t>A state characterized by a feeling of weakness and loss of strength leading to a generalized weakness of the body.</t>
  </si>
  <si>
    <t>An unpleasant sensation of tightness or pressure in the chest.</t>
  </si>
  <si>
    <t>Severe chills with violent shivering. A rigor is an episode of shaking or exaggerated shivering which can occur with a high fever.</t>
  </si>
  <si>
    <t>Dilatation of the blood vessels of the conjunctiva leading to a red appearance of the sclera.</t>
  </si>
  <si>
    <t>A cough that does not produce phlegm or mucus.</t>
  </si>
  <si>
    <t>A cough that produces phlegm or mucus.</t>
  </si>
  <si>
    <t>Bluish discoloration of the skin and mucosa due to poor circulation or inadequate oxygenation of arterial or capillary blood.</t>
  </si>
  <si>
    <t>Bluish discoloration around the mouth and extremities, with the remaining area pink.</t>
  </si>
  <si>
    <t>Persistent blue color of the skin that surrounds the mouth.</t>
  </si>
  <si>
    <t>Persistent blue discoloration of the lips.</t>
  </si>
  <si>
    <t>Generalized bluish discoloration of the body and the visible mucous membranes, which occurs due to inadequate oxygenation secondary to conditions that lead to an increase in deoxygenated hemoglobin or presence of abnormal hemoglobin.</t>
  </si>
  <si>
    <t>Bluish discoloration of the distal extremities (hands, fingertips, toes), and can sometimes involve circumoral and periorbital areas. Mucous membranes are generally not involved.</t>
  </si>
  <si>
    <t>Difficult or labored breathing. Dyspnea is a subjective feeling only the patient can rate, e.g., on a Borg scale.</t>
  </si>
  <si>
    <t>Abnormally increased frequency of loose or watery bowel movements.</t>
  </si>
  <si>
    <t>A form of coagulative necrosis that develops in ischemic tissue, where the blood supply is inadequate to keep tissue viable, in the absence of superimposed microbial infection; can be due to peripheral artery disease or acute limb ischemia; the affected body part is dry, shrunken, and dark reddish-black and can fall off (autoamputate) if not removed surgically.</t>
  </si>
  <si>
    <t>Brain inflammation.</t>
  </si>
  <si>
    <t>Encephalopathy is a term that means brain disease, damage, or malfunction. In general, encephalopathy is manifested by an altered mental state.</t>
  </si>
  <si>
    <t>Fever that exceeds 38 degrees centigrade.</t>
  </si>
  <si>
    <t>Inflammation of the tongue.</t>
  </si>
  <si>
    <t>Focal or diffuse areas of ill-defined, hazy, increased lung attenuation, which cause pulmonary vascular indistinctness, yet through which vessels can still be identified via high-resolution computed tomography or the conventional radiograph.</t>
  </si>
  <si>
    <t>Coughing up (expectoration) of blood or blood-streaked sputum from the larynx, trachea, bronchi, or lungs.</t>
  </si>
  <si>
    <t>Abnormally reduced blood carbon dioxide (CO2) level.</t>
  </si>
  <si>
    <t>Low Blood Pressure, vascular hypotension.</t>
  </si>
  <si>
    <t>An abnormally low level of blood oxygen.</t>
  </si>
  <si>
    <t>Abnormally low blood oxygen level without the presence of dyspnea/dyspnoea.</t>
  </si>
  <si>
    <t>The presence of hemorrhage within the body.</t>
  </si>
  <si>
    <t>A response indicating that a person has lost their ability for fine movement: cannot button, write, eat, etc., or minor loss of sensitivity.</t>
  </si>
  <si>
    <t>A reduced desire to eat.</t>
  </si>
  <si>
    <t>A feeling of general discomfort, weakness, or lack of health.</t>
  </si>
  <si>
    <t>Resistance of the extensor muscles of the neck to being bent forwards (i.e., impaired neck flexion) as a result of muscle spasm of the extensor muscles of the neck. Nuchal rigidity is not a fixed rigidity. Nuchal rigidity has been used as a bedside test for meningism, although its sensitivity for this purpose has been debated.</t>
  </si>
  <si>
    <t>Reduced strength of muscles.</t>
  </si>
  <si>
    <t>Reduced ability to pass air through the nasal cavity often leading to mouth breathing.</t>
  </si>
  <si>
    <t>Epistaxis, or nosebleed, refers to a hemorrhage localized in the nose.</t>
  </si>
  <si>
    <t>Inflammation of infection of the ear.</t>
  </si>
  <si>
    <t>An unpleasant sensory and emotional experience associated with actual or potential tissue damage, or described in terms of such damage.</t>
  </si>
  <si>
    <t>An unpleasant sensation characterized by physical discomfort (such as pricking, throbbing, or aching) and perceived to originate in the abdomen.</t>
  </si>
  <si>
    <t>Joint pain.</t>
  </si>
  <si>
    <t>An unpleasant sensation characterized by physical discomfort (such as pricking, throbbing, or aching) localized to the chest.</t>
  </si>
  <si>
    <t>Pleuritic chest pain is characterized by sudden and intense sharp, stabbing, or burning pain in the chest when inhaling and exhaling.</t>
  </si>
  <si>
    <t>Inflammation (due to infection or irritation) of the pharynx.</t>
  </si>
  <si>
    <t>Fluid exuded from the pharynx posterior wall.</t>
  </si>
  <si>
    <t>The presence of an excessive amount of fluid in the pleural cavity.</t>
  </si>
  <si>
    <t>Inflammation of any part of the lung parenchyma.</t>
  </si>
  <si>
    <t>Prostration</t>
  </si>
  <si>
    <t>GENEPIO:0100071</t>
  </si>
  <si>
    <t>Complete physical or mental exhaustion.</t>
  </si>
  <si>
    <t>Acral areas of erythema with vesicles or pustules. The lesions resemble chilblains and have purpuric areas, affecting hands and feet.</t>
  </si>
  <si>
    <t>Inflammatory chilblain-like nodules on the hands and/or fingers.</t>
  </si>
  <si>
    <t>Inflammatory chilblain-like nodules on the feet and/or toes.</t>
  </si>
  <si>
    <t>Increased discharge of mucus from the nose.</t>
  </si>
  <si>
    <t>A seizure is an intermittent abnormality of nervous system physiology characterised by a transient occurrence of signs and/or symptoms due to abnormal excessive or synchronous neuronal activity in the brain.</t>
  </si>
  <si>
    <t>A motor seizure is a type of seizure that is characterized at onset by involvement of the skeletal musculature. The motor event could consist of an increase (positive) or decrease (negative) in muscle contraction to produce a movement.</t>
  </si>
  <si>
    <t>Involuntary contraction or twitching of the muscles.</t>
  </si>
  <si>
    <t>Abnormal coordination of muscles involved in speech.</t>
  </si>
  <si>
    <t>A sudden violent, spasmodic, audible expiration of breath through the nose and mouth.</t>
  </si>
  <si>
    <t>An increase in the amount of airway mucus. This feature may be characterized by frequent or excessive throat clearing (exhalation through tightly constricted laryngopharyngeal tissues accompanied by vibration of the palatoglossal arch and the vocal folds serving to clear mucus from the airway).</t>
  </si>
  <si>
    <t>Sudden impairment of blood flow to a part of the brain due to occlusion or rupture of an artery to the brain.</t>
  </si>
  <si>
    <t>Very rapid breathing.</t>
  </si>
  <si>
    <t>An abnormal sensation of spinning while the body is actually stationary.</t>
  </si>
  <si>
    <t>A senior adult 60 years or above in age.</t>
  </si>
  <si>
    <t>A reduction in erythrocytes volume or hemoglobin concentration.</t>
  </si>
  <si>
    <t>A lack or loss of appetite for food (as a medical condition).</t>
  </si>
  <si>
    <t xml:space="preserve">Uterine contractions resulting in cervical change (dilation and/or effacement). </t>
  </si>
  <si>
    <t>The inability of the bone marrow to produce hematopoietic elements.</t>
  </si>
  <si>
    <t>A primary or metastatic malignant neoplasm involving the breast. The vast majority of cases are carcinomas arising from the breast parenchyma or the nipple. Malignant breast neoplasms occur more frequently in females than in males.</t>
  </si>
  <si>
    <t>A primary or metastatic malignant neoplasm that affects the colon or rectum. Representative examples include carcinoma, lymphoma, and sarcoma.</t>
  </si>
  <si>
    <t>Hematologic malignancy</t>
  </si>
  <si>
    <t>An organ system cancer located in the hematological system that is characterized by uncontrolled cellular proliferation in blood, bone marrow and lymph nodes.</t>
  </si>
  <si>
    <t>A malignant neoplasm involving the lung.</t>
  </si>
  <si>
    <t>A malignant tumor that has spread from its original (primary) site of growth to another site close to or distant from the primary site.</t>
  </si>
  <si>
    <t>Surgical procedures targeted at minimizing or eliminating a neoplastic process.</t>
  </si>
  <si>
    <t>Chemotherapy that is administered subsequent to the main treatment plan to minimize or prevent disease recurrence.</t>
  </si>
  <si>
    <t>A non-neoplastic or neoplastic disorder that affects the heart and/or the pericardium. Representative examples include endocarditis, pericarditis, atrial myxoma, cardiac myeloid sarcoma, and pericardial malignant mesothelioma.</t>
  </si>
  <si>
    <t>A disease involving the heart and/or pericardium.</t>
  </si>
  <si>
    <t>A myocardial disorder in which the heart muscle is structurally and functionally abnormal, in the absence of coronary artery disease, hypertension, valvular disease and congenital heart disease sufficient to cause the observed myocardial abnormality.</t>
  </si>
  <si>
    <t>Trauma to the cardiac muscle or valves.</t>
  </si>
  <si>
    <t>The presence of chronic increased pressure in the systemic arterial system.</t>
  </si>
  <si>
    <t>Delivery of a fetus through surgical incisions made through the abdominal wall (laparotomy) and the uterine wall (hysterotomy).</t>
  </si>
  <si>
    <t>A reflex action of the respiratory tract that is used to clear the upper airways, lasting for more than 8 weeks</t>
  </si>
  <si>
    <t>A persistent disease that affects the gastrointestinal tract.</t>
  </si>
  <si>
    <t>According to the definitions of the American and British Thoracic Societies, including pulmonary functional tests, X-rays, and CT scans for items such as fibrosis, bronchiectasis, bullae, emphysema, nodular or lymphomatous abnormalities.</t>
  </si>
  <si>
    <t>Any steroid hormone made in the adrenal cortex (the outer part of the adrenal gland). They are also made in the laboratory. Corticosteroids have many different effects in the body, and are used to treat many different conditions. They may be used as hormone replacement, to suppress the immune system, and to treat some side effects of cancer and its treatment. Corticosteroids are also used to treat certain lymphomas and lymphoid leukemias.</t>
  </si>
  <si>
    <t>Eczema is a form of dermatitis. The term eczema is broadly applied to a range of persistent skin conditions and can be related to a number of underlying conditions. Manifestations of eczema can include dryness and recurring skin rashes with redness, skin edema, itching and dryness, crusting, flaking, blistering, cracking, oozing, or bleeding.</t>
  </si>
  <si>
    <t>Abnormality of the homeostasis (concentration) of a monoatomic ion.</t>
  </si>
  <si>
    <t>An abnormally decreased calcium concentration in the blood.</t>
  </si>
  <si>
    <t>An abnormally decreased potassium concentration in the blood.</t>
  </si>
  <si>
    <t>An abnormally decreased magnesium concentration in the blood.</t>
  </si>
  <si>
    <t>A disorder of the brain caused by an infectious agent that presents with fever, headache, and an altered level of consciousness. There may also be focal or multifocal neurologic deficits, and focal or generalized seizure activity.</t>
  </si>
  <si>
    <t>A brain disorder characterized by episodes of abnormally increased neuronal discharge resulting in transient episodes of sensory or motor neurological dysfunction, or psychic dysfunction. These episodes may or may not be associated with loss of consciousness or convulsions.</t>
  </si>
  <si>
    <t>A therapeutic procedure used in patients with kidney failure. It involves the extracorporeal removal of harmful wastes and fluids from the blood using a dialysis machine. Following the dialysis, the blood is returned to the body.</t>
  </si>
  <si>
    <t>A group of disorders passed down through families (inherited) in which there is abnormal production or structure of the hemoglobin molecule.</t>
  </si>
  <si>
    <t>A syndrome resulting from the acquired deficiency of cellular immunity caused by the human immunodeficiency virus (HIV). It is characterized by the reduction of the Helper T-lymphocytes in the peripheral blood and the lymph nodes. Symptoms include generalized lymphadenopathy, fever, weight loss, and chronic diarrhea. Patients with AIDS are especially susceptible to opportunistic infections (usually pneumocystis carinii pneumonia, cytomegalovirus (CMV) infections, tuberculosis, candida infections, and cryptococcosis), and the development of malignant neoplasms (usually non-Hodgkin lymphoma and Kaposi sarcoma). The human immunodeficiency virus is transmitted through sexual contact, sharing of contaminated needles, or transfusion of contaminated blood.</t>
  </si>
  <si>
    <t>A spectrum of small and large bowel inflammatory diseases of unknown etiology. It includes Crohn's disease, ulcerative colitis, and colitis of indeterminate type.</t>
  </si>
  <si>
    <t>Colitis refers to an inflammation of the colon and is often used to describe an inflammation of the large intestine (colon, cecum and rectum). Colitides may be acute and self-limited or chronic, and broadly fit into the category of digestive diseases.</t>
  </si>
  <si>
    <t>A chronic inflammatory bowel disease that includes characteristic ulcers, or open sores, in the colon. The main symptom of active disease is usually constant diarrhea mixed with blood, of gradual onset and intermittent periods of exacerbated symptoms contrasting with periods that are relatively symptom-free. In contrast to Crohn's disease this special form of colitis begins in the distal parts of the rectum, spreads continually upwards and affects only mucose and submucose tissue of the colon.</t>
  </si>
  <si>
    <t>A chronic granulomatous inflammatory disease of the intestines that may affect any part of the gastrointestinal tract from mouth to anus, causing a wide variety of symptoms. It primarily causes abdominal pain, diarrhea which may be bloody, vomiting, or weight loss, but may also cause complications outside of the gastrointestinal tract such as skin rashes, arthritis, inflammation of the eye, tiredness, and lack of concentration. Crohn's disease is thought to be an autoimmune disease, in which the body's immune system attacks the gastrointestinal tract, causing inflammation.</t>
  </si>
  <si>
    <t>A neoplastic or non-neoplastic condition affecting the kidney. Representative examples of non-neoplastic conditions include glomerulonephritis and nephrotic syndrome. Representative examples of neoplastic conditions include benign processes (e.g., renal lipoma and renal fibroma) and malignant processes (e.g., renal cell carcinoma and renal lymphoma).</t>
  </si>
  <si>
    <t>A disease involving the kidney.</t>
  </si>
  <si>
    <t>Functional anomaly of the kidney persisting for at least three months.</t>
  </si>
  <si>
    <t>A reduction in the level of performance of the kidneys in areas of function comprising the concentration of urine, removal of wastes, the maintenance of electrolyte balance, homeostasis of blood pressure, and calcium metabolism.</t>
  </si>
  <si>
    <t>A disease involving the liver.</t>
  </si>
  <si>
    <t>Hepatic necrosis, inflammation, or scarring due to any cause that persists for more than 6 months. Manifestations may include signs and symptoms of cholestasis, portal hypertension, and/or abnormal liver function tests.</t>
  </si>
  <si>
    <t>Steatosis is a term used to denote lipid accumulation within hepatocytes.</t>
  </si>
  <si>
    <t>A medical condition characterized by long-term fatigue and other symptoms that limit a person's ability to carry out ordinary daily activities.</t>
  </si>
  <si>
    <t>A non-neoplastic or neoplastic disorder that affects the brain, spinal cord, or peripheral nerves.</t>
  </si>
  <si>
    <t>Any disease that impairs the functioning of the muscles, either directly, being pathologies of the voluntary muscle, or indirectly, being pathologies of nerves or neuromuscular junctions.</t>
  </si>
  <si>
    <t>Accumulation of substantial excess body fat.</t>
  </si>
  <si>
    <t>An excess of body weight, normally defined as an individual with a body mass index greater than 35 or a body weight greater than one hundred percent of ideal body weight.</t>
  </si>
  <si>
    <t>A non-neoplastic or neoplastic disorder that affects the respiratory system. Representative examples include pneumonia, chronic obstructive pulmonary disease, pulmonary failure, lung adenoma, lung carcinoma, and tracheal carcinoma.</t>
  </si>
  <si>
    <t>Asthma is characterized by increased responsiveness of the tracheobronchial tree to multiple stimuli, leading to narrowing of the air passages with resultant dyspnea, cough, and wheezing.</t>
  </si>
  <si>
    <t>Chronic inflammation of the bronchi.</t>
  </si>
  <si>
    <t>Chronic pulmonary disease</t>
  </si>
  <si>
    <t>An anomaly that is characterized progressive airflow obstruction that is only partly reversible, inflammation in the airways, and systemic effects or comorbities.</t>
  </si>
  <si>
    <t>Enlargement of air spaces distal to the terminal bronchioles where gas-exchange normally takes place. This is usually due to destruction of the alveolar wall. Pulmonary emphysema can be classified by the location and distribution of the lesions.</t>
  </si>
  <si>
    <t>A disease involving the lung.</t>
  </si>
  <si>
    <t>Replacement of normal lung tissues by fibroblasts and collagen.</t>
  </si>
  <si>
    <t>A severe form of respiratory insufficiency characterized by inadequate gas exchange such that the levels of oxygen or carbon dioxide cannot be maintained within normal limits.</t>
  </si>
  <si>
    <t>Infant acute respiratory distress syndrome is a lung disorder that affects premature infants caused by developmental insufficiency of surfactant production and structural immaturity of the lungs. The symptoms usually appear shortly after birth and may include tachypnea, tachycardia, chest wall retractions (recession), expiratory grunting, nasal flaring and cyanosis during breathing efforts.</t>
  </si>
  <si>
    <t>A chronic, recurrent infection caused by the bacterium Mycobacterium tuberculosis. Tuberculosis (TB) may affect almost any tissue or organ of the body with the lungs being the most common site of infection. The clinical stages of TB are primary or initial infection, latent or dormant infection, and recrudescent or adult-type TB. Ninety to 95% of primary TB infections may go unrecognized. Histopathologically, tissue lesions consist of granulomas which usually undergo central caseation necrosis. Local symptoms of TB vary according to the part affected; acute symptoms include hectic fever, sweats, and emaciation; serious complications include granulomatous erosion of pulmonary bronchi associated with hemoptysis. If untreated, progressive TB may be associated with a high degree of mortality. This infection is frequently observed in immunocompromised individuals with AIDS or a history of illicit IV drug use.</t>
  </si>
  <si>
    <t>The period of time less than or equal to six weeks after labor and delivery.</t>
  </si>
  <si>
    <t>Inflammatory and degenerative diseases of connective tissue structures, such as arthritis.</t>
  </si>
  <si>
    <t>Sickle cell anemias are chronic hemolytic diseases that may induce three types of acute accidents: severe anemia, severe bacterial infections, and ischemic vasoocclusive accidents (VOA) caused by sickle-shaped red blood cells obstructing small blood vessels and capillaries. Many diverse complications can occur.</t>
  </si>
  <si>
    <t>Behavior related to the intake of substances.</t>
  </si>
  <si>
    <t>The use of alcoholic beverages to excess, either on individual occasions ("binge drinking") or as a regular practice.</t>
  </si>
  <si>
    <t>The use of a drug for a reason other than which it was intended or in a manner or in quantities other than directed.</t>
  </si>
  <si>
    <t>The use of an injection drug for a reason other than which it was intended or in a manner or in quantities other than directed.</t>
  </si>
  <si>
    <t>Consumption behavior that involves inhaling a material (such as finely ground tobacco leaves) through the nose.</t>
  </si>
  <si>
    <t>Inhaling the vapor produced by an electronic cigarette or similar device.</t>
  </si>
  <si>
    <t>An individual who is receiving or has received a transplant of a heart.</t>
  </si>
  <si>
    <t>An individual receiving a bone marrow transplant.</t>
  </si>
  <si>
    <t>An individual who is receiving or has received a transplant of a kidney.</t>
  </si>
  <si>
    <t>An individual who is receiving or has received a transplant of a liver.</t>
  </si>
  <si>
    <t xml:space="preserve">A SARS-CoV-2 variant that meets the definition of a VOI (see below) and, through a comparative assessment, has been demonstrated to be associated with one or more of the following changes at a degree of global public health significance: Increase in transmissibility or detrimental change in COVID-19 epidemiology; OR
Increase in virulence or change in clinical disease presentation; OR
Decrease in effectiveness of public health and social measures or available diagnostics, vaccines, therapeutics.  </t>
  </si>
  <si>
    <r>
      <t xml:space="preserve">A previously designated Variant of Interest (VOI) or Variant of Concern (VOC) which has conclusively demonstrated to no longer pose a major added risk to global public health compared to other circulating SARS-CoV-2 variants, can be reclassified. This is undertaken through a critical expert assessment, in collaboration with the WHO Virus Evolution Working Group of several criteria, such as the observed incidence/relative prevalence of variant detections among sequenced samples over time and between geographical locations, the presence/absence of other risk factors, and any ongoing impact on control measures. [Source: </t>
    </r>
    <r>
      <rPr>
        <u/>
        <sz val="10"/>
        <color rgb="FF1155CC"/>
        <rFont val="Arial"/>
      </rPr>
      <t>https://www.who.int/en/activities/tracking-SARS-CoV-2-variants/</t>
    </r>
    <r>
      <rPr>
        <sz val="10"/>
        <color rgb="FF000000"/>
        <rFont val="Arial"/>
      </rPr>
      <t>]</t>
    </r>
  </si>
  <si>
    <t xml:space="preserve">A SARS-CoV-2 variant with genetic changes that are predicted or known to affect virus characteristics such as transmissibility, disease severity, immune escape, diagnostic or therapeutic escape; AND 
Identified to cause significant community transmission or multiple COVID-19 clusters, in multiple countries with increasing relative prevalence alongside increasing number of cases over time, or other apparent epidemiological impacts to suggest an emerging risk to global public health.  </t>
  </si>
  <si>
    <r>
      <t xml:space="preserve">A previously designated Variant of Interest (VOI) or Variant of Concern (VOC) which has conclusively demonstrated to no longer pose a major added risk to global public health compared to other circulating SARS-CoV-2 variants, can be reclassified. This is undertaken through a critical expert assessment, in collaboration with the WHO Virus Evolution Working Group of several criteria, such as the observed incidence/relative prevalence of variant detections among sequenced samples over time and between geographical locations, the presence/absence of other risk factors, and any ongoing impact on control measures. [Source: </t>
    </r>
    <r>
      <rPr>
        <u/>
        <sz val="10"/>
        <color rgb="FF1155CC"/>
        <rFont val="Arial"/>
      </rPr>
      <t>https://www.who.int/en/activities/tracking-SARS-CoV-2-variants/</t>
    </r>
    <r>
      <rPr>
        <sz val="10"/>
        <color rgb="FF000000"/>
        <rFont val="Arial"/>
      </rPr>
      <t>]</t>
    </r>
  </si>
  <si>
    <t>An abnormality of the partial pressure of oxygen in the arterial blood.</t>
  </si>
  <si>
    <t>Life-threatening respiratory failure that develops rapidly. Causes include injury, sepsis, drug overdose, and pancreatitis. It manifests with dyspnea and cyanosis and may lead to cardiovascular shock.</t>
  </si>
  <si>
    <t>A rapid heartrate that exceeds the range of the normal resting heartrate for age.</t>
  </si>
  <si>
    <t>A type of ventricular tachycardia that is characterized by variable QRS complexes within each lead (i.e., QRS complexes may be different from beat to beat).</t>
  </si>
  <si>
    <t>A disorder characterized by an arrhythmia with an above normal rate.</t>
  </si>
  <si>
    <t>A disease process that results in acute hypoxia secondary to a rapid deterioration in respiratory status.Increased capillary permeability and changes in pressure gradients within the pulmonary capillaries and vasculature are mechanisms for which noncardiogenic pulmonary edema occurs. To differentiate from cardiogenic pulmonary edema, pulmonary capillary wedge pressure is not elevated and remains less than 18 mmHg.</t>
  </si>
  <si>
    <t>Acute respiratory distress syndrome caused by severe acute respiratory syndrome coronavirus 2 (SARS-CoV-2).</t>
  </si>
  <si>
    <t>A clinical syndrome characterized by the acute onset of pulmonary edema following a significant central nervous system (CNS) insult.</t>
  </si>
  <si>
    <t>An abrupt loss of heart function.</t>
  </si>
  <si>
    <t>Severely decreased cardiac output with evidence of inadequate end-organ perfusion (i.e., tissue hypoxia) in the presence of adequate intravascular volume.</t>
  </si>
  <si>
    <t>The formation of a blood clot inside an artery.</t>
  </si>
  <si>
    <t>Formation of a blot clot in a deep vein. The clot often blocks blood flow, causing swelling and pain. The deep veins of the leg are most often affected.</t>
  </si>
  <si>
    <t>An embolus (that is, an abnormal particle circulating in the blood) located in the pulmonary artery and thereby blocking blood circulation to the lung. Usually the embolus is a blood clot that has developed in an extremity (for instance, a deep venous thrombosis), detached, and traveled through the circulation before becoming trapped in the pulmonary artery.</t>
  </si>
  <si>
    <t>An infectious process that affects the brain and/or spinal cord. Representative examples include encephalitis, poliomyelitis, arachnoiditis, and meningitis.</t>
  </si>
  <si>
    <t>Vasculitis affecting the blood vessels of the brain and/or spinal cord.</t>
  </si>
  <si>
    <t>Acute ischemic stroke (AIS) is defined by the sudden loss of blood flow to an area of the brain with the resulting loss of neurologic function. It is caused by thrombosis or embolism that occludes a cerebral vessel supplying a specific area of the brain. During a vessel occlusion, there is a core area where damage to the brain is irreversible and an area of penumbra where the brain has lost function owing to decreased blood flow but is not irreversibly injured.</t>
  </si>
  <si>
    <t>A sudden flexion, extension, or mixed extension-flexion of predominantly proximal and truncal muscles that is usually more sustained than a myoclonic movement but not as sustained as a tonic seizure. Limited forms may occur: Grimacing, head nodding, or subtle eye movements. Epileptic spasms frequently occur in clusters. Infantile spasms are the best known form, but spasms can occur at all ages.</t>
  </si>
  <si>
    <t>Coagulation disorder caused by severe acute respiratory syndrome coronavirus 2 (SARS-CoV-2).</t>
  </si>
  <si>
    <t>Cystic fibrosis (CF) is a genetic disorder characterized by the production of sweat with a high salt content and mucus secretions with an abnormal viscosity.</t>
  </si>
  <si>
    <t>A syndrome that occurs after therapeutic infusion of antibodies into the blood and is characterized by nausea, headache, tachycardia, hypotension, rash, and shortness of breath. It is caused by the release of cytokines from the cells that are targeted by the antibodies. Most patients experience a mild to moderate reaction; however, the reaction may be severe and life-threatening.</t>
  </si>
  <si>
    <t>A syndrome consequent to uncontrolled activation of blood clotting factors leading to disseminated platelet lysis, and fibrin deposition, ultimately leading to bleeding and necrosis as a consequence of inhibition of fibrin polymerisation by degradation products.</t>
  </si>
  <si>
    <t>An acute form of myocarditis, whose main characteristic is a rapidly progressive clinical course with the need for hemodynamic support.</t>
  </si>
  <si>
    <t>A spectrum of rare post-infectious neuropathies that usually occur in otherwise healthy patients. GBS is clinically heterogeneous and encompasses acute inflammatory demyelinating polyradiculoneuropathy (AIDP), acute motor axonal neuropathy (AMAN) and acute motor-sensory axonal neuropathy (AMSAN), Miller-Fisher syndrome (MFS) and some other regional variants.</t>
  </si>
  <si>
    <t>Bleeding into one or both cerebral hemispheres including the basal ganglia and the cerebral cortex. It is often associated with hypertension and craniocerebral trauma.</t>
  </si>
  <si>
    <t>A febrile, systemic, self-limiting vasculitis affecting children and characterized by inflammation in the medium sized vessels associated with coronary arterial aneurysms (CAA) that may be life threatening when untreated. KD is the most common cause of acquired heart disease in children in developed countries and is a risk factor for ischemic heart disease in adulthood.</t>
  </si>
  <si>
    <t>A diagnosis of Kawasaki disease (KD) based on the fulfillment of a set of clinical signs including fever of five or more days' duration with at least four of the following five signs: (i) bilateral conjunctival injection, (ii) cervical lymphadenopathy, (iii) polymorphous skin rash, (iv) changes in the lips or oral mucosa, and (v) changes of the distal extremities.Usual laboratory findings in KD patients include elevated erythrocyte sedimentation rate and C-reactive protein, hypoalbuminemeia, elevated serum hepatic transaminases and leukocytosis with thrombocytosis noted later in the course of the illness.</t>
  </si>
  <si>
    <t>A diagnosis of Kawasaki disease (KD) when patients fail to meet “classic” clinical features but have laboratory findings usually associated with KD and no reasonable alternate diagnosis, they are said to have incomplete or atypical KD.</t>
  </si>
  <si>
    <t>Sudden loss of renal function, as manifested by decreased urine production, and a rise in serum creatinine or blood urea nitrogen concentration (azotemia).</t>
  </si>
  <si>
    <t>Reduced ability of the liver to perform its functions.</t>
  </si>
  <si>
    <t>A chronic disease triggered by acute COVID-19 infection that is characterized by persistent symptoms following the acute phase of the SARS-CoV-2 infection, which may include fatigue, coughing, dyspnea, clouding of mentation, sleep disturbances, exercise intolerance and autonomic symptoms including tachycardia upon mild exercise or standing, night sweats, temperature dysregulation, gastroparesis, constipation or loose stools, and peripheral vasoconstriction.</t>
  </si>
  <si>
    <t>A condition of liver damage that is characterized by coagulopathy with no signs of encephalopathy.</t>
  </si>
  <si>
    <t>A condition of lung damage that is characterized by bilateral pulmonary infiltrates (pulmonary edema) rich in neutrophils, and in the absence of clinical heart failure. This can represent a spectrum of pulmonary lesions, endothelial and epithelial, due to numerous factors (physical, chemical, or biological).</t>
  </si>
  <si>
    <t>A lung injury that results from mechanical stress and strain that occur during tidal ventilation in the susceptible lung.</t>
  </si>
  <si>
    <t>Inflammation of the meninges.</t>
  </si>
  <si>
    <t>Migraine is a chronic neurological disorder characterized by episodic attacks of headache and associated symptoms.</t>
  </si>
  <si>
    <t>A pregnancy that ends at a stage in which the fetus is incapable of surviving on its own, defined as the spontaneous loss of a fetus before the 20th week of pregnancy.</t>
  </si>
  <si>
    <t>A inflammatory syndrome in children infected by the SARS-CoV-2 with similarities to Kawasaki disease. Clinical manifestations range from fever and inflammation to myocardial injury, shock, and development of coronary artery aneurysms.</t>
  </si>
  <si>
    <t>An injury in muscle tissue caused by bruising, spraining or laceration.</t>
  </si>
  <si>
    <t>Gross necrosis of the myocardium, as a result of interruption of the blood supply to the area, as in coronary thrombosis.</t>
  </si>
  <si>
    <t>Necrosis of the myocardium, as a result of interruption of the blood supply to the area. It is characterized by a severe and rapid onset of symptoms that may include chest pain, often radiating to the left arm and left side of the neck, dyspnea, sweating, and palpitations.</t>
  </si>
  <si>
    <t>A very serious type of heart attack during which one of the heart’s major arteries (one of the arteries that supplies oxygen and nutrient-rich blood to the heart muscle) is blocked. ST-segment elevation is an abnormality detected on the 12-lead ECG.</t>
  </si>
  <si>
    <t>A disorder characterized by the cell death of cardiomyocytes and an elevation of cardiac troponin values.</t>
  </si>
  <si>
    <t>A difficulty or problem that occurs at or just after delivery of an infant that can jeopardize the health of the infant.</t>
  </si>
  <si>
    <t>An organ dysfunction to such a degree that normal homeostasis cannot be maintained without external clinical intervention.</t>
  </si>
  <si>
    <t>The presence of an abnormality of cardiac function that is responsible for the failure of the heart to pump blood at a rate that is commensurate with the needs of the tissues or a state in which abnormally elevated filling pressures are required for the heart to do so. Heart failure is frequently related to a defect in myocardial contraction.</t>
  </si>
  <si>
    <t>A liver disease characterized by the liver losing or has lost all of its function.</t>
  </si>
  <si>
    <t>Paralysis of voluntary muscles means loss of contraction due to interruption of one or more motor pathways from the brain to the muscle fibers. Although the word paralysis is often used interchangeably to mean either complete or partial loss of muscle strength, it is preferable to use paralysis or plegia for complete or severe loss of muscle strength, and paresis for partial or slight loss. Motor paralysis results from deficits of the upper motor neurons (corticospinal, corticobulbar, or subcorticospinal). Motor paralysis is often accompanied by an impairment in the facility of movement.</t>
  </si>
  <si>
    <t>Accumulation of air in the pleural cavity leading to a partially or completely collapsed lung.</t>
  </si>
  <si>
    <t>Pneumothorax occurring without traumatic injury to the chest or lung.</t>
  </si>
  <si>
    <t>Spontaneous tension pneymothorax</t>
  </si>
  <si>
    <t>A spontaneous pneumothorax, commonly referred to as a
“collapsed lung,” refers to a collection of air between the lung
and the chest wall that should not be there. This air pushes
against the lung and makes it hard for the lung to expand with
each breath. A spontaneous pneumothorax can be small or
large in size. A spontaneous pneumothorax happens without
any injury to the lung or any known lung problem. Sometimes
people can have a pneumothorax from a known lung problem,
injury, or after surgery called a secondary pneumothorax.</t>
  </si>
  <si>
    <t>Pneumonia caused by severe acute respiratory syndrome coronavirus 2 (SARS-CoV-2). It is characterized by the presence of ground glass opacities on CT scan images.</t>
  </si>
  <si>
    <t>An abnormality of the fetus or the birth of the fetus, excluding structural abnormalities.</t>
  </si>
  <si>
    <t>Because of the close link between prenatal developmental abnormalities and abnormalities of the birth process, a single term is chosen to subsume both classes of abnormality.</t>
  </si>
  <si>
    <t>Breakdown of muscle fibers that leads to the release of muscle fiber contents (myoglobin) into the bloodstream.</t>
  </si>
  <si>
    <t>If an infection was identified during or after treatment of the primary infection.</t>
  </si>
  <si>
    <t>A infection caused by staphylococcus bacteria, bearing the secondary infection role</t>
  </si>
  <si>
    <t>If a secondary staphylococcus infection was identified during or after treatment of the primary infection.</t>
  </si>
  <si>
    <t>A infection caused by streptococcal bacteria, bearing the secondary infection role</t>
  </si>
  <si>
    <t>If a secondary streptococcal infection was identified during or after treatment of the primary infection.</t>
  </si>
  <si>
    <t>To be used in when "sepsis" and "septicemia" are being treated as synonymous.</t>
  </si>
  <si>
    <t>Sepsis (systemic inflammatory response to infection)</t>
  </si>
  <si>
    <t>A process that is a systemic inflammatory response to infection.</t>
  </si>
  <si>
    <t>Use when not to be confused with "septicemia"; i.e., "sepsis" results from "septicemia". Sometimes misused to describe non-infective inflammatory states.</t>
  </si>
  <si>
    <t>Septicemia (bloodstream infection)</t>
  </si>
  <si>
    <t>The presence of pathogenic microorganisms in the blood stream causing a rapidly progressing systemic reaction that may lead to shock. Symptoms include fever, chills, tachycardia, and increased respiratory rate. It is a medical emergency that requires urgent medical attention.</t>
  </si>
  <si>
    <t>Use when not to be confused with "sepsis"; "septicemia" causes "sepsis". While often used interchangeably, "septicemia" may not always result in "sepsis".</t>
  </si>
  <si>
    <t>The state in which profound and widespread reduction of effective tissue perfusion leads first to reversible, and then if prolonged, to irreversible cellular injury.</t>
  </si>
  <si>
    <t>A systemtic inflammatory response to infectious and/or non-fectious etiologies, resulting in life-threatening, generalized form of acute circulatory failure
associated with inadequate oxygen utilization by the cells.</t>
  </si>
  <si>
    <t>Descriptive of both infectious and non-infectious etiologies.</t>
  </si>
  <si>
    <t>A persistent form of cardiogenic shock that presents as persistent tissue hyoperfusion despite administration of adequote doses of vasoactive medications and treatmenft of the underlying aetiology.</t>
  </si>
  <si>
    <t>A persistent form of cardiogenic shock that presents simultaneously with vasoplegic shock.</t>
  </si>
  <si>
    <t>A state of acute circulatory failure characterized by persistent arterial hypotension despite adequate fluid resuscitation or by tissue hypoperfusion unexplained by other causes.</t>
  </si>
  <si>
    <t>Specific to infectious etiologies.</t>
  </si>
  <si>
    <t>Inflammation of blood vessel.</t>
  </si>
  <si>
    <r>
      <t>People vaccinated in Canada (as of October 6, 2021) are considered fully vaccinated 14 days after they have either:
- Received both doses of a Health Canada authorized vaccine that requires 2 doses to complete the vaccination series (as of September 16, 2021): Pfizer-BioNTech Comirnaty COVID-19 vaccine, Moderna Spikevax COVID-19 vaccine, or AstraZeneca Vaxzevria COVID-19 vaccine.
- Received mixed dose vaccination series are accepted as long as it aligns with NACI Recommendations on the use of COVID-19 vaccines.
- Received 1 dose of a Health Canada authorized vaccine that only requires 1 dose to complete the vaccination series (as of September 16, 2021): Janssen (Johnson &amp; Johnson) COVID-19 vaccine.
- For current residents of Quebec only, have had a laboratory-confirmed COVID-19 infection followed by at least 1 dose of a Health Canada authorized COVID-19 vaccine.
[Source:</t>
    </r>
    <r>
      <rPr>
        <sz val="10"/>
        <color rgb="FF000000"/>
        <rFont val="Arial"/>
      </rPr>
      <t xml:space="preserve"> </t>
    </r>
    <r>
      <rPr>
        <u/>
        <sz val="10"/>
        <color rgb="FF1155CC"/>
        <rFont val="Arial"/>
      </rPr>
      <t>www.tbs-sct.gc.ca/pol/doc-eng.aspx?id=32694#b1</t>
    </r>
    <r>
      <rPr>
        <sz val="10"/>
        <color rgb="FF000000"/>
        <rFont val="Arial"/>
      </rPr>
      <t>]</t>
    </r>
  </si>
  <si>
    <t>Started but not yet fully completed a vaccine series authorized and administered according to the regional health institutional guidance.</t>
  </si>
  <si>
    <t>In general, people are considered partially vaccinated 2 weeks after their first dose in a single-dose or multi-dose vaccine series.</t>
  </si>
  <si>
    <t>Have not completed or intiated a vaccine series authorized and administered according to the regional health institutional guidance.</t>
  </si>
  <si>
    <t>In general, people are considered not vaccinated if they have not received a single dose or have not yet completed the 2 weeks after their first dose in a single-dose or multi-dose vaccine series.</t>
  </si>
  <si>
    <t>laboratory_typing_method_version_or_reagent</t>
  </si>
  <si>
    <t>breakpoint_version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</si>
</sst>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mmm\ d\,\ yyyy"/>
  </numFmts>
  <fonts count="68">
    <font>
      <sz val="10"/>
      <color rgb="FF000000"/>
      <name val="Arial"/>
    </font>
    <font>
      <b/>
      <sz val="10"/>
      <name val="Arial"/>
    </font>
    <font>
      <b/>
      <sz val="11"/>
      <name val="Arial"/>
    </font>
    <font>
      <sz val="10"/>
      <name val="Arial"/>
    </font>
    <font>
      <sz val="10"/>
      <color rgb="FF000000"/>
      <name val="Arial"/>
    </font>
    <font>
      <sz val="10"/>
      <color rgb="FF000000"/>
      <name val="Arial"/>
    </font>
    <font>
      <b/>
      <sz val="10"/>
      <name val="Arial"/>
    </font>
    <font>
      <sz val="10"/>
      <name val="Arial"/>
    </font>
    <font>
      <sz val="10"/>
      <name val="Arial"/>
    </font>
    <font>
      <b/>
      <u/>
      <sz val="12"/>
      <color rgb="FF0000FF"/>
      <name val="Calibri"/>
    </font>
    <font>
      <sz val="12"/>
      <name val="Calibri"/>
    </font>
    <font>
      <b/>
      <sz val="12"/>
      <name val="Calibri"/>
    </font>
    <font>
      <b/>
      <sz val="12"/>
      <color rgb="FFBF9000"/>
      <name val="Calibri"/>
    </font>
    <font>
      <sz val="12"/>
      <color rgb="FFBF9000"/>
      <name val="Calibri"/>
    </font>
    <font>
      <b/>
      <sz val="12"/>
      <color rgb="FF000000"/>
      <name val="Calibri"/>
    </font>
    <font>
      <sz val="12"/>
      <color rgb="FF000000"/>
      <name val="Calibri"/>
    </font>
    <font>
      <b/>
      <sz val="12"/>
      <color rgb="FFB45F06"/>
      <name val="Calibri"/>
    </font>
    <font>
      <sz val="12"/>
      <color rgb="FF0000FF"/>
      <name val="Calibri"/>
    </font>
    <font>
      <sz val="10"/>
      <name val="Arial"/>
    </font>
    <font>
      <sz val="10"/>
      <color rgb="FF000000"/>
      <name val="Arial"/>
    </font>
    <font>
      <b/>
      <sz val="10"/>
      <color rgb="FF000000"/>
      <name val="Arial"/>
    </font>
    <font>
      <b/>
      <sz val="10"/>
      <color rgb="FF000000"/>
      <name val="Arial"/>
    </font>
    <font>
      <u/>
      <sz val="10"/>
      <color rgb="FF1155CC"/>
      <name val="Arial"/>
    </font>
    <font>
      <b/>
      <sz val="9"/>
      <color rgb="FF000000"/>
      <name val="Arial"/>
    </font>
    <font>
      <i/>
      <sz val="10"/>
      <name val="Arial"/>
    </font>
    <font>
      <sz val="9"/>
      <color rgb="FF000000"/>
      <name val="Arial"/>
    </font>
    <font>
      <sz val="9"/>
      <name val="Arial"/>
    </font>
    <font>
      <sz val="9"/>
      <name val="Arial"/>
    </font>
    <font>
      <sz val="9"/>
      <color rgb="FF38761D"/>
      <name val="Arial"/>
    </font>
    <font>
      <i/>
      <sz val="10"/>
      <name val="Arial"/>
    </font>
    <font>
      <b/>
      <sz val="9"/>
      <name val="Arial"/>
    </font>
    <font>
      <sz val="10"/>
      <color rgb="FFFF0000"/>
      <name val="Arial"/>
    </font>
    <font>
      <sz val="11"/>
      <color rgb="FF24292E"/>
      <name val="-apple-system"/>
    </font>
    <font>
      <sz val="10"/>
      <color rgb="FF000000"/>
      <name val="Helvetica"/>
    </font>
    <font>
      <u/>
      <sz val="10"/>
      <color rgb="FF0000FF"/>
      <name val="Arial"/>
    </font>
    <font>
      <u/>
      <sz val="9"/>
      <color rgb="FF0563C1"/>
      <name val="Arial"/>
    </font>
    <font>
      <u/>
      <sz val="9"/>
      <color rgb="FF0563C1"/>
      <name val="Arial"/>
    </font>
    <font>
      <sz val="11"/>
      <name val="&quot;Segoe UI&quot;"/>
    </font>
    <font>
      <sz val="9"/>
      <color rgb="FFFF0000"/>
      <name val="Arial"/>
    </font>
    <font>
      <b/>
      <sz val="9"/>
      <color rgb="FFFF0000"/>
      <name val="Arial"/>
    </font>
    <font>
      <sz val="9"/>
      <color rgb="FF24292E"/>
      <name val="-apple-system"/>
    </font>
    <font>
      <sz val="9"/>
      <color rgb="FF24292E"/>
      <name val="Arial"/>
    </font>
    <font>
      <sz val="10"/>
      <color rgb="FF1D1C1D"/>
      <name val="Arial"/>
    </font>
    <font>
      <sz val="10"/>
      <color rgb="FF434343"/>
      <name val="Arial"/>
    </font>
    <font>
      <u/>
      <sz val="10"/>
      <color rgb="FF0000FF"/>
      <name val="Arial"/>
    </font>
    <font>
      <u/>
      <sz val="10"/>
      <color rgb="FF0000FF"/>
      <name val="Arial"/>
    </font>
    <font>
      <sz val="9"/>
      <color rgb="FF000000"/>
      <name val="&quot;Google Sans Mono&quot;"/>
    </font>
    <font>
      <sz val="9"/>
      <color rgb="FF222222"/>
      <name val="Arial"/>
    </font>
    <font>
      <u/>
      <sz val="10"/>
      <color rgb="FF1155CC"/>
      <name val="Arial"/>
    </font>
    <font>
      <u/>
      <sz val="9"/>
      <color rgb="FF000000"/>
      <name val="Arial"/>
    </font>
    <font>
      <sz val="10"/>
      <color rgb="FF111111"/>
      <name val="Arial"/>
    </font>
    <font>
      <u/>
      <sz val="10"/>
      <color rgb="FF000000"/>
      <name val="Arial"/>
    </font>
    <font>
      <u/>
      <sz val="10"/>
      <color rgb="FF0000FF"/>
      <name val="Arial"/>
    </font>
    <font>
      <u/>
      <sz val="9"/>
      <color rgb="FF0563C1"/>
      <name val="Arial"/>
    </font>
    <font>
      <u/>
      <sz val="10"/>
      <color rgb="FF0000FF"/>
      <name val="Arial"/>
    </font>
    <font>
      <sz val="12"/>
      <name val="Arial"/>
    </font>
    <font>
      <b/>
      <sz val="12"/>
      <color rgb="FFFFFFFF"/>
      <name val="Arial"/>
    </font>
    <font>
      <b/>
      <sz val="10"/>
      <color rgb="FFFFFFFF"/>
      <name val="Arial"/>
    </font>
    <font>
      <sz val="10"/>
      <color rgb="FFFFFFFF"/>
      <name val="Arial"/>
    </font>
    <font>
      <sz val="10"/>
      <color rgb="FFFFFFFF"/>
      <name val="Arial"/>
    </font>
    <font>
      <sz val="10"/>
      <color rgb="FF333333"/>
      <name val="Arial"/>
    </font>
    <font>
      <i/>
      <sz val="10"/>
      <color rgb="FF000000"/>
      <name val="Arial"/>
    </font>
    <font>
      <sz val="10"/>
      <color rgb="FF000000"/>
      <name val="arial,sans,sans-serif"/>
    </font>
    <font>
      <sz val="10"/>
      <color rgb="FFFF0000"/>
      <name val="arial,sans,sans-serif"/>
    </font>
    <font>
      <b/>
      <u/>
      <sz val="12"/>
      <color rgb="FF1155CC"/>
      <name val="Calibri"/>
    </font>
    <font>
      <sz val="12"/>
      <name val="Calibri, sans-serif"/>
    </font>
    <font>
      <b/>
      <u/>
      <sz val="12"/>
      <color rgb="FF1155CC"/>
      <name val="Calibri, sans-serif"/>
    </font>
    <font>
      <b/>
      <sz val="12"/>
      <name val="Calibri, sans-serif"/>
    </font>
  </fonts>
  <fills count="16">
    <fill>
      <patternFill patternType="none"/>
    </fill>
    <fill>
      <patternFill patternType="gray125"/>
    </fill>
    <fill>
      <patternFill patternType="solid">
        <fgColor rgb="FFFFF2CC"/>
        <bgColor rgb="FFFFF2CC"/>
      </patternFill>
    </fill>
    <fill>
      <patternFill patternType="solid">
        <fgColor rgb="FFFFFFFF"/>
        <bgColor rgb="FFFFFFFF"/>
      </patternFill>
    </fill>
    <fill>
      <patternFill patternType="solid">
        <fgColor rgb="FFEFEFEF"/>
        <bgColor rgb="FFEFEFEF"/>
      </patternFill>
    </fill>
    <fill>
      <patternFill patternType="solid">
        <fgColor rgb="FFFFFBF0"/>
        <bgColor rgb="FFFFFBF0"/>
      </patternFill>
    </fill>
    <fill>
      <patternFill patternType="solid">
        <fgColor rgb="FFD9D9D9"/>
        <bgColor rgb="FFD9D9D9"/>
      </patternFill>
    </fill>
    <fill>
      <patternFill patternType="solid">
        <fgColor rgb="FFF4CCCC"/>
        <bgColor rgb="FFF4CCCC"/>
      </patternFill>
    </fill>
    <fill>
      <patternFill patternType="solid">
        <fgColor rgb="FFF3F3F3"/>
        <bgColor rgb="FFF3F3F3"/>
      </patternFill>
    </fill>
    <fill>
      <patternFill patternType="solid">
        <fgColor rgb="FFB6D7A8"/>
        <bgColor rgb="FFB6D7A8"/>
      </patternFill>
    </fill>
    <fill>
      <patternFill patternType="solid">
        <fgColor rgb="FFFFFF00"/>
        <bgColor rgb="FFFFFF00"/>
      </patternFill>
    </fill>
    <fill>
      <patternFill patternType="solid">
        <fgColor rgb="FFFCE5CD"/>
        <bgColor rgb="FFFCE5CD"/>
      </patternFill>
    </fill>
    <fill>
      <patternFill patternType="solid">
        <fgColor rgb="FFFF0000"/>
        <bgColor rgb="FFFF0000"/>
      </patternFill>
    </fill>
    <fill>
      <patternFill patternType="solid">
        <fgColor rgb="FFC9DAF8"/>
        <bgColor rgb="FFC9DAF8"/>
      </patternFill>
    </fill>
    <fill>
      <patternFill patternType="solid">
        <fgColor rgb="FFF6F8FA"/>
        <bgColor rgb="FFF6F8FA"/>
      </patternFill>
    </fill>
    <fill>
      <patternFill patternType="solid">
        <fgColor rgb="FF000000"/>
        <bgColor rgb="FF000000"/>
      </patternFill>
    </fill>
  </fills>
  <borders count="11">
    <border>
      <left/>
      <right/>
      <top/>
      <bottom/>
      <diagonal/>
    </border>
    <border>
      <left/>
      <right style="medium">
        <color rgb="FF000000"/>
      </right>
      <top/>
      <bottom/>
      <diagonal/>
    </border>
    <border>
      <left/>
      <right/>
      <top/>
      <bottom style="thin">
        <color rgb="FF000000"/>
      </bottom>
      <diagonal/>
    </border>
    <border>
      <left style="medium">
        <color rgb="FF000000"/>
      </left>
      <right/>
      <top/>
      <bottom/>
      <diagonal/>
    </border>
    <border>
      <left/>
      <right/>
      <top style="thin">
        <color rgb="FF000000"/>
      </top>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rgb="FF000000"/>
      </right>
      <top style="thin">
        <color rgb="FF000000"/>
      </top>
      <bottom style="thin">
        <color rgb="FF000000"/>
      </bottom>
      <diagonal/>
    </border>
  </borders>
  <cellStyleXfs count="1">
    <xf numFmtId="0" fontId="0" fillId="0" borderId="0"/>
  </cellStyleXfs>
  <cellXfs count="260">
    <xf numFmtId="0" fontId="0" fillId="0" borderId="0" xfId="0"/>
    <xf numFmtId="0" fontId="1" fillId="2" borderId="0" xfId="0" applyFont="1" applyFill="1" applyAlignment="1">
      <alignment vertical="top" wrapText="1"/>
    </xf>
    <xf numFmtId="0" fontId="2" fillId="0" borderId="1" xfId="0" applyFont="1" applyBorder="1" applyAlignment="1">
      <alignment vertical="top" wrapText="1"/>
    </xf>
    <xf numFmtId="0" fontId="2" fillId="0" borderId="0" xfId="0" applyFont="1" applyAlignment="1">
      <alignment vertical="top" wrapText="1"/>
    </xf>
    <xf numFmtId="0" fontId="3" fillId="0" borderId="0" xfId="0" applyFont="1" applyAlignment="1">
      <alignment vertical="top" wrapText="1"/>
    </xf>
    <xf numFmtId="0" fontId="3" fillId="0" borderId="2" xfId="0" applyFont="1" applyBorder="1" applyAlignment="1">
      <alignment vertical="top" wrapText="1"/>
    </xf>
    <xf numFmtId="0" fontId="3" fillId="0" borderId="0" xfId="0" applyFont="1" applyAlignment="1">
      <alignment vertical="top"/>
    </xf>
    <xf numFmtId="0" fontId="3" fillId="0" borderId="1" xfId="0" applyFont="1" applyBorder="1" applyAlignment="1">
      <alignment vertical="top" wrapText="1"/>
    </xf>
    <xf numFmtId="0" fontId="3" fillId="0" borderId="0" xfId="0" applyFont="1"/>
    <xf numFmtId="0" fontId="7" fillId="0" borderId="0" xfId="0" applyFont="1"/>
    <xf numFmtId="0" fontId="7" fillId="0" borderId="0" xfId="0" applyFont="1" applyAlignment="1">
      <alignment vertical="top"/>
    </xf>
    <xf numFmtId="0" fontId="7" fillId="0" borderId="0" xfId="0" applyFont="1" applyAlignment="1">
      <alignment vertical="top" wrapText="1"/>
    </xf>
    <xf numFmtId="0" fontId="4" fillId="0" borderId="0" xfId="0" applyFont="1" applyAlignment="1">
      <alignment vertical="top" wrapText="1"/>
    </xf>
    <xf numFmtId="0" fontId="8" fillId="0" borderId="0" xfId="0" applyFont="1" applyAlignment="1">
      <alignment vertical="top" wrapText="1"/>
    </xf>
    <xf numFmtId="0" fontId="3" fillId="0" borderId="4" xfId="0" applyFont="1" applyBorder="1" applyAlignment="1">
      <alignment vertical="top" wrapText="1"/>
    </xf>
    <xf numFmtId="165" fontId="3" fillId="0" borderId="0" xfId="0" applyNumberFormat="1" applyFont="1" applyAlignment="1">
      <alignment vertical="top" wrapText="1"/>
    </xf>
    <xf numFmtId="0" fontId="10" fillId="0" borderId="0" xfId="0" applyFont="1" applyAlignment="1">
      <alignment vertical="top" wrapText="1"/>
    </xf>
    <xf numFmtId="0" fontId="11" fillId="2" borderId="0" xfId="0" applyFont="1" applyFill="1" applyAlignment="1">
      <alignment vertical="top" wrapText="1"/>
    </xf>
    <xf numFmtId="0" fontId="12" fillId="5" borderId="0" xfId="0" applyFont="1" applyFill="1" applyAlignment="1">
      <alignment vertical="top" wrapText="1"/>
    </xf>
    <xf numFmtId="0" fontId="13" fillId="5" borderId="0" xfId="0" applyFont="1" applyFill="1" applyAlignment="1">
      <alignment vertical="top" wrapText="1"/>
    </xf>
    <xf numFmtId="0" fontId="14" fillId="2" borderId="0" xfId="0" applyFont="1" applyFill="1" applyAlignment="1">
      <alignment vertical="top" wrapText="1"/>
    </xf>
    <xf numFmtId="0" fontId="14" fillId="2" borderId="0" xfId="0" applyFont="1" applyFill="1" applyAlignment="1">
      <alignment horizontal="left" vertical="top" wrapText="1"/>
    </xf>
    <xf numFmtId="0" fontId="12" fillId="5" borderId="0" xfId="0" applyFont="1" applyFill="1" applyAlignment="1">
      <alignment horizontal="left" vertical="top" wrapText="1"/>
    </xf>
    <xf numFmtId="0" fontId="10" fillId="0" borderId="0" xfId="0" applyFont="1" applyAlignment="1">
      <alignment horizontal="center" vertical="top" wrapText="1"/>
    </xf>
    <xf numFmtId="0" fontId="15" fillId="3" borderId="0" xfId="0" applyFont="1" applyFill="1" applyAlignment="1">
      <alignment horizontal="left" vertical="top" wrapText="1"/>
    </xf>
    <xf numFmtId="0" fontId="16" fillId="5" borderId="0" xfId="0" applyFont="1" applyFill="1" applyAlignment="1">
      <alignment vertical="top" wrapText="1"/>
    </xf>
    <xf numFmtId="0" fontId="16" fillId="5" borderId="0" xfId="0" applyFont="1" applyFill="1" applyAlignment="1">
      <alignment horizontal="left" vertical="top" wrapText="1"/>
    </xf>
    <xf numFmtId="0" fontId="17" fillId="0" borderId="0" xfId="0" applyFont="1" applyAlignment="1">
      <alignment wrapText="1"/>
    </xf>
    <xf numFmtId="0" fontId="20" fillId="2" borderId="0" xfId="0" applyFont="1" applyFill="1" applyAlignment="1">
      <alignment vertical="top" wrapText="1"/>
    </xf>
    <xf numFmtId="0" fontId="21" fillId="2" borderId="6" xfId="0" applyFont="1" applyFill="1" applyBorder="1" applyAlignment="1">
      <alignment horizontal="left" vertical="top" wrapText="1"/>
    </xf>
    <xf numFmtId="0" fontId="20" fillId="2" borderId="0" xfId="0" applyFont="1" applyFill="1" applyAlignment="1">
      <alignment vertical="top"/>
    </xf>
    <xf numFmtId="0" fontId="4" fillId="3" borderId="0" xfId="0" applyFont="1" applyFill="1" applyAlignment="1">
      <alignment horizontal="left" vertical="top"/>
    </xf>
    <xf numFmtId="0" fontId="7" fillId="2" borderId="0" xfId="0" applyFont="1" applyFill="1" applyAlignment="1">
      <alignment vertical="top"/>
    </xf>
    <xf numFmtId="0" fontId="1" fillId="2" borderId="0" xfId="0" applyFont="1" applyFill="1" applyAlignment="1">
      <alignment vertical="top"/>
    </xf>
    <xf numFmtId="0" fontId="20" fillId="2" borderId="6" xfId="0" applyFont="1" applyFill="1" applyBorder="1" applyAlignment="1">
      <alignment horizontal="left" vertical="top" wrapText="1"/>
    </xf>
    <xf numFmtId="0" fontId="1" fillId="6" borderId="0" xfId="0" applyFont="1" applyFill="1" applyAlignment="1">
      <alignment vertical="top" wrapText="1"/>
    </xf>
    <xf numFmtId="0" fontId="8" fillId="0" borderId="0" xfId="0" applyFont="1" applyAlignment="1">
      <alignment horizontal="left" vertical="top"/>
    </xf>
    <xf numFmtId="0" fontId="24" fillId="0" borderId="0" xfId="0" applyFont="1" applyAlignment="1">
      <alignment vertical="top"/>
    </xf>
    <xf numFmtId="0" fontId="0" fillId="0" borderId="0" xfId="0" applyAlignment="1">
      <alignment vertical="top" wrapText="1"/>
    </xf>
    <xf numFmtId="0" fontId="25" fillId="0" borderId="0" xfId="0" applyFont="1" applyAlignment="1">
      <alignment vertical="top"/>
    </xf>
    <xf numFmtId="0" fontId="26" fillId="0" borderId="0" xfId="0" applyFont="1" applyAlignment="1">
      <alignment vertical="top"/>
    </xf>
    <xf numFmtId="0" fontId="26" fillId="0" borderId="0" xfId="0" applyFont="1" applyAlignment="1">
      <alignment horizontal="left" vertical="top"/>
    </xf>
    <xf numFmtId="0" fontId="26" fillId="0" borderId="0" xfId="0" applyFont="1" applyAlignment="1">
      <alignment vertical="top" wrapText="1"/>
    </xf>
    <xf numFmtId="0" fontId="25" fillId="0" borderId="0" xfId="0" applyFont="1" applyAlignment="1">
      <alignment vertical="top" wrapText="1"/>
    </xf>
    <xf numFmtId="0" fontId="8" fillId="0" borderId="0" xfId="0" applyFont="1" applyAlignment="1">
      <alignment vertical="top"/>
    </xf>
    <xf numFmtId="0" fontId="23" fillId="0" borderId="0" xfId="0" applyFont="1" applyAlignment="1">
      <alignment vertical="top" wrapText="1"/>
    </xf>
    <xf numFmtId="0" fontId="27" fillId="0" borderId="0" xfId="0" applyFont="1" applyAlignment="1">
      <alignment vertical="top"/>
    </xf>
    <xf numFmtId="0" fontId="23" fillId="9" borderId="0" xfId="0" applyFont="1" applyFill="1" applyAlignment="1">
      <alignment vertical="top" wrapText="1"/>
    </xf>
    <xf numFmtId="0" fontId="29" fillId="0" borderId="0" xfId="0" applyFont="1" applyAlignment="1">
      <alignment vertical="top"/>
    </xf>
    <xf numFmtId="0" fontId="25" fillId="3" borderId="0" xfId="0" applyFont="1" applyFill="1" applyAlignment="1">
      <alignment horizontal="left" vertical="top"/>
    </xf>
    <xf numFmtId="0" fontId="26" fillId="0" borderId="0" xfId="0" applyFont="1" applyAlignment="1">
      <alignment horizontal="left" vertical="top" wrapText="1"/>
    </xf>
    <xf numFmtId="0" fontId="28" fillId="0" borderId="0" xfId="0" applyFont="1" applyAlignment="1">
      <alignment vertical="top"/>
    </xf>
    <xf numFmtId="0" fontId="25" fillId="7" borderId="0" xfId="0" applyFont="1" applyFill="1" applyAlignment="1">
      <alignment vertical="top"/>
    </xf>
    <xf numFmtId="0" fontId="0" fillId="0" borderId="0" xfId="0" applyAlignment="1">
      <alignment vertical="top"/>
    </xf>
    <xf numFmtId="0" fontId="0" fillId="3" borderId="0" xfId="0" applyFill="1" applyAlignment="1">
      <alignment horizontal="left" vertical="top"/>
    </xf>
    <xf numFmtId="0" fontId="0" fillId="0" borderId="0" xfId="0" applyAlignment="1">
      <alignment horizontal="left" vertical="top"/>
    </xf>
    <xf numFmtId="0" fontId="26" fillId="2" borderId="0" xfId="0" applyFont="1" applyFill="1" applyAlignment="1">
      <alignment vertical="top"/>
    </xf>
    <xf numFmtId="0" fontId="21" fillId="2" borderId="7" xfId="0" applyFont="1" applyFill="1" applyBorder="1" applyAlignment="1">
      <alignment horizontal="left" vertical="top" wrapText="1"/>
    </xf>
    <xf numFmtId="0" fontId="1" fillId="2" borderId="7" xfId="0" applyFont="1" applyFill="1" applyBorder="1" applyAlignment="1">
      <alignment vertical="top"/>
    </xf>
    <xf numFmtId="0" fontId="8" fillId="8" borderId="0" xfId="0" applyFont="1" applyFill="1" applyAlignment="1">
      <alignment vertical="top" wrapText="1"/>
    </xf>
    <xf numFmtId="0" fontId="8" fillId="8" borderId="0" xfId="0" applyFont="1" applyFill="1" applyAlignment="1">
      <alignment vertical="top"/>
    </xf>
    <xf numFmtId="0" fontId="0" fillId="8" borderId="5" xfId="0" applyFill="1" applyBorder="1" applyAlignment="1">
      <alignment vertical="top"/>
    </xf>
    <xf numFmtId="0" fontId="26" fillId="8" borderId="3" xfId="0" applyFont="1" applyFill="1" applyBorder="1" applyAlignment="1">
      <alignment vertical="top"/>
    </xf>
    <xf numFmtId="0" fontId="26" fillId="8" borderId="0" xfId="0" applyFont="1" applyFill="1" applyAlignment="1">
      <alignment vertical="top" wrapText="1"/>
    </xf>
    <xf numFmtId="0" fontId="0" fillId="0" borderId="0" xfId="0" applyAlignment="1">
      <alignment horizontal="left" vertical="top" wrapText="1"/>
    </xf>
    <xf numFmtId="0" fontId="26" fillId="0" borderId="3" xfId="0" applyFont="1" applyBorder="1" applyAlignment="1">
      <alignment vertical="top"/>
    </xf>
    <xf numFmtId="0" fontId="0" fillId="8" borderId="0" xfId="0" applyFill="1" applyAlignment="1">
      <alignment horizontal="left" vertical="top" wrapText="1"/>
    </xf>
    <xf numFmtId="0" fontId="0" fillId="8" borderId="0" xfId="0" applyFill="1" applyAlignment="1">
      <alignment horizontal="left" vertical="top"/>
    </xf>
    <xf numFmtId="0" fontId="3" fillId="0" borderId="5" xfId="0" applyFont="1" applyBorder="1"/>
    <xf numFmtId="0" fontId="3" fillId="8" borderId="0" xfId="0" applyFont="1" applyFill="1" applyAlignment="1">
      <alignment vertical="top"/>
    </xf>
    <xf numFmtId="0" fontId="0" fillId="8" borderId="0" xfId="0" applyFill="1" applyAlignment="1">
      <alignment vertical="top"/>
    </xf>
    <xf numFmtId="0" fontId="8" fillId="0" borderId="5" xfId="0" applyFont="1" applyBorder="1" applyAlignment="1">
      <alignment vertical="top"/>
    </xf>
    <xf numFmtId="0" fontId="0" fillId="0" borderId="5" xfId="0" applyBorder="1" applyAlignment="1">
      <alignment horizontal="left" vertical="top"/>
    </xf>
    <xf numFmtId="0" fontId="7" fillId="0" borderId="3" xfId="0" applyFont="1" applyBorder="1" applyAlignment="1">
      <alignment vertical="top"/>
    </xf>
    <xf numFmtId="0" fontId="8" fillId="8" borderId="5" xfId="0" applyFont="1" applyFill="1" applyBorder="1" applyAlignment="1">
      <alignment vertical="top"/>
    </xf>
    <xf numFmtId="0" fontId="26" fillId="8" borderId="0" xfId="0" applyFont="1" applyFill="1" applyAlignment="1">
      <alignment vertical="top"/>
    </xf>
    <xf numFmtId="0" fontId="0" fillId="0" borderId="8" xfId="0" applyBorder="1" applyAlignment="1">
      <alignment horizontal="left" vertical="top"/>
    </xf>
    <xf numFmtId="0" fontId="3" fillId="0" borderId="8" xfId="0" applyFont="1" applyBorder="1"/>
    <xf numFmtId="0" fontId="8" fillId="0" borderId="9" xfId="0" applyFont="1" applyBorder="1" applyAlignment="1">
      <alignment vertical="top"/>
    </xf>
    <xf numFmtId="0" fontId="8" fillId="0" borderId="8" xfId="0" applyFont="1" applyBorder="1" applyAlignment="1">
      <alignment vertical="top"/>
    </xf>
    <xf numFmtId="0" fontId="7" fillId="0" borderId="8" xfId="0" applyFont="1" applyBorder="1" applyAlignment="1">
      <alignment vertical="top"/>
    </xf>
    <xf numFmtId="0" fontId="25" fillId="0" borderId="0" xfId="0" applyFont="1" applyAlignment="1">
      <alignment horizontal="left" vertical="top"/>
    </xf>
    <xf numFmtId="0" fontId="0" fillId="3" borderId="0" xfId="0" applyFill="1" applyAlignment="1">
      <alignment vertical="top"/>
    </xf>
    <xf numFmtId="0" fontId="0" fillId="3" borderId="5" xfId="0" applyFill="1" applyBorder="1" applyAlignment="1">
      <alignment vertical="top"/>
    </xf>
    <xf numFmtId="0" fontId="25" fillId="0" borderId="3" xfId="0" applyFont="1" applyBorder="1" applyAlignment="1">
      <alignment horizontal="left" vertical="top"/>
    </xf>
    <xf numFmtId="0" fontId="0" fillId="3" borderId="5" xfId="0" applyFill="1" applyBorder="1" applyAlignment="1">
      <alignment horizontal="left" vertical="top"/>
    </xf>
    <xf numFmtId="0" fontId="25" fillId="8" borderId="3" xfId="0" applyFont="1" applyFill="1" applyBorder="1" applyAlignment="1">
      <alignment vertical="top"/>
    </xf>
    <xf numFmtId="0" fontId="25" fillId="8" borderId="0" xfId="0" applyFont="1" applyFill="1" applyAlignment="1">
      <alignment vertical="top" wrapText="1"/>
    </xf>
    <xf numFmtId="0" fontId="25" fillId="8" borderId="0" xfId="0" applyFont="1" applyFill="1" applyAlignment="1">
      <alignment vertical="top"/>
    </xf>
    <xf numFmtId="0" fontId="0" fillId="0" borderId="5" xfId="0" applyBorder="1" applyAlignment="1">
      <alignment vertical="top"/>
    </xf>
    <xf numFmtId="0" fontId="25" fillId="0" borderId="3" xfId="0" applyFont="1" applyBorder="1" applyAlignment="1">
      <alignment vertical="top"/>
    </xf>
    <xf numFmtId="0" fontId="8" fillId="3" borderId="0" xfId="0" applyFont="1" applyFill="1" applyAlignment="1">
      <alignment horizontal="left" vertical="top"/>
    </xf>
    <xf numFmtId="0" fontId="34" fillId="0" borderId="0" xfId="0" applyFont="1"/>
    <xf numFmtId="0" fontId="25" fillId="3" borderId="3" xfId="0" applyFont="1" applyFill="1" applyBorder="1" applyAlignment="1">
      <alignment vertical="top"/>
    </xf>
    <xf numFmtId="0" fontId="25" fillId="3" borderId="0" xfId="0" applyFont="1" applyFill="1" applyAlignment="1">
      <alignment vertical="top"/>
    </xf>
    <xf numFmtId="0" fontId="25" fillId="3" borderId="3" xfId="0" applyFont="1" applyFill="1" applyBorder="1" applyAlignment="1">
      <alignment horizontal="left" vertical="top"/>
    </xf>
    <xf numFmtId="0" fontId="0" fillId="3" borderId="0" xfId="0" applyFill="1" applyAlignment="1">
      <alignment vertical="top" wrapText="1"/>
    </xf>
    <xf numFmtId="0" fontId="25" fillId="8" borderId="3" xfId="0" applyFont="1" applyFill="1" applyBorder="1" applyAlignment="1">
      <alignment horizontal="left" vertical="top"/>
    </xf>
    <xf numFmtId="0" fontId="25" fillId="8" borderId="0" xfId="0" applyFont="1" applyFill="1" applyAlignment="1">
      <alignment horizontal="left" vertical="top" wrapText="1"/>
    </xf>
    <xf numFmtId="0" fontId="25" fillId="8" borderId="0" xfId="0" applyFont="1" applyFill="1" applyAlignment="1">
      <alignment horizontal="left" vertical="top"/>
    </xf>
    <xf numFmtId="0" fontId="25" fillId="0" borderId="0" xfId="0" applyFont="1" applyAlignment="1">
      <alignment horizontal="left" vertical="top" wrapText="1"/>
    </xf>
    <xf numFmtId="0" fontId="35" fillId="0" borderId="3" xfId="0" applyFont="1" applyBorder="1" applyAlignment="1">
      <alignment horizontal="left" vertical="top"/>
    </xf>
    <xf numFmtId="0" fontId="36" fillId="0" borderId="0" xfId="0" applyFont="1" applyAlignment="1">
      <alignment horizontal="left" vertical="top"/>
    </xf>
    <xf numFmtId="0" fontId="7" fillId="0" borderId="5" xfId="0" applyFont="1" applyBorder="1" applyAlignment="1">
      <alignment vertical="top"/>
    </xf>
    <xf numFmtId="0" fontId="25" fillId="3" borderId="0" xfId="0" applyFont="1" applyFill="1" applyAlignment="1">
      <alignment vertical="top" wrapText="1"/>
    </xf>
    <xf numFmtId="0" fontId="25" fillId="3" borderId="0" xfId="0" applyFont="1" applyFill="1" applyAlignment="1">
      <alignment horizontal="left" vertical="top" wrapText="1"/>
    </xf>
    <xf numFmtId="0" fontId="30" fillId="0" borderId="3" xfId="0" applyFont="1" applyBorder="1" applyAlignment="1">
      <alignment vertical="top"/>
    </xf>
    <xf numFmtId="0" fontId="38" fillId="3" borderId="3" xfId="0" applyFont="1" applyFill="1" applyBorder="1" applyAlignment="1">
      <alignment horizontal="left" vertical="top"/>
    </xf>
    <xf numFmtId="0" fontId="38" fillId="3" borderId="0" xfId="0" applyFont="1" applyFill="1" applyAlignment="1">
      <alignment horizontal="left" vertical="top" wrapText="1"/>
    </xf>
    <xf numFmtId="0" fontId="38" fillId="3" borderId="0" xfId="0" applyFont="1" applyFill="1" applyAlignment="1">
      <alignment horizontal="left" vertical="top"/>
    </xf>
    <xf numFmtId="0" fontId="23" fillId="0" borderId="3" xfId="0" applyFont="1" applyBorder="1" applyAlignment="1">
      <alignment horizontal="left" vertical="top"/>
    </xf>
    <xf numFmtId="0" fontId="23" fillId="0" borderId="0" xfId="0" applyFont="1" applyAlignment="1">
      <alignment horizontal="left" vertical="top"/>
    </xf>
    <xf numFmtId="0" fontId="39" fillId="0" borderId="0" xfId="0" applyFont="1" applyAlignment="1">
      <alignment vertical="top" wrapText="1"/>
    </xf>
    <xf numFmtId="0" fontId="20" fillId="0" borderId="0" xfId="0" applyFont="1" applyAlignment="1">
      <alignment vertical="top"/>
    </xf>
    <xf numFmtId="0" fontId="18" fillId="0" borderId="0" xfId="0" applyFont="1" applyAlignment="1">
      <alignment vertical="top"/>
    </xf>
    <xf numFmtId="0" fontId="19" fillId="0" borderId="0" xfId="0" applyFont="1" applyAlignment="1">
      <alignment vertical="top"/>
    </xf>
    <xf numFmtId="0" fontId="7" fillId="8" borderId="0" xfId="0" applyFont="1" applyFill="1" applyAlignment="1">
      <alignment vertical="top"/>
    </xf>
    <xf numFmtId="0" fontId="26" fillId="8" borderId="3" xfId="0" applyFont="1" applyFill="1" applyBorder="1" applyAlignment="1">
      <alignment vertical="top" wrapText="1"/>
    </xf>
    <xf numFmtId="0" fontId="26" fillId="0" borderId="3" xfId="0" applyFont="1" applyBorder="1" applyAlignment="1">
      <alignment vertical="top" wrapText="1"/>
    </xf>
    <xf numFmtId="0" fontId="3" fillId="0" borderId="5" xfId="0" applyFont="1" applyBorder="1" applyAlignment="1">
      <alignment vertical="top"/>
    </xf>
    <xf numFmtId="0" fontId="3" fillId="0" borderId="3" xfId="0" applyFont="1" applyBorder="1" applyAlignment="1">
      <alignment vertical="top"/>
    </xf>
    <xf numFmtId="0" fontId="40" fillId="3" borderId="0" xfId="0" applyFont="1" applyFill="1" applyAlignment="1">
      <alignment vertical="top"/>
    </xf>
    <xf numFmtId="0" fontId="23" fillId="0" borderId="0" xfId="0" applyFont="1" applyAlignment="1">
      <alignment vertical="top"/>
    </xf>
    <xf numFmtId="0" fontId="41" fillId="0" borderId="0" xfId="0" applyFont="1" applyAlignment="1">
      <alignment vertical="top"/>
    </xf>
    <xf numFmtId="0" fontId="42" fillId="0" borderId="0" xfId="0" applyFont="1" applyAlignment="1">
      <alignment vertical="top"/>
    </xf>
    <xf numFmtId="0" fontId="42" fillId="0" borderId="5" xfId="0" applyFont="1" applyBorder="1" applyAlignment="1">
      <alignment vertical="top"/>
    </xf>
    <xf numFmtId="0" fontId="43" fillId="0" borderId="0" xfId="0" applyFont="1" applyAlignment="1">
      <alignment vertical="top"/>
    </xf>
    <xf numFmtId="0" fontId="3" fillId="0" borderId="8" xfId="0" applyFont="1" applyBorder="1" applyAlignment="1">
      <alignment vertical="top"/>
    </xf>
    <xf numFmtId="0" fontId="7" fillId="3" borderId="0" xfId="0" applyFont="1" applyFill="1" applyAlignment="1">
      <alignment vertical="top"/>
    </xf>
    <xf numFmtId="0" fontId="44" fillId="0" borderId="0" xfId="0" applyFont="1" applyAlignment="1">
      <alignment vertical="top"/>
    </xf>
    <xf numFmtId="49" fontId="7" fillId="0" borderId="0" xfId="0" applyNumberFormat="1" applyFont="1" applyAlignment="1">
      <alignment vertical="top"/>
    </xf>
    <xf numFmtId="0" fontId="45" fillId="0" borderId="0" xfId="0" applyFont="1" applyAlignment="1">
      <alignment vertical="top"/>
    </xf>
    <xf numFmtId="0" fontId="37" fillId="0" borderId="0" xfId="0" applyFont="1" applyAlignment="1">
      <alignment vertical="top"/>
    </xf>
    <xf numFmtId="0" fontId="30" fillId="0" borderId="3" xfId="0" applyFont="1" applyBorder="1" applyAlignment="1">
      <alignment vertical="top" wrapText="1"/>
    </xf>
    <xf numFmtId="0" fontId="8" fillId="0" borderId="3" xfId="0" applyFont="1" applyBorder="1" applyAlignment="1">
      <alignment vertical="top"/>
    </xf>
    <xf numFmtId="0" fontId="21" fillId="2" borderId="8" xfId="0" applyFont="1" applyFill="1" applyBorder="1" applyAlignment="1">
      <alignment horizontal="left" vertical="top" wrapText="1"/>
    </xf>
    <xf numFmtId="0" fontId="21" fillId="2" borderId="9" xfId="0" applyFont="1" applyFill="1" applyBorder="1" applyAlignment="1">
      <alignment horizontal="left" vertical="top"/>
    </xf>
    <xf numFmtId="0" fontId="21" fillId="2" borderId="9" xfId="0" applyFont="1" applyFill="1" applyBorder="1" applyAlignment="1">
      <alignment horizontal="left" vertical="top" wrapText="1"/>
    </xf>
    <xf numFmtId="0" fontId="23" fillId="2" borderId="7" xfId="0" applyFont="1" applyFill="1" applyBorder="1" applyAlignment="1">
      <alignment vertical="top"/>
    </xf>
    <xf numFmtId="0" fontId="31" fillId="0" borderId="9" xfId="0" applyFont="1" applyBorder="1" applyAlignment="1">
      <alignment vertical="top"/>
    </xf>
    <xf numFmtId="0" fontId="0" fillId="0" borderId="8" xfId="0" applyBorder="1" applyAlignment="1">
      <alignment vertical="top"/>
    </xf>
    <xf numFmtId="0" fontId="39" fillId="0" borderId="0" xfId="0" applyFont="1" applyAlignment="1">
      <alignment vertical="top"/>
    </xf>
    <xf numFmtId="0" fontId="8" fillId="4" borderId="0" xfId="0" applyFont="1" applyFill="1" applyAlignment="1">
      <alignment vertical="top"/>
    </xf>
    <xf numFmtId="0" fontId="0" fillId="0" borderId="3" xfId="0" applyBorder="1" applyAlignment="1">
      <alignment vertical="top"/>
    </xf>
    <xf numFmtId="0" fontId="18" fillId="0" borderId="5" xfId="0" applyFont="1" applyBorder="1"/>
    <xf numFmtId="0" fontId="25" fillId="3" borderId="8" xfId="0" applyFont="1" applyFill="1" applyBorder="1" applyAlignment="1">
      <alignment vertical="top"/>
    </xf>
    <xf numFmtId="0" fontId="25" fillId="3" borderId="5" xfId="0" applyFont="1" applyFill="1" applyBorder="1" applyAlignment="1">
      <alignment vertical="top"/>
    </xf>
    <xf numFmtId="0" fontId="46" fillId="3" borderId="0" xfId="0" applyFont="1" applyFill="1"/>
    <xf numFmtId="0" fontId="25" fillId="0" borderId="8" xfId="0" applyFont="1" applyBorder="1" applyAlignment="1">
      <alignment vertical="top"/>
    </xf>
    <xf numFmtId="0" fontId="25" fillId="0" borderId="5" xfId="0" applyFont="1" applyBorder="1" applyAlignment="1">
      <alignment vertical="top"/>
    </xf>
    <xf numFmtId="0" fontId="0" fillId="3" borderId="3" xfId="0" applyFill="1" applyBorder="1" applyAlignment="1">
      <alignment vertical="top"/>
    </xf>
    <xf numFmtId="0" fontId="25" fillId="0" borderId="8" xfId="0" applyFont="1" applyBorder="1" applyAlignment="1">
      <alignment horizontal="left" vertical="top"/>
    </xf>
    <xf numFmtId="0" fontId="25" fillId="0" borderId="5" xfId="0" applyFont="1" applyBorder="1" applyAlignment="1">
      <alignment horizontal="left" vertical="top"/>
    </xf>
    <xf numFmtId="0" fontId="26" fillId="0" borderId="8" xfId="0" applyFont="1" applyBorder="1" applyAlignment="1">
      <alignment vertical="top"/>
    </xf>
    <xf numFmtId="0" fontId="26" fillId="0" borderId="5" xfId="0" applyFont="1" applyBorder="1" applyAlignment="1">
      <alignment vertical="top"/>
    </xf>
    <xf numFmtId="0" fontId="4" fillId="0" borderId="0" xfId="0" applyFont="1" applyAlignment="1">
      <alignment vertical="top"/>
    </xf>
    <xf numFmtId="0" fontId="3" fillId="0" borderId="9" xfId="0" applyFont="1" applyBorder="1" applyAlignment="1">
      <alignment vertical="top"/>
    </xf>
    <xf numFmtId="0" fontId="0" fillId="8" borderId="8" xfId="0" applyFill="1" applyBorder="1" applyAlignment="1">
      <alignment horizontal="left" vertical="top"/>
    </xf>
    <xf numFmtId="0" fontId="31" fillId="8" borderId="9" xfId="0" applyFont="1" applyFill="1" applyBorder="1" applyAlignment="1">
      <alignment vertical="top"/>
    </xf>
    <xf numFmtId="0" fontId="8" fillId="8" borderId="8" xfId="0" applyFont="1" applyFill="1" applyBorder="1" applyAlignment="1">
      <alignment vertical="top"/>
    </xf>
    <xf numFmtId="0" fontId="32" fillId="8" borderId="9" xfId="0" applyFont="1" applyFill="1" applyBorder="1" applyAlignment="1">
      <alignment vertical="top"/>
    </xf>
    <xf numFmtId="0" fontId="21" fillId="2" borderId="6" xfId="0" applyFont="1" applyFill="1" applyBorder="1" applyAlignment="1">
      <alignment horizontal="left" vertical="top"/>
    </xf>
    <xf numFmtId="0" fontId="20" fillId="2" borderId="6" xfId="0" applyFont="1" applyFill="1" applyBorder="1" applyAlignment="1">
      <alignment horizontal="left" vertical="top"/>
    </xf>
    <xf numFmtId="0" fontId="26" fillId="4" borderId="0" xfId="0" applyFont="1" applyFill="1" applyAlignment="1">
      <alignment vertical="top"/>
    </xf>
    <xf numFmtId="0" fontId="1" fillId="4" borderId="0" xfId="0" applyFont="1" applyFill="1" applyAlignment="1">
      <alignment vertical="top"/>
    </xf>
    <xf numFmtId="0" fontId="25" fillId="4" borderId="0" xfId="0" applyFont="1" applyFill="1" applyAlignment="1">
      <alignment vertical="top"/>
    </xf>
    <xf numFmtId="0" fontId="25" fillId="10" borderId="0" xfId="0" applyFont="1" applyFill="1" applyAlignment="1">
      <alignment vertical="top"/>
    </xf>
    <xf numFmtId="0" fontId="25" fillId="13" borderId="0" xfId="0" applyFont="1" applyFill="1" applyAlignment="1">
      <alignment vertical="top"/>
    </xf>
    <xf numFmtId="0" fontId="20" fillId="4" borderId="0" xfId="0" applyFont="1" applyFill="1" applyAlignment="1">
      <alignment vertical="top"/>
    </xf>
    <xf numFmtId="0" fontId="38" fillId="0" borderId="0" xfId="0" applyFont="1" applyAlignment="1">
      <alignment vertical="top"/>
    </xf>
    <xf numFmtId="164" fontId="7" fillId="0" borderId="0" xfId="0" applyNumberFormat="1" applyFont="1" applyAlignment="1">
      <alignment horizontal="right"/>
    </xf>
    <xf numFmtId="0" fontId="23" fillId="9" borderId="0" xfId="0" applyFont="1" applyFill="1" applyAlignment="1">
      <alignment vertical="top"/>
    </xf>
    <xf numFmtId="0" fontId="7" fillId="0" borderId="0" xfId="0" applyFont="1" applyAlignment="1">
      <alignment horizontal="right"/>
    </xf>
    <xf numFmtId="0" fontId="47" fillId="0" borderId="0" xfId="0" applyFont="1" applyAlignment="1">
      <alignment vertical="top"/>
    </xf>
    <xf numFmtId="0" fontId="23" fillId="4" borderId="0" xfId="0" applyFont="1" applyFill="1" applyAlignment="1">
      <alignment vertical="top"/>
    </xf>
    <xf numFmtId="0" fontId="48" fillId="0" borderId="0" xfId="0" applyFont="1"/>
    <xf numFmtId="9" fontId="7" fillId="0" borderId="0" xfId="0" applyNumberFormat="1" applyFont="1" applyAlignment="1">
      <alignment horizontal="right"/>
    </xf>
    <xf numFmtId="0" fontId="26" fillId="0" borderId="0" xfId="0" applyFont="1" applyAlignment="1">
      <alignment horizontal="right" vertical="top"/>
    </xf>
    <xf numFmtId="0" fontId="25" fillId="0" borderId="0" xfId="0" applyFont="1" applyAlignment="1">
      <alignment horizontal="right" vertical="top"/>
    </xf>
    <xf numFmtId="0" fontId="26" fillId="11" borderId="0" xfId="0" applyFont="1" applyFill="1" applyAlignment="1">
      <alignment vertical="top"/>
    </xf>
    <xf numFmtId="0" fontId="21" fillId="0" borderId="0" xfId="0" applyFont="1" applyAlignment="1">
      <alignment horizontal="left" vertical="top" wrapText="1"/>
    </xf>
    <xf numFmtId="0" fontId="1" fillId="0" borderId="3" xfId="0" applyFont="1" applyBorder="1" applyAlignment="1">
      <alignment vertical="top" wrapText="1"/>
    </xf>
    <xf numFmtId="0" fontId="1" fillId="0" borderId="5" xfId="0" applyFont="1" applyBorder="1" applyAlignment="1">
      <alignment vertical="top" wrapText="1"/>
    </xf>
    <xf numFmtId="0" fontId="1" fillId="0" borderId="5" xfId="0" applyFont="1" applyBorder="1" applyAlignment="1">
      <alignment vertical="top"/>
    </xf>
    <xf numFmtId="0" fontId="30" fillId="0" borderId="8" xfId="0" applyFont="1" applyBorder="1" applyAlignment="1">
      <alignment vertical="top"/>
    </xf>
    <xf numFmtId="0" fontId="30" fillId="0" borderId="5" xfId="0" applyFont="1" applyBorder="1" applyAlignment="1">
      <alignment vertical="top" wrapText="1"/>
    </xf>
    <xf numFmtId="0" fontId="20" fillId="0" borderId="6" xfId="0" applyFont="1" applyBorder="1" applyAlignment="1">
      <alignment horizontal="left" vertical="top" wrapText="1"/>
    </xf>
    <xf numFmtId="0" fontId="31" fillId="0" borderId="3" xfId="0" applyFont="1" applyBorder="1" applyAlignment="1">
      <alignment vertical="top" wrapText="1"/>
    </xf>
    <xf numFmtId="0" fontId="8" fillId="0" borderId="5" xfId="0" applyFont="1" applyBorder="1" applyAlignment="1">
      <alignment vertical="top" wrapText="1"/>
    </xf>
    <xf numFmtId="0" fontId="26" fillId="0" borderId="5" xfId="0" applyFont="1" applyBorder="1" applyAlignment="1">
      <alignment vertical="top" wrapText="1"/>
    </xf>
    <xf numFmtId="0" fontId="0" fillId="3" borderId="3" xfId="0" applyFill="1" applyBorder="1" applyAlignment="1">
      <alignment horizontal="left" vertical="top"/>
    </xf>
    <xf numFmtId="0" fontId="0" fillId="0" borderId="3" xfId="0" applyBorder="1" applyAlignment="1">
      <alignment horizontal="left" vertical="top"/>
    </xf>
    <xf numFmtId="0" fontId="31" fillId="8" borderId="3" xfId="0" applyFont="1" applyFill="1" applyBorder="1" applyAlignment="1">
      <alignment vertical="top" wrapText="1"/>
    </xf>
    <xf numFmtId="0" fontId="8" fillId="8" borderId="5" xfId="0" applyFont="1" applyFill="1" applyBorder="1" applyAlignment="1">
      <alignment vertical="top" wrapText="1"/>
    </xf>
    <xf numFmtId="0" fontId="26" fillId="8" borderId="8" xfId="0" applyFont="1" applyFill="1" applyBorder="1" applyAlignment="1">
      <alignment vertical="top"/>
    </xf>
    <xf numFmtId="0" fontId="26" fillId="8" borderId="5" xfId="0" applyFont="1" applyFill="1" applyBorder="1" applyAlignment="1">
      <alignment vertical="top" wrapText="1"/>
    </xf>
    <xf numFmtId="0" fontId="0" fillId="8" borderId="3" xfId="0" applyFill="1" applyBorder="1" applyAlignment="1">
      <alignment vertical="top" wrapText="1"/>
    </xf>
    <xf numFmtId="0" fontId="0" fillId="0" borderId="3" xfId="0" applyBorder="1" applyAlignment="1">
      <alignment vertical="top" wrapText="1"/>
    </xf>
    <xf numFmtId="0" fontId="18" fillId="0" borderId="5" xfId="0" applyFont="1" applyBorder="1" applyAlignment="1">
      <alignment vertical="top"/>
    </xf>
    <xf numFmtId="0" fontId="3" fillId="0" borderId="3" xfId="0" applyFont="1" applyBorder="1"/>
    <xf numFmtId="0" fontId="40" fillId="14" borderId="0" xfId="0" applyFont="1" applyFill="1" applyAlignment="1">
      <alignment vertical="top"/>
    </xf>
    <xf numFmtId="0" fontId="49" fillId="8" borderId="0" xfId="0" applyFont="1" applyFill="1" applyAlignment="1">
      <alignment vertical="top"/>
    </xf>
    <xf numFmtId="0" fontId="8" fillId="8" borderId="3" xfId="0" applyFont="1" applyFill="1" applyBorder="1" applyAlignment="1">
      <alignment vertical="top"/>
    </xf>
    <xf numFmtId="0" fontId="26" fillId="8" borderId="5" xfId="0" applyFont="1" applyFill="1" applyBorder="1" applyAlignment="1">
      <alignment vertical="top"/>
    </xf>
    <xf numFmtId="0" fontId="4" fillId="3" borderId="3" xfId="0" applyFont="1" applyFill="1" applyBorder="1" applyAlignment="1">
      <alignment horizontal="left" vertical="top"/>
    </xf>
    <xf numFmtId="0" fontId="42" fillId="0" borderId="3" xfId="0" applyFont="1" applyBorder="1" applyAlignment="1">
      <alignment vertical="top"/>
    </xf>
    <xf numFmtId="0" fontId="50" fillId="0" borderId="3" xfId="0" applyFont="1" applyBorder="1" applyAlignment="1">
      <alignment vertical="top"/>
    </xf>
    <xf numFmtId="0" fontId="50" fillId="0" borderId="0" xfId="0" applyFont="1" applyAlignment="1">
      <alignment vertical="top"/>
    </xf>
    <xf numFmtId="0" fontId="43" fillId="0" borderId="3" xfId="0" applyFont="1" applyBorder="1" applyAlignment="1">
      <alignment vertical="top"/>
    </xf>
    <xf numFmtId="0" fontId="51" fillId="0" borderId="0" xfId="0" applyFont="1" applyAlignment="1">
      <alignment vertical="top"/>
    </xf>
    <xf numFmtId="0" fontId="25" fillId="8" borderId="8" xfId="0" applyFont="1" applyFill="1" applyBorder="1" applyAlignment="1">
      <alignment vertical="top"/>
    </xf>
    <xf numFmtId="0" fontId="25" fillId="8" borderId="5" xfId="0" applyFont="1" applyFill="1" applyBorder="1" applyAlignment="1">
      <alignment vertical="top"/>
    </xf>
    <xf numFmtId="0" fontId="8" fillId="0" borderId="3" xfId="0" applyFont="1" applyBorder="1" applyAlignment="1">
      <alignment vertical="top" wrapText="1"/>
    </xf>
    <xf numFmtId="0" fontId="8" fillId="8" borderId="3" xfId="0" applyFont="1" applyFill="1" applyBorder="1" applyAlignment="1">
      <alignment vertical="top" wrapText="1"/>
    </xf>
    <xf numFmtId="0" fontId="25" fillId="3" borderId="8" xfId="0" applyFont="1" applyFill="1" applyBorder="1" applyAlignment="1">
      <alignment horizontal="left" vertical="top"/>
    </xf>
    <xf numFmtId="0" fontId="25" fillId="3" borderId="5" xfId="0" applyFont="1" applyFill="1" applyBorder="1" applyAlignment="1">
      <alignment horizontal="left" vertical="top"/>
    </xf>
    <xf numFmtId="0" fontId="0" fillId="3" borderId="3" xfId="0" applyFill="1" applyBorder="1" applyAlignment="1">
      <alignment vertical="top" wrapText="1"/>
    </xf>
    <xf numFmtId="0" fontId="0" fillId="3" borderId="3" xfId="0" applyFill="1" applyBorder="1" applyAlignment="1">
      <alignment horizontal="left" vertical="top" wrapText="1"/>
    </xf>
    <xf numFmtId="0" fontId="8" fillId="3" borderId="5" xfId="0" applyFont="1" applyFill="1" applyBorder="1" applyAlignment="1">
      <alignment vertical="top"/>
    </xf>
    <xf numFmtId="0" fontId="0" fillId="8" borderId="3" xfId="0" applyFill="1" applyBorder="1" applyAlignment="1">
      <alignment vertical="top"/>
    </xf>
    <xf numFmtId="0" fontId="26" fillId="8" borderId="0" xfId="0" applyFont="1" applyFill="1" applyAlignment="1">
      <alignment horizontal="left" vertical="top" wrapText="1"/>
    </xf>
    <xf numFmtId="0" fontId="0" fillId="8" borderId="5" xfId="0" applyFill="1" applyBorder="1" applyAlignment="1">
      <alignment horizontal="left" vertical="top"/>
    </xf>
    <xf numFmtId="0" fontId="25" fillId="8" borderId="8" xfId="0" applyFont="1" applyFill="1" applyBorder="1" applyAlignment="1">
      <alignment horizontal="left" vertical="top"/>
    </xf>
    <xf numFmtId="0" fontId="25" fillId="8" borderId="5" xfId="0" applyFont="1" applyFill="1" applyBorder="1" applyAlignment="1">
      <alignment horizontal="left" vertical="top"/>
    </xf>
    <xf numFmtId="0" fontId="26" fillId="12" borderId="0" xfId="0" applyFont="1" applyFill="1" applyAlignment="1">
      <alignment vertical="top"/>
    </xf>
    <xf numFmtId="0" fontId="52" fillId="0" borderId="0" xfId="0" applyFont="1" applyAlignment="1">
      <alignment vertical="top"/>
    </xf>
    <xf numFmtId="0" fontId="4" fillId="0" borderId="0" xfId="0" applyFont="1" applyAlignment="1">
      <alignment horizontal="left" vertical="top"/>
    </xf>
    <xf numFmtId="0" fontId="53" fillId="0" borderId="5" xfId="0" applyFont="1" applyBorder="1" applyAlignment="1">
      <alignment horizontal="left" vertical="top"/>
    </xf>
    <xf numFmtId="0" fontId="30" fillId="0" borderId="5" xfId="0" applyFont="1" applyBorder="1" applyAlignment="1">
      <alignment vertical="top"/>
    </xf>
    <xf numFmtId="0" fontId="30" fillId="0" borderId="0" xfId="0" applyFont="1" applyAlignment="1">
      <alignment vertical="top"/>
    </xf>
    <xf numFmtId="0" fontId="31" fillId="3" borderId="5" xfId="0" applyFont="1" applyFill="1" applyBorder="1" applyAlignment="1">
      <alignment horizontal="left" vertical="top"/>
    </xf>
    <xf numFmtId="0" fontId="38" fillId="3" borderId="8" xfId="0" applyFont="1" applyFill="1" applyBorder="1" applyAlignment="1">
      <alignment horizontal="left" vertical="top"/>
    </xf>
    <xf numFmtId="0" fontId="38" fillId="3" borderId="5" xfId="0" applyFont="1" applyFill="1" applyBorder="1" applyAlignment="1">
      <alignment horizontal="left" vertical="top"/>
    </xf>
    <xf numFmtId="0" fontId="20" fillId="0" borderId="5" xfId="0" applyFont="1" applyBorder="1" applyAlignment="1">
      <alignment horizontal="left" vertical="top"/>
    </xf>
    <xf numFmtId="0" fontId="23" fillId="0" borderId="8" xfId="0" applyFont="1" applyBorder="1" applyAlignment="1">
      <alignment horizontal="left" vertical="top"/>
    </xf>
    <xf numFmtId="0" fontId="23" fillId="0" borderId="5" xfId="0" applyFont="1" applyBorder="1" applyAlignment="1">
      <alignment horizontal="left" vertical="top"/>
    </xf>
    <xf numFmtId="0" fontId="26" fillId="11" borderId="0" xfId="0" applyFont="1" applyFill="1" applyAlignment="1">
      <alignment vertical="top" wrapText="1"/>
    </xf>
    <xf numFmtId="0" fontId="54" fillId="0" borderId="0" xfId="0" applyFont="1" applyAlignment="1">
      <alignment vertical="top"/>
    </xf>
    <xf numFmtId="0" fontId="5" fillId="0" borderId="0" xfId="0" applyFont="1" applyAlignment="1">
      <alignment vertical="top"/>
    </xf>
    <xf numFmtId="0" fontId="6" fillId="2" borderId="0" xfId="0" applyFont="1" applyFill="1" applyAlignment="1">
      <alignment vertical="top" wrapText="1"/>
    </xf>
    <xf numFmtId="0" fontId="6" fillId="2" borderId="9" xfId="0" applyFont="1" applyFill="1" applyBorder="1" applyAlignment="1">
      <alignment vertical="top" wrapText="1"/>
    </xf>
    <xf numFmtId="0" fontId="6" fillId="2" borderId="10" xfId="0" applyFont="1" applyFill="1" applyBorder="1" applyAlignment="1">
      <alignment vertical="top" wrapText="1"/>
    </xf>
    <xf numFmtId="0" fontId="6" fillId="2" borderId="7" xfId="0" applyFont="1" applyFill="1" applyBorder="1" applyAlignment="1">
      <alignment vertical="top" wrapText="1"/>
    </xf>
    <xf numFmtId="0" fontId="6" fillId="2" borderId="0" xfId="0" applyFont="1" applyFill="1" applyAlignment="1">
      <alignment vertical="top"/>
    </xf>
    <xf numFmtId="0" fontId="6" fillId="2" borderId="9" xfId="0" applyFont="1" applyFill="1" applyBorder="1" applyAlignment="1">
      <alignment vertical="top"/>
    </xf>
    <xf numFmtId="0" fontId="6" fillId="2" borderId="10" xfId="0" applyFont="1" applyFill="1" applyBorder="1" applyAlignment="1">
      <alignment vertical="top"/>
    </xf>
    <xf numFmtId="0" fontId="6" fillId="0" borderId="1" xfId="0" applyFont="1" applyBorder="1" applyAlignment="1">
      <alignment vertical="top"/>
    </xf>
    <xf numFmtId="0" fontId="30" fillId="0" borderId="10" xfId="0" applyFont="1" applyBorder="1" applyAlignment="1">
      <alignment vertical="top"/>
    </xf>
    <xf numFmtId="0" fontId="55" fillId="15" borderId="0" xfId="0" applyFont="1" applyFill="1" applyAlignment="1">
      <alignment vertical="top"/>
    </xf>
    <xf numFmtId="0" fontId="56" fillId="15" borderId="0" xfId="0" applyFont="1" applyFill="1" applyAlignment="1">
      <alignment vertical="top"/>
    </xf>
    <xf numFmtId="0" fontId="57" fillId="15" borderId="0" xfId="0" applyFont="1" applyFill="1" applyAlignment="1">
      <alignment vertical="top"/>
    </xf>
    <xf numFmtId="0" fontId="58" fillId="15" borderId="0" xfId="0" applyFont="1" applyFill="1" applyAlignment="1">
      <alignment vertical="top"/>
    </xf>
    <xf numFmtId="0" fontId="58" fillId="15" borderId="0" xfId="0" applyFont="1" applyFill="1" applyAlignment="1">
      <alignment horizontal="left" vertical="top"/>
    </xf>
    <xf numFmtId="0" fontId="59" fillId="15" borderId="0" xfId="0" applyFont="1" applyFill="1" applyAlignment="1">
      <alignment vertical="top"/>
    </xf>
    <xf numFmtId="0" fontId="60" fillId="0" borderId="0" xfId="0" applyFont="1" applyAlignment="1">
      <alignment vertical="top"/>
    </xf>
    <xf numFmtId="0" fontId="61" fillId="3" borderId="0" xfId="0" applyFont="1" applyFill="1" applyAlignment="1">
      <alignment vertical="top"/>
    </xf>
    <xf numFmtId="0" fontId="33" fillId="3" borderId="0" xfId="0" applyFont="1" applyFill="1" applyAlignment="1">
      <alignment horizontal="left" vertical="top"/>
    </xf>
    <xf numFmtId="0" fontId="9" fillId="4" borderId="0" xfId="0" applyFont="1" applyFill="1" applyAlignment="1">
      <alignment vertical="top" wrapText="1"/>
    </xf>
    <xf numFmtId="0" fontId="0" fillId="0" borderId="0" xfId="0"/>
    <xf numFmtId="0" fontId="14" fillId="4" borderId="0" xfId="0" applyFont="1" applyFill="1" applyAlignment="1">
      <alignment horizontal="left" vertical="top" wrapText="1"/>
    </xf>
  </cellXfs>
  <cellStyles count="1">
    <cellStyle name="Normal" xfId="0" builtinId="0"/>
  </cellStyles>
  <dxfs count="6">
    <dxf>
      <fill>
        <patternFill patternType="solid">
          <fgColor rgb="FFD9D2E9"/>
          <bgColor rgb="FFD9D2E9"/>
        </patternFill>
      </fill>
    </dxf>
    <dxf>
      <fill>
        <patternFill patternType="solid">
          <fgColor rgb="FFFFFF00"/>
          <bgColor rgb="FFFFFF00"/>
        </patternFill>
      </fill>
    </dxf>
    <dxf>
      <fill>
        <patternFill patternType="solid">
          <fgColor rgb="FFD9D2E9"/>
          <bgColor rgb="FFD9D2E9"/>
        </patternFill>
      </fill>
    </dxf>
    <dxf>
      <fill>
        <patternFill patternType="solid">
          <fgColor rgb="FFFFFF00"/>
          <bgColor rgb="FFFFFF00"/>
        </patternFill>
      </fill>
    </dxf>
    <dxf>
      <fill>
        <patternFill patternType="solid">
          <fgColor rgb="FFD9D2E9"/>
          <bgColor rgb="FFD9D2E9"/>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cidgoh/DataHarmonizer/blob/master/script/dh-validate.py" TargetMode="External"/><Relationship Id="rId1" Type="http://schemas.openxmlformats.org/officeDocument/2006/relationships/hyperlink" Target="https://github.com/cidgoh/DataHarmonizer/wiki/DataHarmonizer-Templates"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joshquick/artic-ncov2019/blob/master/primer_schemes/nCoV-2019/V3/nCoV-2019.tsv" TargetMode="External"/><Relationship Id="rId2" Type="http://schemas.openxmlformats.org/officeDocument/2006/relationships/hyperlink" Target="https://www.ebi.ac.uk/ols/ontologies/gaz" TargetMode="External"/><Relationship Id="rId1" Type="http://schemas.openxmlformats.org/officeDocument/2006/relationships/hyperlink" Target="http://www.insdc.org/controlled-vocabulary-specimenvoucher-qualifier"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hyperlink" Target="https://www.protocols.io/groups/cphln-sarscov2-sequencing-consortium/members"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purl.obolibrary.org/obo/HP_0000206" TargetMode="External"/><Relationship Id="rId18" Type="http://schemas.openxmlformats.org/officeDocument/2006/relationships/hyperlink" Target="http://purl.obolibrary.org/obo/HP_0002090" TargetMode="External"/><Relationship Id="rId26" Type="http://schemas.openxmlformats.org/officeDocument/2006/relationships/hyperlink" Target="http://purl.obolibrary.org/obo/HP_0001977" TargetMode="External"/><Relationship Id="rId39" Type="http://schemas.openxmlformats.org/officeDocument/2006/relationships/hyperlink" Target="http://purl.obolibrary.org/obo/PR_P0DTC9" TargetMode="External"/><Relationship Id="rId21" Type="http://schemas.openxmlformats.org/officeDocument/2006/relationships/hyperlink" Target="http://purl.obolibrary.org/obo/HP_0001297" TargetMode="External"/><Relationship Id="rId34" Type="http://schemas.openxmlformats.org/officeDocument/2006/relationships/hyperlink" Target="http://purl.obolibrary.org/obo/ECTO_5000008" TargetMode="External"/><Relationship Id="rId42" Type="http://schemas.openxmlformats.org/officeDocument/2006/relationships/hyperlink" Target="http://purl.obolibrary.org/obo/PR_000050271" TargetMode="External"/><Relationship Id="rId47" Type="http://schemas.openxmlformats.org/officeDocument/2006/relationships/hyperlink" Target="http://purl.obolibrary.org/obo/PR_000050276" TargetMode="External"/><Relationship Id="rId50" Type="http://schemas.openxmlformats.org/officeDocument/2006/relationships/hyperlink" Target="http://purl.obolibrary.org/obo/PR_000050279" TargetMode="External"/><Relationship Id="rId55" Type="http://schemas.openxmlformats.org/officeDocument/2006/relationships/hyperlink" Target="http://purl.obolibrary.org/obo/PR_000050288" TargetMode="External"/><Relationship Id="rId63" Type="http://schemas.openxmlformats.org/officeDocument/2006/relationships/vmlDrawing" Target="../drawings/vmlDrawing4.vml"/><Relationship Id="rId7" Type="http://schemas.openxmlformats.org/officeDocument/2006/relationships/hyperlink" Target="http://purl.obolibrary.org/obo/HP_0031352" TargetMode="External"/><Relationship Id="rId2" Type="http://schemas.openxmlformats.org/officeDocument/2006/relationships/hyperlink" Target="http://purl.obolibrary.org/obo/HP_0031249" TargetMode="External"/><Relationship Id="rId16" Type="http://schemas.openxmlformats.org/officeDocument/2006/relationships/hyperlink" Target="http://purl.obolibrary.org/obo/NCIT_C121416" TargetMode="External"/><Relationship Id="rId29" Type="http://schemas.openxmlformats.org/officeDocument/2006/relationships/hyperlink" Target="http://purl.obolibrary.org/obo/FOODON_03490100" TargetMode="External"/><Relationship Id="rId11" Type="http://schemas.openxmlformats.org/officeDocument/2006/relationships/hyperlink" Target="http://purl.obolibrary.org/obo/HP_0000961" TargetMode="External"/><Relationship Id="rId24" Type="http://schemas.openxmlformats.org/officeDocument/2006/relationships/hyperlink" Target="http://purl.obolibrary.org/obo/HP_0002090" TargetMode="External"/><Relationship Id="rId32" Type="http://schemas.openxmlformats.org/officeDocument/2006/relationships/hyperlink" Target="http://purl.obolibrary.org/obo/ECTO_5000009" TargetMode="External"/><Relationship Id="rId37" Type="http://schemas.openxmlformats.org/officeDocument/2006/relationships/hyperlink" Target="http://purl.obolibrary.org/obo/PR_P0DTC4" TargetMode="External"/><Relationship Id="rId40" Type="http://schemas.openxmlformats.org/officeDocument/2006/relationships/hyperlink" Target="http://purl.obolibrary.org/obo/PR_P0DTC2" TargetMode="External"/><Relationship Id="rId45" Type="http://schemas.openxmlformats.org/officeDocument/2006/relationships/hyperlink" Target="http://purl.obolibrary.org/obo/PR_000050274" TargetMode="External"/><Relationship Id="rId53" Type="http://schemas.openxmlformats.org/officeDocument/2006/relationships/hyperlink" Target="http://purl.obolibrary.org/obo/PR_000050286" TargetMode="External"/><Relationship Id="rId58" Type="http://schemas.openxmlformats.org/officeDocument/2006/relationships/hyperlink" Target="http://purl.obolibrary.org/obo/PR_P0DTC7" TargetMode="External"/><Relationship Id="rId5" Type="http://schemas.openxmlformats.org/officeDocument/2006/relationships/hyperlink" Target="http://purl.obolibrary.org/obo/HP_0100543" TargetMode="External"/><Relationship Id="rId61" Type="http://schemas.openxmlformats.org/officeDocument/2006/relationships/hyperlink" Target="http://purl.obolibrary.org/obo/PR_P0DTD2" TargetMode="External"/><Relationship Id="rId19" Type="http://schemas.openxmlformats.org/officeDocument/2006/relationships/hyperlink" Target="http://purl.obolibrary.org/obo/HP_0020219" TargetMode="External"/><Relationship Id="rId14" Type="http://schemas.openxmlformats.org/officeDocument/2006/relationships/hyperlink" Target="http://purl.obolibrary.org/obo/HP_0012417" TargetMode="External"/><Relationship Id="rId22" Type="http://schemas.openxmlformats.org/officeDocument/2006/relationships/hyperlink" Target="http://purl.obolibrary.org/obo/HP_0011675" TargetMode="External"/><Relationship Id="rId27" Type="http://schemas.openxmlformats.org/officeDocument/2006/relationships/hyperlink" Target="http://purl.obolibrary.org/obo/HP_0001638" TargetMode="External"/><Relationship Id="rId30" Type="http://schemas.openxmlformats.org/officeDocument/2006/relationships/hyperlink" Target="http://purl.obolibrary.org/obo/OBI_0001128" TargetMode="External"/><Relationship Id="rId35" Type="http://schemas.openxmlformats.org/officeDocument/2006/relationships/hyperlink" Target="http://purl.obolibrary.org/obo/ECTO_1000040" TargetMode="External"/><Relationship Id="rId43" Type="http://schemas.openxmlformats.org/officeDocument/2006/relationships/hyperlink" Target="http://purl.obolibrary.org/obo/PR_000050272" TargetMode="External"/><Relationship Id="rId48" Type="http://schemas.openxmlformats.org/officeDocument/2006/relationships/hyperlink" Target="http://purl.obolibrary.org/obo/PR_000050277" TargetMode="External"/><Relationship Id="rId56" Type="http://schemas.openxmlformats.org/officeDocument/2006/relationships/hyperlink" Target="http://purl.obolibrary.org/obo/PR_P0DTC3" TargetMode="External"/><Relationship Id="rId64" Type="http://schemas.openxmlformats.org/officeDocument/2006/relationships/comments" Target="../comments4.xml"/><Relationship Id="rId8" Type="http://schemas.openxmlformats.org/officeDocument/2006/relationships/hyperlink" Target="http://purl.obolibrary.org/obo/HP_0025145" TargetMode="External"/><Relationship Id="rId51" Type="http://schemas.openxmlformats.org/officeDocument/2006/relationships/hyperlink" Target="http://purl.obolibrary.org/obo/PR_000050284" TargetMode="External"/><Relationship Id="rId3" Type="http://schemas.openxmlformats.org/officeDocument/2006/relationships/hyperlink" Target="http://purl.obolibrary.org/obo/HP_0004408" TargetMode="External"/><Relationship Id="rId12" Type="http://schemas.openxmlformats.org/officeDocument/2006/relationships/hyperlink" Target="http://purl.obolibrary.org/obo/HP_0001063" TargetMode="External"/><Relationship Id="rId17" Type="http://schemas.openxmlformats.org/officeDocument/2006/relationships/hyperlink" Target="http://purl.obolibrary.org/obo/HP_0002027" TargetMode="External"/><Relationship Id="rId25" Type="http://schemas.openxmlformats.org/officeDocument/2006/relationships/hyperlink" Target="http://purl.obolibrary.org/obo/HP_0011675" TargetMode="External"/><Relationship Id="rId33" Type="http://schemas.openxmlformats.org/officeDocument/2006/relationships/hyperlink" Target="http://purl.obolibrary.org/obo/ECTO_6000030" TargetMode="External"/><Relationship Id="rId38" Type="http://schemas.openxmlformats.org/officeDocument/2006/relationships/hyperlink" Target="http://purl.obolibrary.org/obo/PR_P0DTC5" TargetMode="External"/><Relationship Id="rId46" Type="http://schemas.openxmlformats.org/officeDocument/2006/relationships/hyperlink" Target="http://purl.obolibrary.org/obo/PR_000050275" TargetMode="External"/><Relationship Id="rId59" Type="http://schemas.openxmlformats.org/officeDocument/2006/relationships/hyperlink" Target="http://purl.obolibrary.org/obo/PR_P0DTD8" TargetMode="External"/><Relationship Id="rId20" Type="http://schemas.openxmlformats.org/officeDocument/2006/relationships/hyperlink" Target="http://purl.obolibrary.org/obo/HP_0025144" TargetMode="External"/><Relationship Id="rId41" Type="http://schemas.openxmlformats.org/officeDocument/2006/relationships/hyperlink" Target="http://purl.obolibrary.org/obo/PR_000050270" TargetMode="External"/><Relationship Id="rId54" Type="http://schemas.openxmlformats.org/officeDocument/2006/relationships/hyperlink" Target="http://purl.obolibrary.org/obo/PR_000050287" TargetMode="External"/><Relationship Id="rId62" Type="http://schemas.openxmlformats.org/officeDocument/2006/relationships/hyperlink" Target="http://purl.obolibrary.org/obo/PR_A0A663DJA2" TargetMode="External"/><Relationship Id="rId1" Type="http://schemas.openxmlformats.org/officeDocument/2006/relationships/hyperlink" Target="http://purl.obolibrary.org/obo/HP_0000223" TargetMode="External"/><Relationship Id="rId6" Type="http://schemas.openxmlformats.org/officeDocument/2006/relationships/hyperlink" Target="http://purl.obolibrary.org/obo/HP_0011675" TargetMode="External"/><Relationship Id="rId15" Type="http://schemas.openxmlformats.org/officeDocument/2006/relationships/hyperlink" Target="http://purl.obolibrary.org/obo/HP_0011029" TargetMode="External"/><Relationship Id="rId23" Type="http://schemas.openxmlformats.org/officeDocument/2006/relationships/hyperlink" Target="http://purl.obolibrary.org/obo/HP_0001638" TargetMode="External"/><Relationship Id="rId28" Type="http://schemas.openxmlformats.org/officeDocument/2006/relationships/hyperlink" Target="http://purl.obolibrary.org/obo/HP_0020219" TargetMode="External"/><Relationship Id="rId36" Type="http://schemas.openxmlformats.org/officeDocument/2006/relationships/hyperlink" Target="http://purl.obolibrary.org/obo/ECTO_1000041" TargetMode="External"/><Relationship Id="rId49" Type="http://schemas.openxmlformats.org/officeDocument/2006/relationships/hyperlink" Target="http://purl.obolibrary.org/obo/PR_000050278" TargetMode="External"/><Relationship Id="rId57" Type="http://schemas.openxmlformats.org/officeDocument/2006/relationships/hyperlink" Target="http://purl.obolibrary.org/obo/PR_P0DTC6" TargetMode="External"/><Relationship Id="rId10" Type="http://schemas.openxmlformats.org/officeDocument/2006/relationships/hyperlink" Target="http://purl.obolibrary.org/obo/HP_0031245" TargetMode="External"/><Relationship Id="rId31" Type="http://schemas.openxmlformats.org/officeDocument/2006/relationships/hyperlink" Target="http://purl.obolibrary.org/obo/ECTO_3000005" TargetMode="External"/><Relationship Id="rId44" Type="http://schemas.openxmlformats.org/officeDocument/2006/relationships/hyperlink" Target="http://purl.obolibrary.org/obo/PR_000050273" TargetMode="External"/><Relationship Id="rId52" Type="http://schemas.openxmlformats.org/officeDocument/2006/relationships/hyperlink" Target="http://purl.obolibrary.org/obo/PR_000050285" TargetMode="External"/><Relationship Id="rId60" Type="http://schemas.openxmlformats.org/officeDocument/2006/relationships/hyperlink" Target="http://purl.obolibrary.org/obo/PR_P0DTC8" TargetMode="External"/><Relationship Id="rId4" Type="http://schemas.openxmlformats.org/officeDocument/2006/relationships/hyperlink" Target="http://purl.obolibrary.org/obo/HP_0011446" TargetMode="External"/><Relationship Id="rId9" Type="http://schemas.openxmlformats.org/officeDocument/2006/relationships/hyperlink" Target="http://purl.obolibrary.org/obo/HP_0031246"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www.tbs-sct.gc.ca/pol/doc-eng.aspx?id=32694" TargetMode="External"/><Relationship Id="rId2" Type="http://schemas.openxmlformats.org/officeDocument/2006/relationships/hyperlink" Target="https://www.who.int/en/activities/tracking-SARS-CoV-2-variants/" TargetMode="External"/><Relationship Id="rId1" Type="http://schemas.openxmlformats.org/officeDocument/2006/relationships/hyperlink" Target="https://www.who.int/en/activities/tracking-SARS-CoV-2-variants/"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52"/>
  <sheetViews>
    <sheetView workbookViewId="0">
      <pane ySplit="1" topLeftCell="A3" activePane="bottomLeft" state="frozen"/>
      <selection pane="bottomLeft" activeCell="D11" sqref="D11"/>
    </sheetView>
  </sheetViews>
  <sheetFormatPr defaultColWidth="12.5703125" defaultRowHeight="15.75" customHeight="1"/>
  <cols>
    <col min="1" max="1" width="17.7109375" customWidth="1"/>
    <col min="2" max="2" width="7.7109375" customWidth="1"/>
    <col min="3" max="3" width="11" customWidth="1"/>
    <col min="4" max="4" width="22" customWidth="1"/>
    <col min="5" max="5" width="17.42578125" customWidth="1"/>
    <col min="6" max="6" width="31.42578125" customWidth="1"/>
    <col min="7" max="7" width="26.7109375" customWidth="1"/>
    <col min="8" max="8" width="36.7109375" customWidth="1"/>
  </cols>
  <sheetData>
    <row r="1" spans="1:8" ht="15.75" customHeight="1">
      <c r="A1" s="1" t="s">
        <v>0</v>
      </c>
      <c r="B1" s="1" t="s">
        <v>1</v>
      </c>
      <c r="C1" s="2" t="s">
        <v>2</v>
      </c>
      <c r="D1" s="3" t="s">
        <v>3</v>
      </c>
      <c r="E1" s="3" t="s">
        <v>4</v>
      </c>
      <c r="F1" s="3" t="s">
        <v>5</v>
      </c>
      <c r="G1" s="3" t="s">
        <v>6</v>
      </c>
      <c r="H1" s="3" t="s">
        <v>7</v>
      </c>
    </row>
    <row r="2" spans="1:8" ht="12.75">
      <c r="A2" s="5"/>
      <c r="B2" s="5"/>
      <c r="C2" s="5"/>
      <c r="D2" s="5"/>
      <c r="E2" s="5"/>
      <c r="F2" s="5"/>
      <c r="G2" s="5"/>
      <c r="H2" s="5"/>
    </row>
    <row r="3" spans="1:8" ht="38.25">
      <c r="A3" s="4" t="s">
        <v>9</v>
      </c>
      <c r="B3" s="4" t="s">
        <v>10</v>
      </c>
      <c r="C3" s="15">
        <v>45723</v>
      </c>
      <c r="D3" s="4" t="s">
        <v>11</v>
      </c>
      <c r="E3" s="4"/>
      <c r="F3" s="4"/>
      <c r="G3" s="4"/>
      <c r="H3" s="4"/>
    </row>
    <row r="4" spans="1:8" ht="12.75">
      <c r="A4" s="4"/>
      <c r="B4" s="4"/>
      <c r="C4" s="4"/>
      <c r="D4" s="4"/>
      <c r="E4" s="4"/>
      <c r="F4" s="4"/>
      <c r="G4" s="4"/>
      <c r="H4" s="4"/>
    </row>
    <row r="5" spans="1:8" ht="25.5">
      <c r="A5" s="14" t="s">
        <v>12</v>
      </c>
      <c r="B5" s="14" t="s">
        <v>13</v>
      </c>
      <c r="C5" s="14" t="s">
        <v>14</v>
      </c>
      <c r="D5" s="11" t="s">
        <v>8</v>
      </c>
      <c r="E5" s="12" t="s">
        <v>15</v>
      </c>
      <c r="F5" s="4"/>
      <c r="G5" s="4"/>
      <c r="H5" s="4" t="s">
        <v>16</v>
      </c>
    </row>
    <row r="6" spans="1:8" ht="12.75">
      <c r="A6" s="4"/>
      <c r="B6" s="4"/>
      <c r="C6" s="7"/>
    </row>
    <row r="7" spans="1:8" ht="12.75">
      <c r="A7" s="4"/>
      <c r="B7" s="4"/>
      <c r="C7" s="4"/>
      <c r="D7" s="4"/>
      <c r="E7" s="4"/>
      <c r="F7" s="4"/>
      <c r="G7" s="4"/>
      <c r="H7" s="4"/>
    </row>
    <row r="8" spans="1:8" ht="12.75">
      <c r="A8" s="4"/>
      <c r="B8" s="4"/>
      <c r="C8" s="4"/>
      <c r="D8" s="4"/>
      <c r="E8" s="4"/>
      <c r="F8" s="4"/>
      <c r="G8" s="4"/>
      <c r="H8" s="4"/>
    </row>
    <row r="9" spans="1:8" ht="12.75">
      <c r="A9" s="4"/>
      <c r="B9" s="4"/>
      <c r="C9" s="4"/>
      <c r="D9" s="4"/>
      <c r="E9" s="4"/>
      <c r="F9" s="4"/>
      <c r="G9" s="4"/>
      <c r="H9" s="4"/>
    </row>
    <row r="10" spans="1:8" ht="12.75">
      <c r="A10" s="4"/>
      <c r="B10" s="4"/>
      <c r="C10" s="4"/>
      <c r="D10" s="4"/>
      <c r="E10" s="4"/>
      <c r="F10" s="4"/>
      <c r="G10" s="4"/>
      <c r="H10" s="4"/>
    </row>
    <row r="11" spans="1:8" ht="12.75">
      <c r="A11" s="4"/>
      <c r="B11" s="4"/>
      <c r="C11" s="4"/>
      <c r="D11" s="4"/>
      <c r="E11" s="4"/>
      <c r="F11" s="4"/>
      <c r="G11" s="4"/>
      <c r="H11" s="4"/>
    </row>
    <row r="12" spans="1:8" ht="12.75">
      <c r="A12" s="4"/>
      <c r="B12" s="4"/>
      <c r="C12" s="4"/>
      <c r="D12" s="4"/>
      <c r="E12" s="4"/>
      <c r="F12" s="4"/>
      <c r="G12" s="4"/>
      <c r="H12" s="4"/>
    </row>
    <row r="13" spans="1:8" ht="12.75">
      <c r="A13" s="4"/>
      <c r="B13" s="4"/>
      <c r="C13" s="4"/>
      <c r="D13" s="4"/>
      <c r="E13" s="4"/>
      <c r="F13" s="4"/>
      <c r="G13" s="4"/>
      <c r="H13" s="4"/>
    </row>
    <row r="14" spans="1:8" ht="12.75">
      <c r="A14" s="4"/>
      <c r="B14" s="4"/>
      <c r="C14" s="4"/>
      <c r="D14" s="4"/>
      <c r="E14" s="4"/>
      <c r="F14" s="4"/>
      <c r="G14" s="4"/>
      <c r="H14" s="4"/>
    </row>
    <row r="15" spans="1:8" ht="12.75">
      <c r="A15" s="4"/>
      <c r="B15" s="4"/>
      <c r="C15" s="4"/>
      <c r="D15" s="4"/>
      <c r="E15" s="4"/>
      <c r="F15" s="4"/>
      <c r="G15" s="4"/>
      <c r="H15" s="4"/>
    </row>
    <row r="16" spans="1:8" ht="12.75">
      <c r="A16" s="4"/>
      <c r="B16" s="4"/>
      <c r="C16" s="4"/>
      <c r="D16" s="4"/>
      <c r="E16" s="4"/>
      <c r="F16" s="4"/>
      <c r="G16" s="4"/>
      <c r="H16" s="4"/>
    </row>
    <row r="17" spans="1:8" ht="12.75">
      <c r="A17" s="4"/>
      <c r="B17" s="4"/>
      <c r="C17" s="4"/>
      <c r="D17" s="4"/>
      <c r="E17" s="4"/>
      <c r="F17" s="4"/>
      <c r="G17" s="4"/>
      <c r="H17" s="4"/>
    </row>
    <row r="18" spans="1:8" ht="12.75">
      <c r="A18" s="4"/>
      <c r="B18" s="4"/>
      <c r="C18" s="4"/>
      <c r="D18" s="4"/>
      <c r="E18" s="4"/>
      <c r="F18" s="4"/>
      <c r="G18" s="4"/>
      <c r="H18" s="4"/>
    </row>
    <row r="19" spans="1:8" ht="12.75">
      <c r="A19" s="4"/>
      <c r="B19" s="4"/>
      <c r="C19" s="4"/>
      <c r="D19" s="4"/>
      <c r="E19" s="4"/>
      <c r="F19" s="4"/>
      <c r="G19" s="4"/>
      <c r="H19" s="4"/>
    </row>
    <row r="20" spans="1:8" ht="12.75">
      <c r="A20" s="4"/>
      <c r="B20" s="4"/>
      <c r="C20" s="4"/>
      <c r="D20" s="4"/>
      <c r="E20" s="4"/>
      <c r="F20" s="4"/>
      <c r="G20" s="4"/>
      <c r="H20" s="4"/>
    </row>
    <row r="21" spans="1:8" ht="12.75">
      <c r="A21" s="4"/>
      <c r="B21" s="4"/>
      <c r="C21" s="4"/>
      <c r="D21" s="4"/>
      <c r="E21" s="4"/>
      <c r="F21" s="4"/>
      <c r="G21" s="4"/>
      <c r="H21" s="4"/>
    </row>
    <row r="22" spans="1:8" ht="12.75">
      <c r="A22" s="4"/>
      <c r="B22" s="4"/>
      <c r="C22" s="4"/>
      <c r="D22" s="4"/>
      <c r="E22" s="4"/>
      <c r="F22" s="4"/>
      <c r="G22" s="4"/>
      <c r="H22" s="4"/>
    </row>
    <row r="23" spans="1:8" ht="12.75">
      <c r="A23" s="4"/>
      <c r="B23" s="4"/>
      <c r="C23" s="4"/>
      <c r="D23" s="4"/>
      <c r="E23" s="4"/>
      <c r="F23" s="4"/>
      <c r="G23" s="4"/>
      <c r="H23" s="4"/>
    </row>
    <row r="24" spans="1:8" ht="12.75">
      <c r="A24" s="4"/>
      <c r="B24" s="4"/>
      <c r="C24" s="4"/>
      <c r="D24" s="4"/>
      <c r="E24" s="4"/>
      <c r="F24" s="4"/>
      <c r="G24" s="4"/>
      <c r="H24" s="4"/>
    </row>
    <row r="25" spans="1:8" ht="12.75">
      <c r="A25" s="4"/>
      <c r="B25" s="4"/>
      <c r="C25" s="4"/>
      <c r="D25" s="4"/>
      <c r="E25" s="4"/>
      <c r="F25" s="4"/>
      <c r="G25" s="4"/>
      <c r="H25" s="4"/>
    </row>
    <row r="26" spans="1:8" ht="12.75">
      <c r="A26" s="4"/>
      <c r="B26" s="4"/>
      <c r="C26" s="4"/>
      <c r="D26" s="4"/>
      <c r="E26" s="4"/>
      <c r="F26" s="4"/>
      <c r="G26" s="4"/>
      <c r="H26" s="4"/>
    </row>
    <row r="27" spans="1:8" ht="12.75">
      <c r="A27" s="4"/>
      <c r="B27" s="4"/>
      <c r="C27" s="4"/>
      <c r="D27" s="4"/>
      <c r="E27" s="4"/>
      <c r="F27" s="4"/>
      <c r="G27" s="4"/>
      <c r="H27" s="4"/>
    </row>
    <row r="28" spans="1:8" ht="12.75">
      <c r="A28" s="4"/>
      <c r="B28" s="4"/>
      <c r="C28" s="4"/>
      <c r="D28" s="4"/>
      <c r="E28" s="4"/>
      <c r="F28" s="4"/>
      <c r="G28" s="4"/>
      <c r="H28" s="4"/>
    </row>
    <row r="29" spans="1:8" ht="12.75">
      <c r="A29" s="4"/>
      <c r="B29" s="4"/>
      <c r="C29" s="4"/>
      <c r="D29" s="4"/>
      <c r="E29" s="4"/>
      <c r="F29" s="4"/>
      <c r="G29" s="4"/>
      <c r="H29" s="4"/>
    </row>
    <row r="30" spans="1:8" ht="12.75">
      <c r="A30" s="4"/>
      <c r="B30" s="4"/>
      <c r="C30" s="4"/>
      <c r="D30" s="4"/>
      <c r="E30" s="4"/>
      <c r="F30" s="4"/>
      <c r="G30" s="4"/>
      <c r="H30" s="4"/>
    </row>
    <row r="31" spans="1:8" ht="12.75">
      <c r="A31" s="4"/>
      <c r="B31" s="4"/>
      <c r="C31" s="4"/>
      <c r="D31" s="4"/>
      <c r="E31" s="4"/>
      <c r="F31" s="4"/>
      <c r="G31" s="4"/>
      <c r="H31" s="4"/>
    </row>
    <row r="32" spans="1:8" ht="12.75">
      <c r="A32" s="4"/>
      <c r="B32" s="4"/>
      <c r="C32" s="4"/>
      <c r="D32" s="4"/>
      <c r="E32" s="4"/>
      <c r="F32" s="4"/>
      <c r="G32" s="4"/>
      <c r="H32" s="4"/>
    </row>
    <row r="33" spans="1:8" ht="12.75">
      <c r="A33" s="4"/>
      <c r="B33" s="4"/>
      <c r="C33" s="4"/>
      <c r="D33" s="4"/>
      <c r="E33" s="4"/>
      <c r="F33" s="4"/>
      <c r="G33" s="4"/>
      <c r="H33" s="4"/>
    </row>
    <row r="34" spans="1:8" ht="12.75">
      <c r="A34" s="4"/>
      <c r="B34" s="4"/>
      <c r="C34" s="4"/>
      <c r="D34" s="4"/>
      <c r="E34" s="4"/>
      <c r="F34" s="4"/>
      <c r="G34" s="4"/>
      <c r="H34" s="4"/>
    </row>
    <row r="35" spans="1:8" ht="12.75">
      <c r="A35" s="4"/>
      <c r="B35" s="4"/>
      <c r="C35" s="4"/>
      <c r="D35" s="4"/>
      <c r="E35" s="4"/>
      <c r="F35" s="4"/>
      <c r="G35" s="4"/>
      <c r="H35" s="4"/>
    </row>
    <row r="36" spans="1:8" ht="12.75">
      <c r="A36" s="4"/>
      <c r="B36" s="4"/>
      <c r="C36" s="4"/>
      <c r="D36" s="4"/>
      <c r="E36" s="4"/>
      <c r="F36" s="4"/>
      <c r="G36" s="4"/>
      <c r="H36" s="4"/>
    </row>
    <row r="37" spans="1:8" ht="12.75">
      <c r="A37" s="4"/>
      <c r="B37" s="4"/>
      <c r="C37" s="4"/>
      <c r="D37" s="4"/>
      <c r="E37" s="4"/>
      <c r="F37" s="4"/>
      <c r="G37" s="4"/>
      <c r="H37" s="4"/>
    </row>
    <row r="38" spans="1:8" ht="12.75">
      <c r="A38" s="4"/>
      <c r="B38" s="4"/>
      <c r="C38" s="4"/>
      <c r="D38" s="4"/>
      <c r="E38" s="4"/>
      <c r="F38" s="4"/>
      <c r="G38" s="4"/>
      <c r="H38" s="4"/>
    </row>
    <row r="39" spans="1:8" ht="12.75">
      <c r="A39" s="4"/>
      <c r="B39" s="4"/>
      <c r="C39" s="4"/>
      <c r="D39" s="4"/>
      <c r="E39" s="4"/>
      <c r="F39" s="4"/>
      <c r="G39" s="4"/>
      <c r="H39" s="4"/>
    </row>
    <row r="40" spans="1:8" ht="12.75">
      <c r="A40" s="4"/>
      <c r="B40" s="4"/>
      <c r="C40" s="4"/>
      <c r="D40" s="4"/>
      <c r="E40" s="4"/>
      <c r="F40" s="4"/>
      <c r="G40" s="4"/>
      <c r="H40" s="4"/>
    </row>
    <row r="41" spans="1:8" ht="12.75">
      <c r="A41" s="4"/>
      <c r="B41" s="4"/>
      <c r="C41" s="4"/>
      <c r="D41" s="4"/>
      <c r="E41" s="4"/>
      <c r="F41" s="4"/>
      <c r="G41" s="4"/>
      <c r="H41" s="4"/>
    </row>
    <row r="42" spans="1:8" ht="12.75">
      <c r="A42" s="4"/>
      <c r="B42" s="4"/>
      <c r="C42" s="4"/>
      <c r="D42" s="4"/>
      <c r="E42" s="4"/>
      <c r="F42" s="4"/>
      <c r="G42" s="4"/>
      <c r="H42" s="4"/>
    </row>
    <row r="43" spans="1:8" ht="12.75">
      <c r="A43" s="4"/>
      <c r="B43" s="4"/>
      <c r="C43" s="4"/>
      <c r="D43" s="4"/>
      <c r="E43" s="4"/>
      <c r="F43" s="4"/>
      <c r="G43" s="4"/>
      <c r="H43" s="4"/>
    </row>
    <row r="44" spans="1:8" ht="12.75">
      <c r="A44" s="4"/>
      <c r="B44" s="4"/>
      <c r="C44" s="4"/>
      <c r="D44" s="4"/>
      <c r="E44" s="4"/>
      <c r="F44" s="4"/>
      <c r="G44" s="4"/>
      <c r="H44" s="4"/>
    </row>
    <row r="45" spans="1:8" ht="12.75">
      <c r="A45" s="4"/>
      <c r="B45" s="4"/>
      <c r="C45" s="4"/>
      <c r="D45" s="4"/>
      <c r="E45" s="4"/>
      <c r="F45" s="4"/>
      <c r="G45" s="4"/>
      <c r="H45" s="4"/>
    </row>
    <row r="46" spans="1:8" ht="12.75">
      <c r="A46" s="4"/>
      <c r="B46" s="4"/>
      <c r="C46" s="4"/>
      <c r="D46" s="4"/>
      <c r="E46" s="4"/>
      <c r="F46" s="4"/>
      <c r="G46" s="4"/>
      <c r="H46" s="4"/>
    </row>
    <row r="47" spans="1:8" ht="12.75">
      <c r="A47" s="4"/>
      <c r="B47" s="4"/>
      <c r="C47" s="4"/>
      <c r="D47" s="4"/>
      <c r="E47" s="4"/>
      <c r="F47" s="4"/>
      <c r="G47" s="4"/>
      <c r="H47" s="4"/>
    </row>
    <row r="48" spans="1:8" ht="12.75">
      <c r="A48" s="4"/>
      <c r="B48" s="4"/>
      <c r="C48" s="4"/>
      <c r="D48" s="4"/>
      <c r="E48" s="4"/>
      <c r="F48" s="4"/>
      <c r="G48" s="4"/>
      <c r="H48" s="4"/>
    </row>
    <row r="49" spans="1:8" ht="12.75">
      <c r="A49" s="4"/>
      <c r="B49" s="4"/>
      <c r="C49" s="4"/>
      <c r="D49" s="4"/>
      <c r="E49" s="4"/>
      <c r="F49" s="4"/>
      <c r="G49" s="4"/>
      <c r="H49" s="4"/>
    </row>
    <row r="50" spans="1:8" ht="12.75">
      <c r="A50" s="4"/>
      <c r="B50" s="4"/>
      <c r="C50" s="4"/>
      <c r="D50" s="4"/>
      <c r="E50" s="4"/>
      <c r="F50" s="4"/>
      <c r="G50" s="4"/>
      <c r="H50" s="4"/>
    </row>
    <row r="51" spans="1:8" ht="12.75">
      <c r="A51" s="4"/>
      <c r="B51" s="4"/>
      <c r="C51" s="4"/>
      <c r="D51" s="4"/>
      <c r="E51" s="4"/>
      <c r="F51" s="4"/>
      <c r="G51" s="4"/>
      <c r="H51" s="4"/>
    </row>
    <row r="52" spans="1:8" ht="12.75">
      <c r="A52" s="4"/>
      <c r="B52" s="4"/>
      <c r="C52" s="4"/>
      <c r="D52" s="4"/>
      <c r="E52" s="4"/>
      <c r="F52" s="4"/>
      <c r="G52" s="4"/>
      <c r="H52" s="4"/>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outlinePr summaryBelow="0" summaryRight="0"/>
  </sheetPr>
  <dimension ref="A1:Z12"/>
  <sheetViews>
    <sheetView workbookViewId="0"/>
  </sheetViews>
  <sheetFormatPr defaultColWidth="12.5703125" defaultRowHeight="15.75" customHeight="1"/>
  <sheetData>
    <row r="1" spans="1:26" ht="15.75" customHeight="1">
      <c r="A1" s="243" t="s">
        <v>18</v>
      </c>
      <c r="B1" s="239" t="s">
        <v>20</v>
      </c>
      <c r="C1" s="243" t="s">
        <v>24</v>
      </c>
      <c r="D1" s="239" t="s">
        <v>26</v>
      </c>
      <c r="E1" s="243" t="s">
        <v>30</v>
      </c>
      <c r="F1" s="239" t="s">
        <v>32</v>
      </c>
      <c r="G1" s="243" t="s">
        <v>34</v>
      </c>
      <c r="H1" s="243" t="s">
        <v>36</v>
      </c>
      <c r="I1" s="244" t="s">
        <v>38</v>
      </c>
      <c r="J1" s="241" t="s">
        <v>40</v>
      </c>
      <c r="K1" s="241" t="s">
        <v>42</v>
      </c>
      <c r="L1" s="243" t="s">
        <v>44</v>
      </c>
      <c r="M1" s="243" t="s">
        <v>46</v>
      </c>
      <c r="N1" s="244" t="s">
        <v>48</v>
      </c>
      <c r="O1" s="241" t="s">
        <v>50</v>
      </c>
      <c r="P1" s="243" t="s">
        <v>51</v>
      </c>
      <c r="Q1" s="243" t="s">
        <v>54</v>
      </c>
      <c r="R1" s="240" t="s">
        <v>57</v>
      </c>
      <c r="S1" s="241" t="s">
        <v>60</v>
      </c>
      <c r="T1" s="241" t="s">
        <v>62</v>
      </c>
      <c r="U1" s="241" t="s">
        <v>64</v>
      </c>
      <c r="V1" s="241" t="s">
        <v>65</v>
      </c>
      <c r="W1" s="241" t="s">
        <v>66</v>
      </c>
      <c r="X1" s="10"/>
      <c r="Y1" s="10"/>
      <c r="Z1" s="10"/>
    </row>
    <row r="2" spans="1:26" ht="15.75" customHeight="1">
      <c r="D2" s="8" t="s">
        <v>4030</v>
      </c>
    </row>
    <row r="3" spans="1:26" ht="15.75" customHeight="1">
      <c r="D3" s="8" t="s">
        <v>4045</v>
      </c>
    </row>
    <row r="4" spans="1:26" ht="15.75" customHeight="1">
      <c r="D4" s="8" t="s">
        <v>4031</v>
      </c>
    </row>
    <row r="5" spans="1:26" ht="15.75" customHeight="1">
      <c r="D5" s="8" t="s">
        <v>4034</v>
      </c>
    </row>
    <row r="6" spans="1:26" ht="15.75" customHeight="1">
      <c r="D6" s="8" t="s">
        <v>4032</v>
      </c>
    </row>
    <row r="7" spans="1:26" ht="15.75" customHeight="1">
      <c r="D7" s="8" t="s">
        <v>4033</v>
      </c>
    </row>
    <row r="8" spans="1:26" ht="15.75" customHeight="1">
      <c r="D8" s="8" t="s">
        <v>4035</v>
      </c>
    </row>
    <row r="9" spans="1:26" ht="15.75" customHeight="1">
      <c r="D9" s="8" t="s">
        <v>4029</v>
      </c>
    </row>
    <row r="10" spans="1:26" ht="15.75" customHeight="1">
      <c r="D10" s="8" t="s">
        <v>4046</v>
      </c>
    </row>
    <row r="11" spans="1:26" ht="15.75" customHeight="1">
      <c r="D11" s="8" t="s">
        <v>4407</v>
      </c>
    </row>
    <row r="12" spans="1:26" ht="15.75" customHeight="1">
      <c r="D12" s="8" t="s">
        <v>4028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outlinePr summaryBelow="0" summaryRight="0"/>
  </sheetPr>
  <dimension ref="A1:Z1"/>
  <sheetViews>
    <sheetView workbookViewId="0"/>
  </sheetViews>
  <sheetFormatPr defaultColWidth="12.5703125" defaultRowHeight="15.75" customHeight="1"/>
  <sheetData>
    <row r="1" spans="1:26" ht="15.75" customHeight="1">
      <c r="A1" s="242" t="s">
        <v>26</v>
      </c>
      <c r="B1" s="245" t="s">
        <v>71</v>
      </c>
      <c r="C1" s="241" t="s">
        <v>73</v>
      </c>
      <c r="D1" s="243" t="s">
        <v>75</v>
      </c>
      <c r="E1" s="244" t="s">
        <v>76</v>
      </c>
      <c r="F1" s="241" t="s">
        <v>77</v>
      </c>
      <c r="G1" s="246" t="s">
        <v>78</v>
      </c>
      <c r="H1" s="247" t="s">
        <v>51</v>
      </c>
      <c r="I1" s="32"/>
      <c r="J1" s="32"/>
      <c r="K1" s="32"/>
      <c r="L1" s="32"/>
      <c r="M1" s="32"/>
      <c r="N1" s="32"/>
      <c r="O1" s="32"/>
      <c r="P1" s="32"/>
      <c r="Q1" s="32"/>
      <c r="R1" s="32"/>
      <c r="S1" s="32"/>
      <c r="T1" s="32"/>
      <c r="U1" s="32"/>
      <c r="V1" s="32"/>
      <c r="W1" s="32"/>
      <c r="X1" s="32"/>
      <c r="Y1" s="32"/>
      <c r="Z1" s="3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85"/>
  <sheetViews>
    <sheetView workbookViewId="0"/>
  </sheetViews>
  <sheetFormatPr defaultColWidth="12.5703125" defaultRowHeight="15.75" customHeight="1"/>
  <cols>
    <col min="1" max="1" width="24.28515625" customWidth="1"/>
    <col min="2" max="2" width="57.85546875" customWidth="1"/>
  </cols>
  <sheetData>
    <row r="1" spans="1:2" ht="143.25" customHeight="1">
      <c r="A1" s="257" t="s">
        <v>17</v>
      </c>
      <c r="B1" s="258"/>
    </row>
    <row r="2" spans="1:2">
      <c r="A2" s="16"/>
      <c r="B2" s="16"/>
    </row>
    <row r="3" spans="1:2" ht="189">
      <c r="A3" s="17" t="s">
        <v>18</v>
      </c>
      <c r="B3" s="16" t="s">
        <v>19</v>
      </c>
    </row>
    <row r="4" spans="1:2" ht="31.5">
      <c r="A4" s="17" t="s">
        <v>20</v>
      </c>
      <c r="B4" s="16" t="s">
        <v>21</v>
      </c>
    </row>
    <row r="5" spans="1:2" ht="49.5" customHeight="1">
      <c r="A5" s="18" t="s">
        <v>22</v>
      </c>
      <c r="B5" s="16" t="s">
        <v>23</v>
      </c>
    </row>
    <row r="6" spans="1:2" ht="31.5">
      <c r="A6" s="17" t="s">
        <v>24</v>
      </c>
      <c r="B6" s="16" t="s">
        <v>25</v>
      </c>
    </row>
    <row r="7" spans="1:2">
      <c r="A7" s="17" t="s">
        <v>26</v>
      </c>
      <c r="B7" s="16" t="s">
        <v>27</v>
      </c>
    </row>
    <row r="8" spans="1:2">
      <c r="A8" s="19" t="s">
        <v>28</v>
      </c>
      <c r="B8" s="16" t="s">
        <v>29</v>
      </c>
    </row>
    <row r="9" spans="1:2" ht="64.5" customHeight="1">
      <c r="A9" s="20" t="s">
        <v>30</v>
      </c>
      <c r="B9" s="16" t="s">
        <v>31</v>
      </c>
    </row>
    <row r="10" spans="1:2" ht="47.25">
      <c r="A10" s="20" t="s">
        <v>32</v>
      </c>
      <c r="B10" s="16" t="s">
        <v>33</v>
      </c>
    </row>
    <row r="11" spans="1:2" ht="47.25">
      <c r="A11" s="20" t="s">
        <v>34</v>
      </c>
      <c r="B11" s="16" t="s">
        <v>35</v>
      </c>
    </row>
    <row r="12" spans="1:2">
      <c r="A12" s="20" t="s">
        <v>36</v>
      </c>
      <c r="B12" s="4" t="s">
        <v>37</v>
      </c>
    </row>
    <row r="13" spans="1:2" ht="25.5">
      <c r="A13" s="20" t="s">
        <v>38</v>
      </c>
      <c r="B13" s="4" t="s">
        <v>39</v>
      </c>
    </row>
    <row r="14" spans="1:2">
      <c r="A14" s="21" t="s">
        <v>40</v>
      </c>
      <c r="B14" s="4" t="s">
        <v>41</v>
      </c>
    </row>
    <row r="15" spans="1:2">
      <c r="A15" s="21" t="s">
        <v>42</v>
      </c>
      <c r="B15" s="4" t="s">
        <v>43</v>
      </c>
    </row>
    <row r="16" spans="1:2" ht="25.5">
      <c r="A16" s="20" t="s">
        <v>44</v>
      </c>
      <c r="B16" s="4" t="s">
        <v>45</v>
      </c>
    </row>
    <row r="17" spans="1:2" ht="25.5">
      <c r="A17" s="20" t="s">
        <v>46</v>
      </c>
      <c r="B17" s="4" t="s">
        <v>47</v>
      </c>
    </row>
    <row r="18" spans="1:2" ht="25.5">
      <c r="A18" s="20" t="s">
        <v>48</v>
      </c>
      <c r="B18" s="4" t="s">
        <v>49</v>
      </c>
    </row>
    <row r="19" spans="1:2">
      <c r="A19" s="21" t="s">
        <v>50</v>
      </c>
      <c r="B19" s="4"/>
    </row>
    <row r="20" spans="1:2">
      <c r="A20" s="20" t="s">
        <v>51</v>
      </c>
      <c r="B20" s="4" t="s">
        <v>52</v>
      </c>
    </row>
    <row r="21" spans="1:2">
      <c r="A21" s="18" t="s">
        <v>53</v>
      </c>
      <c r="B21" s="16"/>
    </row>
    <row r="22" spans="1:2">
      <c r="A22" s="20" t="s">
        <v>54</v>
      </c>
      <c r="B22" s="4" t="s">
        <v>55</v>
      </c>
    </row>
    <row r="23" spans="1:2">
      <c r="A23" s="18" t="s">
        <v>56</v>
      </c>
      <c r="B23" s="4"/>
    </row>
    <row r="24" spans="1:2" ht="25.5">
      <c r="A24" s="20" t="s">
        <v>57</v>
      </c>
      <c r="B24" s="4" t="s">
        <v>58</v>
      </c>
    </row>
    <row r="25" spans="1:2">
      <c r="A25" s="22" t="s">
        <v>59</v>
      </c>
      <c r="B25" s="16"/>
    </row>
    <row r="26" spans="1:2" ht="47.25">
      <c r="A26" s="21" t="s">
        <v>60</v>
      </c>
      <c r="B26" s="16" t="s">
        <v>61</v>
      </c>
    </row>
    <row r="27" spans="1:2">
      <c r="A27" s="21" t="s">
        <v>62</v>
      </c>
      <c r="B27" s="23" t="s">
        <v>63</v>
      </c>
    </row>
    <row r="28" spans="1:2">
      <c r="A28" s="21" t="s">
        <v>64</v>
      </c>
      <c r="B28" s="23" t="s">
        <v>63</v>
      </c>
    </row>
    <row r="29" spans="1:2">
      <c r="A29" s="21" t="s">
        <v>65</v>
      </c>
      <c r="B29" s="23" t="s">
        <v>63</v>
      </c>
    </row>
    <row r="30" spans="1:2" ht="31.5">
      <c r="A30" s="21" t="s">
        <v>66</v>
      </c>
      <c r="B30" s="23" t="s">
        <v>63</v>
      </c>
    </row>
    <row r="31" spans="1:2">
      <c r="A31" s="16"/>
      <c r="B31" s="16"/>
    </row>
    <row r="32" spans="1:2">
      <c r="A32" s="16"/>
      <c r="B32" s="16"/>
    </row>
    <row r="33" spans="1:2" ht="12.75">
      <c r="A33" s="259" t="s">
        <v>67</v>
      </c>
      <c r="B33" s="258"/>
    </row>
    <row r="34" spans="1:2">
      <c r="A34" s="16"/>
      <c r="B34" s="16"/>
    </row>
    <row r="35" spans="1:2" ht="63">
      <c r="A35" s="21" t="s">
        <v>26</v>
      </c>
      <c r="B35" s="24" t="s">
        <v>68</v>
      </c>
    </row>
    <row r="36" spans="1:2">
      <c r="A36" s="25" t="s">
        <v>28</v>
      </c>
      <c r="B36" s="16" t="s">
        <v>69</v>
      </c>
    </row>
    <row r="37" spans="1:2" ht="47.25">
      <c r="A37" s="17" t="s">
        <v>30</v>
      </c>
      <c r="B37" s="24" t="s">
        <v>70</v>
      </c>
    </row>
    <row r="38" spans="1:2" ht="63">
      <c r="A38" s="17" t="s">
        <v>71</v>
      </c>
      <c r="B38" s="24" t="s">
        <v>72</v>
      </c>
    </row>
    <row r="39" spans="1:2" ht="94.5">
      <c r="A39" s="21" t="s">
        <v>73</v>
      </c>
      <c r="B39" s="24" t="s">
        <v>74</v>
      </c>
    </row>
    <row r="40" spans="1:2">
      <c r="A40" s="21" t="s">
        <v>75</v>
      </c>
      <c r="B40" s="23" t="s">
        <v>63</v>
      </c>
    </row>
    <row r="41" spans="1:2">
      <c r="A41" s="21" t="s">
        <v>76</v>
      </c>
      <c r="B41" s="23" t="s">
        <v>63</v>
      </c>
    </row>
    <row r="42" spans="1:2">
      <c r="A42" s="21" t="s">
        <v>77</v>
      </c>
      <c r="B42" s="23" t="s">
        <v>63</v>
      </c>
    </row>
    <row r="43" spans="1:2">
      <c r="A43" s="21" t="s">
        <v>78</v>
      </c>
      <c r="B43" s="23" t="s">
        <v>63</v>
      </c>
    </row>
    <row r="44" spans="1:2">
      <c r="A44" s="26" t="s">
        <v>79</v>
      </c>
      <c r="B44" s="16" t="s">
        <v>80</v>
      </c>
    </row>
    <row r="45" spans="1:2">
      <c r="A45" s="26" t="s">
        <v>81</v>
      </c>
      <c r="B45" s="23" t="s">
        <v>63</v>
      </c>
    </row>
    <row r="46" spans="1:2">
      <c r="A46" s="25" t="s">
        <v>82</v>
      </c>
      <c r="B46" s="23" t="s">
        <v>63</v>
      </c>
    </row>
    <row r="47" spans="1:2">
      <c r="A47" s="25" t="s">
        <v>83</v>
      </c>
      <c r="B47" s="23" t="s">
        <v>63</v>
      </c>
    </row>
    <row r="48" spans="1:2">
      <c r="A48" s="25" t="s">
        <v>84</v>
      </c>
      <c r="B48" s="23" t="s">
        <v>63</v>
      </c>
    </row>
    <row r="49" spans="1:2" ht="78.75">
      <c r="A49" s="16" t="s">
        <v>85</v>
      </c>
      <c r="B49" s="24" t="s">
        <v>86</v>
      </c>
    </row>
    <row r="50" spans="1:2" ht="31.5">
      <c r="A50" s="21" t="s">
        <v>60</v>
      </c>
      <c r="B50" s="16" t="s">
        <v>87</v>
      </c>
    </row>
    <row r="51" spans="1:2">
      <c r="A51" s="21" t="s">
        <v>62</v>
      </c>
      <c r="B51" s="23" t="s">
        <v>63</v>
      </c>
    </row>
    <row r="52" spans="1:2">
      <c r="A52" s="21" t="s">
        <v>64</v>
      </c>
      <c r="B52" s="23" t="s">
        <v>63</v>
      </c>
    </row>
    <row r="53" spans="1:2">
      <c r="A53" s="21" t="s">
        <v>65</v>
      </c>
      <c r="B53" s="23" t="s">
        <v>63</v>
      </c>
    </row>
    <row r="54" spans="1:2" ht="31.5">
      <c r="A54" s="21" t="s">
        <v>66</v>
      </c>
      <c r="B54" s="23" t="s">
        <v>63</v>
      </c>
    </row>
    <row r="55" spans="1:2" ht="63">
      <c r="A55" s="16" t="s">
        <v>88</v>
      </c>
      <c r="B55" s="16" t="s">
        <v>89</v>
      </c>
    </row>
    <row r="56" spans="1:2">
      <c r="A56" s="16"/>
      <c r="B56" s="16"/>
    </row>
    <row r="57" spans="1:2">
      <c r="A57" s="16"/>
      <c r="B57" s="16"/>
    </row>
    <row r="58" spans="1:2" ht="409.5">
      <c r="A58" s="16" t="s">
        <v>90</v>
      </c>
      <c r="B58" s="27" t="s">
        <v>91</v>
      </c>
    </row>
    <row r="59" spans="1:2">
      <c r="A59" s="16"/>
      <c r="B59" s="16"/>
    </row>
    <row r="60" spans="1:2">
      <c r="A60" s="16"/>
      <c r="B60" s="16"/>
    </row>
    <row r="61" spans="1:2">
      <c r="A61" s="16"/>
      <c r="B61" s="16"/>
    </row>
    <row r="62" spans="1:2">
      <c r="A62" s="16"/>
      <c r="B62" s="16"/>
    </row>
    <row r="63" spans="1:2">
      <c r="A63" s="16"/>
      <c r="B63" s="16"/>
    </row>
    <row r="64" spans="1:2">
      <c r="A64" s="16"/>
      <c r="B64" s="16"/>
    </row>
    <row r="65" spans="1:2">
      <c r="A65" s="16"/>
      <c r="B65" s="16"/>
    </row>
    <row r="66" spans="1:2">
      <c r="A66" s="16"/>
      <c r="B66" s="16"/>
    </row>
    <row r="67" spans="1:2">
      <c r="A67" s="16"/>
      <c r="B67" s="16"/>
    </row>
    <row r="68" spans="1:2">
      <c r="A68" s="16"/>
      <c r="B68" s="16"/>
    </row>
    <row r="69" spans="1:2">
      <c r="A69" s="16"/>
      <c r="B69" s="16"/>
    </row>
    <row r="70" spans="1:2">
      <c r="A70" s="16"/>
      <c r="B70" s="16"/>
    </row>
    <row r="71" spans="1:2">
      <c r="A71" s="16"/>
      <c r="B71" s="16"/>
    </row>
    <row r="72" spans="1:2">
      <c r="A72" s="16"/>
      <c r="B72" s="16"/>
    </row>
    <row r="73" spans="1:2">
      <c r="A73" s="16"/>
      <c r="B73" s="16"/>
    </row>
    <row r="74" spans="1:2">
      <c r="A74" s="16"/>
      <c r="B74" s="16"/>
    </row>
    <row r="75" spans="1:2">
      <c r="A75" s="16"/>
      <c r="B75" s="16"/>
    </row>
    <row r="76" spans="1:2">
      <c r="A76" s="16"/>
      <c r="B76" s="16"/>
    </row>
    <row r="77" spans="1:2">
      <c r="A77" s="16"/>
      <c r="B77" s="16"/>
    </row>
    <row r="78" spans="1:2">
      <c r="A78" s="16"/>
      <c r="B78" s="16"/>
    </row>
    <row r="79" spans="1:2">
      <c r="A79" s="16"/>
      <c r="B79" s="16"/>
    </row>
    <row r="80" spans="1:2">
      <c r="A80" s="16"/>
      <c r="B80" s="16"/>
    </row>
    <row r="81" spans="1:2">
      <c r="A81" s="16"/>
      <c r="B81" s="16"/>
    </row>
    <row r="82" spans="1:2">
      <c r="A82" s="16"/>
      <c r="B82" s="16"/>
    </row>
    <row r="83" spans="1:2">
      <c r="A83" s="16"/>
      <c r="B83" s="16"/>
    </row>
    <row r="84" spans="1:2">
      <c r="A84" s="16"/>
      <c r="B84" s="16"/>
    </row>
    <row r="85" spans="1:2">
      <c r="A85" s="16"/>
      <c r="B85" s="16"/>
    </row>
  </sheetData>
  <mergeCells count="2">
    <mergeCell ref="A1:B1"/>
    <mergeCell ref="A33:B33"/>
  </mergeCells>
  <conditionalFormatting sqref="A14">
    <cfRule type="cellIs" dxfId="5" priority="1" operator="equal">
      <formula>"TRUE"</formula>
    </cfRule>
  </conditionalFormatting>
  <conditionalFormatting sqref="A15">
    <cfRule type="cellIs" dxfId="4" priority="2" operator="equal">
      <formula>"TRUE"</formula>
    </cfRule>
  </conditionalFormatting>
  <hyperlinks>
    <hyperlink ref="A1" r:id="rId1" xr:uid="{00000000-0004-0000-0100-000000000000}"/>
    <hyperlink ref="B58"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S3"/>
  <sheetViews>
    <sheetView workbookViewId="0">
      <selection activeCell="I42" sqref="I42"/>
    </sheetView>
  </sheetViews>
  <sheetFormatPr defaultColWidth="12.5703125" defaultRowHeight="15.75" customHeight="1"/>
  <cols>
    <col min="2" max="2" width="17.42578125" customWidth="1"/>
    <col min="3" max="3" width="17.5703125" customWidth="1"/>
    <col min="4" max="4" width="22" customWidth="1"/>
    <col min="5" max="5" width="26.7109375" customWidth="1"/>
    <col min="12" max="12" width="13.42578125" customWidth="1"/>
    <col min="13" max="13" width="14.7109375" customWidth="1"/>
  </cols>
  <sheetData>
    <row r="1" spans="1:19" ht="15.75" customHeight="1">
      <c r="A1" s="1" t="s">
        <v>18</v>
      </c>
      <c r="B1" s="1" t="s">
        <v>20</v>
      </c>
      <c r="C1" s="33" t="s">
        <v>24</v>
      </c>
      <c r="D1" s="1" t="s">
        <v>26</v>
      </c>
      <c r="E1" s="30" t="s">
        <v>30</v>
      </c>
      <c r="F1" s="28" t="s">
        <v>32</v>
      </c>
      <c r="G1" s="30" t="s">
        <v>34</v>
      </c>
      <c r="H1" s="30" t="s">
        <v>36</v>
      </c>
      <c r="I1" s="30" t="s">
        <v>38</v>
      </c>
      <c r="J1" s="34" t="s">
        <v>40</v>
      </c>
      <c r="K1" s="34" t="s">
        <v>42</v>
      </c>
      <c r="L1" s="30" t="s">
        <v>44</v>
      </c>
      <c r="M1" s="30" t="s">
        <v>46</v>
      </c>
      <c r="N1" s="30" t="s">
        <v>48</v>
      </c>
      <c r="O1" s="29" t="s">
        <v>50</v>
      </c>
      <c r="P1" s="30" t="s">
        <v>51</v>
      </c>
      <c r="Q1" s="28" t="s">
        <v>54</v>
      </c>
      <c r="R1" s="28" t="s">
        <v>57</v>
      </c>
      <c r="S1" s="34" t="s">
        <v>3300</v>
      </c>
    </row>
    <row r="2" spans="1:19" ht="15.75" customHeight="1">
      <c r="A2" s="35" t="s">
        <v>3301</v>
      </c>
      <c r="B2" s="36" t="s">
        <v>95</v>
      </c>
      <c r="C2" s="37"/>
      <c r="D2" s="38" t="s">
        <v>96</v>
      </c>
      <c r="E2" s="38" t="s">
        <v>1284</v>
      </c>
      <c r="F2" s="45" t="s">
        <v>92</v>
      </c>
      <c r="G2" s="39"/>
      <c r="H2" s="39" t="b">
        <v>1</v>
      </c>
      <c r="I2" s="39" t="s">
        <v>97</v>
      </c>
      <c r="J2" s="39" t="b">
        <v>1</v>
      </c>
      <c r="K2" s="39" t="s">
        <v>97</v>
      </c>
      <c r="L2" s="39"/>
      <c r="M2" s="39"/>
      <c r="N2" s="40"/>
      <c r="O2" s="40"/>
      <c r="P2" s="40" t="s">
        <v>98</v>
      </c>
      <c r="Q2" s="50"/>
      <c r="R2" s="42" t="s">
        <v>2288</v>
      </c>
      <c r="S2" s="43" t="s">
        <v>100</v>
      </c>
    </row>
    <row r="3" spans="1:19" ht="15.75" customHeight="1">
      <c r="A3" s="35" t="s">
        <v>3301</v>
      </c>
      <c r="B3" s="44" t="s">
        <v>116</v>
      </c>
      <c r="C3" s="48" t="s">
        <v>119</v>
      </c>
      <c r="D3" s="13" t="s">
        <v>120</v>
      </c>
      <c r="E3" s="13" t="s">
        <v>123</v>
      </c>
      <c r="F3" s="47" t="s">
        <v>124</v>
      </c>
      <c r="G3" s="39" t="s">
        <v>105</v>
      </c>
      <c r="H3" s="39"/>
      <c r="I3" s="39"/>
      <c r="J3" s="39" t="b">
        <v>1</v>
      </c>
      <c r="K3" s="39"/>
      <c r="L3" s="39"/>
      <c r="M3" s="39"/>
      <c r="N3" s="40"/>
      <c r="O3" s="40"/>
      <c r="P3" s="49" t="s">
        <v>121</v>
      </c>
      <c r="Q3" s="50"/>
      <c r="R3" s="42" t="s">
        <v>122</v>
      </c>
      <c r="S3" s="42"/>
    </row>
  </sheetData>
  <conditionalFormatting sqref="J1:J3">
    <cfRule type="cellIs" dxfId="3" priority="1" operator="equal">
      <formula>"TRUE"</formula>
    </cfRule>
  </conditionalFormatting>
  <conditionalFormatting sqref="K1:K3">
    <cfRule type="cellIs" dxfId="2" priority="2" operator="equal">
      <formula>"TRUE"</formula>
    </cfRule>
  </conditionalFormatting>
  <dataValidations count="1">
    <dataValidation type="list" allowBlank="1" sqref="O2:O3" xr:uid="{00000000-0002-0000-0C00-000000000000}">
      <formula1>"{lower_case},{UPPER_CASE},{Title_Case}"</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J34"/>
  <sheetViews>
    <sheetView workbookViewId="0">
      <selection activeCell="I42" sqref="I42"/>
    </sheetView>
  </sheetViews>
  <sheetFormatPr defaultColWidth="12.5703125" defaultRowHeight="15.75" customHeight="1"/>
  <cols>
    <col min="9" max="9" width="21.5703125" customWidth="1"/>
    <col min="10" max="10" width="20.42578125" customWidth="1"/>
  </cols>
  <sheetData>
    <row r="1" spans="1:10" ht="15.75" customHeight="1">
      <c r="A1" s="58" t="s">
        <v>30</v>
      </c>
      <c r="B1" s="57" t="s">
        <v>26</v>
      </c>
      <c r="C1" s="58" t="s">
        <v>71</v>
      </c>
      <c r="D1" s="135" t="s">
        <v>73</v>
      </c>
      <c r="E1" s="136" t="s">
        <v>75</v>
      </c>
      <c r="F1" s="136" t="s">
        <v>76</v>
      </c>
      <c r="G1" s="137" t="s">
        <v>77</v>
      </c>
      <c r="H1" s="136" t="s">
        <v>78</v>
      </c>
      <c r="I1" s="138" t="s">
        <v>51</v>
      </c>
      <c r="J1" s="34" t="s">
        <v>3300</v>
      </c>
    </row>
    <row r="2" spans="1:10" ht="15.75" customHeight="1">
      <c r="A2" s="64" t="s">
        <v>105</v>
      </c>
      <c r="B2" s="6" t="s">
        <v>267</v>
      </c>
      <c r="C2" s="81"/>
      <c r="D2" s="76"/>
      <c r="E2" s="139"/>
      <c r="F2" s="139"/>
      <c r="G2" s="139"/>
      <c r="H2" s="139"/>
      <c r="I2" s="42" t="s">
        <v>3302</v>
      </c>
      <c r="J2" s="6"/>
    </row>
    <row r="3" spans="1:10" ht="15.75" customHeight="1">
      <c r="A3" s="81"/>
      <c r="B3" s="64"/>
      <c r="C3" s="81" t="s">
        <v>269</v>
      </c>
      <c r="D3" s="76" t="s">
        <v>268</v>
      </c>
      <c r="E3" s="139"/>
      <c r="F3" s="139"/>
      <c r="G3" s="139"/>
      <c r="H3" s="139"/>
      <c r="I3" s="42"/>
      <c r="J3" s="6"/>
    </row>
    <row r="4" spans="1:10" ht="15.75" customHeight="1">
      <c r="A4" s="81"/>
      <c r="B4" s="64"/>
      <c r="C4" s="81" t="s">
        <v>271</v>
      </c>
      <c r="D4" s="76" t="s">
        <v>270</v>
      </c>
      <c r="E4" s="139"/>
      <c r="F4" s="139"/>
      <c r="G4" s="139"/>
      <c r="H4" s="139"/>
      <c r="I4" s="42"/>
      <c r="J4" s="6"/>
    </row>
    <row r="5" spans="1:10" ht="15.75" customHeight="1">
      <c r="A5" s="81"/>
      <c r="B5" s="64"/>
      <c r="C5" s="81" t="s">
        <v>273</v>
      </c>
      <c r="D5" s="76" t="s">
        <v>272</v>
      </c>
      <c r="E5" s="139"/>
      <c r="F5" s="139"/>
      <c r="G5" s="139"/>
      <c r="H5" s="139"/>
      <c r="I5" s="42"/>
      <c r="J5" s="6"/>
    </row>
    <row r="6" spans="1:10" ht="15.75" customHeight="1">
      <c r="A6" s="60"/>
      <c r="B6" s="66"/>
      <c r="C6" s="60" t="s">
        <v>275</v>
      </c>
      <c r="D6" s="157" t="s">
        <v>274</v>
      </c>
      <c r="E6" s="158"/>
      <c r="F6" s="158"/>
      <c r="G6" s="158"/>
      <c r="H6" s="158"/>
      <c r="I6" s="63"/>
      <c r="J6" s="69"/>
    </row>
    <row r="7" spans="1:10" ht="15.75" customHeight="1">
      <c r="A7" s="53"/>
      <c r="B7" s="64"/>
      <c r="C7" s="53" t="s">
        <v>277</v>
      </c>
      <c r="D7" s="140" t="s">
        <v>276</v>
      </c>
      <c r="E7" s="156"/>
      <c r="F7" s="156"/>
      <c r="G7" s="156"/>
      <c r="H7" s="156"/>
      <c r="I7" s="40"/>
      <c r="J7" s="53"/>
    </row>
    <row r="8" spans="1:10" ht="15.75" customHeight="1">
      <c r="A8" s="6"/>
      <c r="B8" s="6"/>
      <c r="C8" s="6"/>
      <c r="D8" s="6"/>
      <c r="E8" s="6"/>
      <c r="F8" s="6"/>
      <c r="G8" s="6"/>
      <c r="H8" s="6"/>
      <c r="I8" s="6"/>
      <c r="J8" s="6"/>
    </row>
    <row r="9" spans="1:10" ht="15.75" customHeight="1">
      <c r="A9" s="13" t="s">
        <v>124</v>
      </c>
      <c r="B9" s="6" t="s">
        <v>732</v>
      </c>
      <c r="C9" s="44"/>
      <c r="E9" s="78"/>
      <c r="F9" s="78"/>
      <c r="G9" s="156"/>
      <c r="H9" s="78"/>
      <c r="I9" s="39" t="s">
        <v>3303</v>
      </c>
      <c r="J9" s="39"/>
    </row>
    <row r="10" spans="1:10" ht="15.75" customHeight="1">
      <c r="A10" s="44"/>
      <c r="B10" s="13"/>
      <c r="C10" s="44"/>
      <c r="D10" s="127" t="s">
        <v>719</v>
      </c>
      <c r="E10" s="78"/>
      <c r="F10" s="78"/>
      <c r="G10" s="156"/>
      <c r="H10" s="78"/>
      <c r="I10" s="39"/>
      <c r="J10" s="39"/>
    </row>
    <row r="11" spans="1:10" ht="15.75" customHeight="1">
      <c r="A11" s="44"/>
      <c r="B11" s="13"/>
      <c r="C11" s="44"/>
      <c r="D11" s="79"/>
      <c r="E11" s="78" t="s">
        <v>720</v>
      </c>
      <c r="F11" s="78"/>
      <c r="G11" s="156"/>
      <c r="H11" s="78"/>
      <c r="I11" s="39"/>
      <c r="J11" s="39"/>
    </row>
    <row r="12" spans="1:10" ht="15.75" customHeight="1">
      <c r="A12" s="44"/>
      <c r="B12" s="13"/>
      <c r="C12" s="44"/>
      <c r="D12" s="79"/>
      <c r="E12" s="78" t="s">
        <v>721</v>
      </c>
      <c r="F12" s="78"/>
      <c r="G12" s="156"/>
      <c r="H12" s="78"/>
      <c r="I12" s="39"/>
      <c r="J12" s="39"/>
    </row>
    <row r="13" spans="1:10" ht="15.75" customHeight="1">
      <c r="A13" s="44"/>
      <c r="B13" s="13"/>
      <c r="C13" s="44"/>
      <c r="D13" s="79" t="s">
        <v>722</v>
      </c>
      <c r="E13" s="78"/>
      <c r="F13" s="78"/>
      <c r="G13" s="156"/>
      <c r="H13" s="78"/>
      <c r="I13" s="39"/>
      <c r="J13" s="39"/>
    </row>
    <row r="14" spans="1:10" ht="15.75" customHeight="1">
      <c r="A14" s="44"/>
      <c r="B14" s="13"/>
      <c r="C14" s="44"/>
      <c r="D14" s="79" t="s">
        <v>733</v>
      </c>
      <c r="E14" s="78"/>
      <c r="F14" s="78"/>
      <c r="G14" s="156"/>
      <c r="H14" s="78"/>
      <c r="I14" s="39"/>
      <c r="J14" s="132"/>
    </row>
    <row r="15" spans="1:10" ht="15.75" customHeight="1">
      <c r="A15" s="44"/>
      <c r="B15" s="13"/>
      <c r="C15" s="44"/>
      <c r="D15" s="79" t="s">
        <v>734</v>
      </c>
      <c r="E15" s="78"/>
      <c r="F15" s="78"/>
      <c r="G15" s="156"/>
      <c r="H15" s="78"/>
      <c r="I15" s="39"/>
      <c r="J15" s="132"/>
    </row>
    <row r="16" spans="1:10" ht="15.75" customHeight="1">
      <c r="A16" s="44"/>
      <c r="B16" s="13"/>
      <c r="C16" s="44"/>
      <c r="D16" s="79" t="s">
        <v>735</v>
      </c>
      <c r="E16" s="78"/>
      <c r="F16" s="78"/>
      <c r="G16" s="156"/>
      <c r="H16" s="78"/>
      <c r="I16" s="39"/>
      <c r="J16" s="132"/>
    </row>
    <row r="17" spans="1:10" ht="15.75" customHeight="1">
      <c r="A17" s="44"/>
      <c r="B17" s="13"/>
      <c r="C17" s="44"/>
      <c r="D17" s="79" t="s">
        <v>736</v>
      </c>
      <c r="E17" s="78"/>
      <c r="F17" s="78"/>
      <c r="G17" s="156"/>
      <c r="H17" s="78"/>
      <c r="I17" s="39"/>
      <c r="J17" s="39"/>
    </row>
    <row r="18" spans="1:10" ht="15.75" customHeight="1">
      <c r="A18" s="44"/>
      <c r="B18" s="13"/>
      <c r="C18" s="44"/>
      <c r="D18" s="79" t="s">
        <v>737</v>
      </c>
      <c r="E18" s="78"/>
      <c r="F18" s="78"/>
      <c r="G18" s="156"/>
      <c r="H18" s="78"/>
      <c r="I18" s="39"/>
      <c r="J18" s="39"/>
    </row>
    <row r="19" spans="1:10" ht="15.75" customHeight="1">
      <c r="A19" s="44"/>
      <c r="B19" s="13"/>
      <c r="C19" s="44"/>
      <c r="D19" s="79" t="s">
        <v>738</v>
      </c>
      <c r="E19" s="78"/>
      <c r="F19" s="78"/>
      <c r="G19" s="156"/>
      <c r="H19" s="78"/>
      <c r="I19" s="39"/>
      <c r="J19" s="39"/>
    </row>
    <row r="20" spans="1:10" ht="15.75" customHeight="1">
      <c r="A20" s="44"/>
      <c r="B20" s="13"/>
      <c r="C20" s="44"/>
      <c r="D20" s="79" t="s">
        <v>723</v>
      </c>
      <c r="E20" s="78"/>
      <c r="F20" s="78"/>
      <c r="G20" s="156"/>
      <c r="H20" s="78"/>
      <c r="I20" s="39"/>
      <c r="J20" s="39"/>
    </row>
    <row r="21" spans="1:10" ht="15.75" customHeight="1">
      <c r="A21" s="44"/>
      <c r="B21" s="13"/>
      <c r="C21" s="44"/>
      <c r="D21" s="79" t="s">
        <v>724</v>
      </c>
      <c r="E21" s="78"/>
      <c r="F21" s="78"/>
      <c r="G21" s="156"/>
      <c r="H21" s="78"/>
      <c r="I21" s="39"/>
      <c r="J21" s="39"/>
    </row>
    <row r="22" spans="1:10" ht="15.75" customHeight="1">
      <c r="A22" s="44"/>
      <c r="B22" s="13"/>
      <c r="C22" s="44"/>
      <c r="D22" s="79" t="s">
        <v>739</v>
      </c>
      <c r="E22" s="78"/>
      <c r="F22" s="78"/>
      <c r="G22" s="156"/>
      <c r="H22" s="78"/>
      <c r="I22" s="39"/>
      <c r="J22" s="39"/>
    </row>
    <row r="23" spans="1:10" ht="15.75" customHeight="1">
      <c r="A23" s="44"/>
      <c r="B23" s="13"/>
      <c r="C23" s="44"/>
      <c r="D23" s="79" t="s">
        <v>740</v>
      </c>
      <c r="E23" s="78"/>
      <c r="F23" s="78"/>
      <c r="G23" s="156"/>
      <c r="H23" s="78"/>
      <c r="I23" s="39"/>
      <c r="J23" s="39"/>
    </row>
    <row r="24" spans="1:10" ht="15.75" customHeight="1">
      <c r="A24" s="44"/>
      <c r="B24" s="13"/>
      <c r="C24" s="44"/>
      <c r="D24" s="79" t="s">
        <v>725</v>
      </c>
      <c r="E24" s="78"/>
      <c r="F24" s="78"/>
      <c r="G24" s="156"/>
      <c r="H24" s="78"/>
      <c r="I24" s="39"/>
      <c r="J24" s="39"/>
    </row>
    <row r="25" spans="1:10" ht="15.75" customHeight="1">
      <c r="A25" s="44"/>
      <c r="B25" s="13"/>
      <c r="C25" s="44"/>
      <c r="D25" s="79" t="s">
        <v>726</v>
      </c>
      <c r="E25" s="78"/>
      <c r="F25" s="78"/>
      <c r="G25" s="156"/>
      <c r="H25" s="78"/>
      <c r="I25" s="39"/>
      <c r="J25" s="39"/>
    </row>
    <row r="26" spans="1:10" ht="15.75" customHeight="1">
      <c r="A26" s="44"/>
      <c r="B26" s="13"/>
      <c r="C26" s="44"/>
      <c r="D26" s="79" t="s">
        <v>727</v>
      </c>
      <c r="E26" s="78"/>
      <c r="F26" s="78"/>
      <c r="G26" s="156"/>
      <c r="H26" s="78"/>
      <c r="I26" s="39"/>
      <c r="J26" s="39"/>
    </row>
    <row r="27" spans="1:10" ht="15.75" customHeight="1">
      <c r="A27" s="44"/>
      <c r="B27" s="13"/>
      <c r="C27" s="44"/>
      <c r="D27" s="79" t="s">
        <v>728</v>
      </c>
      <c r="E27" s="78"/>
      <c r="F27" s="78"/>
      <c r="G27" s="156"/>
      <c r="H27" s="78"/>
      <c r="I27" s="39"/>
      <c r="J27" s="39"/>
    </row>
    <row r="28" spans="1:10" ht="15.75" customHeight="1">
      <c r="A28" s="44"/>
      <c r="B28" s="13"/>
      <c r="C28" s="44"/>
      <c r="D28" s="79" t="s">
        <v>729</v>
      </c>
      <c r="E28" s="78"/>
      <c r="F28" s="78"/>
      <c r="G28" s="156"/>
      <c r="H28" s="78"/>
      <c r="I28" s="39"/>
      <c r="J28" s="39"/>
    </row>
    <row r="29" spans="1:10" ht="15.75" customHeight="1">
      <c r="A29" s="44"/>
      <c r="B29" s="13"/>
      <c r="C29" s="44"/>
      <c r="D29" s="79" t="s">
        <v>730</v>
      </c>
      <c r="E29" s="78"/>
      <c r="F29" s="78"/>
      <c r="G29" s="156"/>
      <c r="H29" s="78"/>
      <c r="I29" s="39"/>
      <c r="J29" s="39"/>
    </row>
    <row r="30" spans="1:10" ht="15.75" customHeight="1">
      <c r="A30" s="44"/>
      <c r="B30" s="13"/>
      <c r="C30" s="44"/>
      <c r="D30" s="79" t="s">
        <v>122</v>
      </c>
      <c r="E30" s="78"/>
      <c r="F30" s="78"/>
      <c r="G30" s="156"/>
      <c r="H30" s="78"/>
      <c r="I30" s="39"/>
      <c r="J30" s="39"/>
    </row>
    <row r="31" spans="1:10" ht="15.75" customHeight="1">
      <c r="A31" s="44"/>
      <c r="B31" s="13"/>
      <c r="C31" s="44"/>
      <c r="D31" s="79" t="s">
        <v>741</v>
      </c>
      <c r="E31" s="78"/>
      <c r="F31" s="78"/>
      <c r="G31" s="156"/>
      <c r="H31" s="78"/>
      <c r="I31" s="39"/>
      <c r="J31" s="39"/>
    </row>
    <row r="32" spans="1:10" ht="15.75" customHeight="1">
      <c r="A32" s="44"/>
      <c r="B32" s="13"/>
      <c r="C32" s="44"/>
      <c r="D32" s="79" t="s">
        <v>731</v>
      </c>
      <c r="E32" s="78"/>
      <c r="F32" s="78"/>
      <c r="G32" s="156"/>
      <c r="H32" s="78"/>
      <c r="I32" s="39"/>
      <c r="J32" s="39"/>
    </row>
    <row r="33" spans="1:10" ht="15.75" customHeight="1">
      <c r="A33" s="60"/>
      <c r="B33" s="59"/>
      <c r="C33" s="60"/>
      <c r="D33" s="159" t="s">
        <v>742</v>
      </c>
      <c r="E33" s="160"/>
      <c r="F33" s="160"/>
      <c r="G33" s="160"/>
      <c r="H33" s="160"/>
      <c r="I33" s="88"/>
      <c r="J33" s="88"/>
    </row>
    <row r="34" spans="1:10" ht="15.75" customHeight="1">
      <c r="A34" s="44"/>
      <c r="B34" s="13"/>
      <c r="C34" s="44"/>
      <c r="D34" s="79" t="s">
        <v>743</v>
      </c>
      <c r="E34" s="78"/>
      <c r="F34" s="78"/>
      <c r="G34" s="156"/>
      <c r="H34" s="78"/>
      <c r="I34" s="39"/>
      <c r="J34" s="3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W168"/>
  <sheetViews>
    <sheetView tabSelected="1" workbookViewId="0">
      <pane ySplit="1" topLeftCell="A2" activePane="bottomLeft" state="frozen"/>
      <selection activeCell="I42" sqref="I42"/>
      <selection pane="bottomLeft" activeCell="A3" sqref="A3"/>
    </sheetView>
  </sheetViews>
  <sheetFormatPr defaultColWidth="12.5703125" defaultRowHeight="15.75" customHeight="1"/>
  <cols>
    <col min="1" max="1" width="10.140625" customWidth="1"/>
    <col min="2" max="2" width="18.140625" customWidth="1"/>
    <col min="3" max="3" width="20" customWidth="1"/>
    <col min="4" max="4" width="29.5703125" customWidth="1"/>
    <col min="5" max="5" width="19.42578125" customWidth="1"/>
    <col min="6" max="6" width="23.5703125" customWidth="1"/>
    <col min="7" max="7" width="12.42578125" customWidth="1"/>
    <col min="8" max="8" width="8.28515625" customWidth="1"/>
    <col min="9" max="9" width="8" customWidth="1"/>
    <col min="10" max="10" width="12.42578125" customWidth="1"/>
    <col min="11" max="11" width="16" customWidth="1"/>
    <col min="12" max="13" width="10" customWidth="1"/>
    <col min="14" max="15" width="16" customWidth="1"/>
    <col min="16" max="16" width="29.42578125" customWidth="1"/>
    <col min="17" max="17" width="49.85546875" customWidth="1"/>
    <col min="18" max="18" width="16" customWidth="1"/>
    <col min="19" max="19" width="20.85546875" customWidth="1"/>
    <col min="20" max="20" width="25.28515625" customWidth="1"/>
    <col min="21" max="21" width="18.42578125" customWidth="1"/>
    <col min="22" max="23" width="20.85546875" customWidth="1"/>
  </cols>
  <sheetData>
    <row r="1" spans="1:23" ht="15.75" customHeight="1">
      <c r="A1" s="33" t="s">
        <v>18</v>
      </c>
      <c r="B1" s="33" t="s">
        <v>20</v>
      </c>
      <c r="C1" s="33" t="s">
        <v>24</v>
      </c>
      <c r="D1" s="33" t="s">
        <v>26</v>
      </c>
      <c r="E1" s="30" t="s">
        <v>30</v>
      </c>
      <c r="F1" s="30" t="s">
        <v>32</v>
      </c>
      <c r="G1" s="161" t="s">
        <v>34</v>
      </c>
      <c r="H1" s="30" t="s">
        <v>36</v>
      </c>
      <c r="I1" s="162" t="s">
        <v>40</v>
      </c>
      <c r="J1" s="30" t="s">
        <v>42</v>
      </c>
      <c r="K1" s="30" t="s">
        <v>38</v>
      </c>
      <c r="L1" s="30" t="s">
        <v>44</v>
      </c>
      <c r="M1" s="30" t="s">
        <v>46</v>
      </c>
      <c r="N1" s="30" t="s">
        <v>48</v>
      </c>
      <c r="O1" s="161" t="s">
        <v>50</v>
      </c>
      <c r="P1" s="30" t="s">
        <v>51</v>
      </c>
      <c r="Q1" s="30" t="s">
        <v>54</v>
      </c>
      <c r="R1" s="30" t="s">
        <v>57</v>
      </c>
      <c r="S1" s="162" t="s">
        <v>60</v>
      </c>
      <c r="T1" s="162" t="s">
        <v>3305</v>
      </c>
      <c r="U1" s="162" t="s">
        <v>2287</v>
      </c>
      <c r="V1" s="162" t="s">
        <v>3306</v>
      </c>
      <c r="W1" s="162" t="s">
        <v>3307</v>
      </c>
    </row>
    <row r="2" spans="1:23" ht="15.75" customHeight="1">
      <c r="A2" s="163" t="s">
        <v>3308</v>
      </c>
      <c r="B2" s="164"/>
      <c r="C2" s="163" t="str">
        <f ca="1">IFERROR(__xludf.DUMMYFUNCTION("IMPORTRANGE(""https://docs.google.com/spreadsheets/d/1NstVkNyMv132LYxaKGuXqEBScLi0RERHb0zkcgSuNZQ"",""Field Reference Guide!C6:C15"")"),"GENEPIO:0001122")</f>
        <v>GENEPIO:0001122</v>
      </c>
      <c r="D2" s="164" t="s">
        <v>95</v>
      </c>
      <c r="E2" s="82" t="str">
        <f ca="1">IFERROR(__xludf.DUMMYFUNCTION("Lower(regexreplace(regexreplace(F2,""[ /]"",""_""),""[-()]"",""""))"),"database_identifiers")</f>
        <v>database_identifiers</v>
      </c>
      <c r="F2" s="165"/>
      <c r="G2" s="165"/>
      <c r="H2" s="165"/>
      <c r="I2" s="165"/>
      <c r="J2" s="165"/>
      <c r="K2" s="165"/>
      <c r="L2" s="165"/>
      <c r="M2" s="165"/>
      <c r="N2" s="165"/>
      <c r="O2" s="165"/>
      <c r="P2" s="165"/>
      <c r="Q2" s="165"/>
      <c r="R2" s="165"/>
      <c r="S2" s="165"/>
      <c r="T2" s="165"/>
      <c r="U2" s="165"/>
      <c r="V2" s="165"/>
      <c r="W2" s="165"/>
    </row>
    <row r="3" spans="1:23" ht="15.75" customHeight="1">
      <c r="A3" s="40" t="s">
        <v>3308</v>
      </c>
      <c r="B3" s="36" t="s">
        <v>95</v>
      </c>
      <c r="C3" s="40" t="str">
        <f ca="1">IFERROR(__xludf.DUMMYFUNCTION("""COMPUTED_VALUE"""),"GENEPIO:0001123")</f>
        <v>GENEPIO:0001123</v>
      </c>
      <c r="D3" s="40" t="str">
        <f ca="1">IFERROR(__xludf.DUMMYFUNCTION("IMPORTRANGE(""https://docs.google.com/spreadsheets/d/1NstVkNyMv132LYxaKGuXqEBScLi0RERHb0zkcgSuNZQ"",""Field Reference Guide!B7:B15"")"),"specimen collector sample ID")</f>
        <v>specimen collector sample ID</v>
      </c>
      <c r="E3" s="82" t="str">
        <f ca="1">IFERROR(__xludf.DUMMYFUNCTION("Lower(regexreplace(regexreplace(F3,""[ /]"",""_""),""[-()]"",""""))"),"specimen_collector_sample_id")</f>
        <v>specimen_collector_sample_id</v>
      </c>
      <c r="F3" s="39" t="s">
        <v>92</v>
      </c>
      <c r="G3" s="39"/>
      <c r="H3" s="39"/>
      <c r="I3" s="166" t="b">
        <v>1</v>
      </c>
      <c r="J3" s="39" t="s">
        <v>97</v>
      </c>
      <c r="K3" s="39" t="s">
        <v>97</v>
      </c>
      <c r="L3" s="39"/>
      <c r="M3" s="39"/>
      <c r="N3" s="40"/>
      <c r="O3" s="40"/>
      <c r="P3" s="9" t="s">
        <v>98</v>
      </c>
      <c r="Q3" s="9" t="s">
        <v>3309</v>
      </c>
      <c r="R3" s="9" t="s">
        <v>99</v>
      </c>
      <c r="S3" s="39" t="s">
        <v>3310</v>
      </c>
      <c r="T3" s="39" t="s">
        <v>101</v>
      </c>
      <c r="U3" s="39" t="s">
        <v>101</v>
      </c>
      <c r="V3" s="39" t="s">
        <v>101</v>
      </c>
      <c r="W3" s="39" t="s">
        <v>3311</v>
      </c>
    </row>
    <row r="4" spans="1:23" ht="15.75" customHeight="1">
      <c r="A4" s="40" t="s">
        <v>3308</v>
      </c>
      <c r="B4" s="36" t="s">
        <v>95</v>
      </c>
      <c r="C4" s="40" t="str">
        <f ca="1">IFERROR(__xludf.DUMMYFUNCTION("""COMPUTED_VALUE"""),"GENEPIO:0001133")</f>
        <v>GENEPIO:0001133</v>
      </c>
      <c r="D4" s="53" t="str">
        <f ca="1">IFERROR(__xludf.DUMMYFUNCTION("""COMPUTED_VALUE"""),"umbrella bioproject accession")</f>
        <v>umbrella bioproject accession</v>
      </c>
      <c r="E4" s="82" t="str">
        <f ca="1">IFERROR(__xludf.DUMMYFUNCTION("Lower(regexreplace(regexreplace(F4,""[ /]"",""_""),""[-()]"",""""))"),"umbrella_bioproject_accession")</f>
        <v>umbrella_bioproject_accession</v>
      </c>
      <c r="F4" s="39" t="s">
        <v>92</v>
      </c>
      <c r="G4" s="39"/>
      <c r="H4" s="39"/>
      <c r="I4" s="39"/>
      <c r="J4" s="39" t="s">
        <v>97</v>
      </c>
      <c r="K4" s="39" t="s">
        <v>97</v>
      </c>
      <c r="L4" s="39"/>
      <c r="M4" s="39"/>
      <c r="N4" s="40"/>
      <c r="O4" s="40" t="s">
        <v>106</v>
      </c>
      <c r="P4" s="9" t="s">
        <v>3312</v>
      </c>
      <c r="Q4" s="9" t="s">
        <v>3313</v>
      </c>
      <c r="R4" s="9" t="s">
        <v>107</v>
      </c>
      <c r="S4" s="39"/>
      <c r="T4" s="6"/>
      <c r="U4" s="39"/>
      <c r="V4" s="39"/>
      <c r="W4" s="39"/>
    </row>
    <row r="5" spans="1:23" ht="15.75" customHeight="1">
      <c r="A5" s="40" t="s">
        <v>3308</v>
      </c>
      <c r="B5" s="36" t="s">
        <v>95</v>
      </c>
      <c r="C5" s="40" t="str">
        <f ca="1">IFERROR(__xludf.DUMMYFUNCTION("""COMPUTED_VALUE"""),"GENEPIO:0001136")</f>
        <v>GENEPIO:0001136</v>
      </c>
      <c r="D5" s="53" t="str">
        <f ca="1">IFERROR(__xludf.DUMMYFUNCTION("""COMPUTED_VALUE"""),"bioproject accession")</f>
        <v>bioproject accession</v>
      </c>
      <c r="E5" s="82" t="str">
        <f ca="1">IFERROR(__xludf.DUMMYFUNCTION("Lower(regexreplace(regexreplace(F5,""[ /]"",""_""),""[-()]"",""""))"),"bioproject_accession")</f>
        <v>bioproject_accession</v>
      </c>
      <c r="F5" s="39" t="s">
        <v>92</v>
      </c>
      <c r="G5" s="39"/>
      <c r="H5" s="39"/>
      <c r="I5" s="39"/>
      <c r="J5" s="39" t="s">
        <v>97</v>
      </c>
      <c r="K5" s="39" t="s">
        <v>97</v>
      </c>
      <c r="L5" s="39"/>
      <c r="M5" s="39"/>
      <c r="N5" s="40"/>
      <c r="O5" s="40" t="s">
        <v>106</v>
      </c>
      <c r="P5" s="9" t="s">
        <v>108</v>
      </c>
      <c r="Q5" s="9" t="s">
        <v>2289</v>
      </c>
      <c r="R5" s="9" t="s">
        <v>2290</v>
      </c>
      <c r="S5" s="39"/>
      <c r="T5" s="39" t="s">
        <v>109</v>
      </c>
      <c r="U5" s="39" t="s">
        <v>109</v>
      </c>
      <c r="V5" s="39"/>
      <c r="W5" s="39" t="s">
        <v>3314</v>
      </c>
    </row>
    <row r="6" spans="1:23" ht="15.75" customHeight="1">
      <c r="A6" s="40" t="s">
        <v>3308</v>
      </c>
      <c r="B6" s="36" t="s">
        <v>95</v>
      </c>
      <c r="C6" s="40" t="str">
        <f ca="1">IFERROR(__xludf.DUMMYFUNCTION("""COMPUTED_VALUE"""),"GENEPIO:0001139")</f>
        <v>GENEPIO:0001139</v>
      </c>
      <c r="D6" s="53" t="str">
        <f ca="1">IFERROR(__xludf.DUMMYFUNCTION("""COMPUTED_VALUE"""),"biosample accession")</f>
        <v>biosample accession</v>
      </c>
      <c r="E6" s="82" t="str">
        <f ca="1">IFERROR(__xludf.DUMMYFUNCTION("Lower(regexreplace(regexreplace(F6,""[ /]"",""_""),""[-()]"",""""))"),"biosample_accession")</f>
        <v>biosample_accession</v>
      </c>
      <c r="F6" s="39" t="s">
        <v>92</v>
      </c>
      <c r="G6" s="39"/>
      <c r="H6" s="39"/>
      <c r="I6" s="39"/>
      <c r="J6" s="167" t="b">
        <v>1</v>
      </c>
      <c r="K6" s="39" t="s">
        <v>97</v>
      </c>
      <c r="L6" s="39"/>
      <c r="M6" s="39"/>
      <c r="N6" s="40"/>
      <c r="O6" s="40" t="s">
        <v>106</v>
      </c>
      <c r="P6" s="9" t="s">
        <v>110</v>
      </c>
      <c r="Q6" s="9" t="s">
        <v>2291</v>
      </c>
      <c r="R6" s="9" t="s">
        <v>111</v>
      </c>
      <c r="S6" s="39"/>
      <c r="T6" s="39"/>
      <c r="U6" s="53" t="s">
        <v>1285</v>
      </c>
      <c r="V6" s="39" t="s">
        <v>1285</v>
      </c>
      <c r="W6" s="39" t="s">
        <v>3315</v>
      </c>
    </row>
    <row r="7" spans="1:23" ht="15.75" customHeight="1">
      <c r="A7" s="40" t="s">
        <v>3308</v>
      </c>
      <c r="B7" s="36" t="s">
        <v>95</v>
      </c>
      <c r="C7" s="40" t="str">
        <f ca="1">IFERROR(__xludf.DUMMYFUNCTION("""COMPUTED_VALUE"""),"GENEPIO:0001142")</f>
        <v>GENEPIO:0001142</v>
      </c>
      <c r="D7" s="44" t="str">
        <f ca="1">IFERROR(__xludf.DUMMYFUNCTION("""COMPUTED_VALUE"""),"SRA accession")</f>
        <v>SRA accession</v>
      </c>
      <c r="E7" s="82" t="str">
        <f ca="1">IFERROR(__xludf.DUMMYFUNCTION("Lower(regexreplace(regexreplace(F7,""[ /]"",""_""),""[-()]"",""""))"),"sra_accession")</f>
        <v>sra_accession</v>
      </c>
      <c r="F7" s="39" t="s">
        <v>92</v>
      </c>
      <c r="G7" s="39"/>
      <c r="H7" s="39"/>
      <c r="I7" s="39"/>
      <c r="J7" s="39" t="s">
        <v>97</v>
      </c>
      <c r="K7" s="39" t="s">
        <v>97</v>
      </c>
      <c r="L7" s="39"/>
      <c r="M7" s="39"/>
      <c r="N7" s="40"/>
      <c r="O7" s="40" t="s">
        <v>106</v>
      </c>
      <c r="P7" s="9" t="s">
        <v>3316</v>
      </c>
      <c r="Q7" s="9" t="s">
        <v>3317</v>
      </c>
      <c r="R7" s="9" t="s">
        <v>112</v>
      </c>
      <c r="S7" s="39"/>
      <c r="T7" s="39"/>
      <c r="U7" s="39"/>
      <c r="V7" s="39"/>
      <c r="W7" s="39"/>
    </row>
    <row r="8" spans="1:23" ht="15.75" customHeight="1">
      <c r="A8" s="40" t="s">
        <v>3308</v>
      </c>
      <c r="B8" s="36" t="s">
        <v>95</v>
      </c>
      <c r="C8" s="40" t="str">
        <f ca="1">IFERROR(__xludf.DUMMYFUNCTION("""COMPUTED_VALUE"""),"GENEPIO:0001145")</f>
        <v>GENEPIO:0001145</v>
      </c>
      <c r="D8" s="44" t="str">
        <f ca="1">IFERROR(__xludf.DUMMYFUNCTION("""COMPUTED_VALUE"""),"GenBank/ENA/DDBJ accession")</f>
        <v>GenBank/ENA/DDBJ accession</v>
      </c>
      <c r="E8" s="82" t="str">
        <f ca="1">IFERROR(__xludf.DUMMYFUNCTION("Lower(regexreplace(regexreplace(F8,""[ /]"",""_""),""[-()]"",""""))"),"genbank_ena_ddbj_accession")</f>
        <v>genbank_ena_ddbj_accession</v>
      </c>
      <c r="F8" s="39" t="s">
        <v>92</v>
      </c>
      <c r="G8" s="39"/>
      <c r="H8" s="39"/>
      <c r="I8" s="39"/>
      <c r="J8" s="39" t="s">
        <v>97</v>
      </c>
      <c r="K8" s="39" t="s">
        <v>97</v>
      </c>
      <c r="L8" s="39"/>
      <c r="M8" s="39"/>
      <c r="N8" s="40"/>
      <c r="O8" s="40" t="s">
        <v>106</v>
      </c>
      <c r="P8" s="9" t="s">
        <v>3318</v>
      </c>
      <c r="Q8" s="9" t="s">
        <v>3319</v>
      </c>
      <c r="R8" s="9" t="s">
        <v>113</v>
      </c>
      <c r="S8" s="39"/>
      <c r="T8" s="6"/>
      <c r="U8" s="39"/>
      <c r="V8" s="39"/>
      <c r="W8" s="39"/>
    </row>
    <row r="9" spans="1:23" ht="15.75" customHeight="1">
      <c r="A9" s="40" t="s">
        <v>3308</v>
      </c>
      <c r="B9" s="36" t="s">
        <v>95</v>
      </c>
      <c r="C9" s="40" t="str">
        <f ca="1">IFERROR(__xludf.DUMMYFUNCTION("""COMPUTED_VALUE"""),"GENEPIO:0001147")</f>
        <v>GENEPIO:0001147</v>
      </c>
      <c r="D9" s="53" t="str">
        <f ca="1">IFERROR(__xludf.DUMMYFUNCTION("""COMPUTED_VALUE"""),"GISAID accession")</f>
        <v>GISAID accession</v>
      </c>
      <c r="E9" s="82" t="str">
        <f ca="1">IFERROR(__xludf.DUMMYFUNCTION("Lower(regexreplace(regexreplace(F9,""[ /]"",""_""),""[-()]"",""""))"),"gisaid_accession")</f>
        <v>gisaid_accession</v>
      </c>
      <c r="F9" s="39" t="s">
        <v>92</v>
      </c>
      <c r="G9" s="39"/>
      <c r="H9" s="39"/>
      <c r="I9" s="39"/>
      <c r="J9" s="39" t="s">
        <v>97</v>
      </c>
      <c r="K9" s="39" t="s">
        <v>97</v>
      </c>
      <c r="L9" s="39"/>
      <c r="M9" s="39"/>
      <c r="N9" s="40"/>
      <c r="O9" s="40" t="s">
        <v>106</v>
      </c>
      <c r="P9" s="9" t="s">
        <v>114</v>
      </c>
      <c r="Q9" s="9" t="s">
        <v>115</v>
      </c>
      <c r="R9" s="9" t="s">
        <v>3320</v>
      </c>
      <c r="S9" s="39"/>
      <c r="T9" s="31" t="s">
        <v>1286</v>
      </c>
      <c r="U9" s="39"/>
      <c r="V9" s="39"/>
      <c r="W9" s="39"/>
    </row>
    <row r="10" spans="1:23" ht="15.75" customHeight="1">
      <c r="A10" s="40" t="s">
        <v>3308</v>
      </c>
      <c r="B10" s="36" t="s">
        <v>95</v>
      </c>
      <c r="C10" s="6" t="str">
        <f ca="1">IFERROR(__xludf.DUMMYFUNCTION("""COMPUTED_VALUE"""),"GENEPIO:0100282")</f>
        <v>GENEPIO:0100282</v>
      </c>
      <c r="D10" s="53" t="str">
        <f ca="1">IFERROR(__xludf.DUMMYFUNCTION("""COMPUTED_VALUE"""),"GISAID virus name")</f>
        <v>GISAID virus name</v>
      </c>
      <c r="E10" s="82" t="str">
        <f ca="1">IFERROR(__xludf.DUMMYFUNCTION("Lower(regexreplace(regexreplace(F10,""[ /]"",""_""),""[-()]"",""""))"),"gisaid_virus_name")</f>
        <v>gisaid_virus_name</v>
      </c>
      <c r="F10" s="39" t="s">
        <v>92</v>
      </c>
      <c r="G10" s="39"/>
      <c r="H10" s="39"/>
      <c r="I10" s="39"/>
      <c r="J10" s="39" t="s">
        <v>97</v>
      </c>
      <c r="K10" s="39" t="s">
        <v>97</v>
      </c>
      <c r="L10" s="39"/>
      <c r="M10" s="39"/>
      <c r="N10" s="40"/>
      <c r="O10" s="40" t="s">
        <v>106</v>
      </c>
      <c r="P10" s="9" t="s">
        <v>3321</v>
      </c>
      <c r="Q10" s="9" t="s">
        <v>3322</v>
      </c>
      <c r="R10" s="9" t="s">
        <v>3323</v>
      </c>
      <c r="S10" s="39" t="s">
        <v>141</v>
      </c>
      <c r="T10" s="31" t="s">
        <v>2292</v>
      </c>
      <c r="U10" s="39"/>
      <c r="V10" s="39"/>
      <c r="W10" s="39"/>
    </row>
    <row r="11" spans="1:23" ht="15.75" customHeight="1">
      <c r="A11" s="40" t="s">
        <v>3308</v>
      </c>
      <c r="B11" s="36" t="s">
        <v>95</v>
      </c>
      <c r="C11" s="6" t="str">
        <f ca="1">IFERROR(__xludf.DUMMYFUNCTION("""COMPUTED_VALUE"""),"GENEPIO:0100283")</f>
        <v>GENEPIO:0100283</v>
      </c>
      <c r="D11" s="53" t="str">
        <f ca="1">IFERROR(__xludf.DUMMYFUNCTION("""COMPUTED_VALUE"""),"host specimen voucher")</f>
        <v>host specimen voucher</v>
      </c>
      <c r="E11" s="82" t="str">
        <f ca="1">IFERROR(__xludf.DUMMYFUNCTION("Lower(regexreplace(regexreplace(F11,""[ /]"",""_""),""[-()]"",""""))"),"host_specimen_voucher")</f>
        <v>host_specimen_voucher</v>
      </c>
      <c r="F11" s="39" t="s">
        <v>92</v>
      </c>
      <c r="G11" s="39"/>
      <c r="H11" s="39"/>
      <c r="I11" s="39"/>
      <c r="J11" s="39" t="s">
        <v>97</v>
      </c>
      <c r="K11" s="39" t="s">
        <v>97</v>
      </c>
      <c r="L11" s="39"/>
      <c r="M11" s="39"/>
      <c r="N11" s="40"/>
      <c r="O11" s="40" t="s">
        <v>106</v>
      </c>
      <c r="P11" s="9" t="s">
        <v>3324</v>
      </c>
      <c r="Q11" s="92" t="s">
        <v>3325</v>
      </c>
      <c r="R11" s="9" t="s">
        <v>3326</v>
      </c>
      <c r="S11" s="39"/>
      <c r="T11" s="31" t="s">
        <v>3327</v>
      </c>
      <c r="U11" s="39"/>
      <c r="V11" s="39"/>
      <c r="W11" s="39"/>
    </row>
    <row r="12" spans="1:23" ht="15.75" customHeight="1">
      <c r="A12" s="40" t="s">
        <v>3308</v>
      </c>
      <c r="B12" s="142"/>
      <c r="C12" s="163" t="str">
        <f ca="1">IFERROR(__xludf.DUMMYFUNCTION("IMPORTRANGE(""https://docs.google.com/spreadsheets/d/1NstVkNyMv132LYxaKGuXqEBScLi0RERHb0zkcgSuNZQ"",""Field Reference Guide!C16:C52"")"),"GENEPIO:0001268")</f>
        <v>GENEPIO:0001268</v>
      </c>
      <c r="D12" s="168" t="s">
        <v>116</v>
      </c>
      <c r="E12" s="82" t="str">
        <f ca="1">IFERROR(__xludf.DUMMYFUNCTION("Lower(regexreplace(regexreplace(F12,""[ /]"",""_""),""[-()]"",""""))"),"sample_collection_and_processing")</f>
        <v>sample_collection_and_processing</v>
      </c>
      <c r="F12" s="165"/>
      <c r="G12" s="165"/>
      <c r="H12" s="165"/>
      <c r="I12" s="165"/>
      <c r="J12" s="165" t="s">
        <v>97</v>
      </c>
      <c r="K12" s="165" t="s">
        <v>97</v>
      </c>
      <c r="L12" s="165"/>
      <c r="M12" s="165"/>
      <c r="N12" s="165"/>
      <c r="O12" s="165"/>
      <c r="P12" s="165"/>
      <c r="Q12" s="165"/>
      <c r="R12" s="165"/>
      <c r="S12" s="165"/>
      <c r="T12" s="165"/>
      <c r="U12" s="165"/>
      <c r="V12" s="165"/>
      <c r="W12" s="165"/>
    </row>
    <row r="13" spans="1:23" ht="15.75" customHeight="1">
      <c r="A13" s="40" t="s">
        <v>3308</v>
      </c>
      <c r="B13" s="44" t="s">
        <v>116</v>
      </c>
      <c r="C13" s="40" t="str">
        <f ca="1">IFERROR(__xludf.DUMMYFUNCTION("""COMPUTED_VALUE"""),"GENEPIO:0001153")</f>
        <v>GENEPIO:0001153</v>
      </c>
      <c r="D13" s="40" t="str">
        <f ca="1">IFERROR(__xludf.DUMMYFUNCTION("IMPORTRANGE(""https://docs.google.com/spreadsheets/d/1NstVkNyMv132LYxaKGuXqEBScLi0RERHb0zkcgSuNZQ"",""Field Reference Guide!B17:B52"")"),"sample collected by")</f>
        <v>sample collected by</v>
      </c>
      <c r="E13" s="82" t="str">
        <f ca="1">IFERROR(__xludf.DUMMYFUNCTION("Lower(regexreplace(regexreplace(F13,""[ /]"",""_""),""[-()]"",""""))"),"sample_collected_by")</f>
        <v>sample_collected_by</v>
      </c>
      <c r="F13" s="39" t="s">
        <v>92</v>
      </c>
      <c r="G13" s="39" t="s">
        <v>105</v>
      </c>
      <c r="H13" s="39"/>
      <c r="I13" s="166" t="b">
        <v>1</v>
      </c>
      <c r="J13" s="39" t="s">
        <v>97</v>
      </c>
      <c r="K13" s="39" t="s">
        <v>97</v>
      </c>
      <c r="L13" s="39"/>
      <c r="M13" s="39"/>
      <c r="N13" s="40"/>
      <c r="O13" s="40"/>
      <c r="P13" s="9" t="s">
        <v>3328</v>
      </c>
      <c r="Q13" s="9" t="s">
        <v>3329</v>
      </c>
      <c r="R13" s="9" t="s">
        <v>3330</v>
      </c>
      <c r="S13" s="39" t="s">
        <v>117</v>
      </c>
      <c r="T13" s="39" t="s">
        <v>118</v>
      </c>
      <c r="U13" s="39"/>
      <c r="V13" s="39"/>
      <c r="W13" s="39"/>
    </row>
    <row r="14" spans="1:23" ht="15.75" customHeight="1">
      <c r="A14" s="40" t="s">
        <v>3308</v>
      </c>
      <c r="B14" s="44" t="s">
        <v>116</v>
      </c>
      <c r="C14" s="40" t="str">
        <f ca="1">IFERROR(__xludf.DUMMYFUNCTION("""COMPUTED_VALUE"""),"GENEPIO:0001156")</f>
        <v>GENEPIO:0001156</v>
      </c>
      <c r="D14" s="53" t="str">
        <f ca="1">IFERROR(__xludf.DUMMYFUNCTION("""COMPUTED_VALUE"""),"sample collector contact email")</f>
        <v>sample collector contact email</v>
      </c>
      <c r="E14" s="82" t="str">
        <f ca="1">IFERROR(__xludf.DUMMYFUNCTION("Lower(regexreplace(regexreplace(F14,""[ /]"",""_""),""[-()]"",""""))"),"sample_collector_contact_email")</f>
        <v>sample_collector_contact_email</v>
      </c>
      <c r="F14" s="39" t="s">
        <v>92</v>
      </c>
      <c r="G14" s="39"/>
      <c r="H14" s="39"/>
      <c r="I14" s="39"/>
      <c r="J14" s="39" t="s">
        <v>97</v>
      </c>
      <c r="K14" s="39" t="s">
        <v>97</v>
      </c>
      <c r="L14" s="39"/>
      <c r="M14" s="39"/>
      <c r="N14" s="40"/>
      <c r="O14" s="40"/>
      <c r="P14" s="9" t="s">
        <v>1287</v>
      </c>
      <c r="Q14" s="9" t="s">
        <v>3331</v>
      </c>
      <c r="R14" s="9" t="s">
        <v>3332</v>
      </c>
      <c r="S14" s="39"/>
      <c r="T14" s="39"/>
      <c r="U14" s="39"/>
      <c r="V14" s="39"/>
      <c r="W14" s="39"/>
    </row>
    <row r="15" spans="1:23" ht="15.75" customHeight="1">
      <c r="A15" s="40" t="s">
        <v>3308</v>
      </c>
      <c r="B15" s="44" t="s">
        <v>116</v>
      </c>
      <c r="C15" s="40" t="str">
        <f ca="1">IFERROR(__xludf.DUMMYFUNCTION("""COMPUTED_VALUE"""),"GENEPIO:0001158")</f>
        <v>GENEPIO:0001158</v>
      </c>
      <c r="D15" s="53" t="str">
        <f ca="1">IFERROR(__xludf.DUMMYFUNCTION("""COMPUTED_VALUE"""),"sample collector contact address")</f>
        <v>sample collector contact address</v>
      </c>
      <c r="E15" s="82" t="str">
        <f ca="1">IFERROR(__xludf.DUMMYFUNCTION("Lower(regexreplace(regexreplace(F15,""[ /]"",""_""),""[-()]"",""""))"),"sample_collector_contact_address")</f>
        <v>sample_collector_contact_address</v>
      </c>
      <c r="F15" s="39" t="s">
        <v>92</v>
      </c>
      <c r="G15" s="39"/>
      <c r="H15" s="39"/>
      <c r="I15" s="39"/>
      <c r="J15" s="39" t="s">
        <v>97</v>
      </c>
      <c r="K15" s="39" t="s">
        <v>97</v>
      </c>
      <c r="L15" s="39"/>
      <c r="M15" s="39"/>
      <c r="N15" s="40"/>
      <c r="O15" s="40"/>
      <c r="P15" s="9" t="s">
        <v>1289</v>
      </c>
      <c r="Q15" s="9" t="s">
        <v>3333</v>
      </c>
      <c r="R15" s="9" t="s">
        <v>1290</v>
      </c>
      <c r="S15" s="169" t="s">
        <v>1291</v>
      </c>
      <c r="T15" s="39"/>
      <c r="U15" s="39"/>
      <c r="V15" s="39"/>
      <c r="W15" s="39"/>
    </row>
    <row r="16" spans="1:23" ht="15.75" customHeight="1">
      <c r="A16" s="40" t="s">
        <v>3308</v>
      </c>
      <c r="B16" s="44" t="s">
        <v>116</v>
      </c>
      <c r="C16" s="40" t="str">
        <f ca="1">IFERROR(__xludf.DUMMYFUNCTION("""COMPUTED_VALUE"""),"GENEPIO:0001159")</f>
        <v>GENEPIO:0001159</v>
      </c>
      <c r="D16" s="44" t="str">
        <f ca="1">IFERROR(__xludf.DUMMYFUNCTION("""COMPUTED_VALUE"""),"sequence submitted by")</f>
        <v>sequence submitted by</v>
      </c>
      <c r="E16" s="82" t="str">
        <f ca="1">IFERROR(__xludf.DUMMYFUNCTION("Lower(regexreplace(regexreplace(F16,""[ /]"",""_""),""[-()]"",""""))"),"sequence_submitted_by")</f>
        <v>sequence_submitted_by</v>
      </c>
      <c r="F16" s="39" t="s">
        <v>92</v>
      </c>
      <c r="G16" s="39" t="s">
        <v>105</v>
      </c>
      <c r="H16" s="39"/>
      <c r="I16" s="166" t="b">
        <v>1</v>
      </c>
      <c r="J16" s="39" t="s">
        <v>97</v>
      </c>
      <c r="K16" s="39" t="s">
        <v>97</v>
      </c>
      <c r="L16" s="39"/>
      <c r="M16" s="39"/>
      <c r="N16" s="40"/>
      <c r="O16" s="40"/>
      <c r="P16" s="9" t="s">
        <v>121</v>
      </c>
      <c r="Q16" s="9" t="s">
        <v>3329</v>
      </c>
      <c r="R16" s="9" t="s">
        <v>3334</v>
      </c>
      <c r="S16" s="40" t="s">
        <v>125</v>
      </c>
      <c r="T16" s="39" t="s">
        <v>123</v>
      </c>
      <c r="U16" s="39"/>
      <c r="V16" s="39"/>
      <c r="W16" s="39"/>
    </row>
    <row r="17" spans="1:23" ht="15.75" customHeight="1">
      <c r="A17" s="40" t="s">
        <v>3308</v>
      </c>
      <c r="B17" s="44" t="s">
        <v>116</v>
      </c>
      <c r="C17" s="40" t="str">
        <f ca="1">IFERROR(__xludf.DUMMYFUNCTION("""COMPUTED_VALUE"""),"GENEPIO:0001165")</f>
        <v>GENEPIO:0001165</v>
      </c>
      <c r="D17" s="53" t="str">
        <f ca="1">IFERROR(__xludf.DUMMYFUNCTION("""COMPUTED_VALUE"""),"sequence submitter contact email")</f>
        <v>sequence submitter contact email</v>
      </c>
      <c r="E17" s="82" t="str">
        <f ca="1">IFERROR(__xludf.DUMMYFUNCTION("Lower(regexreplace(regexreplace(F17,""[ /]"",""_""),""[-()]"",""""))"),"sequence_submitter_contact_email")</f>
        <v>sequence_submitter_contact_email</v>
      </c>
      <c r="F17" s="39" t="s">
        <v>92</v>
      </c>
      <c r="G17" s="39"/>
      <c r="H17" s="39"/>
      <c r="I17" s="39"/>
      <c r="J17" s="39" t="s">
        <v>97</v>
      </c>
      <c r="K17" s="39" t="s">
        <v>97</v>
      </c>
      <c r="L17" s="39"/>
      <c r="M17" s="39"/>
      <c r="N17" s="40"/>
      <c r="O17" s="40"/>
      <c r="P17" s="9" t="s">
        <v>1293</v>
      </c>
      <c r="Q17" s="9" t="s">
        <v>3331</v>
      </c>
      <c r="R17" s="9" t="s">
        <v>1288</v>
      </c>
      <c r="S17" s="169"/>
      <c r="T17" s="39"/>
      <c r="U17" s="39" t="s">
        <v>1292</v>
      </c>
      <c r="V17" s="39"/>
      <c r="W17" s="39"/>
    </row>
    <row r="18" spans="1:23" ht="15.75" customHeight="1">
      <c r="A18" s="40" t="s">
        <v>3308</v>
      </c>
      <c r="B18" s="44" t="s">
        <v>116</v>
      </c>
      <c r="C18" s="40" t="str">
        <f ca="1">IFERROR(__xludf.DUMMYFUNCTION("""COMPUTED_VALUE"""),"GENEPIO:0001167")</f>
        <v>GENEPIO:0001167</v>
      </c>
      <c r="D18" s="53" t="str">
        <f ca="1">IFERROR(__xludf.DUMMYFUNCTION("""COMPUTED_VALUE"""),"sequence submitter contact address")</f>
        <v>sequence submitter contact address</v>
      </c>
      <c r="E18" s="82" t="str">
        <f ca="1">IFERROR(__xludf.DUMMYFUNCTION("Lower(regexreplace(regexreplace(F18,""[ /]"",""_""),""[-()]"",""""))"),"sequence_submitter_contact_address")</f>
        <v>sequence_submitter_contact_address</v>
      </c>
      <c r="F18" s="39" t="s">
        <v>92</v>
      </c>
      <c r="G18" s="39"/>
      <c r="H18" s="39"/>
      <c r="I18" s="39"/>
      <c r="J18" s="39" t="s">
        <v>97</v>
      </c>
      <c r="K18" s="39" t="s">
        <v>97</v>
      </c>
      <c r="L18" s="39"/>
      <c r="M18" s="39"/>
      <c r="N18" s="40"/>
      <c r="O18" s="40"/>
      <c r="P18" s="9" t="s">
        <v>1294</v>
      </c>
      <c r="Q18" s="9" t="s">
        <v>3333</v>
      </c>
      <c r="R18" s="9" t="s">
        <v>1295</v>
      </c>
      <c r="S18" s="169" t="s">
        <v>1291</v>
      </c>
      <c r="T18" s="39"/>
      <c r="U18" s="39"/>
      <c r="V18" s="39"/>
      <c r="W18" s="39"/>
    </row>
    <row r="19" spans="1:23" ht="15.75" customHeight="1">
      <c r="A19" s="40" t="s">
        <v>3308</v>
      </c>
      <c r="B19" s="44" t="s">
        <v>116</v>
      </c>
      <c r="C19" s="40" t="str">
        <f ca="1">IFERROR(__xludf.DUMMYFUNCTION("""COMPUTED_VALUE"""),"GENEPIO:0001174")</f>
        <v>GENEPIO:0001174</v>
      </c>
      <c r="D19" s="53" t="str">
        <f ca="1">IFERROR(__xludf.DUMMYFUNCTION("""COMPUTED_VALUE"""),"sample collection date")</f>
        <v>sample collection date</v>
      </c>
      <c r="E19" s="82" t="str">
        <f ca="1">IFERROR(__xludf.DUMMYFUNCTION("Lower(regexreplace(regexreplace(F19,""[ /]"",""_""),""[-()]"",""""))"),"sample_collection_date")</f>
        <v>sample_collection_date</v>
      </c>
      <c r="F19" s="39" t="s">
        <v>126</v>
      </c>
      <c r="G19" s="39" t="s">
        <v>105</v>
      </c>
      <c r="H19" s="39"/>
      <c r="I19" s="166" t="b">
        <v>1</v>
      </c>
      <c r="J19" s="39" t="s">
        <v>97</v>
      </c>
      <c r="K19" s="39" t="s">
        <v>97</v>
      </c>
      <c r="L19" s="39"/>
      <c r="M19" s="39"/>
      <c r="N19" s="40"/>
      <c r="O19" s="40"/>
      <c r="P19" s="9" t="s">
        <v>128</v>
      </c>
      <c r="Q19" s="9" t="s">
        <v>3335</v>
      </c>
      <c r="R19" s="170">
        <v>43909</v>
      </c>
      <c r="S19" s="39" t="s">
        <v>129</v>
      </c>
      <c r="T19" s="39" t="s">
        <v>2293</v>
      </c>
      <c r="U19" s="39"/>
      <c r="V19" s="39"/>
      <c r="W19" s="39" t="s">
        <v>3336</v>
      </c>
    </row>
    <row r="20" spans="1:23" ht="15.75" customHeight="1">
      <c r="A20" s="40" t="s">
        <v>3308</v>
      </c>
      <c r="B20" s="44" t="s">
        <v>116</v>
      </c>
      <c r="C20" s="40" t="str">
        <f ca="1">IFERROR(__xludf.DUMMYFUNCTION("""COMPUTED_VALUE"""),"GENEPIO:0001179")</f>
        <v>GENEPIO:0001179</v>
      </c>
      <c r="D20" s="53" t="str">
        <f ca="1">IFERROR(__xludf.DUMMYFUNCTION("""COMPUTED_VALUE"""),"sample received date")</f>
        <v>sample received date</v>
      </c>
      <c r="E20" s="82" t="str">
        <f ca="1">IFERROR(__xludf.DUMMYFUNCTION("Lower(regexreplace(regexreplace(F20,""[ /]"",""_""),""[-()]"",""""))"),"sample_received_date")</f>
        <v>sample_received_date</v>
      </c>
      <c r="F20" s="39" t="s">
        <v>126</v>
      </c>
      <c r="G20" s="39" t="s">
        <v>105</v>
      </c>
      <c r="H20" s="39"/>
      <c r="I20" s="39"/>
      <c r="J20" s="39" t="s">
        <v>97</v>
      </c>
      <c r="K20" s="39" t="s">
        <v>97</v>
      </c>
      <c r="L20" s="39"/>
      <c r="M20" s="39"/>
      <c r="N20" s="40"/>
      <c r="O20" s="40"/>
      <c r="P20" s="9" t="s">
        <v>1296</v>
      </c>
      <c r="Q20" s="9" t="s">
        <v>3337</v>
      </c>
      <c r="R20" s="170">
        <v>43910</v>
      </c>
      <c r="S20" s="39"/>
      <c r="T20" s="39"/>
      <c r="U20" s="39"/>
      <c r="V20" s="39"/>
      <c r="W20" s="39"/>
    </row>
    <row r="21" spans="1:23" ht="15.75" customHeight="1">
      <c r="A21" s="40" t="s">
        <v>3308</v>
      </c>
      <c r="B21" s="44" t="s">
        <v>116</v>
      </c>
      <c r="C21" s="40" t="str">
        <f ca="1">IFERROR(__xludf.DUMMYFUNCTION("""COMPUTED_VALUE"""),"GENEPIO:0001181")</f>
        <v>GENEPIO:0001181</v>
      </c>
      <c r="D21" s="53" t="str">
        <f ca="1">IFERROR(__xludf.DUMMYFUNCTION("""COMPUTED_VALUE"""),"geo_loc name (country)")</f>
        <v>geo_loc name (country)</v>
      </c>
      <c r="E21" s="82" t="str">
        <f ca="1">IFERROR(__xludf.DUMMYFUNCTION("Lower(regexreplace(regexreplace(F21,""[ /]"",""_""),""[-()]"",""""))"),"geo_loc_name_country")</f>
        <v>geo_loc_name_country</v>
      </c>
      <c r="F21" s="171" t="str">
        <f ca="1">IFERROR(__xludf.DUMMYFUNCTION("concat(regexreplace(proper(F21),""[_ (/)-]"",""""),""Menu"")"),"GeoLocNameCountryMenu")</f>
        <v>GeoLocNameCountryMenu</v>
      </c>
      <c r="G21" s="39" t="s">
        <v>105</v>
      </c>
      <c r="H21" s="39"/>
      <c r="I21" s="166" t="b">
        <v>1</v>
      </c>
      <c r="J21" s="39" t="s">
        <v>97</v>
      </c>
      <c r="K21" s="39" t="s">
        <v>97</v>
      </c>
      <c r="L21" s="39"/>
      <c r="M21" s="39"/>
      <c r="N21" s="40"/>
      <c r="O21" s="40"/>
      <c r="P21" s="9" t="s">
        <v>3338</v>
      </c>
      <c r="Q21" s="9" t="s">
        <v>3339</v>
      </c>
      <c r="R21" s="9" t="str">
        <f ca="1">IFERROR(__xludf.DUMMYFUNCTION("IMPORTRANGE(""https://docs.google.com/spreadsheets/d/1NstVkNyMv132LYxaKGuXqEBScLi0RERHb0zkcgSuNZQ"", ""Vocabulary Lists!A225"")"),"South Africa [GAZ:00001094]")</f>
        <v>South Africa [GAZ:00001094]</v>
      </c>
      <c r="S21" s="39" t="s">
        <v>133</v>
      </c>
      <c r="T21" s="52" t="s">
        <v>134</v>
      </c>
      <c r="U21" s="39"/>
      <c r="V21" s="6"/>
      <c r="W21" s="39" t="s">
        <v>3340</v>
      </c>
    </row>
    <row r="22" spans="1:23" ht="15.75" customHeight="1">
      <c r="A22" s="40" t="s">
        <v>3308</v>
      </c>
      <c r="B22" s="44" t="s">
        <v>116</v>
      </c>
      <c r="C22" s="40" t="str">
        <f ca="1">IFERROR(__xludf.DUMMYFUNCTION("""COMPUTED_VALUE"""),"GENEPIO:0001185")</f>
        <v>GENEPIO:0001185</v>
      </c>
      <c r="D22" s="53" t="str">
        <f ca="1">IFERROR(__xludf.DUMMYFUNCTION("""COMPUTED_VALUE"""),"geo_loc name (state/province/territory)")</f>
        <v>geo_loc name (state/province/territory)</v>
      </c>
      <c r="E22" s="82" t="str">
        <f ca="1">IFERROR(__xludf.DUMMYFUNCTION("Lower(regexreplace(regexreplace(F22,""[ /]"",""_""),""[-()]"",""""))"),"geo_loc_name_state_province_territory")</f>
        <v>geo_loc_name_state_province_territory</v>
      </c>
      <c r="F22" s="39" t="s">
        <v>92</v>
      </c>
      <c r="G22" s="39" t="s">
        <v>105</v>
      </c>
      <c r="H22" s="39"/>
      <c r="I22" s="166" t="b">
        <v>1</v>
      </c>
      <c r="J22" s="39" t="s">
        <v>97</v>
      </c>
      <c r="K22" s="39" t="s">
        <v>97</v>
      </c>
      <c r="L22" s="39"/>
      <c r="M22" s="39"/>
      <c r="N22" s="40"/>
      <c r="O22" s="40"/>
      <c r="P22" s="9" t="s">
        <v>3341</v>
      </c>
      <c r="Q22" s="92" t="s">
        <v>3342</v>
      </c>
      <c r="R22" s="9" t="s">
        <v>3343</v>
      </c>
      <c r="S22" s="39"/>
      <c r="T22" s="52" t="s">
        <v>134</v>
      </c>
      <c r="U22" s="39"/>
      <c r="V22" s="39"/>
      <c r="W22" s="39"/>
    </row>
    <row r="23" spans="1:23" ht="15.75" customHeight="1">
      <c r="A23" s="40" t="s">
        <v>3308</v>
      </c>
      <c r="B23" s="44" t="s">
        <v>116</v>
      </c>
      <c r="C23" s="6" t="str">
        <f ca="1">IFERROR(__xludf.DUMMYFUNCTION("""COMPUTED_VALUE"""),"GENEPIO:0100280")</f>
        <v>GENEPIO:0100280</v>
      </c>
      <c r="D23" s="44" t="str">
        <f ca="1">IFERROR(__xludf.DUMMYFUNCTION("""COMPUTED_VALUE"""),"geo_loc name (county/region)")</f>
        <v>geo_loc name (county/region)</v>
      </c>
      <c r="E23" s="82" t="str">
        <f ca="1">IFERROR(__xludf.DUMMYFUNCTION("Lower(regexreplace(regexreplace(F23,""[ /]"",""_""),""[-()]"",""""))"),"geo_loc_name_county_region")</f>
        <v>geo_loc_name_county_region</v>
      </c>
      <c r="F23" s="39" t="s">
        <v>92</v>
      </c>
      <c r="G23" s="39"/>
      <c r="H23" s="39"/>
      <c r="I23" s="39"/>
      <c r="J23" s="39" t="s">
        <v>97</v>
      </c>
      <c r="K23" s="39" t="s">
        <v>97</v>
      </c>
      <c r="L23" s="39"/>
      <c r="M23" s="39"/>
      <c r="N23" s="40"/>
      <c r="O23" s="40"/>
      <c r="P23" s="9" t="s">
        <v>2295</v>
      </c>
      <c r="Q23" s="9" t="s">
        <v>2296</v>
      </c>
      <c r="R23" s="9" t="s">
        <v>2297</v>
      </c>
      <c r="S23" s="39"/>
      <c r="T23" s="52" t="s">
        <v>134</v>
      </c>
      <c r="U23" s="39"/>
      <c r="V23" s="39"/>
      <c r="W23" s="39"/>
    </row>
    <row r="24" spans="1:23" ht="15.75" customHeight="1">
      <c r="A24" s="40" t="s">
        <v>3308</v>
      </c>
      <c r="B24" s="44" t="s">
        <v>116</v>
      </c>
      <c r="C24" s="6" t="str">
        <f ca="1">IFERROR(__xludf.DUMMYFUNCTION("""COMPUTED_VALUE"""),"GENEPIO:0001189")</f>
        <v>GENEPIO:0001189</v>
      </c>
      <c r="D24" s="44" t="str">
        <f ca="1">IFERROR(__xludf.DUMMYFUNCTION("""COMPUTED_VALUE"""),"geo_loc name (city)")</f>
        <v>geo_loc name (city)</v>
      </c>
      <c r="E24" s="82" t="str">
        <f ca="1">IFERROR(__xludf.DUMMYFUNCTION("Lower(regexreplace(regexreplace(F24,""[ /]"",""_""),""[-()]"",""""))"),"geo_loc_name_city")</f>
        <v>geo_loc_name_city</v>
      </c>
      <c r="F24" s="39" t="s">
        <v>92</v>
      </c>
      <c r="G24" s="39"/>
      <c r="H24" s="39"/>
      <c r="I24" s="39"/>
      <c r="J24" s="39" t="s">
        <v>97</v>
      </c>
      <c r="K24" s="39" t="s">
        <v>97</v>
      </c>
      <c r="L24" s="39"/>
      <c r="M24" s="39"/>
      <c r="N24" s="40"/>
      <c r="O24" s="40"/>
      <c r="P24" s="9" t="s">
        <v>3344</v>
      </c>
      <c r="Q24" s="9" t="s">
        <v>3345</v>
      </c>
      <c r="R24" s="9" t="s">
        <v>3346</v>
      </c>
      <c r="S24" s="39"/>
      <c r="T24" s="52" t="s">
        <v>134</v>
      </c>
      <c r="U24" s="39"/>
      <c r="V24" s="39"/>
      <c r="W24" s="39"/>
    </row>
    <row r="25" spans="1:23" ht="15.75" customHeight="1">
      <c r="A25" s="40" t="s">
        <v>3308</v>
      </c>
      <c r="B25" s="44" t="s">
        <v>116</v>
      </c>
      <c r="C25" s="40" t="str">
        <f ca="1">IFERROR(__xludf.DUMMYFUNCTION("""COMPUTED_VALUE"""),"GENEPIO:0100309")</f>
        <v>GENEPIO:0100309</v>
      </c>
      <c r="D25" s="53" t="str">
        <f ca="1">IFERROR(__xludf.DUMMYFUNCTION("""COMPUTED_VALUE"""),"geo_loc latitude")</f>
        <v>geo_loc latitude</v>
      </c>
      <c r="E25" s="82" t="str">
        <f ca="1">IFERROR(__xludf.DUMMYFUNCTION("Lower(regexreplace(regexreplace(F25,""[ /]"",""_""),""[-()]"",""""))"),"geo_loc_latitude")</f>
        <v>geo_loc_latitude</v>
      </c>
      <c r="F25" s="39" t="s">
        <v>92</v>
      </c>
      <c r="G25" s="39"/>
      <c r="H25" s="39"/>
      <c r="I25" s="39"/>
      <c r="J25" s="39" t="s">
        <v>97</v>
      </c>
      <c r="K25" s="39" t="s">
        <v>97</v>
      </c>
      <c r="L25" s="39"/>
      <c r="M25" s="39"/>
      <c r="N25" s="40"/>
      <c r="O25" s="40"/>
      <c r="P25" s="9" t="s">
        <v>2298</v>
      </c>
      <c r="Q25" s="9" t="s">
        <v>2299</v>
      </c>
      <c r="R25" s="9" t="s">
        <v>2300</v>
      </c>
      <c r="S25" s="39"/>
      <c r="T25" s="39" t="s">
        <v>2301</v>
      </c>
      <c r="U25" s="39"/>
      <c r="V25" s="39"/>
      <c r="W25" s="39"/>
    </row>
    <row r="26" spans="1:23" ht="15.75" customHeight="1">
      <c r="A26" s="40" t="s">
        <v>3308</v>
      </c>
      <c r="B26" s="44" t="s">
        <v>116</v>
      </c>
      <c r="C26" s="40" t="str">
        <f ca="1">IFERROR(__xludf.DUMMYFUNCTION("""COMPUTED_VALUE"""),"GENEPIO:0100310")</f>
        <v>GENEPIO:0100310</v>
      </c>
      <c r="D26" s="31" t="str">
        <f ca="1">IFERROR(__xludf.DUMMYFUNCTION("""COMPUTED_VALUE"""),"geo_loc longitude")</f>
        <v>geo_loc longitude</v>
      </c>
      <c r="E26" s="82" t="str">
        <f ca="1">IFERROR(__xludf.DUMMYFUNCTION("Lower(regexreplace(regexreplace(F26,""[ /]"",""_""),""[-()]"",""""))"),"geo_loc_longitude")</f>
        <v>geo_loc_longitude</v>
      </c>
      <c r="F26" s="39" t="s">
        <v>92</v>
      </c>
      <c r="G26" s="39"/>
      <c r="H26" s="39"/>
      <c r="I26" s="39"/>
      <c r="J26" s="39" t="s">
        <v>97</v>
      </c>
      <c r="K26" s="39" t="s">
        <v>97</v>
      </c>
      <c r="L26" s="39"/>
      <c r="M26" s="39"/>
      <c r="N26" s="40"/>
      <c r="O26" s="40"/>
      <c r="P26" s="9" t="s">
        <v>2302</v>
      </c>
      <c r="Q26" s="9" t="s">
        <v>2303</v>
      </c>
      <c r="R26" s="9" t="s">
        <v>2304</v>
      </c>
      <c r="S26" s="39"/>
      <c r="T26" s="39" t="s">
        <v>2301</v>
      </c>
      <c r="U26" s="39"/>
      <c r="V26" s="39"/>
      <c r="W26" s="39"/>
    </row>
    <row r="27" spans="1:23" ht="15.75" customHeight="1">
      <c r="A27" s="40" t="s">
        <v>3308</v>
      </c>
      <c r="B27" s="44" t="s">
        <v>116</v>
      </c>
      <c r="C27" s="40" t="str">
        <f ca="1">IFERROR(__xludf.DUMMYFUNCTION("""COMPUTED_VALUE"""),"GENEPIO:0001191")</f>
        <v>GENEPIO:0001191</v>
      </c>
      <c r="D27" s="53" t="str">
        <f ca="1">IFERROR(__xludf.DUMMYFUNCTION("""COMPUTED_VALUE"""),"organism")</f>
        <v>organism</v>
      </c>
      <c r="E27" s="82" t="str">
        <f ca="1">IFERROR(__xludf.DUMMYFUNCTION("Lower(regexreplace(regexreplace(F27,""[ /]"",""_""),""[-()]"",""""))"),"organism")</f>
        <v>organism</v>
      </c>
      <c r="F27" s="171" t="str">
        <f ca="1">IFERROR(__xludf.DUMMYFUNCTION("concat(regexreplace(proper(F27),""[_ (/)-]"",""""),""Menu"")"),"OrganismMenu")</f>
        <v>OrganismMenu</v>
      </c>
      <c r="G27" s="39" t="s">
        <v>105</v>
      </c>
      <c r="H27" s="39"/>
      <c r="I27" s="166" t="b">
        <v>1</v>
      </c>
      <c r="J27" s="39" t="s">
        <v>97</v>
      </c>
      <c r="K27" s="39" t="s">
        <v>97</v>
      </c>
      <c r="L27" s="39"/>
      <c r="M27" s="39"/>
      <c r="N27" s="40"/>
      <c r="O27" s="40"/>
      <c r="P27" s="9" t="s">
        <v>137</v>
      </c>
      <c r="Q27" s="9" t="s">
        <v>3347</v>
      </c>
      <c r="R27" s="9" t="str">
        <f ca="1">IFERROR(__xludf.DUMMYFUNCTION("IMPORTRANGE(""https://docs.google.com/spreadsheets/d/1NstVkNyMv132LYxaKGuXqEBScLi0RERHb0zkcgSuNZQ"", ""Vocabulary Lists!C2"")"),"Severe acute respiratory syndrome coronavirus 2 [NCBITaxon:2697049]")</f>
        <v>Severe acute respiratory syndrome coronavirus 2 [NCBITaxon:2697049]</v>
      </c>
      <c r="S27" s="39"/>
      <c r="T27" s="39" t="s">
        <v>135</v>
      </c>
      <c r="U27" s="39"/>
      <c r="V27" s="39"/>
      <c r="W27" s="39"/>
    </row>
    <row r="28" spans="1:23" ht="15.75" customHeight="1">
      <c r="A28" s="40" t="s">
        <v>3308</v>
      </c>
      <c r="B28" s="44" t="s">
        <v>116</v>
      </c>
      <c r="C28" s="40" t="str">
        <f ca="1">IFERROR(__xludf.DUMMYFUNCTION("""COMPUTED_VALUE"""),"GENEPIO:0001644")</f>
        <v>GENEPIO:0001644</v>
      </c>
      <c r="D28" s="44" t="str">
        <f ca="1">IFERROR(__xludf.DUMMYFUNCTION("""COMPUTED_VALUE"""),"isolate")</f>
        <v>isolate</v>
      </c>
      <c r="E28" s="82" t="s">
        <v>1297</v>
      </c>
      <c r="F28" s="39" t="s">
        <v>92</v>
      </c>
      <c r="G28" s="39" t="s">
        <v>105</v>
      </c>
      <c r="H28" s="39"/>
      <c r="I28" s="166" t="b">
        <v>1</v>
      </c>
      <c r="J28" s="39" t="s">
        <v>97</v>
      </c>
      <c r="K28" s="39" t="s">
        <v>97</v>
      </c>
      <c r="L28" s="39"/>
      <c r="M28" s="39"/>
      <c r="N28" s="40"/>
      <c r="O28" s="40"/>
      <c r="P28" s="9" t="s">
        <v>140</v>
      </c>
      <c r="Q28" s="9" t="s">
        <v>3348</v>
      </c>
      <c r="R28" s="9" t="s">
        <v>1434</v>
      </c>
      <c r="S28" s="6"/>
      <c r="T28" s="39" t="s">
        <v>139</v>
      </c>
      <c r="U28" s="39"/>
      <c r="V28" s="39"/>
      <c r="W28" s="39" t="s">
        <v>139</v>
      </c>
    </row>
    <row r="29" spans="1:23" ht="15.75" customHeight="1">
      <c r="A29" s="40" t="s">
        <v>3308</v>
      </c>
      <c r="B29" s="44" t="s">
        <v>116</v>
      </c>
      <c r="C29" s="6" t="str">
        <f ca="1">IFERROR(__xludf.DUMMYFUNCTION("""COMPUTED_VALUE"""),"GENEPIO:0100284")</f>
        <v>GENEPIO:0100284</v>
      </c>
      <c r="D29" s="53" t="str">
        <f ca="1">IFERROR(__xludf.DUMMYFUNCTION("""COMPUTED_VALUE"""),"culture collection")</f>
        <v>culture collection</v>
      </c>
      <c r="E29" s="82" t="str">
        <f ca="1">IFERROR(__xludf.DUMMYFUNCTION("Lower(regexreplace(regexreplace(F29,""[ /]"",""_""),""[-()]"",""""))"),"culture_collection")</f>
        <v>culture_collection</v>
      </c>
      <c r="F29" s="39" t="s">
        <v>92</v>
      </c>
      <c r="G29" s="39"/>
      <c r="H29" s="39"/>
      <c r="I29" s="39"/>
      <c r="J29" s="39" t="s">
        <v>97</v>
      </c>
      <c r="K29" s="39" t="s">
        <v>97</v>
      </c>
      <c r="L29" s="39"/>
      <c r="M29" s="39"/>
      <c r="N29" s="40"/>
      <c r="O29" s="40"/>
      <c r="P29" s="9" t="s">
        <v>3349</v>
      </c>
      <c r="Q29" s="9" t="s">
        <v>3350</v>
      </c>
      <c r="R29" s="9" t="s">
        <v>3351</v>
      </c>
      <c r="S29" s="39"/>
      <c r="T29" s="39"/>
      <c r="U29" s="39"/>
      <c r="V29" s="39"/>
      <c r="W29" s="39"/>
    </row>
    <row r="30" spans="1:23" ht="15.75" customHeight="1">
      <c r="A30" s="40" t="s">
        <v>3308</v>
      </c>
      <c r="B30" s="44" t="s">
        <v>116</v>
      </c>
      <c r="C30" s="40" t="str">
        <f ca="1">IFERROR(__xludf.DUMMYFUNCTION("""COMPUTED_VALUE"""),"GENEPIO:0001198")</f>
        <v>GENEPIO:0001198</v>
      </c>
      <c r="D30" s="53" t="str">
        <f ca="1">IFERROR(__xludf.DUMMYFUNCTION("""COMPUTED_VALUE"""),"purpose of sampling")</f>
        <v>purpose of sampling</v>
      </c>
      <c r="E30" s="82" t="str">
        <f ca="1">IFERROR(__xludf.DUMMYFUNCTION("Lower(regexreplace(regexreplace(F30,""[ /]"",""_""),""[-()]"",""""))"),"purpose_of_sampling")</f>
        <v>purpose_of_sampling</v>
      </c>
      <c r="F30" s="171" t="str">
        <f ca="1">IFERROR(__xludf.DUMMYFUNCTION("concat(regexreplace(proper(F30),""[_ (/)-]"",""""),""Menu"")"),"PurposeOfSamplingMenu")</f>
        <v>PurposeOfSamplingMenu</v>
      </c>
      <c r="G30" s="39" t="s">
        <v>105</v>
      </c>
      <c r="H30" s="39"/>
      <c r="I30" s="39"/>
      <c r="J30" s="167" t="b">
        <v>1</v>
      </c>
      <c r="K30" s="39" t="s">
        <v>97</v>
      </c>
      <c r="L30" s="39"/>
      <c r="M30" s="39"/>
      <c r="N30" s="40"/>
      <c r="O30" s="40"/>
      <c r="P30" s="9" t="s">
        <v>144</v>
      </c>
      <c r="Q30" s="9" t="s">
        <v>3352</v>
      </c>
      <c r="R30" s="9" t="str">
        <f ca="1">IFERROR(__xludf.DUMMYFUNCTION("IMPORTRANGE(""https://docs.google.com/spreadsheets/d/1NstVkNyMv132LYxaKGuXqEBScLi0RERHb0zkcgSuNZQ"", ""Vocabulary Lists!E3"")"),"Diagnostic testing [GENEPIO:0100002]")</f>
        <v>Diagnostic testing [GENEPIO:0100002]</v>
      </c>
      <c r="S30" s="39"/>
      <c r="T30" s="39" t="s">
        <v>146</v>
      </c>
      <c r="U30" s="39"/>
      <c r="V30" s="39"/>
      <c r="W30" s="39"/>
    </row>
    <row r="31" spans="1:23" ht="15.75" customHeight="1">
      <c r="A31" s="40" t="s">
        <v>3308</v>
      </c>
      <c r="B31" s="44" t="s">
        <v>116</v>
      </c>
      <c r="C31" s="40" t="str">
        <f ca="1">IFERROR(__xludf.DUMMYFUNCTION("""COMPUTED_VALUE"""),"GENEPIO:0001200")</f>
        <v>GENEPIO:0001200</v>
      </c>
      <c r="D31" s="53" t="str">
        <f ca="1">IFERROR(__xludf.DUMMYFUNCTION("""COMPUTED_VALUE"""),"purpose of sampling details")</f>
        <v>purpose of sampling details</v>
      </c>
      <c r="E31" s="82" t="str">
        <f ca="1">IFERROR(__xludf.DUMMYFUNCTION("Lower(regexreplace(regexreplace(F31,""[ /]"",""_""),""[-()]"",""""))"),"purpose_of_sampling_details")</f>
        <v>purpose_of_sampling_details</v>
      </c>
      <c r="F31" s="39" t="s">
        <v>92</v>
      </c>
      <c r="G31" s="39"/>
      <c r="H31" s="39"/>
      <c r="I31" s="39"/>
      <c r="J31" s="39" t="s">
        <v>97</v>
      </c>
      <c r="K31" s="39" t="s">
        <v>97</v>
      </c>
      <c r="L31" s="39"/>
      <c r="M31" s="39"/>
      <c r="N31" s="40"/>
      <c r="O31" s="40"/>
      <c r="P31" s="9" t="s">
        <v>3353</v>
      </c>
      <c r="Q31" s="9" t="s">
        <v>3354</v>
      </c>
      <c r="R31" s="9" t="s">
        <v>3355</v>
      </c>
      <c r="S31" s="51"/>
      <c r="T31" s="39"/>
      <c r="U31" s="39"/>
      <c r="V31" s="39"/>
      <c r="W31" s="39"/>
    </row>
    <row r="32" spans="1:23" ht="15.75" customHeight="1">
      <c r="A32" s="40" t="s">
        <v>3308</v>
      </c>
      <c r="B32" s="44" t="s">
        <v>116</v>
      </c>
      <c r="C32" s="6" t="str">
        <f ca="1">IFERROR(__xludf.DUMMYFUNCTION("""COMPUTED_VALUE"""),"GENEPIO:0100285")</f>
        <v>GENEPIO:0100285</v>
      </c>
      <c r="D32" s="53" t="str">
        <f ca="1">IFERROR(__xludf.DUMMYFUNCTION("""COMPUTED_VALUE"""),"sample plan name")</f>
        <v>sample plan name</v>
      </c>
      <c r="E32" s="82" t="str">
        <f ca="1">IFERROR(__xludf.DUMMYFUNCTION("Lower(regexreplace(regexreplace(F32,""[ /]"",""_""),""[-()]"",""""))"),"sample_plan_name")</f>
        <v>sample_plan_name</v>
      </c>
      <c r="F32" s="39" t="s">
        <v>92</v>
      </c>
      <c r="G32" s="39"/>
      <c r="H32" s="39"/>
      <c r="I32" s="39"/>
      <c r="J32" s="39" t="s">
        <v>97</v>
      </c>
      <c r="K32" s="39" t="s">
        <v>97</v>
      </c>
      <c r="L32" s="39"/>
      <c r="M32" s="39"/>
      <c r="N32" s="40"/>
      <c r="O32" s="40"/>
      <c r="P32" s="9" t="s">
        <v>3356</v>
      </c>
      <c r="Q32" s="9" t="s">
        <v>3357</v>
      </c>
      <c r="R32" s="9" t="s">
        <v>3358</v>
      </c>
      <c r="S32" s="51"/>
      <c r="T32" s="39"/>
      <c r="U32" s="39"/>
      <c r="V32" s="39"/>
      <c r="W32" s="39"/>
    </row>
    <row r="33" spans="1:23" ht="15.75" customHeight="1">
      <c r="A33" s="40" t="s">
        <v>3308</v>
      </c>
      <c r="B33" s="44" t="s">
        <v>116</v>
      </c>
      <c r="C33" s="6" t="str">
        <f ca="1">IFERROR(__xludf.DUMMYFUNCTION("""COMPUTED_VALUE"""),"GENEPIO:0100277")</f>
        <v>GENEPIO:0100277</v>
      </c>
      <c r="D33" s="53" t="str">
        <f ca="1">IFERROR(__xludf.DUMMYFUNCTION("""COMPUTED_VALUE"""),"sample collected in quarantine")</f>
        <v>sample collected in quarantine</v>
      </c>
      <c r="E33" s="82" t="str">
        <f ca="1">IFERROR(__xludf.DUMMYFUNCTION("Lower(regexreplace(regexreplace(F33,""[ /]"",""_""),""[-()]"",""""))"),"sample_collected_in_quarantine")</f>
        <v>sample_collected_in_quarantine</v>
      </c>
      <c r="F33" s="171" t="str">
        <f ca="1">IFERROR(__xludf.DUMMYFUNCTION("concat(regexreplace(proper(F33),""[_ (/)-]"",""""),""Menu"")"),"SampleCollectedInQuarantineMenu")</f>
        <v>SampleCollectedInQuarantineMenu</v>
      </c>
      <c r="G33" s="39" t="s">
        <v>105</v>
      </c>
      <c r="H33" s="39"/>
      <c r="I33" s="39"/>
      <c r="J33" s="39" t="s">
        <v>97</v>
      </c>
      <c r="K33" s="39" t="s">
        <v>97</v>
      </c>
      <c r="L33" s="39"/>
      <c r="M33" s="39"/>
      <c r="N33" s="40"/>
      <c r="O33" s="40"/>
      <c r="P33" s="9" t="s">
        <v>3359</v>
      </c>
      <c r="Q33" s="9" t="s">
        <v>3360</v>
      </c>
      <c r="R33" s="9" t="str">
        <f ca="1">IFERROR(__xludf.DUMMYFUNCTION("IMPORTRANGE(""https://docs.google.com/spreadsheets/d/1NstVkNyMv132LYxaKGuXqEBScLi0RERHb0zkcgSuNZQ"", ""Vocabulary Lists!K2"")"),"Yes [NCIT:C49488]")</f>
        <v>Yes [NCIT:C49488]</v>
      </c>
      <c r="S33" s="51"/>
      <c r="T33" s="39"/>
      <c r="U33" s="39"/>
      <c r="V33" s="39"/>
      <c r="W33" s="39"/>
    </row>
    <row r="34" spans="1:23" ht="15.75" customHeight="1">
      <c r="A34" s="40" t="s">
        <v>3308</v>
      </c>
      <c r="B34" s="44" t="s">
        <v>116</v>
      </c>
      <c r="C34" s="40" t="str">
        <f ca="1">IFERROR(__xludf.DUMMYFUNCTION("""COMPUTED_VALUE"""),"GENEPIO:0001211")</f>
        <v>GENEPIO:0001211</v>
      </c>
      <c r="D34" s="53" t="str">
        <f ca="1">IFERROR(__xludf.DUMMYFUNCTION("""COMPUTED_VALUE"""),"anatomical material")</f>
        <v>anatomical material</v>
      </c>
      <c r="E34" s="82" t="str">
        <f ca="1">IFERROR(__xludf.DUMMYFUNCTION("Lower(regexreplace(regexreplace(F34,""[ /]"",""_""),""[-()]"",""""))"),"anatomical_material")</f>
        <v>anatomical_material</v>
      </c>
      <c r="F34" s="171" t="str">
        <f ca="1">IFERROR(__xludf.DUMMYFUNCTION("concat(regexreplace(proper(F34),""[_ (/)-]"",""""),""Menu"")"),"AnatomicalMaterialMenu")</f>
        <v>AnatomicalMaterialMenu</v>
      </c>
      <c r="G34" s="39" t="s">
        <v>105</v>
      </c>
      <c r="H34" s="39"/>
      <c r="I34" s="39"/>
      <c r="J34" s="39" t="s">
        <v>97</v>
      </c>
      <c r="K34" s="39" t="b">
        <v>1</v>
      </c>
      <c r="L34" s="39"/>
      <c r="M34" s="39"/>
      <c r="N34" s="40"/>
      <c r="O34" s="40"/>
      <c r="P34" s="9" t="s">
        <v>149</v>
      </c>
      <c r="Q34" s="9" t="s">
        <v>3361</v>
      </c>
      <c r="R34" s="9" t="str">
        <f ca="1">IFERROR(__xludf.DUMMYFUNCTION("IMPORTRANGE(""https://docs.google.com/spreadsheets/d/1NstVkNyMv132LYxaKGuXqEBScLi0RERHb0zkcgSuNZQ"", ""Vocabulary Lists!M2"")"),"Blood [UBERON:0000178]")</f>
        <v>Blood [UBERON:0000178]</v>
      </c>
      <c r="S34" s="51" t="s">
        <v>151</v>
      </c>
      <c r="T34" s="39" t="s">
        <v>3362</v>
      </c>
      <c r="U34" s="39"/>
      <c r="V34" s="39"/>
      <c r="W34" s="39" t="s">
        <v>3363</v>
      </c>
    </row>
    <row r="35" spans="1:23" ht="15.75" customHeight="1">
      <c r="A35" s="40" t="s">
        <v>3308</v>
      </c>
      <c r="B35" s="44" t="s">
        <v>116</v>
      </c>
      <c r="C35" s="40" t="str">
        <f ca="1">IFERROR(__xludf.DUMMYFUNCTION("""COMPUTED_VALUE"""),"GENEPIO:0001214")</f>
        <v>GENEPIO:0001214</v>
      </c>
      <c r="D35" s="53" t="str">
        <f ca="1">IFERROR(__xludf.DUMMYFUNCTION("""COMPUTED_VALUE"""),"anatomical part")</f>
        <v>anatomical part</v>
      </c>
      <c r="E35" s="82" t="str">
        <f ca="1">IFERROR(__xludf.DUMMYFUNCTION("Lower(regexreplace(regexreplace(F35,""[ /]"",""_""),""[-()]"",""""))"),"anatomical_part")</f>
        <v>anatomical_part</v>
      </c>
      <c r="F35" s="171" t="str">
        <f ca="1">IFERROR(__xludf.DUMMYFUNCTION("concat(regexreplace(proper(F35),""[_ (/)-]"",""""),""Menu"")"),"AnatomicalPartMenu")</f>
        <v>AnatomicalPartMenu</v>
      </c>
      <c r="G35" s="39" t="s">
        <v>105</v>
      </c>
      <c r="H35" s="39"/>
      <c r="I35" s="39"/>
      <c r="J35" s="39" t="s">
        <v>97</v>
      </c>
      <c r="K35" s="39" t="b">
        <v>1</v>
      </c>
      <c r="L35" s="39"/>
      <c r="M35" s="39"/>
      <c r="N35" s="40"/>
      <c r="O35" s="40"/>
      <c r="P35" s="9" t="s">
        <v>154</v>
      </c>
      <c r="Q35" s="9" t="s">
        <v>3364</v>
      </c>
      <c r="R35" s="9" t="str">
        <f ca="1">IFERROR(__xludf.DUMMYFUNCTION("TRIM(IMPORTRANGE(""https://docs.google.com/spreadsheets/d/1NstVkNyMv132LYxaKGuXqEBScLi0RERHb0zkcgSuNZQ"", ""Vocabulary Lists!O25""))"),"Nasopharynx (NP) [UBERON:0001728]")</f>
        <v>Nasopharynx (NP) [UBERON:0001728]</v>
      </c>
      <c r="S35" s="51" t="s">
        <v>151</v>
      </c>
      <c r="T35" s="39" t="s">
        <v>3365</v>
      </c>
      <c r="U35" s="6"/>
      <c r="V35" s="6"/>
      <c r="W35" s="39" t="s">
        <v>3363</v>
      </c>
    </row>
    <row r="36" spans="1:23" ht="15.75" customHeight="1">
      <c r="A36" s="40" t="s">
        <v>3308</v>
      </c>
      <c r="B36" s="44" t="s">
        <v>116</v>
      </c>
      <c r="C36" s="40" t="str">
        <f ca="1">IFERROR(__xludf.DUMMYFUNCTION("""COMPUTED_VALUE"""),"GENEPIO:0001216")</f>
        <v>GENEPIO:0001216</v>
      </c>
      <c r="D36" s="53" t="str">
        <f ca="1">IFERROR(__xludf.DUMMYFUNCTION("""COMPUTED_VALUE"""),"body product")</f>
        <v>body product</v>
      </c>
      <c r="E36" s="82" t="str">
        <f ca="1">IFERROR(__xludf.DUMMYFUNCTION("Lower(regexreplace(regexreplace(F36,""[ /]"",""_""),""[-()]"",""""))"),"body_product")</f>
        <v>body_product</v>
      </c>
      <c r="F36" s="171" t="str">
        <f ca="1">IFERROR(__xludf.DUMMYFUNCTION("concat(regexreplace(proper(F36),""[_ (/)-]"",""""),""Menu"")"),"BodyProductMenu")</f>
        <v>BodyProductMenu</v>
      </c>
      <c r="G36" s="39" t="s">
        <v>105</v>
      </c>
      <c r="H36" s="39"/>
      <c r="I36" s="39"/>
      <c r="J36" s="39" t="s">
        <v>97</v>
      </c>
      <c r="K36" s="39" t="b">
        <v>1</v>
      </c>
      <c r="L36" s="39"/>
      <c r="M36" s="39"/>
      <c r="N36" s="40"/>
      <c r="O36" s="40"/>
      <c r="P36" s="9" t="s">
        <v>158</v>
      </c>
      <c r="Q36" s="9" t="s">
        <v>3366</v>
      </c>
      <c r="R36" s="9" t="str">
        <f ca="1">IFERROR(__xludf.DUMMYFUNCTION("IMPORTRANGE(""https://docs.google.com/spreadsheets/d/1NstVkNyMv132LYxaKGuXqEBScLi0RERHb0zkcgSuNZQ"", ""Vocabulary Lists!Q3"")"),"Feces [UBERON:0001988]")</f>
        <v>Feces [UBERON:0001988]</v>
      </c>
      <c r="S36" s="51" t="s">
        <v>151</v>
      </c>
      <c r="T36" s="39" t="s">
        <v>3367</v>
      </c>
      <c r="U36" s="39"/>
      <c r="V36" s="39"/>
      <c r="W36" s="39" t="s">
        <v>3363</v>
      </c>
    </row>
    <row r="37" spans="1:23" ht="15.75" customHeight="1">
      <c r="A37" s="40" t="s">
        <v>3308</v>
      </c>
      <c r="B37" s="44" t="s">
        <v>116</v>
      </c>
      <c r="C37" s="40" t="str">
        <f ca="1">IFERROR(__xludf.DUMMYFUNCTION("""COMPUTED_VALUE"""),"GENEPIO:0001223")</f>
        <v>GENEPIO:0001223</v>
      </c>
      <c r="D37" s="53" t="str">
        <f ca="1">IFERROR(__xludf.DUMMYFUNCTION("""COMPUTED_VALUE"""),"environmental material")</f>
        <v>environmental material</v>
      </c>
      <c r="E37" s="82" t="str">
        <f ca="1">IFERROR(__xludf.DUMMYFUNCTION("Lower(regexreplace(regexreplace(F37,""[ /]"",""_""),""[-()]"",""""))"),"environmental_material")</f>
        <v>environmental_material</v>
      </c>
      <c r="F37" s="171" t="str">
        <f ca="1">IFERROR(__xludf.DUMMYFUNCTION("concat(regexreplace(proper(F37),""[_ (/)-]"",""""),""Menu"")"),"EnvironmentalMaterialMenu")</f>
        <v>EnvironmentalMaterialMenu</v>
      </c>
      <c r="G37" s="39" t="s">
        <v>105</v>
      </c>
      <c r="H37" s="39"/>
      <c r="I37" s="39"/>
      <c r="J37" s="39" t="s">
        <v>97</v>
      </c>
      <c r="K37" s="39" t="b">
        <v>1</v>
      </c>
      <c r="L37" s="39"/>
      <c r="M37" s="39"/>
      <c r="N37" s="40"/>
      <c r="O37" s="40"/>
      <c r="P37" s="9" t="s">
        <v>3368</v>
      </c>
      <c r="Q37" s="9" t="s">
        <v>3369</v>
      </c>
      <c r="R37" s="9" t="str">
        <f ca="1">IFERROR(__xludf.DUMMYFUNCTION("IMPORTRANGE(""https://docs.google.com/spreadsheets/d/1NstVkNyMv132LYxaKGuXqEBScLi0RERHb0zkcgSuNZQ"", ""Vocabulary Lists!S10"")"),"Face mask [OBI:0002787]")</f>
        <v>Face mask [OBI:0002787]</v>
      </c>
      <c r="S37" s="51" t="s">
        <v>151</v>
      </c>
      <c r="T37" s="39" t="s">
        <v>163</v>
      </c>
      <c r="U37" s="6"/>
      <c r="V37" s="6"/>
      <c r="W37" s="39" t="s">
        <v>3363</v>
      </c>
    </row>
    <row r="38" spans="1:23" ht="15.75" customHeight="1">
      <c r="A38" s="40" t="s">
        <v>3308</v>
      </c>
      <c r="B38" s="44" t="s">
        <v>116</v>
      </c>
      <c r="C38" s="40" t="str">
        <f ca="1">IFERROR(__xludf.DUMMYFUNCTION("""COMPUTED_VALUE"""),"GENEPIO:0001232")</f>
        <v>GENEPIO:0001232</v>
      </c>
      <c r="D38" s="44" t="str">
        <f ca="1">IFERROR(__xludf.DUMMYFUNCTION("""COMPUTED_VALUE"""),"environmental site")</f>
        <v>environmental site</v>
      </c>
      <c r="E38" s="82" t="str">
        <f ca="1">IFERROR(__xludf.DUMMYFUNCTION("Lower(regexreplace(regexreplace(F38,""[ /]"",""_""),""[-()]"",""""))"),"environmental_site")</f>
        <v>environmental_site</v>
      </c>
      <c r="F38" s="171" t="str">
        <f ca="1">IFERROR(__xludf.DUMMYFUNCTION("concat(regexreplace(proper(F38),""[_ (/)-]"",""""),""Menu"")"),"EnvironmentalSiteMenu")</f>
        <v>EnvironmentalSiteMenu</v>
      </c>
      <c r="G38" s="39" t="s">
        <v>105</v>
      </c>
      <c r="H38" s="39"/>
      <c r="I38" s="39"/>
      <c r="J38" s="39" t="s">
        <v>97</v>
      </c>
      <c r="K38" s="39" t="b">
        <v>1</v>
      </c>
      <c r="L38" s="39"/>
      <c r="M38" s="39"/>
      <c r="N38" s="40"/>
      <c r="O38" s="40"/>
      <c r="P38" s="9" t="s">
        <v>2306</v>
      </c>
      <c r="Q38" s="9" t="s">
        <v>3370</v>
      </c>
      <c r="R38" s="9" t="str">
        <f ca="1">IFERROR(__xludf.DUMMYFUNCTION("IMPORTRANGE(""https://docs.google.com/spreadsheets/d/1NstVkNyMv132LYxaKGuXqEBScLi0RERHb0zkcgSuNZQ"", ""Vocabulary Lists!U13"")"),"Hospital [ENVO:00002173]")</f>
        <v>Hospital [ENVO:00002173]</v>
      </c>
      <c r="S38" s="51" t="s">
        <v>151</v>
      </c>
      <c r="T38" s="39" t="s">
        <v>167</v>
      </c>
      <c r="U38" s="39"/>
      <c r="V38" s="39"/>
      <c r="W38" s="39" t="s">
        <v>3363</v>
      </c>
    </row>
    <row r="39" spans="1:23" ht="15.75" customHeight="1">
      <c r="A39" s="40" t="s">
        <v>3308</v>
      </c>
      <c r="B39" s="44" t="s">
        <v>116</v>
      </c>
      <c r="C39" s="40" t="str">
        <f ca="1">IFERROR(__xludf.DUMMYFUNCTION("""COMPUTED_VALUE"""),"GENEPIO:0001234")</f>
        <v>GENEPIO:0001234</v>
      </c>
      <c r="D39" s="53" t="str">
        <f ca="1">IFERROR(__xludf.DUMMYFUNCTION("""COMPUTED_VALUE"""),"collection device")</f>
        <v>collection device</v>
      </c>
      <c r="E39" s="82" t="str">
        <f ca="1">IFERROR(__xludf.DUMMYFUNCTION("Lower(regexreplace(regexreplace(F39,""[ /]"",""_""),""[-()]"",""""))"),"collection_device")</f>
        <v>collection_device</v>
      </c>
      <c r="F39" s="171" t="str">
        <f ca="1">IFERROR(__xludf.DUMMYFUNCTION("concat(regexreplace(proper(F39),""[_ (/)-]"",""""),""Menu"")"),"CollectionDeviceMenu")</f>
        <v>CollectionDeviceMenu</v>
      </c>
      <c r="G39" s="39" t="s">
        <v>105</v>
      </c>
      <c r="H39" s="39"/>
      <c r="I39" s="39"/>
      <c r="J39" s="39" t="s">
        <v>97</v>
      </c>
      <c r="K39" s="39" t="b">
        <v>1</v>
      </c>
      <c r="L39" s="39"/>
      <c r="M39" s="39"/>
      <c r="N39" s="40"/>
      <c r="O39" s="40"/>
      <c r="P39" s="9" t="s">
        <v>170</v>
      </c>
      <c r="Q39" s="9" t="s">
        <v>3371</v>
      </c>
      <c r="R39" s="9" t="str">
        <f ca="1">IFERROR(__xludf.DUMMYFUNCTION("IMPORTRANGE(""https://docs.google.com/spreadsheets/d/1NstVkNyMv132LYxaKGuXqEBScLi0RERHb0zkcgSuNZQ"", ""Vocabulary Lists!W16"")"),"Swab [GENEPIO:0100027]")</f>
        <v>Swab [GENEPIO:0100027]</v>
      </c>
      <c r="S39" s="51" t="s">
        <v>151</v>
      </c>
      <c r="T39" s="39" t="s">
        <v>172</v>
      </c>
      <c r="U39" s="39"/>
      <c r="V39" s="39"/>
      <c r="W39" s="39" t="s">
        <v>3363</v>
      </c>
    </row>
    <row r="40" spans="1:23" ht="15.75" customHeight="1">
      <c r="A40" s="40" t="s">
        <v>3308</v>
      </c>
      <c r="B40" s="44" t="s">
        <v>116</v>
      </c>
      <c r="C40" s="40" t="str">
        <f ca="1">IFERROR(__xludf.DUMMYFUNCTION("""COMPUTED_VALUE"""),"GENEPIO:0001241")</f>
        <v>GENEPIO:0001241</v>
      </c>
      <c r="D40" s="53" t="str">
        <f ca="1">IFERROR(__xludf.DUMMYFUNCTION("""COMPUTED_VALUE"""),"collection method")</f>
        <v>collection method</v>
      </c>
      <c r="E40" s="82" t="str">
        <f ca="1">IFERROR(__xludf.DUMMYFUNCTION("Lower(regexreplace(regexreplace(F40,""[ /]"",""_""),""[-()]"",""""))"),"collection_method")</f>
        <v>collection_method</v>
      </c>
      <c r="F40" s="171" t="str">
        <f ca="1">IFERROR(__xludf.DUMMYFUNCTION("concat(regexreplace(proper(F40),""[_ (/)-]"",""""),""Menu"")"),"CollectionMethodMenu")</f>
        <v>CollectionMethodMenu</v>
      </c>
      <c r="G40" s="39" t="s">
        <v>105</v>
      </c>
      <c r="H40" s="39"/>
      <c r="I40" s="39"/>
      <c r="J40" s="39" t="s">
        <v>97</v>
      </c>
      <c r="K40" s="39" t="b">
        <v>1</v>
      </c>
      <c r="L40" s="39"/>
      <c r="M40" s="39"/>
      <c r="N40" s="40"/>
      <c r="O40" s="40"/>
      <c r="P40" s="9" t="s">
        <v>175</v>
      </c>
      <c r="Q40" s="9" t="s">
        <v>3372</v>
      </c>
      <c r="R40" s="9" t="str">
        <f ca="1">IFERROR(__xludf.DUMMYFUNCTION("TRIM(IMPORTRANGE(""https://docs.google.com/spreadsheets/d/1NstVkNyMv132LYxaKGuXqEBScLi0RERHb0zkcgSuNZQ"", ""Vocabulary Lists!Y12""))"),"Bronchoalveolar lavage (BAL) [GENEPIO:0100032]")</f>
        <v>Bronchoalveolar lavage (BAL) [GENEPIO:0100032]</v>
      </c>
      <c r="S40" s="51" t="s">
        <v>151</v>
      </c>
      <c r="T40" s="39" t="s">
        <v>177</v>
      </c>
      <c r="U40" s="39"/>
      <c r="V40" s="39"/>
      <c r="W40" s="39" t="s">
        <v>3363</v>
      </c>
    </row>
    <row r="41" spans="1:23" ht="15.75" customHeight="1">
      <c r="A41" s="40" t="s">
        <v>3308</v>
      </c>
      <c r="B41" s="44" t="s">
        <v>116</v>
      </c>
      <c r="C41" s="40" t="str">
        <f ca="1">IFERROR(__xludf.DUMMYFUNCTION("""COMPUTED_VALUE"""),"GENEPIO:0001243")</f>
        <v>GENEPIO:0001243</v>
      </c>
      <c r="D41" s="53" t="str">
        <f ca="1">IFERROR(__xludf.DUMMYFUNCTION("""COMPUTED_VALUE"""),"collection protocol")</f>
        <v>collection protocol</v>
      </c>
      <c r="E41" s="82" t="str">
        <f ca="1">IFERROR(__xludf.DUMMYFUNCTION("Lower(regexreplace(regexreplace(F41,""[ /]"",""_""),""[-()]"",""""))"),"collection_protocol")</f>
        <v>collection_protocol</v>
      </c>
      <c r="F41" s="39" t="s">
        <v>92</v>
      </c>
      <c r="G41" s="39"/>
      <c r="H41" s="39"/>
      <c r="I41" s="39"/>
      <c r="J41" s="39" t="s">
        <v>97</v>
      </c>
      <c r="K41" s="39" t="s">
        <v>97</v>
      </c>
      <c r="L41" s="39"/>
      <c r="M41" s="39"/>
      <c r="N41" s="40"/>
      <c r="O41" s="40"/>
      <c r="P41" s="9" t="s">
        <v>1298</v>
      </c>
      <c r="Q41" s="9" t="s">
        <v>3373</v>
      </c>
      <c r="R41" s="9" t="s">
        <v>3374</v>
      </c>
      <c r="S41" s="39"/>
      <c r="T41" s="6"/>
      <c r="U41" s="39"/>
      <c r="V41" s="39"/>
      <c r="W41" s="39"/>
    </row>
    <row r="42" spans="1:23" ht="15.75" customHeight="1">
      <c r="A42" s="40" t="s">
        <v>3308</v>
      </c>
      <c r="B42" s="44" t="s">
        <v>116</v>
      </c>
      <c r="C42" s="40" t="str">
        <f ca="1">IFERROR(__xludf.DUMMYFUNCTION("""COMPUTED_VALUE"""),"GENEPIO:0001253")</f>
        <v>GENEPIO:0001253</v>
      </c>
      <c r="D42" s="53" t="str">
        <f ca="1">IFERROR(__xludf.DUMMYFUNCTION("""COMPUTED_VALUE"""),"specimen processing")</f>
        <v>specimen processing</v>
      </c>
      <c r="E42" s="82" t="str">
        <f ca="1">IFERROR(__xludf.DUMMYFUNCTION("Lower(regexreplace(regexreplace(F42,""[ /]"",""_""),""[-()]"",""""))"),"specimen_processing")</f>
        <v>specimen_processing</v>
      </c>
      <c r="F42" s="171" t="str">
        <f ca="1">IFERROR(__xludf.DUMMYFUNCTION("concat(regexreplace(proper(F42),""[_ (/)-]"",""""),""Menu"")"),"SpecimenProcessingMenu")</f>
        <v>SpecimenProcessingMenu</v>
      </c>
      <c r="G42" s="39" t="s">
        <v>105</v>
      </c>
      <c r="H42" s="39"/>
      <c r="I42" s="39"/>
      <c r="J42" s="167" t="b">
        <v>1</v>
      </c>
      <c r="K42" s="39" t="b">
        <v>1</v>
      </c>
      <c r="L42" s="39"/>
      <c r="M42" s="39"/>
      <c r="N42" s="40"/>
      <c r="O42" s="40"/>
      <c r="P42" s="9" t="s">
        <v>180</v>
      </c>
      <c r="Q42" s="9" t="s">
        <v>181</v>
      </c>
      <c r="R42" s="9" t="str">
        <f ca="1">IFERROR(__xludf.DUMMYFUNCTION("IMPORTRANGE(""https://docs.google.com/spreadsheets/d/1NstVkNyMv132LYxaKGuXqEBScLi0RERHb0zkcgSuNZQ"", ""Vocabulary Lists!AA2"")"),"Virus passage [GENEPIO:0100039]")</f>
        <v>Virus passage [GENEPIO:0100039]</v>
      </c>
      <c r="S42" s="39"/>
      <c r="T42" s="39"/>
      <c r="U42" s="39"/>
      <c r="V42" s="39"/>
      <c r="W42" s="39"/>
    </row>
    <row r="43" spans="1:23" ht="15.75" customHeight="1">
      <c r="A43" s="40" t="s">
        <v>3308</v>
      </c>
      <c r="B43" s="44" t="s">
        <v>116</v>
      </c>
      <c r="C43" s="40" t="str">
        <f ca="1">IFERROR(__xludf.DUMMYFUNCTION("""COMPUTED_VALUE"""),"GENEPIO:0100311")</f>
        <v>GENEPIO:0100311</v>
      </c>
      <c r="D43" s="53" t="str">
        <f ca="1">IFERROR(__xludf.DUMMYFUNCTION("""COMPUTED_VALUE"""),"specimen processing details")</f>
        <v>specimen processing details</v>
      </c>
      <c r="E43" s="82" t="str">
        <f ca="1">IFERROR(__xludf.DUMMYFUNCTION("Lower(regexreplace(regexreplace(F43,""[ /]"",""_""),""[-()]"",""""))"),"specimen_processing_details")</f>
        <v>specimen_processing_details</v>
      </c>
      <c r="F43" s="39" t="s">
        <v>92</v>
      </c>
      <c r="G43" s="39"/>
      <c r="H43" s="39"/>
      <c r="I43" s="39"/>
      <c r="J43" s="39" t="s">
        <v>97</v>
      </c>
      <c r="K43" s="39" t="s">
        <v>97</v>
      </c>
      <c r="L43" s="39"/>
      <c r="M43" s="39"/>
      <c r="N43" s="40"/>
      <c r="O43" s="40"/>
      <c r="P43" s="9" t="s">
        <v>183</v>
      </c>
      <c r="Q43" s="9" t="s">
        <v>184</v>
      </c>
      <c r="R43" s="9" t="s">
        <v>185</v>
      </c>
      <c r="S43" s="39"/>
      <c r="T43" s="39"/>
      <c r="U43" s="39"/>
      <c r="V43" s="39"/>
      <c r="W43" s="39"/>
    </row>
    <row r="44" spans="1:23" ht="15.75" customHeight="1">
      <c r="A44" s="40" t="s">
        <v>3308</v>
      </c>
      <c r="B44" s="44" t="s">
        <v>116</v>
      </c>
      <c r="C44" s="40" t="str">
        <f ca="1">IFERROR(__xludf.DUMMYFUNCTION("""COMPUTED_VALUE"""),"GENEPIO:0001255")</f>
        <v>GENEPIO:0001255</v>
      </c>
      <c r="D44" s="53" t="str">
        <f ca="1">IFERROR(__xludf.DUMMYFUNCTION("""COMPUTED_VALUE"""),"lab host")</f>
        <v>lab host</v>
      </c>
      <c r="E44" s="82" t="str">
        <f ca="1">IFERROR(__xludf.DUMMYFUNCTION("Lower(regexreplace(regexreplace(F44,""[ /]"",""_""),""[-()]"",""""))"),"lab_host")</f>
        <v>lab_host</v>
      </c>
      <c r="F44" s="171" t="str">
        <f ca="1">IFERROR(__xludf.DUMMYFUNCTION("concat(regexreplace(proper(F44),""[_ (/)-]"",""""),""Menu"")"),"LabHostMenu")</f>
        <v>LabHostMenu</v>
      </c>
      <c r="G44" s="39" t="s">
        <v>105</v>
      </c>
      <c r="H44" s="39"/>
      <c r="I44" s="39"/>
      <c r="J44" s="39" t="s">
        <v>97</v>
      </c>
      <c r="K44" s="39" t="s">
        <v>97</v>
      </c>
      <c r="L44" s="39"/>
      <c r="M44" s="39"/>
      <c r="N44" s="40"/>
      <c r="O44" s="40"/>
      <c r="P44" s="9" t="s">
        <v>1301</v>
      </c>
      <c r="Q44" s="9" t="s">
        <v>3375</v>
      </c>
      <c r="R44" s="9" t="str">
        <f ca="1">IFERROR(__xludf.DUMMYFUNCTION("TRIM(IMPORTRANGE(""https://docs.google.com/spreadsheets/d/1NstVkNyMv132LYxaKGuXqEBScLi0RERHb0zkcgSuNZQ"", ""Vocabulary Lists!AC16""))"),"Vero E6 cell line [BTO:0004755]")</f>
        <v>Vero E6 cell line [BTO:0004755]</v>
      </c>
      <c r="S44" s="39"/>
      <c r="T44" s="39"/>
      <c r="U44" s="39"/>
      <c r="V44" s="39"/>
      <c r="W44" s="39"/>
    </row>
    <row r="45" spans="1:23" ht="15.75" customHeight="1">
      <c r="A45" s="40" t="s">
        <v>3308</v>
      </c>
      <c r="B45" s="44" t="s">
        <v>116</v>
      </c>
      <c r="C45" s="40" t="str">
        <f ca="1">IFERROR(__xludf.DUMMYFUNCTION("""COMPUTED_VALUE"""),"GENEPIO:0001261")</f>
        <v>GENEPIO:0001261</v>
      </c>
      <c r="D45" s="44" t="str">
        <f ca="1">IFERROR(__xludf.DUMMYFUNCTION("""COMPUTED_VALUE"""),"passage number")</f>
        <v>passage number</v>
      </c>
      <c r="E45" s="82" t="str">
        <f ca="1">IFERROR(__xludf.DUMMYFUNCTION("Lower(regexreplace(regexreplace(F45,""[ /]"",""_""),""[-()]"",""""))"),"passage_number")</f>
        <v>passage_number</v>
      </c>
      <c r="F45" s="39" t="s">
        <v>93</v>
      </c>
      <c r="G45" s="39"/>
      <c r="H45" s="39"/>
      <c r="I45" s="39"/>
      <c r="J45" s="39" t="s">
        <v>97</v>
      </c>
      <c r="K45" s="39" t="s">
        <v>97</v>
      </c>
      <c r="L45" s="39">
        <v>0</v>
      </c>
      <c r="M45" s="39"/>
      <c r="N45" s="40"/>
      <c r="O45" s="40"/>
      <c r="P45" s="9" t="s">
        <v>1304</v>
      </c>
      <c r="Q45" s="9" t="s">
        <v>1305</v>
      </c>
      <c r="R45" s="172">
        <v>3</v>
      </c>
      <c r="S45" s="39"/>
      <c r="T45" s="39" t="s">
        <v>1303</v>
      </c>
      <c r="U45" s="39"/>
      <c r="V45" s="39"/>
      <c r="W45" s="39"/>
    </row>
    <row r="46" spans="1:23" ht="15.75" customHeight="1">
      <c r="A46" s="40" t="s">
        <v>3308</v>
      </c>
      <c r="B46" s="44" t="s">
        <v>116</v>
      </c>
      <c r="C46" s="40" t="str">
        <f ca="1">IFERROR(__xludf.DUMMYFUNCTION("""COMPUTED_VALUE"""),"GENEPIO:0001264")</f>
        <v>GENEPIO:0001264</v>
      </c>
      <c r="D46" s="53" t="str">
        <f ca="1">IFERROR(__xludf.DUMMYFUNCTION("""COMPUTED_VALUE"""),"passage method")</f>
        <v>passage method</v>
      </c>
      <c r="E46" s="82" t="str">
        <f ca="1">IFERROR(__xludf.DUMMYFUNCTION("Lower(regexreplace(regexreplace(F46,""[ /]"",""_""),""[-()]"",""""))"),"passage_method")</f>
        <v>passage_method</v>
      </c>
      <c r="F46" s="39" t="s">
        <v>92</v>
      </c>
      <c r="G46" s="39" t="s">
        <v>105</v>
      </c>
      <c r="H46" s="39"/>
      <c r="I46" s="39"/>
      <c r="J46" s="39" t="s">
        <v>97</v>
      </c>
      <c r="K46" s="39" t="s">
        <v>97</v>
      </c>
      <c r="L46" s="39"/>
      <c r="M46" s="39"/>
      <c r="N46" s="40"/>
      <c r="O46" s="40"/>
      <c r="P46" s="9" t="s">
        <v>1307</v>
      </c>
      <c r="Q46" s="9" t="s">
        <v>3376</v>
      </c>
      <c r="R46" s="9" t="s">
        <v>3377</v>
      </c>
      <c r="S46" s="39"/>
      <c r="T46" s="39" t="s">
        <v>1306</v>
      </c>
      <c r="U46" s="39"/>
      <c r="V46" s="39"/>
      <c r="W46" s="39"/>
    </row>
    <row r="47" spans="1:23" ht="15.75" customHeight="1">
      <c r="A47" s="40" t="s">
        <v>3308</v>
      </c>
      <c r="B47" s="44" t="s">
        <v>116</v>
      </c>
      <c r="C47" s="40" t="str">
        <f ca="1">IFERROR(__xludf.DUMMYFUNCTION("""COMPUTED_VALUE"""),"GENEPIO:0001266")</f>
        <v>GENEPIO:0001266</v>
      </c>
      <c r="D47" s="44" t="str">
        <f ca="1">IFERROR(__xludf.DUMMYFUNCTION("""COMPUTED_VALUE"""),"biomaterial extracted")</f>
        <v>biomaterial extracted</v>
      </c>
      <c r="E47" s="82" t="str">
        <f ca="1">IFERROR(__xludf.DUMMYFUNCTION("Lower(regexreplace(regexreplace(F47,""[ /]"",""_""),""[-()]"",""""))"),"biomaterial_extracted")</f>
        <v>biomaterial_extracted</v>
      </c>
      <c r="F47" s="171" t="str">
        <f ca="1">IFERROR(__xludf.DUMMYFUNCTION("concat(regexreplace(proper(F47),""[_ (/)-]"",""""),""Menu"")"),"BiomaterialExtractedMenu")</f>
        <v>BiomaterialExtractedMenu</v>
      </c>
      <c r="G47" s="39" t="s">
        <v>105</v>
      </c>
      <c r="H47" s="39"/>
      <c r="I47" s="39"/>
      <c r="J47" s="39" t="s">
        <v>97</v>
      </c>
      <c r="K47" s="39" t="s">
        <v>97</v>
      </c>
      <c r="L47" s="39"/>
      <c r="M47" s="39"/>
      <c r="N47" s="40"/>
      <c r="O47" s="40"/>
      <c r="P47" s="9" t="s">
        <v>1310</v>
      </c>
      <c r="Q47" s="9" t="s">
        <v>3378</v>
      </c>
      <c r="R47" s="9" t="str">
        <f ca="1">IFERROR(__xludf.DUMMYFUNCTION("IMPORTRANGE(""https://docs.google.com/spreadsheets/d/1NstVkNyMv132LYxaKGuXqEBScLi0RERHb0zkcgSuNZQ"", ""Vocabulary Lists!AE2"")"),"RNA (Total) [OBI:0000895]")</f>
        <v>RNA (Total) [OBI:0000895]</v>
      </c>
      <c r="S47" s="39"/>
      <c r="T47" s="39"/>
      <c r="U47" s="39"/>
      <c r="V47" s="39"/>
      <c r="W47" s="39"/>
    </row>
    <row r="48" spans="1:23" ht="15.75" customHeight="1">
      <c r="A48" s="40" t="s">
        <v>3308</v>
      </c>
      <c r="B48" s="44" t="s">
        <v>116</v>
      </c>
      <c r="C48" s="6" t="str">
        <f ca="1">IFERROR(__xludf.DUMMYFUNCTION("""COMPUTED_VALUE"""),"GENEPIO:0100278")</f>
        <v>GENEPIO:0100278</v>
      </c>
      <c r="D48" s="44" t="str">
        <f ca="1">IFERROR(__xludf.DUMMYFUNCTION("""COMPUTED_VALUE"""),"data abstraction details")</f>
        <v>data abstraction details</v>
      </c>
      <c r="E48" s="82" t="str">
        <f ca="1">IFERROR(__xludf.DUMMYFUNCTION("Lower(regexreplace(regexreplace(F48,""[ /]"",""_""),""[-()]"",""""))"),"data_abstraction_details")</f>
        <v>data_abstraction_details</v>
      </c>
      <c r="F48" s="39" t="s">
        <v>92</v>
      </c>
      <c r="G48" s="39"/>
      <c r="H48" s="39"/>
      <c r="I48" s="39"/>
      <c r="J48" s="39" t="s">
        <v>97</v>
      </c>
      <c r="K48" s="39" t="s">
        <v>97</v>
      </c>
      <c r="L48" s="39"/>
      <c r="M48" s="39"/>
      <c r="N48" s="40"/>
      <c r="O48" s="40"/>
      <c r="P48" s="9" t="s">
        <v>3379</v>
      </c>
      <c r="Q48" s="9" t="s">
        <v>3380</v>
      </c>
      <c r="R48" s="9" t="s">
        <v>3381</v>
      </c>
      <c r="S48" s="39"/>
      <c r="T48" s="39"/>
      <c r="U48" s="39"/>
      <c r="V48" s="39"/>
      <c r="W48" s="39"/>
    </row>
    <row r="49" spans="1:23" ht="15.75" customHeight="1">
      <c r="A49" s="40" t="s">
        <v>3308</v>
      </c>
      <c r="B49" s="142"/>
      <c r="C49" s="163" t="str">
        <f ca="1">IFERROR(__xludf.DUMMYFUNCTION("IMPORTRANGE(""https://docs.google.com/spreadsheets/d/1NstVkNyMv132LYxaKGuXqEBScLi0RERHb0zkcgSuNZQ"",""Field Reference Guide!C53:C71"")"),"GENEPIO:0001268")</f>
        <v>GENEPIO:0001268</v>
      </c>
      <c r="D49" s="164" t="s">
        <v>186</v>
      </c>
      <c r="E49" s="82" t="str">
        <f ca="1">IFERROR(__xludf.DUMMYFUNCTION("Lower(regexreplace(regexreplace(F49,""[ /]"",""_""),""[-()]"",""""))"),"host_information")</f>
        <v>host_information</v>
      </c>
      <c r="F49" s="165"/>
      <c r="G49" s="165"/>
      <c r="H49" s="165"/>
      <c r="I49" s="165"/>
      <c r="J49" s="165" t="s">
        <v>97</v>
      </c>
      <c r="K49" s="165" t="s">
        <v>97</v>
      </c>
      <c r="L49" s="165"/>
      <c r="M49" s="165"/>
      <c r="N49" s="165"/>
      <c r="O49" s="165"/>
      <c r="P49" s="165"/>
      <c r="Q49" s="165"/>
      <c r="R49" s="165"/>
      <c r="S49" s="165"/>
      <c r="T49" s="165"/>
      <c r="U49" s="165"/>
      <c r="V49" s="165"/>
      <c r="W49" s="165"/>
    </row>
    <row r="50" spans="1:23" ht="15.75" customHeight="1">
      <c r="A50" s="40" t="s">
        <v>3308</v>
      </c>
      <c r="B50" s="44" t="s">
        <v>186</v>
      </c>
      <c r="C50" s="40" t="str">
        <f ca="1">IFERROR(__xludf.DUMMYFUNCTION("""COMPUTED_VALUE"""),"GENEPIO:0001386")</f>
        <v>GENEPIO:0001386</v>
      </c>
      <c r="D50" s="40" t="str">
        <f ca="1">IFERROR(__xludf.DUMMYFUNCTION("IMPORTRANGE(""https://docs.google.com/spreadsheets/d/1NstVkNyMv132LYxaKGuXqEBScLi0RERHb0zkcgSuNZQ"",""Field Reference Guide!B54:B71"")"),"host (common name)")</f>
        <v>host (common name)</v>
      </c>
      <c r="E50" s="82" t="str">
        <f ca="1">IFERROR(__xludf.DUMMYFUNCTION("Lower(regexreplace(regexreplace(F50,""[ /]"",""_""),""[-()]"",""""))"),"host_common_name")</f>
        <v>host_common_name</v>
      </c>
      <c r="F50" s="171" t="str">
        <f ca="1">IFERROR(__xludf.DUMMYFUNCTION("concat(regexreplace(proper(F50),""[_ (/)-]"",""""),""Menu"")"),"HostCommonNameMenu")</f>
        <v>HostCommonNameMenu</v>
      </c>
      <c r="G50" s="39" t="s">
        <v>105</v>
      </c>
      <c r="H50" s="39"/>
      <c r="I50" s="39"/>
      <c r="J50" s="39" t="s">
        <v>97</v>
      </c>
      <c r="K50" s="39" t="s">
        <v>97</v>
      </c>
      <c r="L50" s="39"/>
      <c r="M50" s="39"/>
      <c r="N50" s="40"/>
      <c r="O50" s="40"/>
      <c r="P50" s="9" t="s">
        <v>1313</v>
      </c>
      <c r="Q50" s="9" t="s">
        <v>3382</v>
      </c>
      <c r="R50" s="9" t="str">
        <f ca="1">IFERROR(__xludf.DUMMYFUNCTION("IMPORTRANGE(""https://docs.google.com/spreadsheets/d/1NstVkNyMv132LYxaKGuXqEBScLi0RERHb0zkcgSuNZQ"", ""Vocabulary Lists!AG2"")"),"Human [NCBITaxon:9606]")</f>
        <v>Human [NCBITaxon:9606]</v>
      </c>
      <c r="S50" s="10"/>
      <c r="T50" s="39"/>
      <c r="U50" s="39"/>
      <c r="V50" s="39"/>
      <c r="W50" s="39"/>
    </row>
    <row r="51" spans="1:23" ht="15.75" customHeight="1">
      <c r="A51" s="40" t="s">
        <v>3308</v>
      </c>
      <c r="B51" s="44" t="s">
        <v>186</v>
      </c>
      <c r="C51" s="40" t="str">
        <f ca="1">IFERROR(__xludf.DUMMYFUNCTION("""COMPUTED_VALUE"""),"GENEPIO:0001387")</f>
        <v>GENEPIO:0001387</v>
      </c>
      <c r="D51" s="44" t="str">
        <f ca="1">IFERROR(__xludf.DUMMYFUNCTION("""COMPUTED_VALUE"""),"host (scientific name)")</f>
        <v>host (scientific name)</v>
      </c>
      <c r="E51" s="82" t="str">
        <f ca="1">IFERROR(__xludf.DUMMYFUNCTION("Lower(regexreplace(regexreplace(F51,""[ /]"",""_""),""[-()]"",""""))"),"host_scientific_name")</f>
        <v>host_scientific_name</v>
      </c>
      <c r="F51" s="171" t="str">
        <f ca="1">IFERROR(__xludf.DUMMYFUNCTION("concat(regexreplace(proper(F51),""[_ (/)-]"",""""),""Menu"")"),"HostScientificNameMenu")</f>
        <v>HostScientificNameMenu</v>
      </c>
      <c r="G51" s="39" t="s">
        <v>105</v>
      </c>
      <c r="H51" s="39"/>
      <c r="I51" s="166" t="b">
        <v>1</v>
      </c>
      <c r="J51" s="39" t="s">
        <v>97</v>
      </c>
      <c r="K51" s="39" t="s">
        <v>97</v>
      </c>
      <c r="L51" s="39"/>
      <c r="M51" s="39"/>
      <c r="N51" s="40"/>
      <c r="O51" s="40"/>
      <c r="P51" s="9" t="s">
        <v>189</v>
      </c>
      <c r="Q51" s="9" t="s">
        <v>3383</v>
      </c>
      <c r="R51" s="9" t="str">
        <f ca="1">IFERROR(__xludf.DUMMYFUNCTION("IMPORTRANGE(""https://docs.google.com/spreadsheets/d/1NstVkNyMv132LYxaKGuXqEBScLi0RERHb0zkcgSuNZQ"", ""Vocabulary Lists!AI2"")"),"Homo sapiens [NCBITaxon:9606]")</f>
        <v>Homo sapiens [NCBITaxon:9606]</v>
      </c>
      <c r="S51" s="39" t="s">
        <v>191</v>
      </c>
      <c r="T51" s="39" t="s">
        <v>192</v>
      </c>
      <c r="U51" s="39"/>
      <c r="V51" s="39"/>
      <c r="W51" s="39" t="s">
        <v>192</v>
      </c>
    </row>
    <row r="52" spans="1:23" ht="15.75" customHeight="1">
      <c r="A52" s="40" t="s">
        <v>3308</v>
      </c>
      <c r="B52" s="44" t="s">
        <v>186</v>
      </c>
      <c r="C52" s="40" t="str">
        <f ca="1">IFERROR(__xludf.DUMMYFUNCTION("""COMPUTED_VALUE"""),"GENEPIO:0001388")</f>
        <v>GENEPIO:0001388</v>
      </c>
      <c r="D52" s="53" t="str">
        <f ca="1">IFERROR(__xludf.DUMMYFUNCTION("""COMPUTED_VALUE"""),"host health state")</f>
        <v>host health state</v>
      </c>
      <c r="E52" s="82" t="str">
        <f ca="1">IFERROR(__xludf.DUMMYFUNCTION("Lower(regexreplace(regexreplace(F52,""[ /]"",""_""),""[-()]"",""""))"),"host_health_state")</f>
        <v>host_health_state</v>
      </c>
      <c r="F52" s="171" t="str">
        <f ca="1">IFERROR(__xludf.DUMMYFUNCTION("concat(regexreplace(proper(F52),""[_ (/)-]"",""""),""Menu"")"),"HostHealthStateMenu")</f>
        <v>HostHealthStateMenu</v>
      </c>
      <c r="G52" s="39" t="s">
        <v>105</v>
      </c>
      <c r="H52" s="39"/>
      <c r="I52" s="39"/>
      <c r="J52" s="39" t="s">
        <v>97</v>
      </c>
      <c r="K52" s="39" t="s">
        <v>97</v>
      </c>
      <c r="L52" s="39"/>
      <c r="M52" s="39"/>
      <c r="N52" s="40"/>
      <c r="O52" s="40"/>
      <c r="P52" s="9" t="s">
        <v>1318</v>
      </c>
      <c r="Q52" s="9" t="s">
        <v>2312</v>
      </c>
      <c r="R52" s="9" t="str">
        <f ca="1">IFERROR(__xludf.DUMMYFUNCTION("IMPORTRANGE(""https://docs.google.com/spreadsheets/d/1NstVkNyMv132LYxaKGuXqEBScLi0RERHb0zkcgSuNZQ"", ""Vocabulary Lists!AK2"")"),"Asymptomatic [NCIT:C3833]")</f>
        <v>Asymptomatic [NCIT:C3833]</v>
      </c>
      <c r="S52" s="40" t="s">
        <v>1320</v>
      </c>
      <c r="T52" s="40" t="s">
        <v>1316</v>
      </c>
      <c r="U52" s="40"/>
      <c r="V52" s="40"/>
      <c r="W52" s="40"/>
    </row>
    <row r="53" spans="1:23" ht="15.75" customHeight="1">
      <c r="A53" s="40" t="s">
        <v>3308</v>
      </c>
      <c r="B53" s="44" t="s">
        <v>186</v>
      </c>
      <c r="C53" s="40" t="str">
        <f ca="1">IFERROR(__xludf.DUMMYFUNCTION("""COMPUTED_VALUE"""),"GENEPIO:0001389")</f>
        <v>GENEPIO:0001389</v>
      </c>
      <c r="D53" s="53" t="str">
        <f ca="1">IFERROR(__xludf.DUMMYFUNCTION("""COMPUTED_VALUE"""),"host health status details")</f>
        <v>host health status details</v>
      </c>
      <c r="E53" s="82" t="str">
        <f ca="1">IFERROR(__xludf.DUMMYFUNCTION("Lower(regexreplace(regexreplace(F53,""[ /]"",""_""),""[-()]"",""""))"),"host_health_status_details")</f>
        <v>host_health_status_details</v>
      </c>
      <c r="F53" s="171" t="str">
        <f ca="1">IFERROR(__xludf.DUMMYFUNCTION("concat(regexreplace(proper(F53),""[_ (/)-]"",""""),""Menu"")"),"HostHealthStatusDetailsMenu")</f>
        <v>HostHealthStatusDetailsMenu</v>
      </c>
      <c r="G53" s="39" t="s">
        <v>105</v>
      </c>
      <c r="H53" s="39"/>
      <c r="I53" s="39"/>
      <c r="J53" s="39" t="s">
        <v>97</v>
      </c>
      <c r="K53" s="39" t="s">
        <v>97</v>
      </c>
      <c r="L53" s="39"/>
      <c r="M53" s="39"/>
      <c r="N53" s="40"/>
      <c r="O53" s="40"/>
      <c r="P53" s="9" t="s">
        <v>1323</v>
      </c>
      <c r="Q53" s="9" t="s">
        <v>2312</v>
      </c>
      <c r="R53" s="9" t="str">
        <f ca="1">IFERROR(__xludf.DUMMYFUNCTION("TRIM(IMPORTRANGE(""https://docs.google.com/spreadsheets/d/1NstVkNyMv132LYxaKGuXqEBScLi0RERHb0zkcgSuNZQ"", ""Vocabulary Lists!AM4""))"),"Hospitalized (ICU) [GENEPIO:0100046]")</f>
        <v>Hospitalized (ICU) [GENEPIO:0100046]</v>
      </c>
      <c r="S53" s="39"/>
      <c r="T53" s="39"/>
      <c r="U53" s="39"/>
      <c r="V53" s="39"/>
      <c r="W53" s="39"/>
    </row>
    <row r="54" spans="1:23" ht="12.75">
      <c r="A54" s="40" t="s">
        <v>3308</v>
      </c>
      <c r="B54" s="44" t="s">
        <v>186</v>
      </c>
      <c r="C54" s="40" t="str">
        <f ca="1">IFERROR(__xludf.DUMMYFUNCTION("""COMPUTED_VALUE"""),"GENEPIO:0001391")</f>
        <v>GENEPIO:0001391</v>
      </c>
      <c r="D54" s="53" t="str">
        <f ca="1">IFERROR(__xludf.DUMMYFUNCTION("""COMPUTED_VALUE"""),"host disease")</f>
        <v>host disease</v>
      </c>
      <c r="E54" s="82" t="str">
        <f ca="1">IFERROR(__xludf.DUMMYFUNCTION("Lower(regexreplace(regexreplace(F54,""[ /]"",""_""),""[-()]"",""""))"),"host_disease")</f>
        <v>host_disease</v>
      </c>
      <c r="F54" s="171" t="str">
        <f ca="1">IFERROR(__xludf.DUMMYFUNCTION("concat(regexreplace(proper(F54),""[_ (/)-]"",""""),""Menu"")"),"HostDiseaseMenu")</f>
        <v>HostDiseaseMenu</v>
      </c>
      <c r="G54" s="39" t="s">
        <v>105</v>
      </c>
      <c r="H54" s="39"/>
      <c r="I54" s="166" t="b">
        <v>1</v>
      </c>
      <c r="J54" s="39" t="s">
        <v>97</v>
      </c>
      <c r="K54" s="39" t="s">
        <v>97</v>
      </c>
      <c r="L54" s="39"/>
      <c r="M54" s="39"/>
      <c r="N54" s="40"/>
      <c r="O54" s="40"/>
      <c r="P54" s="9" t="s">
        <v>195</v>
      </c>
      <c r="Q54" s="9" t="s">
        <v>3384</v>
      </c>
      <c r="R54" s="9" t="str">
        <f ca="1">IFERROR(__xludf.DUMMYFUNCTION("IMPORTRANGE(""https://docs.google.com/spreadsheets/d/1NstVkNyMv132LYxaKGuXqEBScLi0RERHb0zkcgSuNZQ"", ""Vocabulary Lists!AQ2"")"),"COVID-19 [MONDO:0100096]")</f>
        <v>COVID-19 [MONDO:0100096]</v>
      </c>
      <c r="S54" s="39"/>
      <c r="T54" s="39" t="s">
        <v>197</v>
      </c>
      <c r="U54" s="39"/>
      <c r="V54" s="39"/>
      <c r="W54" s="39"/>
    </row>
    <row r="55" spans="1:23" ht="12.75">
      <c r="A55" s="40" t="s">
        <v>3308</v>
      </c>
      <c r="B55" s="44" t="s">
        <v>186</v>
      </c>
      <c r="C55" s="40" t="str">
        <f ca="1">IFERROR(__xludf.DUMMYFUNCTION("""COMPUTED_VALUE"""),"GENEPIO:0001390")</f>
        <v>GENEPIO:0001390</v>
      </c>
      <c r="D55" s="44" t="str">
        <f ca="1">IFERROR(__xludf.DUMMYFUNCTION("""COMPUTED_VALUE"""),"host health outcome")</f>
        <v>host health outcome</v>
      </c>
      <c r="E55" s="82" t="str">
        <f ca="1">IFERROR(__xludf.DUMMYFUNCTION("Lower(regexreplace(regexreplace(F55,""[ /]"",""_""),""[-()]"",""""))"),"host_health_outcome")</f>
        <v>host_health_outcome</v>
      </c>
      <c r="F55" s="171" t="str">
        <f ca="1">IFERROR(__xludf.DUMMYFUNCTION("concat(regexreplace(proper(F55),""[_ (/)-]"",""""),""Menu"")"),"HostHealthOutcomeMenu")</f>
        <v>HostHealthOutcomeMenu</v>
      </c>
      <c r="G55" s="39" t="s">
        <v>105</v>
      </c>
      <c r="H55" s="39"/>
      <c r="I55" s="39"/>
      <c r="J55" s="39" t="s">
        <v>97</v>
      </c>
      <c r="K55" s="39" t="s">
        <v>97</v>
      </c>
      <c r="L55" s="39"/>
      <c r="M55" s="39"/>
      <c r="N55" s="40"/>
      <c r="O55" s="40"/>
      <c r="P55" s="9" t="s">
        <v>1327</v>
      </c>
      <c r="Q55" s="9" t="s">
        <v>2312</v>
      </c>
      <c r="R55" s="9" t="str">
        <f ca="1">IFERROR(__xludf.DUMMYFUNCTION("IMPORTRANGE(""https://docs.google.com/spreadsheets/d/1NstVkNyMv132LYxaKGuXqEBScLi0RERHb0zkcgSuNZQ"", ""Vocabulary Lists!AO4"")"),"Recovered [NCIT:C49498]")</f>
        <v>Recovered [NCIT:C49498]</v>
      </c>
      <c r="S55" s="39"/>
      <c r="T55" s="39" t="s">
        <v>1329</v>
      </c>
      <c r="U55" s="39"/>
      <c r="V55" s="39"/>
      <c r="W55" s="39"/>
    </row>
    <row r="56" spans="1:23" ht="12.75">
      <c r="A56" s="40" t="s">
        <v>3308</v>
      </c>
      <c r="B56" s="44" t="s">
        <v>186</v>
      </c>
      <c r="C56" s="40" t="str">
        <f ca="1">IFERROR(__xludf.DUMMYFUNCTION("""COMPUTED_VALUE"""),"GENEPIO:0001392")</f>
        <v>GENEPIO:0001392</v>
      </c>
      <c r="D56" s="53" t="str">
        <f ca="1">IFERROR(__xludf.DUMMYFUNCTION("""COMPUTED_VALUE"""),"host age")</f>
        <v>host age</v>
      </c>
      <c r="E56" s="82" t="str">
        <f ca="1">IFERROR(__xludf.DUMMYFUNCTION("Lower(regexreplace(regexreplace(F56,""[ /]"",""_""),""[-()]"",""""))"),"host_age")</f>
        <v>host_age</v>
      </c>
      <c r="F56" s="39" t="s">
        <v>198</v>
      </c>
      <c r="G56" s="39" t="s">
        <v>105</v>
      </c>
      <c r="H56" s="39"/>
      <c r="I56" s="39"/>
      <c r="J56" s="167" t="b">
        <v>1</v>
      </c>
      <c r="K56" s="39" t="s">
        <v>97</v>
      </c>
      <c r="L56" s="39"/>
      <c r="M56" s="39">
        <v>130</v>
      </c>
      <c r="N56" s="40"/>
      <c r="O56" s="40"/>
      <c r="P56" s="9" t="s">
        <v>199</v>
      </c>
      <c r="Q56" s="9" t="s">
        <v>2316</v>
      </c>
      <c r="R56" s="172">
        <v>79</v>
      </c>
      <c r="S56" s="39" t="s">
        <v>200</v>
      </c>
      <c r="T56" s="39" t="s">
        <v>201</v>
      </c>
      <c r="U56" s="39"/>
      <c r="V56" s="39"/>
      <c r="W56" s="39"/>
    </row>
    <row r="57" spans="1:23" ht="12.75">
      <c r="A57" s="40" t="s">
        <v>3308</v>
      </c>
      <c r="B57" s="44" t="s">
        <v>186</v>
      </c>
      <c r="C57" s="40" t="str">
        <f ca="1">IFERROR(__xludf.DUMMYFUNCTION("""COMPUTED_VALUE"""),"GENEPIO:0001393")</f>
        <v>GENEPIO:0001393</v>
      </c>
      <c r="D57" s="53" t="str">
        <f ca="1">IFERROR(__xludf.DUMMYFUNCTION("""COMPUTED_VALUE"""),"host age unit")</f>
        <v>host age unit</v>
      </c>
      <c r="E57" s="82" t="str">
        <f ca="1">IFERROR(__xludf.DUMMYFUNCTION("Lower(regexreplace(regexreplace(F57,""[ /]"",""_""),""[-()]"",""""))"),"host_age_unit")</f>
        <v>host_age_unit</v>
      </c>
      <c r="F57" s="171" t="str">
        <f ca="1">IFERROR(__xludf.DUMMYFUNCTION("concat(regexreplace(proper(F57),""[_ (/)-]"",""""),""Menu"")"),"HostAgeUnitMenu")</f>
        <v>HostAgeUnitMenu</v>
      </c>
      <c r="G57" s="39" t="s">
        <v>105</v>
      </c>
      <c r="H57" s="39"/>
      <c r="I57" s="39"/>
      <c r="J57" s="167" t="b">
        <v>1</v>
      </c>
      <c r="K57" s="39" t="s">
        <v>97</v>
      </c>
      <c r="L57" s="39"/>
      <c r="M57" s="39"/>
      <c r="N57" s="40"/>
      <c r="O57" s="40"/>
      <c r="P57" s="9" t="s">
        <v>2317</v>
      </c>
      <c r="Q57" s="9" t="s">
        <v>2318</v>
      </c>
      <c r="R57" s="9" t="str">
        <f ca="1">IFERROR(__xludf.DUMMYFUNCTION("IMPORTRANGE(""https://docs.google.com/spreadsheets/d/1NstVkNyMv132LYxaKGuXqEBScLi0RERHb0zkcgSuNZQ"", ""Vocabulary Lists!AS3"")"),"year [UO:0000036]")</f>
        <v>year [UO:0000036]</v>
      </c>
      <c r="S57" s="39"/>
      <c r="T57" s="39"/>
      <c r="U57" s="39"/>
      <c r="V57" s="39"/>
      <c r="W57" s="39"/>
    </row>
    <row r="58" spans="1:23" ht="12.75">
      <c r="A58" s="40" t="s">
        <v>3308</v>
      </c>
      <c r="B58" s="44" t="s">
        <v>186</v>
      </c>
      <c r="C58" s="40" t="str">
        <f ca="1">IFERROR(__xludf.DUMMYFUNCTION("""COMPUTED_VALUE"""),"GENEPIO:0001394")</f>
        <v>GENEPIO:0001394</v>
      </c>
      <c r="D58" s="53" t="str">
        <f ca="1">IFERROR(__xludf.DUMMYFUNCTION("""COMPUTED_VALUE"""),"host age bin")</f>
        <v>host age bin</v>
      </c>
      <c r="E58" s="82" t="str">
        <f ca="1">IFERROR(__xludf.DUMMYFUNCTION("Lower(regexreplace(regexreplace(F58,""[ /]"",""_""),""[-()]"",""""))"),"host_age_bin")</f>
        <v>host_age_bin</v>
      </c>
      <c r="F58" s="171" t="str">
        <f ca="1">IFERROR(__xludf.DUMMYFUNCTION("concat(regexreplace(proper(F58),""[_ (/)-]"",""""),""Menu"")"),"HostAgeBinMenu")</f>
        <v>HostAgeBinMenu</v>
      </c>
      <c r="G58" s="39" t="s">
        <v>105</v>
      </c>
      <c r="H58" s="39"/>
      <c r="I58" s="39"/>
      <c r="J58" s="167" t="b">
        <v>1</v>
      </c>
      <c r="K58" s="39" t="s">
        <v>97</v>
      </c>
      <c r="L58" s="39"/>
      <c r="M58" s="39"/>
      <c r="N58" s="40"/>
      <c r="O58" s="40"/>
      <c r="P58" s="9" t="s">
        <v>2319</v>
      </c>
      <c r="Q58" s="9" t="s">
        <v>2320</v>
      </c>
      <c r="R58" s="9" t="str">
        <f ca="1">IFERROR(__xludf.DUMMYFUNCTION("IMPORTRANGE(""https://docs.google.com/spreadsheets/d/1NstVkNyMv132LYxaKGuXqEBScLi0RERHb0zkcgSuNZQ"", ""Vocabulary Lists!AU7"")"),"50 - 59 [GENEPIO:0100054]")</f>
        <v>50 - 59 [GENEPIO:0100054]</v>
      </c>
      <c r="S58" s="39"/>
      <c r="T58" s="39"/>
      <c r="U58" s="39"/>
      <c r="V58" s="39"/>
      <c r="W58" s="39"/>
    </row>
    <row r="59" spans="1:23" ht="12.75">
      <c r="A59" s="40" t="s">
        <v>3308</v>
      </c>
      <c r="B59" s="44" t="s">
        <v>186</v>
      </c>
      <c r="C59" s="40" t="str">
        <f ca="1">IFERROR(__xludf.DUMMYFUNCTION("""COMPUTED_VALUE"""),"GENEPIO:0001395")</f>
        <v>GENEPIO:0001395</v>
      </c>
      <c r="D59" s="53" t="str">
        <f ca="1">IFERROR(__xludf.DUMMYFUNCTION("""COMPUTED_VALUE"""),"host gender")</f>
        <v>host gender</v>
      </c>
      <c r="E59" s="82" t="str">
        <f ca="1">IFERROR(__xludf.DUMMYFUNCTION("Lower(regexreplace(regexreplace(F59,""[ /]"",""_""),""[-()]"",""""))"),"host_gender")</f>
        <v>host_gender</v>
      </c>
      <c r="F59" s="171" t="str">
        <f ca="1">IFERROR(__xludf.DUMMYFUNCTION("concat(regexreplace(proper(F59),""[_ (/)-]"",""""),""Menu"")"),"HostGenderMenu")</f>
        <v>HostGenderMenu</v>
      </c>
      <c r="G59" s="39" t="s">
        <v>105</v>
      </c>
      <c r="H59" s="39"/>
      <c r="I59" s="39"/>
      <c r="J59" s="167" t="b">
        <v>1</v>
      </c>
      <c r="K59" s="39" t="s">
        <v>97</v>
      </c>
      <c r="L59" s="39"/>
      <c r="M59" s="39"/>
      <c r="N59" s="40"/>
      <c r="O59" s="40"/>
      <c r="P59" s="9" t="s">
        <v>209</v>
      </c>
      <c r="Q59" s="9" t="s">
        <v>2312</v>
      </c>
      <c r="R59" s="9" t="str">
        <f ca="1">IFERROR(__xludf.DUMMYFUNCTION("IMPORTRANGE(""https://docs.google.com/spreadsheets/d/1NstVkNyMv132LYxaKGuXqEBScLi0RERHb0zkcgSuNZQ"", ""Vocabulary Lists!AW3"")"),"Male [NCIT:C46109]")</f>
        <v>Male [NCIT:C46109]</v>
      </c>
      <c r="S59" s="39" t="s">
        <v>211</v>
      </c>
      <c r="T59" s="39" t="s">
        <v>212</v>
      </c>
      <c r="U59" s="39"/>
      <c r="V59" s="39"/>
      <c r="W59" s="39"/>
    </row>
    <row r="60" spans="1:23" ht="12.75">
      <c r="A60" s="40" t="s">
        <v>3308</v>
      </c>
      <c r="B60" s="44" t="s">
        <v>186</v>
      </c>
      <c r="C60" s="40" t="str">
        <f ca="1">IFERROR(__xludf.DUMMYFUNCTION("""COMPUTED_VALUE"""),"GENEPIO:0001396")</f>
        <v>GENEPIO:0001396</v>
      </c>
      <c r="D60" s="44" t="str">
        <f ca="1">IFERROR(__xludf.DUMMYFUNCTION("""COMPUTED_VALUE"""),"host residence geo_loc name (country)")</f>
        <v>host residence geo_loc name (country)</v>
      </c>
      <c r="E60" s="82" t="str">
        <f ca="1">IFERROR(__xludf.DUMMYFUNCTION("Lower(regexreplace(regexreplace(F60,""[ /]"",""_""),""[-()]"",""""))"),"host_residence_geo_loc_name_country")</f>
        <v>host_residence_geo_loc_name_country</v>
      </c>
      <c r="F60" s="171" t="str">
        <f ca="1">IFERROR(__xludf.DUMMYFUNCTION("concat(regexreplace(proper(F60),""[_ (/)-]"",""""),""Menu"")"),"HostResidenceGeoLocNameCountryMenu")</f>
        <v>HostResidenceGeoLocNameCountryMenu</v>
      </c>
      <c r="G60" s="39" t="s">
        <v>105</v>
      </c>
      <c r="H60" s="39"/>
      <c r="I60" s="39"/>
      <c r="J60" s="39" t="s">
        <v>97</v>
      </c>
      <c r="K60" s="39" t="s">
        <v>97</v>
      </c>
      <c r="L60" s="39"/>
      <c r="M60" s="39"/>
      <c r="N60" s="40"/>
      <c r="O60" s="40"/>
      <c r="P60" s="9" t="s">
        <v>3385</v>
      </c>
      <c r="Q60" s="9" t="s">
        <v>2312</v>
      </c>
      <c r="R60" s="9" t="str">
        <f ca="1">IFERROR(__xludf.DUMMYFUNCTION("IMPORTRANGE(""https://docs.google.com/spreadsheets/d/1NstVkNyMv132LYxaKGuXqEBScLi0RERHb0zkcgSuNZQ"", ""Vocabulary Lists!A225"")"),"South Africa [GAZ:00001094]")</f>
        <v>South Africa [GAZ:00001094]</v>
      </c>
      <c r="S60" s="39"/>
      <c r="T60" s="39"/>
      <c r="U60" s="39"/>
      <c r="V60" s="39"/>
      <c r="W60" s="39"/>
    </row>
    <row r="61" spans="1:23" ht="12.75">
      <c r="A61" s="40" t="s">
        <v>3308</v>
      </c>
      <c r="B61" s="44" t="s">
        <v>186</v>
      </c>
      <c r="C61" s="40" t="str">
        <f ca="1">IFERROR(__xludf.DUMMYFUNCTION("""COMPUTED_VALUE"""),"GENEPIO:0100312")</f>
        <v>GENEPIO:0100312</v>
      </c>
      <c r="D61" s="53" t="str">
        <f ca="1">IFERROR(__xludf.DUMMYFUNCTION("""COMPUTED_VALUE"""),"host ethnicity")</f>
        <v>host ethnicity</v>
      </c>
      <c r="E61" s="82" t="str">
        <f ca="1">IFERROR(__xludf.DUMMYFUNCTION("Lower(regexreplace(regexreplace(F61,""[ /]"",""_""),""[-()]"",""""))"),"host_ethnicity")</f>
        <v>host_ethnicity</v>
      </c>
      <c r="F61" s="39" t="s">
        <v>92</v>
      </c>
      <c r="G61" s="39"/>
      <c r="H61" s="39"/>
      <c r="I61" s="39"/>
      <c r="J61" s="39" t="s">
        <v>97</v>
      </c>
      <c r="K61" s="39" t="s">
        <v>97</v>
      </c>
      <c r="L61" s="39"/>
      <c r="M61" s="39"/>
      <c r="N61" s="40"/>
      <c r="O61" s="40"/>
      <c r="P61" s="9" t="s">
        <v>3386</v>
      </c>
      <c r="Q61" s="9" t="s">
        <v>3387</v>
      </c>
      <c r="R61" s="9" t="s">
        <v>3388</v>
      </c>
      <c r="S61" s="39"/>
      <c r="T61" s="39"/>
      <c r="U61" s="39"/>
      <c r="V61" s="39"/>
      <c r="W61" s="39"/>
    </row>
    <row r="62" spans="1:23" ht="12.75">
      <c r="A62" s="40" t="s">
        <v>3308</v>
      </c>
      <c r="B62" s="44" t="s">
        <v>186</v>
      </c>
      <c r="C62" s="40" t="str">
        <f ca="1">IFERROR(__xludf.DUMMYFUNCTION("""COMPUTED_VALUE"""),"GENEPIO:0001398")</f>
        <v>GENEPIO:0001398</v>
      </c>
      <c r="D62" s="53" t="str">
        <f ca="1">IFERROR(__xludf.DUMMYFUNCTION("""COMPUTED_VALUE"""),"host subject ID")</f>
        <v>host subject ID</v>
      </c>
      <c r="E62" s="82" t="str">
        <f ca="1">IFERROR(__xludf.DUMMYFUNCTION("Lower(regexreplace(regexreplace(F62,""[ /]"",""_""),""[-()]"",""""))"),"host_subject_id")</f>
        <v>host_subject_id</v>
      </c>
      <c r="F62" s="39" t="s">
        <v>92</v>
      </c>
      <c r="G62" s="39"/>
      <c r="H62" s="39"/>
      <c r="I62" s="39"/>
      <c r="J62" s="39" t="s">
        <v>97</v>
      </c>
      <c r="K62" s="39" t="s">
        <v>97</v>
      </c>
      <c r="L62" s="39"/>
      <c r="M62" s="39"/>
      <c r="N62" s="40"/>
      <c r="O62" s="40"/>
      <c r="P62" s="9" t="s">
        <v>1332</v>
      </c>
      <c r="Q62" s="9" t="s">
        <v>3389</v>
      </c>
      <c r="R62" s="9" t="s">
        <v>1333</v>
      </c>
      <c r="S62" s="39"/>
      <c r="T62" s="39" t="s">
        <v>1331</v>
      </c>
      <c r="U62" s="39"/>
      <c r="V62" s="39"/>
      <c r="W62" s="39"/>
    </row>
    <row r="63" spans="1:23" ht="12.75">
      <c r="A63" s="40" t="s">
        <v>3308</v>
      </c>
      <c r="B63" s="44" t="s">
        <v>186</v>
      </c>
      <c r="C63" s="40" t="str">
        <f ca="1">IFERROR(__xludf.DUMMYFUNCTION("""COMPUTED_VALUE"""),"GENEPIO:0100281")</f>
        <v>GENEPIO:0100281</v>
      </c>
      <c r="D63" s="44" t="str">
        <f ca="1">IFERROR(__xludf.DUMMYFUNCTION("""COMPUTED_VALUE"""),"case ID")</f>
        <v>case ID</v>
      </c>
      <c r="E63" s="82" t="str">
        <f ca="1">IFERROR(__xludf.DUMMYFUNCTION("Lower(regexreplace(regexreplace(F63,""[ /]"",""_""),""[-()]"",""""))"),"case_id")</f>
        <v>case_id</v>
      </c>
      <c r="F63" s="39" t="s">
        <v>92</v>
      </c>
      <c r="G63" s="39"/>
      <c r="H63" s="39"/>
      <c r="I63" s="39"/>
      <c r="J63" s="39" t="s">
        <v>97</v>
      </c>
      <c r="K63" s="39" t="s">
        <v>97</v>
      </c>
      <c r="L63" s="39"/>
      <c r="M63" s="39"/>
      <c r="N63" s="40"/>
      <c r="O63" s="40"/>
      <c r="P63" s="9" t="s">
        <v>102</v>
      </c>
      <c r="Q63" s="9" t="s">
        <v>103</v>
      </c>
      <c r="R63" s="9" t="s">
        <v>104</v>
      </c>
      <c r="S63" s="39"/>
      <c r="T63" s="39"/>
      <c r="U63" s="39"/>
      <c r="V63" s="39"/>
      <c r="W63" s="39"/>
    </row>
    <row r="64" spans="1:23" ht="12.75">
      <c r="A64" s="40" t="s">
        <v>3308</v>
      </c>
      <c r="B64" s="44" t="s">
        <v>186</v>
      </c>
      <c r="C64" s="40" t="str">
        <f ca="1">IFERROR(__xludf.DUMMYFUNCTION("""COMPUTED_VALUE"""),"GENEPIO:0001399")</f>
        <v>GENEPIO:0001399</v>
      </c>
      <c r="D64" s="44" t="str">
        <f ca="1">IFERROR(__xludf.DUMMYFUNCTION("""COMPUTED_VALUE"""),"symptom onset date")</f>
        <v>symptom onset date</v>
      </c>
      <c r="E64" s="82" t="str">
        <f ca="1">IFERROR(__xludf.DUMMYFUNCTION("Lower(regexreplace(regexreplace(F64,""[ /]"",""_""),""[-()]"",""""))"),"symptom_onset_date")</f>
        <v>symptom_onset_date</v>
      </c>
      <c r="F64" s="39" t="s">
        <v>126</v>
      </c>
      <c r="G64" s="39" t="s">
        <v>105</v>
      </c>
      <c r="H64" s="39"/>
      <c r="I64" s="39"/>
      <c r="J64" s="39" t="s">
        <v>97</v>
      </c>
      <c r="K64" s="39" t="s">
        <v>97</v>
      </c>
      <c r="L64" s="39"/>
      <c r="M64" s="39"/>
      <c r="N64" s="40"/>
      <c r="O64" s="40"/>
      <c r="P64" s="9" t="s">
        <v>1334</v>
      </c>
      <c r="Q64" s="9" t="s">
        <v>2324</v>
      </c>
      <c r="R64" s="170">
        <v>43906</v>
      </c>
      <c r="S64" s="39"/>
      <c r="T64" s="39"/>
      <c r="U64" s="39"/>
      <c r="V64" s="39"/>
      <c r="W64" s="39"/>
    </row>
    <row r="65" spans="1:23" ht="12.75">
      <c r="A65" s="40" t="s">
        <v>3308</v>
      </c>
      <c r="B65" s="44" t="s">
        <v>186</v>
      </c>
      <c r="C65" s="40" t="str">
        <f ca="1">IFERROR(__xludf.DUMMYFUNCTION("""COMPUTED_VALUE"""),"GENEPIO:0001400")</f>
        <v>GENEPIO:0001400</v>
      </c>
      <c r="D65" s="53" t="str">
        <f ca="1">IFERROR(__xludf.DUMMYFUNCTION("""COMPUTED_VALUE"""),"signs and symptoms")</f>
        <v>signs and symptoms</v>
      </c>
      <c r="E65" s="82" t="str">
        <f ca="1">IFERROR(__xludf.DUMMYFUNCTION("Lower(regexreplace(regexreplace(F65,""[ /]"",""_""),""[-()]"",""""))"),"signs_and_symptoms")</f>
        <v>signs_and_symptoms</v>
      </c>
      <c r="F65" s="171" t="str">
        <f ca="1">IFERROR(__xludf.DUMMYFUNCTION("concat(regexreplace(proper(F65),""[_ (/)-]"",""""),""Menu"")"),"SignsAndSymptomsMenu")</f>
        <v>SignsAndSymptomsMenu</v>
      </c>
      <c r="G65" s="39" t="s">
        <v>105</v>
      </c>
      <c r="H65" s="39"/>
      <c r="I65" s="39"/>
      <c r="J65" s="39" t="s">
        <v>97</v>
      </c>
      <c r="K65" s="39" t="b">
        <v>1</v>
      </c>
      <c r="L65" s="39"/>
      <c r="M65" s="39"/>
      <c r="N65" s="173"/>
      <c r="O65" s="173"/>
      <c r="P65" s="9" t="s">
        <v>2325</v>
      </c>
      <c r="Q65" s="9" t="s">
        <v>1337</v>
      </c>
      <c r="R65" s="9" t="s">
        <v>3390</v>
      </c>
      <c r="S65" s="39"/>
      <c r="T65" s="39"/>
      <c r="U65" s="39"/>
      <c r="V65" s="39"/>
      <c r="W65" s="39"/>
    </row>
    <row r="66" spans="1:23" ht="12.75">
      <c r="A66" s="40" t="s">
        <v>3308</v>
      </c>
      <c r="B66" s="44" t="s">
        <v>186</v>
      </c>
      <c r="C66" s="40" t="str">
        <f ca="1">IFERROR(__xludf.DUMMYFUNCTION("""COMPUTED_VALUE"""),"GENEPIO:0001401")</f>
        <v>GENEPIO:0001401</v>
      </c>
      <c r="D66" s="44" t="str">
        <f ca="1">IFERROR(__xludf.DUMMYFUNCTION("""COMPUTED_VALUE"""),"pre-existing conditions and risk factors")</f>
        <v>pre-existing conditions and risk factors</v>
      </c>
      <c r="E66" s="82" t="str">
        <f ca="1">IFERROR(__xludf.DUMMYFUNCTION("Lower(regexreplace(regexreplace(F66,""[ /]"",""_""),""[-()]"",""""))"),"preexisting_conditions_and_risk_factors")</f>
        <v>preexisting_conditions_and_risk_factors</v>
      </c>
      <c r="F66" s="171" t="str">
        <f ca="1">IFERROR(__xludf.DUMMYFUNCTION("concat(regexreplace(proper(F66),""[_ (/)-]"",""""),""Menu"")"),"PreExistingConditionsAndRiskFactorsMenu")</f>
        <v>PreExistingConditionsAndRiskFactorsMenu</v>
      </c>
      <c r="G66" s="39" t="s">
        <v>105</v>
      </c>
      <c r="H66" s="10"/>
      <c r="I66" s="10"/>
      <c r="J66" s="39" t="s">
        <v>97</v>
      </c>
      <c r="K66" s="39" t="b">
        <v>1</v>
      </c>
      <c r="L66" s="10"/>
      <c r="M66" s="10"/>
      <c r="N66" s="10"/>
      <c r="O66" s="10"/>
      <c r="P66" s="9" t="s">
        <v>3391</v>
      </c>
      <c r="Q66" s="9" t="s">
        <v>1340</v>
      </c>
      <c r="R66" s="9" t="str">
        <f ca="1">IFERROR(__xludf.DUMMYFUNCTION("TRIM(IMPORTRANGE(""https://docs.google.com/spreadsheets/d/1NstVkNyMv132LYxaKGuXqEBScLi0RERHb0zkcgSuNZQ"", ""Vocabulary Lists!BA64""))"),"Asthma [HP:0002099]")</f>
        <v>Asthma [HP:0002099]</v>
      </c>
      <c r="S66" s="10"/>
      <c r="T66" s="10"/>
      <c r="U66" s="10"/>
      <c r="V66" s="10"/>
      <c r="W66" s="10"/>
    </row>
    <row r="67" spans="1:23" ht="12.75">
      <c r="A67" s="40" t="s">
        <v>3308</v>
      </c>
      <c r="B67" s="44" t="s">
        <v>186</v>
      </c>
      <c r="C67" s="40" t="str">
        <f ca="1">IFERROR(__xludf.DUMMYFUNCTION("""COMPUTED_VALUE"""),"GENEPIO:0001402")</f>
        <v>GENEPIO:0001402</v>
      </c>
      <c r="D67" s="44" t="str">
        <f ca="1">IFERROR(__xludf.DUMMYFUNCTION("""COMPUTED_VALUE"""),"complications")</f>
        <v>complications</v>
      </c>
      <c r="E67" s="82" t="str">
        <f ca="1">IFERROR(__xludf.DUMMYFUNCTION("Lower(regexreplace(regexreplace(F67,""[ /]"",""_""),""[-()]"",""""))"),"complications")</f>
        <v>complications</v>
      </c>
      <c r="F67" s="171" t="str">
        <f ca="1">IFERROR(__xludf.DUMMYFUNCTION("concat(regexreplace(proper(F67),""[_ (/)-]"",""""),""Menu"")"),"ComplicationsMenu")</f>
        <v>ComplicationsMenu</v>
      </c>
      <c r="G67" s="39" t="s">
        <v>105</v>
      </c>
      <c r="H67" s="10"/>
      <c r="I67" s="10"/>
      <c r="J67" s="39" t="s">
        <v>97</v>
      </c>
      <c r="K67" s="39" t="b">
        <v>1</v>
      </c>
      <c r="L67" s="10"/>
      <c r="M67" s="10"/>
      <c r="N67" s="10"/>
      <c r="O67" s="10"/>
      <c r="P67" s="9" t="s">
        <v>1343</v>
      </c>
      <c r="Q67" s="9" t="s">
        <v>3392</v>
      </c>
      <c r="R67" s="9" t="str">
        <f ca="1">IFERROR(__xludf.DUMMYFUNCTION("IMPORTRANGE(""https://docs.google.com/spreadsheets/d/1NstVkNyMv132LYxaKGuXqEBScLi0RERHb0zkcgSuNZQ"", ""Vocabulary Lists!BC6"")"),"Acute respiratory failure [MONDO:0001208]")</f>
        <v>Acute respiratory failure [MONDO:0001208]</v>
      </c>
      <c r="S67" s="10"/>
      <c r="T67" s="10"/>
      <c r="U67" s="10"/>
      <c r="V67" s="10"/>
      <c r="W67" s="10"/>
    </row>
    <row r="68" spans="1:23" ht="12.75">
      <c r="A68" s="40" t="s">
        <v>3308</v>
      </c>
      <c r="B68" s="142"/>
      <c r="C68" s="163" t="s">
        <v>1344</v>
      </c>
      <c r="D68" s="164" t="s">
        <v>1345</v>
      </c>
      <c r="E68" s="82" t="str">
        <f ca="1">IFERROR(__xludf.DUMMYFUNCTION("Lower(regexreplace(regexreplace(F68,""[ /]"",""_""),""[-()]"",""""))"),"host_vaccination_information")</f>
        <v>host_vaccination_information</v>
      </c>
      <c r="F68" s="165"/>
      <c r="G68" s="165"/>
      <c r="H68" s="165"/>
      <c r="I68" s="165"/>
      <c r="J68" s="165" t="s">
        <v>97</v>
      </c>
      <c r="K68" s="165" t="s">
        <v>97</v>
      </c>
      <c r="L68" s="165"/>
      <c r="M68" s="165"/>
      <c r="N68" s="165"/>
      <c r="O68" s="165"/>
      <c r="P68" s="165"/>
      <c r="Q68" s="165"/>
      <c r="R68" s="165"/>
      <c r="S68" s="165"/>
      <c r="T68" s="165"/>
      <c r="U68" s="165"/>
      <c r="V68" s="165"/>
      <c r="W68" s="165"/>
    </row>
    <row r="69" spans="1:23" ht="12.75">
      <c r="A69" s="40" t="s">
        <v>3308</v>
      </c>
      <c r="B69" s="44" t="s">
        <v>1345</v>
      </c>
      <c r="C69" s="40" t="s">
        <v>1346</v>
      </c>
      <c r="D69" s="40" t="str">
        <f ca="1">IFERROR(__xludf.DUMMYFUNCTION("IMPORTRANGE(""https://docs.google.com/spreadsheets/d/1NstVkNyMv132LYxaKGuXqEBScLi0RERHb0zkcgSuNZQ"",""Field Reference Guide!B73:B83"")"),"host vaccination status")</f>
        <v>host vaccination status</v>
      </c>
      <c r="E69" s="82" t="str">
        <f ca="1">IFERROR(__xludf.DUMMYFUNCTION("Lower(regexreplace(regexreplace(F69,""[ /]"",""_""),""[-()]"",""""))"),"host_vaccination_status")</f>
        <v>host_vaccination_status</v>
      </c>
      <c r="F69" s="171" t="str">
        <f ca="1">IFERROR(__xludf.DUMMYFUNCTION("concat(regexreplace(proper(F69),""[_ (/)-]"",""""),""Menu"")"),"HostVaccinationStatusMenu")</f>
        <v>HostVaccinationStatusMenu</v>
      </c>
      <c r="G69" s="39" t="s">
        <v>105</v>
      </c>
      <c r="H69" s="10"/>
      <c r="I69" s="10"/>
      <c r="J69" s="39" t="s">
        <v>97</v>
      </c>
      <c r="K69" s="39" t="s">
        <v>97</v>
      </c>
      <c r="L69" s="10"/>
      <c r="M69" s="10"/>
      <c r="N69" s="10"/>
      <c r="O69" s="10"/>
      <c r="P69" s="9" t="s">
        <v>1349</v>
      </c>
      <c r="Q69" s="9" t="s">
        <v>1350</v>
      </c>
      <c r="R69" s="9" t="str">
        <f ca="1">IFERROR(__xludf.DUMMYFUNCTION("IMPORTRANGE(""https://docs.google.com/spreadsheets/d/1NstVkNyMv132LYxaKGuXqEBScLi0RERHb0zkcgSuNZQ"", ""Vocabulary Lists!BE2"")"),"Fully Vaccinated [GENEPIO:0100100]")</f>
        <v>Fully Vaccinated [GENEPIO:0100100]</v>
      </c>
      <c r="S69" s="10"/>
      <c r="T69" s="10" t="s">
        <v>3393</v>
      </c>
      <c r="U69" s="10"/>
      <c r="V69" s="10"/>
      <c r="W69" s="10"/>
    </row>
    <row r="70" spans="1:23" ht="12.75">
      <c r="A70" s="40" t="s">
        <v>3308</v>
      </c>
      <c r="B70" s="44" t="s">
        <v>1345</v>
      </c>
      <c r="C70" s="10" t="s">
        <v>1352</v>
      </c>
      <c r="D70" s="44" t="str">
        <f ca="1">IFERROR(__xludf.DUMMYFUNCTION("""COMPUTED_VALUE"""),"number of vaccine doses received")</f>
        <v>number of vaccine doses received</v>
      </c>
      <c r="E70" s="82" t="str">
        <f ca="1">IFERROR(__xludf.DUMMYFUNCTION("Lower(regexreplace(regexreplace(F70,""[ /]"",""_""),""[-()]"",""""))"),"number_of_vaccine_doses_received")</f>
        <v>number_of_vaccine_doses_received</v>
      </c>
      <c r="F70" s="49" t="s">
        <v>93</v>
      </c>
      <c r="G70" s="10"/>
      <c r="H70" s="10"/>
      <c r="I70" s="10"/>
      <c r="J70" s="39" t="s">
        <v>97</v>
      </c>
      <c r="K70" s="39" t="s">
        <v>97</v>
      </c>
      <c r="L70" s="10">
        <v>0</v>
      </c>
      <c r="M70" s="10"/>
      <c r="N70" s="10"/>
      <c r="O70" s="10"/>
      <c r="P70" s="9" t="s">
        <v>3394</v>
      </c>
      <c r="Q70" s="9" t="s">
        <v>1353</v>
      </c>
      <c r="R70" s="172">
        <v>2</v>
      </c>
      <c r="S70" s="10"/>
      <c r="T70" s="10"/>
      <c r="U70" s="10"/>
      <c r="V70" s="10"/>
      <c r="W70" s="10"/>
    </row>
    <row r="71" spans="1:23" ht="12.75">
      <c r="A71" s="40" t="s">
        <v>3308</v>
      </c>
      <c r="B71" s="44" t="s">
        <v>1345</v>
      </c>
      <c r="C71" s="32" t="s">
        <v>1354</v>
      </c>
      <c r="D71" s="44" t="str">
        <f ca="1">IFERROR(__xludf.DUMMYFUNCTION("""COMPUTED_VALUE"""),"vaccination dose 1 vaccine name")</f>
        <v>vaccination dose 1 vaccine name</v>
      </c>
      <c r="E71" s="82" t="str">
        <f ca="1">IFERROR(__xludf.DUMMYFUNCTION("Lower(regexreplace(regexreplace(F71,""[ /]"",""_""),""[-()]"",""""))"),"vaccination_dose_1_vaccine_name")</f>
        <v>vaccination_dose_1_vaccine_name</v>
      </c>
      <c r="F71" s="39" t="s">
        <v>92</v>
      </c>
      <c r="G71" s="10"/>
      <c r="H71" s="10"/>
      <c r="I71" s="10"/>
      <c r="J71" s="39" t="s">
        <v>97</v>
      </c>
      <c r="K71" s="39" t="s">
        <v>97</v>
      </c>
      <c r="L71" s="10"/>
      <c r="M71" s="10"/>
      <c r="N71" s="10"/>
      <c r="O71" s="10"/>
      <c r="P71" s="9" t="s">
        <v>1355</v>
      </c>
      <c r="Q71" s="9" t="s">
        <v>1356</v>
      </c>
      <c r="R71" s="9" t="s">
        <v>1357</v>
      </c>
      <c r="S71" s="10"/>
      <c r="T71" s="10"/>
      <c r="U71" s="10"/>
      <c r="V71" s="10"/>
      <c r="W71" s="10"/>
    </row>
    <row r="72" spans="1:23" ht="12.75">
      <c r="A72" s="40" t="s">
        <v>3308</v>
      </c>
      <c r="B72" s="44" t="s">
        <v>1345</v>
      </c>
      <c r="C72" s="32" t="s">
        <v>1358</v>
      </c>
      <c r="D72" s="44" t="str">
        <f ca="1">IFERROR(__xludf.DUMMYFUNCTION("""COMPUTED_VALUE"""),"vaccination dose 1 vaccination date")</f>
        <v>vaccination dose 1 vaccination date</v>
      </c>
      <c r="E72" s="82" t="str">
        <f ca="1">IFERROR(__xludf.DUMMYFUNCTION("Lower(regexreplace(regexreplace(F72,""[ /]"",""_""),""[-()]"",""""))"),"vaccination_dose_1_vaccination_date")</f>
        <v>vaccination_dose_1_vaccination_date</v>
      </c>
      <c r="F72" s="39" t="s">
        <v>126</v>
      </c>
      <c r="G72" s="10"/>
      <c r="H72" s="10"/>
      <c r="I72" s="10"/>
      <c r="J72" s="39" t="s">
        <v>97</v>
      </c>
      <c r="K72" s="39" t="s">
        <v>97</v>
      </c>
      <c r="L72" s="10"/>
      <c r="M72" s="10"/>
      <c r="N72" s="10"/>
      <c r="O72" s="10"/>
      <c r="P72" s="9" t="s">
        <v>1359</v>
      </c>
      <c r="Q72" s="9" t="s">
        <v>1360</v>
      </c>
      <c r="R72" s="170">
        <v>44256</v>
      </c>
      <c r="S72" s="10"/>
      <c r="T72" s="10"/>
      <c r="U72" s="10"/>
      <c r="V72" s="10"/>
      <c r="W72" s="10"/>
    </row>
    <row r="73" spans="1:23" ht="12.75">
      <c r="A73" s="40" t="s">
        <v>3308</v>
      </c>
      <c r="B73" s="44" t="s">
        <v>1345</v>
      </c>
      <c r="C73" s="32" t="s">
        <v>1361</v>
      </c>
      <c r="D73" s="44" t="str">
        <f ca="1">IFERROR(__xludf.DUMMYFUNCTION("""COMPUTED_VALUE"""),"vaccination dose 2 vaccine name")</f>
        <v>vaccination dose 2 vaccine name</v>
      </c>
      <c r="E73" s="82" t="str">
        <f ca="1">IFERROR(__xludf.DUMMYFUNCTION("Lower(regexreplace(regexreplace(F73,""[ /]"",""_""),""[-()]"",""""))"),"vaccination_dose_2_vaccine_name")</f>
        <v>vaccination_dose_2_vaccine_name</v>
      </c>
      <c r="F73" s="39" t="s">
        <v>92</v>
      </c>
      <c r="G73" s="10"/>
      <c r="H73" s="10"/>
      <c r="I73" s="10"/>
      <c r="J73" s="39" t="s">
        <v>97</v>
      </c>
      <c r="K73" s="39" t="s">
        <v>97</v>
      </c>
      <c r="L73" s="10"/>
      <c r="M73" s="10"/>
      <c r="N73" s="10"/>
      <c r="O73" s="10"/>
      <c r="P73" s="9" t="s">
        <v>1362</v>
      </c>
      <c r="Q73" s="9" t="s">
        <v>1363</v>
      </c>
      <c r="R73" s="9" t="s">
        <v>1357</v>
      </c>
      <c r="S73" s="10"/>
      <c r="T73" s="10"/>
      <c r="U73" s="10"/>
      <c r="V73" s="10"/>
      <c r="W73" s="10"/>
    </row>
    <row r="74" spans="1:23" ht="12.75">
      <c r="A74" s="40" t="s">
        <v>3308</v>
      </c>
      <c r="B74" s="44" t="s">
        <v>1345</v>
      </c>
      <c r="C74" s="32" t="s">
        <v>1364</v>
      </c>
      <c r="D74" s="44" t="str">
        <f ca="1">IFERROR(__xludf.DUMMYFUNCTION("""COMPUTED_VALUE"""),"vaccination dose 2 vaccination date")</f>
        <v>vaccination dose 2 vaccination date</v>
      </c>
      <c r="E74" s="82" t="str">
        <f ca="1">IFERROR(__xludf.DUMMYFUNCTION("Lower(regexreplace(regexreplace(F74,""[ /]"",""_""),""[-()]"",""""))"),"vaccination_dose_2_vaccination_date")</f>
        <v>vaccination_dose_2_vaccination_date</v>
      </c>
      <c r="F74" s="39" t="s">
        <v>126</v>
      </c>
      <c r="G74" s="10"/>
      <c r="H74" s="10"/>
      <c r="I74" s="10"/>
      <c r="J74" s="39" t="s">
        <v>97</v>
      </c>
      <c r="K74" s="39" t="s">
        <v>97</v>
      </c>
      <c r="L74" s="10"/>
      <c r="M74" s="10"/>
      <c r="N74" s="10"/>
      <c r="O74" s="10"/>
      <c r="P74" s="9" t="s">
        <v>1365</v>
      </c>
      <c r="Q74" s="9" t="s">
        <v>1366</v>
      </c>
      <c r="R74" s="170">
        <v>44440</v>
      </c>
      <c r="S74" s="10"/>
      <c r="T74" s="10"/>
      <c r="U74" s="10"/>
      <c r="V74" s="10"/>
      <c r="W74" s="10"/>
    </row>
    <row r="75" spans="1:23" ht="12.75">
      <c r="A75" s="40" t="s">
        <v>3308</v>
      </c>
      <c r="B75" s="44" t="s">
        <v>1345</v>
      </c>
      <c r="C75" s="32" t="s">
        <v>1367</v>
      </c>
      <c r="D75" s="44" t="str">
        <f ca="1">IFERROR(__xludf.DUMMYFUNCTION("""COMPUTED_VALUE"""),"vaccination dose 3 vaccine name")</f>
        <v>vaccination dose 3 vaccine name</v>
      </c>
      <c r="E75" s="82" t="str">
        <f ca="1">IFERROR(__xludf.DUMMYFUNCTION("Lower(regexreplace(regexreplace(F75,""[ /]"",""_""),""[-()]"",""""))"),"vaccination_dose_3_vaccine_name")</f>
        <v>vaccination_dose_3_vaccine_name</v>
      </c>
      <c r="F75" s="39" t="s">
        <v>92</v>
      </c>
      <c r="G75" s="10"/>
      <c r="H75" s="10"/>
      <c r="I75" s="10"/>
      <c r="J75" s="39" t="s">
        <v>97</v>
      </c>
      <c r="K75" s="39" t="s">
        <v>97</v>
      </c>
      <c r="L75" s="10"/>
      <c r="M75" s="10"/>
      <c r="N75" s="10"/>
      <c r="O75" s="10"/>
      <c r="P75" s="9" t="s">
        <v>1368</v>
      </c>
      <c r="Q75" s="9" t="s">
        <v>1369</v>
      </c>
      <c r="R75" s="9" t="s">
        <v>1357</v>
      </c>
      <c r="S75" s="10"/>
      <c r="T75" s="10"/>
      <c r="U75" s="10"/>
      <c r="V75" s="10"/>
      <c r="W75" s="10"/>
    </row>
    <row r="76" spans="1:23" ht="12.75">
      <c r="A76" s="40" t="s">
        <v>3308</v>
      </c>
      <c r="B76" s="44" t="s">
        <v>1345</v>
      </c>
      <c r="C76" s="32" t="s">
        <v>1370</v>
      </c>
      <c r="D76" s="44" t="str">
        <f ca="1">IFERROR(__xludf.DUMMYFUNCTION("""COMPUTED_VALUE"""),"vaccination dose 3 vaccination date")</f>
        <v>vaccination dose 3 vaccination date</v>
      </c>
      <c r="E76" s="82" t="str">
        <f ca="1">IFERROR(__xludf.DUMMYFUNCTION("Lower(regexreplace(regexreplace(F76,""[ /]"",""_""),""[-()]"",""""))"),"vaccination_dose_3_vaccination_date")</f>
        <v>vaccination_dose_3_vaccination_date</v>
      </c>
      <c r="F76" s="39" t="s">
        <v>126</v>
      </c>
      <c r="G76" s="10"/>
      <c r="H76" s="10"/>
      <c r="I76" s="10"/>
      <c r="J76" s="39" t="s">
        <v>97</v>
      </c>
      <c r="K76" s="39" t="s">
        <v>97</v>
      </c>
      <c r="L76" s="10"/>
      <c r="M76" s="10"/>
      <c r="N76" s="10"/>
      <c r="O76" s="10"/>
      <c r="P76" s="9" t="s">
        <v>1371</v>
      </c>
      <c r="Q76" s="9" t="s">
        <v>1372</v>
      </c>
      <c r="R76" s="170">
        <v>44560</v>
      </c>
      <c r="S76" s="10"/>
      <c r="T76" s="10" t="s">
        <v>3395</v>
      </c>
      <c r="U76" s="10"/>
      <c r="V76" s="10"/>
      <c r="W76" s="10"/>
    </row>
    <row r="77" spans="1:23" ht="12.75">
      <c r="A77" s="40" t="s">
        <v>3308</v>
      </c>
      <c r="B77" s="44" t="s">
        <v>1345</v>
      </c>
      <c r="C77" s="32" t="s">
        <v>1373</v>
      </c>
      <c r="D77" s="44" t="str">
        <f ca="1">IFERROR(__xludf.DUMMYFUNCTION("""COMPUTED_VALUE"""),"vaccination dose 4 vaccine name")</f>
        <v>vaccination dose 4 vaccine name</v>
      </c>
      <c r="E77" s="82" t="str">
        <f ca="1">IFERROR(__xludf.DUMMYFUNCTION("Lower(regexreplace(regexreplace(F77,""[ /]"",""_""),""[-()]"",""""))"),"vaccination_dose_4_vaccine_name")</f>
        <v>vaccination_dose_4_vaccine_name</v>
      </c>
      <c r="F77" s="39" t="s">
        <v>92</v>
      </c>
      <c r="G77" s="10"/>
      <c r="H77" s="10"/>
      <c r="I77" s="10"/>
      <c r="J77" s="39" t="s">
        <v>97</v>
      </c>
      <c r="K77" s="39" t="s">
        <v>97</v>
      </c>
      <c r="L77" s="10"/>
      <c r="M77" s="10"/>
      <c r="N77" s="10"/>
      <c r="O77" s="10"/>
      <c r="P77" s="9" t="s">
        <v>1374</v>
      </c>
      <c r="Q77" s="9" t="s">
        <v>1375</v>
      </c>
      <c r="R77" s="9" t="s">
        <v>1357</v>
      </c>
      <c r="S77" s="10"/>
      <c r="T77" s="10"/>
      <c r="U77" s="10"/>
      <c r="V77" s="10"/>
      <c r="W77" s="10"/>
    </row>
    <row r="78" spans="1:23" ht="12.75">
      <c r="A78" s="40" t="s">
        <v>3308</v>
      </c>
      <c r="B78" s="44" t="s">
        <v>1345</v>
      </c>
      <c r="C78" s="32" t="s">
        <v>1376</v>
      </c>
      <c r="D78" s="44" t="str">
        <f ca="1">IFERROR(__xludf.DUMMYFUNCTION("""COMPUTED_VALUE"""),"vaccination dose 4 vaccination date")</f>
        <v>vaccination dose 4 vaccination date</v>
      </c>
      <c r="E78" s="82" t="str">
        <f ca="1">IFERROR(__xludf.DUMMYFUNCTION("Lower(regexreplace(regexreplace(F78,""[ /]"",""_""),""[-()]"",""""))"),"vaccination_dose_4_vaccination_date")</f>
        <v>vaccination_dose_4_vaccination_date</v>
      </c>
      <c r="F78" s="39" t="s">
        <v>126</v>
      </c>
      <c r="G78" s="10"/>
      <c r="H78" s="10"/>
      <c r="I78" s="10"/>
      <c r="J78" s="39" t="s">
        <v>97</v>
      </c>
      <c r="K78" s="39" t="s">
        <v>97</v>
      </c>
      <c r="L78" s="10"/>
      <c r="M78" s="10"/>
      <c r="N78" s="10"/>
      <c r="O78" s="10"/>
      <c r="P78" s="9" t="s">
        <v>1377</v>
      </c>
      <c r="Q78" s="9" t="s">
        <v>1378</v>
      </c>
      <c r="R78" s="170">
        <v>44576</v>
      </c>
      <c r="S78" s="10"/>
      <c r="T78" s="10"/>
      <c r="U78" s="10"/>
      <c r="V78" s="10"/>
      <c r="W78" s="10"/>
    </row>
    <row r="79" spans="1:23" ht="12.75">
      <c r="A79" s="40" t="s">
        <v>3308</v>
      </c>
      <c r="B79" s="44" t="s">
        <v>1345</v>
      </c>
      <c r="C79" s="10" t="s">
        <v>1379</v>
      </c>
      <c r="D79" s="44" t="str">
        <f ca="1">IFERROR(__xludf.DUMMYFUNCTION("""COMPUTED_VALUE"""),"vaccination history")</f>
        <v>vaccination history</v>
      </c>
      <c r="E79" s="82" t="str">
        <f ca="1">IFERROR(__xludf.DUMMYFUNCTION("Lower(regexreplace(regexreplace(F79,""[ /]"",""_""),""[-()]"",""""))"),"vaccination_history")</f>
        <v>vaccination_history</v>
      </c>
      <c r="F79" s="39" t="s">
        <v>92</v>
      </c>
      <c r="G79" s="10"/>
      <c r="H79" s="10"/>
      <c r="I79" s="10"/>
      <c r="J79" s="39" t="s">
        <v>97</v>
      </c>
      <c r="K79" s="39" t="s">
        <v>97</v>
      </c>
      <c r="L79" s="10"/>
      <c r="M79" s="10"/>
      <c r="N79" s="10"/>
      <c r="O79" s="10"/>
      <c r="P79" s="9" t="s">
        <v>1380</v>
      </c>
      <c r="Q79" s="9" t="s">
        <v>1381</v>
      </c>
      <c r="R79" s="9" t="s">
        <v>1382</v>
      </c>
      <c r="S79" s="10" t="s">
        <v>3396</v>
      </c>
      <c r="T79" s="10"/>
      <c r="U79" s="10"/>
      <c r="V79" s="10"/>
      <c r="W79" s="10"/>
    </row>
    <row r="80" spans="1:23" ht="12.75">
      <c r="A80" s="40" t="s">
        <v>3308</v>
      </c>
      <c r="B80" s="142"/>
      <c r="C80" s="163" t="s">
        <v>1383</v>
      </c>
      <c r="D80" s="164" t="s">
        <v>1384</v>
      </c>
      <c r="E80" s="82" t="str">
        <f ca="1">IFERROR(__xludf.DUMMYFUNCTION("Lower(regexreplace(regexreplace(F80,""[ /]"",""_""),""[-()]"",""""))"),"host_exposure_information")</f>
        <v>host_exposure_information</v>
      </c>
      <c r="F80" s="165"/>
      <c r="G80" s="165"/>
      <c r="H80" s="165"/>
      <c r="I80" s="165"/>
      <c r="J80" s="165" t="s">
        <v>97</v>
      </c>
      <c r="K80" s="165" t="s">
        <v>97</v>
      </c>
      <c r="L80" s="165"/>
      <c r="M80" s="165"/>
      <c r="N80" s="165"/>
      <c r="O80" s="165"/>
      <c r="P80" s="165"/>
      <c r="Q80" s="165"/>
      <c r="R80" s="165"/>
      <c r="S80" s="165"/>
      <c r="T80" s="165"/>
      <c r="U80" s="165"/>
      <c r="V80" s="165"/>
      <c r="W80" s="165"/>
    </row>
    <row r="81" spans="1:23" ht="12.75">
      <c r="A81" s="40" t="s">
        <v>3308</v>
      </c>
      <c r="B81" s="53" t="s">
        <v>1384</v>
      </c>
      <c r="C81" s="40" t="s">
        <v>1385</v>
      </c>
      <c r="D81" s="40" t="str">
        <f ca="1">IFERROR(__xludf.DUMMYFUNCTION("IMPORTRANGE(""https://docs.google.com/spreadsheets/d/1NstVkNyMv132LYxaKGuXqEBScLi0RERHb0zkcgSuNZQ"",""Field Reference Guide!B85:B96"")"),"location of exposure geo_loc name (country)")</f>
        <v>location of exposure geo_loc name (country)</v>
      </c>
      <c r="E81" s="82" t="str">
        <f ca="1">IFERROR(__xludf.DUMMYFUNCTION("Lower(regexreplace(regexreplace(F81,""[ /]"",""_""),""[-()]"",""""))"),"location_of_exposure_geo_loc_name_country")</f>
        <v>location_of_exposure_geo_loc_name_country</v>
      </c>
      <c r="F81" s="171" t="str">
        <f ca="1">IFERROR(__xludf.DUMMYFUNCTION("concat(regexreplace(proper(F81),""[_ (/)-]"",""""),""Menu"")"),"LocationOfExposureGeoLocNameCountryMenu")</f>
        <v>LocationOfExposureGeoLocNameCountryMenu</v>
      </c>
      <c r="G81" s="39" t="s">
        <v>105</v>
      </c>
      <c r="H81" s="39"/>
      <c r="I81" s="39"/>
      <c r="J81" s="39" t="s">
        <v>97</v>
      </c>
      <c r="K81" s="39" t="s">
        <v>97</v>
      </c>
      <c r="L81" s="39"/>
      <c r="M81" s="39"/>
      <c r="N81" s="40"/>
      <c r="O81" s="40"/>
      <c r="P81" s="9" t="s">
        <v>1386</v>
      </c>
      <c r="Q81" s="9" t="s">
        <v>3397</v>
      </c>
      <c r="R81" s="9" t="str">
        <f ca="1">IFERROR(__xludf.DUMMYFUNCTION("IMPORTRANGE(""https://docs.google.com/spreadsheets/d/1NstVkNyMv132LYxaKGuXqEBScLi0RERHb0zkcgSuNZQ"", ""Vocabulary Lists!A225"")"),"South Africa [GAZ:00001094]")</f>
        <v>South Africa [GAZ:00001094]</v>
      </c>
      <c r="S81" s="39"/>
      <c r="T81" s="6" t="s">
        <v>3398</v>
      </c>
      <c r="U81" s="39"/>
      <c r="V81" s="39"/>
      <c r="W81" s="39"/>
    </row>
    <row r="82" spans="1:23" ht="12.75">
      <c r="A82" s="40" t="s">
        <v>3308</v>
      </c>
      <c r="B82" s="53" t="s">
        <v>1384</v>
      </c>
      <c r="C82" s="40" t="s">
        <v>1387</v>
      </c>
      <c r="D82" s="44" t="str">
        <f ca="1">IFERROR(__xludf.DUMMYFUNCTION("""COMPUTED_VALUE"""),"destination of most recent travel (city)")</f>
        <v>destination of most recent travel (city)</v>
      </c>
      <c r="E82" s="82" t="str">
        <f ca="1">IFERROR(__xludf.DUMMYFUNCTION("Lower(regexreplace(regexreplace(F82,""[ /]"",""_""),""[-()]"",""""))"),"destination_of_most_recent_travel_city")</f>
        <v>destination_of_most_recent_travel_city</v>
      </c>
      <c r="F82" s="39" t="s">
        <v>92</v>
      </c>
      <c r="G82" s="39"/>
      <c r="H82" s="39"/>
      <c r="I82" s="39"/>
      <c r="J82" s="39" t="s">
        <v>97</v>
      </c>
      <c r="K82" s="39" t="s">
        <v>97</v>
      </c>
      <c r="L82" s="39"/>
      <c r="M82" s="39"/>
      <c r="N82" s="40"/>
      <c r="O82" s="40"/>
      <c r="P82" s="9" t="s">
        <v>1388</v>
      </c>
      <c r="Q82" s="9" t="s">
        <v>1389</v>
      </c>
      <c r="R82" s="9" t="s">
        <v>1390</v>
      </c>
      <c r="S82" s="6"/>
      <c r="T82" s="6" t="s">
        <v>3399</v>
      </c>
      <c r="U82" s="39"/>
      <c r="V82" s="39"/>
      <c r="W82" s="39"/>
    </row>
    <row r="83" spans="1:23" ht="12.75">
      <c r="A83" s="40" t="s">
        <v>3308</v>
      </c>
      <c r="B83" s="53" t="s">
        <v>1384</v>
      </c>
      <c r="C83" s="40" t="s">
        <v>1391</v>
      </c>
      <c r="D83" s="44" t="str">
        <f ca="1">IFERROR(__xludf.DUMMYFUNCTION("""COMPUTED_VALUE"""),"destination of most recent travel (state/province/territory)")</f>
        <v>destination of most recent travel (state/province/territory)</v>
      </c>
      <c r="E83" s="82" t="str">
        <f ca="1">IFERROR(__xludf.DUMMYFUNCTION("Lower(regexreplace(regexreplace(F83,""[ /]"",""_""),""[-()]"",""""))"),"destination_of_most_recent_travel_state_province_territory")</f>
        <v>destination_of_most_recent_travel_state_province_territory</v>
      </c>
      <c r="F83" s="39" t="s">
        <v>92</v>
      </c>
      <c r="G83" s="39"/>
      <c r="H83" s="39"/>
      <c r="I83" s="39"/>
      <c r="J83" s="39" t="s">
        <v>97</v>
      </c>
      <c r="K83" s="39" t="s">
        <v>97</v>
      </c>
      <c r="L83" s="39"/>
      <c r="M83" s="39"/>
      <c r="N83" s="40"/>
      <c r="O83" s="40"/>
      <c r="P83" s="9" t="s">
        <v>1392</v>
      </c>
      <c r="Q83" s="9" t="s">
        <v>1393</v>
      </c>
      <c r="R83" s="9" t="s">
        <v>1394</v>
      </c>
      <c r="S83" s="6"/>
      <c r="T83" s="6" t="s">
        <v>3399</v>
      </c>
      <c r="U83" s="39"/>
      <c r="V83" s="39"/>
      <c r="W83" s="39"/>
    </row>
    <row r="84" spans="1:23" ht="12.75">
      <c r="A84" s="40" t="s">
        <v>3308</v>
      </c>
      <c r="B84" s="53" t="s">
        <v>1384</v>
      </c>
      <c r="C84" s="40" t="s">
        <v>1395</v>
      </c>
      <c r="D84" s="44" t="str">
        <f ca="1">IFERROR(__xludf.DUMMYFUNCTION("""COMPUTED_VALUE"""),"destination of most recent travel (country)")</f>
        <v>destination of most recent travel (country)</v>
      </c>
      <c r="E84" s="82" t="str">
        <f ca="1">IFERROR(__xludf.DUMMYFUNCTION("Lower(regexreplace(regexreplace(F84,""[ /]"",""_""),""[-()]"",""""))"),"destination_of_most_recent_travel_country")</f>
        <v>destination_of_most_recent_travel_country</v>
      </c>
      <c r="F84" s="171" t="str">
        <f ca="1">IFERROR(__xludf.DUMMYFUNCTION("concat(regexreplace(proper(F84),""[_ (/)-]"",""""),""Menu"")"),"DestinationOfMostRecentTravelCountryMenu")</f>
        <v>DestinationOfMostRecentTravelCountryMenu</v>
      </c>
      <c r="G84" s="39" t="s">
        <v>105</v>
      </c>
      <c r="H84" s="39"/>
      <c r="I84" s="39"/>
      <c r="J84" s="39" t="s">
        <v>97</v>
      </c>
      <c r="K84" s="39" t="s">
        <v>97</v>
      </c>
      <c r="L84" s="39"/>
      <c r="M84" s="39"/>
      <c r="N84" s="40"/>
      <c r="O84" s="40"/>
      <c r="P84" s="9" t="s">
        <v>1396</v>
      </c>
      <c r="Q84" s="9" t="s">
        <v>1397</v>
      </c>
      <c r="R84" s="9" t="str">
        <f ca="1">IFERROR(__xludf.DUMMYFUNCTION("IMPORTRANGE(""https://docs.google.com/spreadsheets/d/1NstVkNyMv132LYxaKGuXqEBScLi0RERHb0zkcgSuNZQ"", ""Vocabulary Lists!A259"")"),"United Kingdom [GAZ:00002637]")</f>
        <v>United Kingdom [GAZ:00002637]</v>
      </c>
      <c r="S84" s="6"/>
      <c r="T84" s="6" t="s">
        <v>3399</v>
      </c>
      <c r="U84" s="39"/>
      <c r="V84" s="39"/>
      <c r="W84" s="39"/>
    </row>
    <row r="85" spans="1:23" ht="12.75">
      <c r="A85" s="40" t="s">
        <v>3308</v>
      </c>
      <c r="B85" s="53" t="s">
        <v>1384</v>
      </c>
      <c r="C85" s="40" t="s">
        <v>1398</v>
      </c>
      <c r="D85" s="44" t="str">
        <f ca="1">IFERROR(__xludf.DUMMYFUNCTION("""COMPUTED_VALUE"""),"most recent travel departure date")</f>
        <v>most recent travel departure date</v>
      </c>
      <c r="E85" s="82" t="str">
        <f ca="1">IFERROR(__xludf.DUMMYFUNCTION("Lower(regexreplace(regexreplace(F85,""[ /]"",""_""),""[-()]"",""""))"),"most_recent_travel_departure_date")</f>
        <v>most_recent_travel_departure_date</v>
      </c>
      <c r="F85" s="39" t="s">
        <v>126</v>
      </c>
      <c r="G85" s="39" t="s">
        <v>105</v>
      </c>
      <c r="H85" s="39"/>
      <c r="I85" s="39"/>
      <c r="J85" s="39" t="s">
        <v>97</v>
      </c>
      <c r="K85" s="39" t="s">
        <v>97</v>
      </c>
      <c r="L85" s="39"/>
      <c r="M85" s="39"/>
      <c r="N85" s="40"/>
      <c r="O85" s="40"/>
      <c r="P85" s="9" t="s">
        <v>1399</v>
      </c>
      <c r="Q85" s="9" t="s">
        <v>3400</v>
      </c>
      <c r="R85" s="170">
        <v>43906</v>
      </c>
      <c r="S85" s="6"/>
      <c r="T85" s="10"/>
      <c r="U85" s="39"/>
      <c r="V85" s="39"/>
      <c r="W85" s="39"/>
    </row>
    <row r="86" spans="1:23" ht="12.75">
      <c r="A86" s="40" t="s">
        <v>3308</v>
      </c>
      <c r="B86" s="53" t="s">
        <v>1384</v>
      </c>
      <c r="C86" s="40" t="s">
        <v>1400</v>
      </c>
      <c r="D86" s="44" t="str">
        <f ca="1">IFERROR(__xludf.DUMMYFUNCTION("""COMPUTED_VALUE"""),"most recent travel return date")</f>
        <v>most recent travel return date</v>
      </c>
      <c r="E86" s="82" t="str">
        <f ca="1">IFERROR(__xludf.DUMMYFUNCTION("Lower(regexreplace(regexreplace(F86,""[ /]"",""_""),""[-()]"",""""))"),"most_recent_travel_return_date")</f>
        <v>most_recent_travel_return_date</v>
      </c>
      <c r="F86" s="39" t="s">
        <v>126</v>
      </c>
      <c r="G86" s="39" t="s">
        <v>105</v>
      </c>
      <c r="H86" s="39"/>
      <c r="I86" s="39"/>
      <c r="J86" s="39" t="s">
        <v>97</v>
      </c>
      <c r="K86" s="39" t="s">
        <v>97</v>
      </c>
      <c r="L86" s="39"/>
      <c r="M86" s="39"/>
      <c r="N86" s="40"/>
      <c r="O86" s="40"/>
      <c r="P86" s="9" t="s">
        <v>1401</v>
      </c>
      <c r="Q86" s="9" t="s">
        <v>3401</v>
      </c>
      <c r="R86" s="170">
        <v>43947</v>
      </c>
      <c r="S86" s="6"/>
      <c r="T86" s="10" t="s">
        <v>3402</v>
      </c>
      <c r="U86" s="39"/>
      <c r="V86" s="39"/>
      <c r="W86" s="39"/>
    </row>
    <row r="87" spans="1:23" ht="12.75">
      <c r="A87" s="40" t="s">
        <v>3308</v>
      </c>
      <c r="B87" s="53" t="s">
        <v>1384</v>
      </c>
      <c r="C87" s="40" t="s">
        <v>1402</v>
      </c>
      <c r="D87" s="44" t="str">
        <f ca="1">IFERROR(__xludf.DUMMYFUNCTION("""COMPUTED_VALUE"""),"travel history")</f>
        <v>travel history</v>
      </c>
      <c r="E87" s="82" t="str">
        <f ca="1">IFERROR(__xludf.DUMMYFUNCTION("Lower(regexreplace(regexreplace(F87,""[ /]"",""_""),""[-()]"",""""))"),"travel_history")</f>
        <v>travel_history</v>
      </c>
      <c r="F87" s="39" t="s">
        <v>92</v>
      </c>
      <c r="G87" s="39"/>
      <c r="H87" s="39"/>
      <c r="I87" s="39"/>
      <c r="J87" s="39" t="s">
        <v>97</v>
      </c>
      <c r="K87" s="39" t="s">
        <v>97</v>
      </c>
      <c r="L87" s="39"/>
      <c r="M87" s="39"/>
      <c r="N87" s="40"/>
      <c r="O87" s="40"/>
      <c r="P87" s="9" t="s">
        <v>1403</v>
      </c>
      <c r="Q87" s="9" t="s">
        <v>3403</v>
      </c>
      <c r="R87" s="9" t="s">
        <v>1404</v>
      </c>
      <c r="S87" s="39"/>
      <c r="T87" s="39"/>
      <c r="U87" s="39"/>
      <c r="V87" s="39"/>
      <c r="W87" s="39"/>
    </row>
    <row r="88" spans="1:23" ht="12.75">
      <c r="A88" s="40" t="s">
        <v>3308</v>
      </c>
      <c r="B88" s="53" t="s">
        <v>1384</v>
      </c>
      <c r="C88" s="40" t="s">
        <v>1405</v>
      </c>
      <c r="D88" s="54" t="str">
        <f ca="1">IFERROR(__xludf.DUMMYFUNCTION("""COMPUTED_VALUE"""),"exposure event")</f>
        <v>exposure event</v>
      </c>
      <c r="E88" s="82" t="str">
        <f ca="1">IFERROR(__xludf.DUMMYFUNCTION("Lower(regexreplace(regexreplace(F88,""[ /]"",""_""),""[-()]"",""""))"),"exposure_event")</f>
        <v>exposure_event</v>
      </c>
      <c r="F88" s="171" t="str">
        <f ca="1">IFERROR(__xludf.DUMMYFUNCTION("concat(regexreplace(proper(F88),""[_ (/)-]"",""""),""Menu"")"),"ExposureEventMenu")</f>
        <v>ExposureEventMenu</v>
      </c>
      <c r="G88" s="39" t="s">
        <v>105</v>
      </c>
      <c r="H88" s="39"/>
      <c r="I88" s="39"/>
      <c r="J88" s="39" t="s">
        <v>97</v>
      </c>
      <c r="K88" s="39" t="s">
        <v>97</v>
      </c>
      <c r="L88" s="39"/>
      <c r="M88" s="39"/>
      <c r="N88" s="40"/>
      <c r="O88" s="40"/>
      <c r="P88" s="9" t="s">
        <v>1408</v>
      </c>
      <c r="Q88" s="9" t="s">
        <v>3404</v>
      </c>
      <c r="R88" s="9" t="str">
        <f ca="1">IFERROR(__xludf.DUMMYFUNCTION("IMPORTRANGE(""https://docs.google.com/spreadsheets/d/1NstVkNyMv132LYxaKGuXqEBScLi0RERHb0zkcgSuNZQ"", ""Vocabulary Lists!BG2"")"),"Mass Gathering [GENEPIO:0100237]")</f>
        <v>Mass Gathering [GENEPIO:0100237]</v>
      </c>
      <c r="S88" s="49" t="s">
        <v>1409</v>
      </c>
      <c r="T88" s="39" t="s">
        <v>1406</v>
      </c>
      <c r="U88" s="39"/>
      <c r="V88" s="39"/>
      <c r="W88" s="39"/>
    </row>
    <row r="89" spans="1:23" ht="12.75">
      <c r="A89" s="40" t="s">
        <v>3308</v>
      </c>
      <c r="B89" s="53" t="s">
        <v>1384</v>
      </c>
      <c r="C89" s="10" t="s">
        <v>1410</v>
      </c>
      <c r="D89" s="44" t="str">
        <f ca="1">IFERROR(__xludf.DUMMYFUNCTION("""COMPUTED_VALUE"""),"exposure contact level")</f>
        <v>exposure contact level</v>
      </c>
      <c r="E89" s="82" t="str">
        <f ca="1">IFERROR(__xludf.DUMMYFUNCTION("Lower(regexreplace(regexreplace(F89,""[ /]"",""_""),""[-()]"",""""))"),"exposure_contact_level")</f>
        <v>exposure_contact_level</v>
      </c>
      <c r="F89" s="171" t="str">
        <f ca="1">IFERROR(__xludf.DUMMYFUNCTION("concat(regexreplace(proper(F89),""[_ (/)-]"",""""),""Menu"")"),"ExposureContactLevelMenu")</f>
        <v>ExposureContactLevelMenu</v>
      </c>
      <c r="G89" s="39" t="s">
        <v>105</v>
      </c>
      <c r="H89" s="10"/>
      <c r="I89" s="10"/>
      <c r="J89" s="39" t="s">
        <v>97</v>
      </c>
      <c r="K89" s="39" t="s">
        <v>97</v>
      </c>
      <c r="L89" s="10"/>
      <c r="M89" s="10"/>
      <c r="N89" s="10"/>
      <c r="O89" s="10"/>
      <c r="P89" s="9" t="s">
        <v>1412</v>
      </c>
      <c r="Q89" s="9" t="s">
        <v>3405</v>
      </c>
      <c r="R89" s="9" t="str">
        <f ca="1">IFERROR(__xludf.DUMMYFUNCTION("TRIM(IMPORTRANGE(""https://docs.google.com/spreadsheets/d/1NstVkNyMv132LYxaKGuXqEBScLi0RERHb0zkcgSuNZQ"", ""Vocabulary Lists!BI3""))"),"Direct (human-to-human contact) [TRANS:0000001]")</f>
        <v>Direct (human-to-human contact) [TRANS:0000001]</v>
      </c>
      <c r="S89" s="128"/>
      <c r="T89" s="10"/>
      <c r="U89" s="10"/>
      <c r="V89" s="10"/>
      <c r="W89" s="10"/>
    </row>
    <row r="90" spans="1:23" ht="12.75">
      <c r="A90" s="40" t="s">
        <v>3308</v>
      </c>
      <c r="B90" s="53" t="s">
        <v>1384</v>
      </c>
      <c r="C90" s="10" t="s">
        <v>1413</v>
      </c>
      <c r="D90" s="44" t="str">
        <f ca="1">IFERROR(__xludf.DUMMYFUNCTION("""COMPUTED_VALUE"""),"host role")</f>
        <v>host role</v>
      </c>
      <c r="E90" s="82" t="str">
        <f ca="1">IFERROR(__xludf.DUMMYFUNCTION("Lower(regexreplace(regexreplace(F90,""[ /]"",""_""),""[-()]"",""""))"),"host_role")</f>
        <v>host_role</v>
      </c>
      <c r="F90" s="171" t="str">
        <f ca="1">IFERROR(__xludf.DUMMYFUNCTION("concat(regexreplace(proper(F90),""[_ (/)-]"",""""),""Menu"")"),"HostRoleMenu")</f>
        <v>HostRoleMenu</v>
      </c>
      <c r="G90" s="10"/>
      <c r="H90" s="10"/>
      <c r="I90" s="10"/>
      <c r="J90" s="39" t="s">
        <v>97</v>
      </c>
      <c r="K90" s="39" t="b">
        <v>1</v>
      </c>
      <c r="L90" s="10"/>
      <c r="M90" s="10"/>
      <c r="N90" s="10"/>
      <c r="O90" s="10"/>
      <c r="P90" s="9" t="s">
        <v>1415</v>
      </c>
      <c r="Q90" s="9" t="s">
        <v>1416</v>
      </c>
      <c r="R90" s="9" t="str">
        <f ca="1">IFERROR(__xludf.DUMMYFUNCTION("IMPORTRANGE(""https://docs.google.com/spreadsheets/d/1NstVkNyMv132LYxaKGuXqEBScLi0RERHb0zkcgSuNZQ"", ""Vocabulary Lists!BK4"")"),"Patient [OMRSE:00000030]")</f>
        <v>Patient [OMRSE:00000030]</v>
      </c>
      <c r="S90" s="128" t="s">
        <v>3406</v>
      </c>
      <c r="T90" s="10"/>
      <c r="U90" s="10"/>
      <c r="V90" s="10"/>
      <c r="W90" s="10"/>
    </row>
    <row r="91" spans="1:23" ht="12.75">
      <c r="A91" s="40" t="s">
        <v>3308</v>
      </c>
      <c r="B91" s="53" t="s">
        <v>1384</v>
      </c>
      <c r="C91" s="10" t="s">
        <v>1417</v>
      </c>
      <c r="D91" s="44" t="str">
        <f ca="1">IFERROR(__xludf.DUMMYFUNCTION("""COMPUTED_VALUE"""),"exposure setting")</f>
        <v>exposure setting</v>
      </c>
      <c r="E91" s="82" t="str">
        <f ca="1">IFERROR(__xludf.DUMMYFUNCTION("Lower(regexreplace(regexreplace(F91,""[ /]"",""_""),""[-()]"",""""))"),"exposure_setting")</f>
        <v>exposure_setting</v>
      </c>
      <c r="F91" s="171" t="str">
        <f ca="1">IFERROR(__xludf.DUMMYFUNCTION("concat(regexreplace(proper(F91),""[_ (/)-]"",""""),""Menu"")"),"ExposureSettingMenu")</f>
        <v>ExposureSettingMenu</v>
      </c>
      <c r="G91" s="10"/>
      <c r="H91" s="10"/>
      <c r="I91" s="10"/>
      <c r="J91" s="39" t="s">
        <v>97</v>
      </c>
      <c r="K91" s="39" t="b">
        <v>1</v>
      </c>
      <c r="L91" s="10"/>
      <c r="M91" s="10"/>
      <c r="N91" s="10"/>
      <c r="O91" s="10"/>
      <c r="P91" s="9" t="s">
        <v>1419</v>
      </c>
      <c r="Q91" s="9" t="s">
        <v>1420</v>
      </c>
      <c r="R91" s="9" t="str">
        <f ca="1">IFERROR(__xludf.DUMMYFUNCTION("TRIM(IMPORTRANGE(""https://docs.google.com/spreadsheets/d/1NstVkNyMv132LYxaKGuXqEBScLi0RERHb0zkcgSuNZQ"", ""Vocabulary Lists!BM22""))"),"Healthcare Setting [GENEPIO:0100201]")</f>
        <v>Healthcare Setting [GENEPIO:0100201]</v>
      </c>
      <c r="S91" s="128" t="s">
        <v>3406</v>
      </c>
      <c r="T91" s="10"/>
      <c r="U91" s="10"/>
      <c r="V91" s="10"/>
      <c r="W91" s="10"/>
    </row>
    <row r="92" spans="1:23" ht="12.75">
      <c r="A92" s="40" t="s">
        <v>3308</v>
      </c>
      <c r="B92" s="53" t="s">
        <v>1384</v>
      </c>
      <c r="C92" s="10" t="s">
        <v>1421</v>
      </c>
      <c r="D92" s="44" t="str">
        <f ca="1">IFERROR(__xludf.DUMMYFUNCTION("""COMPUTED_VALUE"""),"exposure details")</f>
        <v>exposure details</v>
      </c>
      <c r="E92" s="82" t="str">
        <f ca="1">IFERROR(__xludf.DUMMYFUNCTION("Lower(regexreplace(regexreplace(F92,""[ /]"",""_""),""[-()]"",""""))"),"exposure_details")</f>
        <v>exposure_details</v>
      </c>
      <c r="F92" s="39" t="s">
        <v>92</v>
      </c>
      <c r="G92" s="10"/>
      <c r="H92" s="10"/>
      <c r="I92" s="10"/>
      <c r="J92" s="39" t="s">
        <v>97</v>
      </c>
      <c r="K92" s="39" t="s">
        <v>97</v>
      </c>
      <c r="L92" s="10"/>
      <c r="M92" s="10"/>
      <c r="N92" s="10"/>
      <c r="O92" s="10"/>
      <c r="P92" s="9" t="s">
        <v>1422</v>
      </c>
      <c r="Q92" s="9" t="s">
        <v>1423</v>
      </c>
      <c r="R92" s="9" t="s">
        <v>1424</v>
      </c>
      <c r="S92" s="128"/>
      <c r="T92" s="10"/>
      <c r="U92" s="10"/>
      <c r="V92" s="10"/>
      <c r="W92" s="10"/>
    </row>
    <row r="93" spans="1:23" ht="12.75">
      <c r="A93" s="40" t="s">
        <v>3308</v>
      </c>
      <c r="B93" s="53"/>
      <c r="C93" s="10"/>
      <c r="D93" s="44"/>
      <c r="E93" s="82" t="str">
        <f ca="1">IFERROR(__xludf.DUMMYFUNCTION("Lower(regexreplace(regexreplace(F93,""[ /]"",""_""),""[-()]"",""""))"),"")</f>
        <v/>
      </c>
      <c r="F93" s="39"/>
      <c r="G93" s="10"/>
      <c r="H93" s="10"/>
      <c r="I93" s="10"/>
      <c r="J93" s="39" t="s">
        <v>97</v>
      </c>
      <c r="K93" s="39" t="s">
        <v>97</v>
      </c>
      <c r="L93" s="10"/>
      <c r="M93" s="10"/>
      <c r="N93" s="10"/>
      <c r="O93" s="10"/>
      <c r="P93" s="40"/>
      <c r="Q93" s="40"/>
      <c r="R93" s="39"/>
      <c r="S93" s="128"/>
      <c r="T93" s="10"/>
      <c r="U93" s="10"/>
      <c r="V93" s="10"/>
      <c r="W93" s="10"/>
    </row>
    <row r="94" spans="1:23" ht="12.75">
      <c r="A94" s="40" t="s">
        <v>3308</v>
      </c>
      <c r="B94" s="53"/>
      <c r="C94" s="10"/>
      <c r="D94" s="44"/>
      <c r="E94" s="82" t="str">
        <f ca="1">IFERROR(__xludf.DUMMYFUNCTION("Lower(regexreplace(regexreplace(F94,""[ /]"",""_""),""[-()]"",""""))"),"")</f>
        <v/>
      </c>
      <c r="F94" s="39"/>
      <c r="G94" s="10"/>
      <c r="H94" s="10"/>
      <c r="I94" s="10"/>
      <c r="J94" s="39" t="s">
        <v>97</v>
      </c>
      <c r="K94" s="39" t="s">
        <v>97</v>
      </c>
      <c r="L94" s="10"/>
      <c r="M94" s="10"/>
      <c r="N94" s="10"/>
      <c r="O94" s="10"/>
      <c r="P94" s="40"/>
      <c r="Q94" s="40"/>
      <c r="R94" s="39"/>
      <c r="S94" s="128"/>
      <c r="T94" s="10"/>
      <c r="U94" s="10"/>
      <c r="V94" s="10"/>
      <c r="W94" s="10"/>
    </row>
    <row r="95" spans="1:23" ht="12.75">
      <c r="A95" s="40" t="s">
        <v>3308</v>
      </c>
      <c r="B95" s="142"/>
      <c r="C95" s="163" t="s">
        <v>1425</v>
      </c>
      <c r="D95" s="164" t="s">
        <v>1426</v>
      </c>
      <c r="E95" s="82" t="str">
        <f ca="1">IFERROR(__xludf.DUMMYFUNCTION("Lower(regexreplace(regexreplace(F95,""[ /]"",""_""),""[-()]"",""""))"),"host_reinfection_information")</f>
        <v>host_reinfection_information</v>
      </c>
      <c r="F95" s="165"/>
      <c r="G95" s="165"/>
      <c r="H95" s="165"/>
      <c r="I95" s="165"/>
      <c r="J95" s="165" t="s">
        <v>97</v>
      </c>
      <c r="K95" s="165" t="s">
        <v>97</v>
      </c>
      <c r="L95" s="165"/>
      <c r="M95" s="165"/>
      <c r="N95" s="165"/>
      <c r="O95" s="165"/>
      <c r="P95" s="165"/>
      <c r="Q95" s="165"/>
      <c r="R95" s="165"/>
      <c r="S95" s="165"/>
      <c r="T95" s="165"/>
      <c r="U95" s="165"/>
      <c r="V95" s="165"/>
      <c r="W95" s="165"/>
    </row>
    <row r="96" spans="1:23" ht="12.75">
      <c r="A96" s="40" t="s">
        <v>3308</v>
      </c>
      <c r="B96" s="44" t="s">
        <v>1426</v>
      </c>
      <c r="C96" s="6" t="s">
        <v>1427</v>
      </c>
      <c r="D96" s="40" t="str">
        <f ca="1">IFERROR(__xludf.DUMMYFUNCTION("IMPORTRANGE(""https://docs.google.com/spreadsheets/d/1NstVkNyMv132LYxaKGuXqEBScLi0RERHb0zkcgSuNZQ"",""Field Reference Guide!B98:B103"")"),"prior SARS-CoV-2 infection")</f>
        <v>prior SARS-CoV-2 infection</v>
      </c>
      <c r="E96" s="82" t="str">
        <f ca="1">IFERROR(__xludf.DUMMYFUNCTION("Lower(regexreplace(regexreplace(F96,""[ /]"",""_""),""[-()]"",""""))"),"prior_sarscov2_infection")</f>
        <v>prior_sarscov2_infection</v>
      </c>
      <c r="F96" s="171" t="str">
        <f ca="1">IFERROR(__xludf.DUMMYFUNCTION("concat(regexreplace(proper(F96),""[_ (/)-]"",""""),""Menu"")"),"PriorSarsCov2InfectionMenu")</f>
        <v>PriorSarsCov2InfectionMenu</v>
      </c>
      <c r="G96" s="39" t="s">
        <v>105</v>
      </c>
      <c r="H96" s="6"/>
      <c r="I96" s="6"/>
      <c r="J96" s="39" t="s">
        <v>97</v>
      </c>
      <c r="K96" s="39" t="s">
        <v>97</v>
      </c>
      <c r="L96" s="6"/>
      <c r="M96" s="6"/>
      <c r="N96" s="6"/>
      <c r="O96" s="6"/>
      <c r="P96" s="9" t="s">
        <v>1429</v>
      </c>
      <c r="Q96" s="9" t="s">
        <v>1430</v>
      </c>
      <c r="R96" s="9" t="str">
        <f ca="1">IFERROR(__xludf.DUMMYFUNCTION("IMPORTRANGE(""https://docs.google.com/spreadsheets/d/1NstVkNyMv132LYxaKGuXqEBScLi0RERHb0zkcgSuNZQ"", ""Vocabulary Lists!BQ2"")"),"Prior infection [GENEPIO:0100234]")</f>
        <v>Prior infection [GENEPIO:0100234]</v>
      </c>
      <c r="S96" s="6"/>
      <c r="T96" s="6" t="s">
        <v>3407</v>
      </c>
      <c r="U96" s="6"/>
      <c r="V96" s="6"/>
      <c r="W96" s="6"/>
    </row>
    <row r="97" spans="1:23" ht="12.75">
      <c r="A97" s="40" t="s">
        <v>3308</v>
      </c>
      <c r="B97" s="44" t="s">
        <v>1426</v>
      </c>
      <c r="C97" s="6" t="s">
        <v>1431</v>
      </c>
      <c r="D97" s="44" t="str">
        <f ca="1">IFERROR(__xludf.DUMMYFUNCTION("""COMPUTED_VALUE"""),"prior SARS-CoV-2 infection isolate")</f>
        <v>prior SARS-CoV-2 infection isolate</v>
      </c>
      <c r="E97" s="82" t="str">
        <f ca="1">IFERROR(__xludf.DUMMYFUNCTION("Lower(regexreplace(regexreplace(F97,""[ /]"",""_""),""[-()]"",""""))"),"prior_sarscov2_infection_isolate")</f>
        <v>prior_sarscov2_infection_isolate</v>
      </c>
      <c r="F97" s="39" t="s">
        <v>92</v>
      </c>
      <c r="G97" s="6"/>
      <c r="H97" s="6"/>
      <c r="I97" s="6"/>
      <c r="J97" s="39" t="s">
        <v>97</v>
      </c>
      <c r="K97" s="39" t="s">
        <v>97</v>
      </c>
      <c r="L97" s="6"/>
      <c r="M97" s="6"/>
      <c r="N97" s="6"/>
      <c r="O97" s="6"/>
      <c r="P97" s="9" t="s">
        <v>1432</v>
      </c>
      <c r="Q97" s="9" t="s">
        <v>1433</v>
      </c>
      <c r="R97" s="9" t="s">
        <v>1434</v>
      </c>
      <c r="S97" s="6"/>
      <c r="T97" s="6" t="s">
        <v>3408</v>
      </c>
      <c r="U97" s="6"/>
      <c r="V97" s="6"/>
      <c r="W97" s="6"/>
    </row>
    <row r="98" spans="1:23" ht="12.75">
      <c r="A98" s="40" t="s">
        <v>3308</v>
      </c>
      <c r="B98" s="44" t="s">
        <v>1426</v>
      </c>
      <c r="C98" s="6" t="s">
        <v>1435</v>
      </c>
      <c r="D98" s="44" t="str">
        <f ca="1">IFERROR(__xludf.DUMMYFUNCTION("""COMPUTED_VALUE"""),"prior SARS-CoV-2 infection date")</f>
        <v>prior SARS-CoV-2 infection date</v>
      </c>
      <c r="E98" s="82" t="str">
        <f ca="1">IFERROR(__xludf.DUMMYFUNCTION("Lower(regexreplace(regexreplace(F98,""[ /]"",""_""),""[-()]"",""""))"),"prior_sarscov2_infection_date")</f>
        <v>prior_sarscov2_infection_date</v>
      </c>
      <c r="F98" s="39" t="s">
        <v>126</v>
      </c>
      <c r="G98" s="6"/>
      <c r="H98" s="6"/>
      <c r="I98" s="6"/>
      <c r="J98" s="39" t="s">
        <v>97</v>
      </c>
      <c r="K98" s="39" t="s">
        <v>97</v>
      </c>
      <c r="L98" s="6"/>
      <c r="M98" s="6"/>
      <c r="N98" s="6"/>
      <c r="O98" s="6"/>
      <c r="P98" s="9" t="s">
        <v>1436</v>
      </c>
      <c r="Q98" s="9" t="s">
        <v>1437</v>
      </c>
      <c r="R98" s="170">
        <v>44219</v>
      </c>
      <c r="S98" s="6"/>
      <c r="T98" s="6" t="s">
        <v>3409</v>
      </c>
      <c r="U98" s="6"/>
      <c r="V98" s="6"/>
      <c r="W98" s="6"/>
    </row>
    <row r="99" spans="1:23" ht="12.75">
      <c r="A99" s="40" t="s">
        <v>3308</v>
      </c>
      <c r="B99" s="44" t="s">
        <v>1426</v>
      </c>
      <c r="C99" s="6" t="s">
        <v>1438</v>
      </c>
      <c r="D99" s="44" t="str">
        <f ca="1">IFERROR(__xludf.DUMMYFUNCTION("""COMPUTED_VALUE"""),"prior SARS-CoV-2 antiviral treatment")</f>
        <v>prior SARS-CoV-2 antiviral treatment</v>
      </c>
      <c r="E99" s="82" t="str">
        <f ca="1">IFERROR(__xludf.DUMMYFUNCTION("Lower(regexreplace(regexreplace(F99,""[ /]"",""_""),""[-()]"",""""))"),"prior_sarscov2_antiviral_treatment")</f>
        <v>prior_sarscov2_antiviral_treatment</v>
      </c>
      <c r="F99" s="171" t="str">
        <f ca="1">IFERROR(__xludf.DUMMYFUNCTION("concat(regexreplace(proper(F99),""[_ (/)-]"",""""),""Menu"")"),"PriorSarsCov2AntiviralTreatmentMenu")</f>
        <v>PriorSarsCov2AntiviralTreatmentMenu</v>
      </c>
      <c r="G99" s="39" t="s">
        <v>105</v>
      </c>
      <c r="H99" s="6"/>
      <c r="I99" s="6"/>
      <c r="J99" s="39" t="s">
        <v>97</v>
      </c>
      <c r="K99" s="39" t="s">
        <v>97</v>
      </c>
      <c r="L99" s="6"/>
      <c r="M99" s="6"/>
      <c r="N99" s="6"/>
      <c r="O99" s="6"/>
      <c r="P99" s="9" t="s">
        <v>1440</v>
      </c>
      <c r="Q99" s="9" t="s">
        <v>3410</v>
      </c>
      <c r="R99" s="9" t="str">
        <f ca="1">IFERROR(__xludf.DUMMYFUNCTION("IMPORTRANGE(""https://docs.google.com/spreadsheets/d/1NstVkNyMv132LYxaKGuXqEBScLi0RERHb0zkcgSuNZQ"", ""Vocabulary Lists!BO2"")"),"Prior antiviral treatment [GENEPIO:0100037]")</f>
        <v>Prior antiviral treatment [GENEPIO:0100037]</v>
      </c>
      <c r="S99" s="6"/>
      <c r="T99" s="6" t="s">
        <v>3411</v>
      </c>
      <c r="U99" s="6"/>
      <c r="V99" s="6"/>
      <c r="W99" s="6"/>
    </row>
    <row r="100" spans="1:23" ht="12.75">
      <c r="A100" s="40" t="s">
        <v>3308</v>
      </c>
      <c r="B100" s="44" t="s">
        <v>1426</v>
      </c>
      <c r="C100" s="6" t="s">
        <v>1441</v>
      </c>
      <c r="D100" s="44" t="str">
        <f ca="1">IFERROR(__xludf.DUMMYFUNCTION("""COMPUTED_VALUE"""),"prior SARS-CoV-2 antiviral treatment agent")</f>
        <v>prior SARS-CoV-2 antiviral treatment agent</v>
      </c>
      <c r="E100" s="82" t="str">
        <f ca="1">IFERROR(__xludf.DUMMYFUNCTION("Lower(regexreplace(regexreplace(F100,""[ /]"",""_""),""[-()]"",""""))"),"prior_sarscov2_antiviral_treatment_agent")</f>
        <v>prior_sarscov2_antiviral_treatment_agent</v>
      </c>
      <c r="F100" s="39" t="s">
        <v>92</v>
      </c>
      <c r="G100" s="6"/>
      <c r="H100" s="6"/>
      <c r="I100" s="6"/>
      <c r="J100" s="39" t="s">
        <v>97</v>
      </c>
      <c r="K100" s="39" t="s">
        <v>97</v>
      </c>
      <c r="L100" s="6"/>
      <c r="M100" s="6"/>
      <c r="N100" s="6"/>
      <c r="O100" s="6"/>
      <c r="P100" s="9" t="s">
        <v>1442</v>
      </c>
      <c r="Q100" s="9" t="s">
        <v>1443</v>
      </c>
      <c r="R100" s="9" t="s">
        <v>1444</v>
      </c>
      <c r="S100" s="6"/>
      <c r="T100" s="6" t="s">
        <v>3412</v>
      </c>
      <c r="U100" s="6"/>
      <c r="V100" s="6"/>
      <c r="W100" s="6"/>
    </row>
    <row r="101" spans="1:23" ht="12.75">
      <c r="A101" s="40" t="s">
        <v>3308</v>
      </c>
      <c r="B101" s="44" t="s">
        <v>1426</v>
      </c>
      <c r="C101" s="6" t="s">
        <v>1445</v>
      </c>
      <c r="D101" s="44" t="str">
        <f ca="1">IFERROR(__xludf.DUMMYFUNCTION("""COMPUTED_VALUE"""),"prior SARS-CoV-2 antiviral treatment date")</f>
        <v>prior SARS-CoV-2 antiviral treatment date</v>
      </c>
      <c r="E101" s="82" t="str">
        <f ca="1">IFERROR(__xludf.DUMMYFUNCTION("Lower(regexreplace(regexreplace(F101,""[ /]"",""_""),""[-()]"",""""))"),"prior_sarscov2_antiviral_treatment_date")</f>
        <v>prior_sarscov2_antiviral_treatment_date</v>
      </c>
      <c r="F101" s="39" t="s">
        <v>126</v>
      </c>
      <c r="G101" s="6"/>
      <c r="H101" s="6"/>
      <c r="I101" s="6"/>
      <c r="J101" s="39" t="s">
        <v>97</v>
      </c>
      <c r="K101" s="39" t="s">
        <v>97</v>
      </c>
      <c r="L101" s="6"/>
      <c r="M101" s="6"/>
      <c r="N101" s="6"/>
      <c r="O101" s="6"/>
      <c r="P101" s="9" t="s">
        <v>1446</v>
      </c>
      <c r="Q101" s="9" t="s">
        <v>1447</v>
      </c>
      <c r="R101" s="170">
        <v>44224</v>
      </c>
      <c r="S101" s="6"/>
      <c r="T101" s="6" t="s">
        <v>3413</v>
      </c>
      <c r="U101" s="6"/>
      <c r="V101" s="6"/>
      <c r="W101" s="6"/>
    </row>
    <row r="102" spans="1:23" ht="12.75">
      <c r="A102" s="40" t="s">
        <v>3308</v>
      </c>
      <c r="B102" s="44"/>
      <c r="C102" s="6"/>
      <c r="D102" s="44"/>
      <c r="E102" s="82" t="str">
        <f ca="1">IFERROR(__xludf.DUMMYFUNCTION("Lower(regexreplace(regexreplace(F102,""[ /]"",""_""),""[-()]"",""""))"),"")</f>
        <v/>
      </c>
      <c r="F102" s="6"/>
      <c r="G102" s="6"/>
      <c r="H102" s="6"/>
      <c r="I102" s="6"/>
      <c r="J102" s="39" t="s">
        <v>97</v>
      </c>
      <c r="K102" s="39" t="s">
        <v>97</v>
      </c>
      <c r="L102" s="6"/>
      <c r="M102" s="6"/>
      <c r="N102" s="6"/>
      <c r="O102" s="6"/>
      <c r="P102" s="6"/>
      <c r="Q102" s="6"/>
      <c r="R102" s="6"/>
      <c r="S102" s="6"/>
      <c r="T102" s="6"/>
      <c r="U102" s="6"/>
      <c r="V102" s="6"/>
      <c r="W102" s="6"/>
    </row>
    <row r="103" spans="1:23" ht="12.75">
      <c r="A103" s="40" t="s">
        <v>3308</v>
      </c>
      <c r="B103" s="53"/>
      <c r="C103" s="10"/>
      <c r="D103" s="44"/>
      <c r="E103" s="82" t="str">
        <f ca="1">IFERROR(__xludf.DUMMYFUNCTION("Lower(regexreplace(regexreplace(F103,""[ /]"",""_""),""[-()]"",""""))"),"")</f>
        <v/>
      </c>
      <c r="F103" s="39"/>
      <c r="G103" s="10"/>
      <c r="H103" s="10"/>
      <c r="I103" s="10"/>
      <c r="J103" s="39" t="s">
        <v>97</v>
      </c>
      <c r="K103" s="39" t="s">
        <v>97</v>
      </c>
      <c r="L103" s="10"/>
      <c r="M103" s="10"/>
      <c r="N103" s="10"/>
      <c r="O103" s="10"/>
      <c r="P103" s="40"/>
      <c r="Q103" s="40"/>
      <c r="R103" s="39"/>
      <c r="S103" s="128"/>
      <c r="T103" s="10"/>
      <c r="U103" s="10"/>
      <c r="V103" s="10"/>
      <c r="W103" s="10"/>
    </row>
    <row r="104" spans="1:23" ht="12.75">
      <c r="A104" s="40" t="s">
        <v>3308</v>
      </c>
      <c r="B104" s="142"/>
      <c r="C104" s="163" t="s">
        <v>213</v>
      </c>
      <c r="D104" s="168" t="s">
        <v>214</v>
      </c>
      <c r="E104" s="82" t="str">
        <f ca="1">IFERROR(__xludf.DUMMYFUNCTION("Lower(regexreplace(regexreplace(F104,""[ /]"",""_""),""[-()]"",""""))"),"sequencing")</f>
        <v>sequencing</v>
      </c>
      <c r="F104" s="174"/>
      <c r="G104" s="174"/>
      <c r="H104" s="174"/>
      <c r="I104" s="174"/>
      <c r="J104" s="165" t="s">
        <v>97</v>
      </c>
      <c r="K104" s="165" t="s">
        <v>97</v>
      </c>
      <c r="L104" s="174"/>
      <c r="M104" s="174"/>
      <c r="N104" s="174"/>
      <c r="O104" s="174"/>
      <c r="P104" s="174"/>
      <c r="Q104" s="174"/>
      <c r="R104" s="174"/>
      <c r="S104" s="174"/>
      <c r="T104" s="174"/>
      <c r="U104" s="174"/>
      <c r="V104" s="174"/>
      <c r="W104" s="174"/>
    </row>
    <row r="105" spans="1:23" ht="12.75">
      <c r="A105" s="40" t="s">
        <v>3308</v>
      </c>
      <c r="B105" s="53" t="s">
        <v>214</v>
      </c>
      <c r="C105" s="40" t="s">
        <v>215</v>
      </c>
      <c r="D105" s="40" t="str">
        <f ca="1">IFERROR(__xludf.DUMMYFUNCTION("IMPORTRANGE(""https://docs.google.com/spreadsheets/d/1NstVkNyMv132LYxaKGuXqEBScLi0RERHb0zkcgSuNZQ"",""Field Reference Guide!B105:B116"")"),"purpose of sequencing")</f>
        <v>purpose of sequencing</v>
      </c>
      <c r="E105" s="82" t="str">
        <f ca="1">IFERROR(__xludf.DUMMYFUNCTION("Lower(regexreplace(regexreplace(F105,""[ /]"",""_""),""[-()]"",""""))"),"purpose_of_sequencing")</f>
        <v>purpose_of_sequencing</v>
      </c>
      <c r="F105" s="171" t="str">
        <f ca="1">IFERROR(__xludf.DUMMYFUNCTION("concat(regexreplace(proper(F105),""[_ (/)-]"",""""),""Menu"")"),"PurposeOfSequencingMenu")</f>
        <v>PurposeOfSequencingMenu</v>
      </c>
      <c r="G105" s="39" t="s">
        <v>105</v>
      </c>
      <c r="H105" s="39"/>
      <c r="I105" s="166" t="b">
        <v>1</v>
      </c>
      <c r="J105" s="39" t="s">
        <v>97</v>
      </c>
      <c r="K105" s="39" t="b">
        <v>1</v>
      </c>
      <c r="L105" s="39"/>
      <c r="M105" s="39"/>
      <c r="N105" s="40"/>
      <c r="O105" s="40"/>
      <c r="P105" s="9" t="s">
        <v>218</v>
      </c>
      <c r="Q105" s="9" t="s">
        <v>3414</v>
      </c>
      <c r="R105" s="9" t="str">
        <f ca="1">IFERROR(__xludf.DUMMYFUNCTION("IMPORTRANGE(""https://docs.google.com/spreadsheets/d/1NstVkNyMv132LYxaKGuXqEBScLi0RERHb0zkcgSuNZQ"", ""Vocabulary Lists!G2"")"),"Baseline surveillance (random sampling) [GENEPIO:0100005]")</f>
        <v>Baseline surveillance (random sampling) [GENEPIO:0100005]</v>
      </c>
      <c r="S105" s="39" t="s">
        <v>2332</v>
      </c>
      <c r="T105" s="39" t="s">
        <v>220</v>
      </c>
      <c r="U105" s="39"/>
      <c r="V105" s="39"/>
      <c r="W105" s="39"/>
    </row>
    <row r="106" spans="1:23" ht="12.75">
      <c r="A106" s="40" t="s">
        <v>3308</v>
      </c>
      <c r="B106" s="53" t="s">
        <v>214</v>
      </c>
      <c r="C106" s="40" t="s">
        <v>221</v>
      </c>
      <c r="D106" s="53" t="str">
        <f ca="1">IFERROR(__xludf.DUMMYFUNCTION("""COMPUTED_VALUE"""),"purpose of sequencing details")</f>
        <v>purpose of sequencing details</v>
      </c>
      <c r="E106" s="82" t="str">
        <f ca="1">IFERROR(__xludf.DUMMYFUNCTION("Lower(regexreplace(regexreplace(F106,""[ /]"",""_""),""[-()]"",""""))"),"purpose_of_sequencing_details")</f>
        <v>purpose_of_sequencing_details</v>
      </c>
      <c r="F106" s="39" t="s">
        <v>92</v>
      </c>
      <c r="G106" s="39" t="s">
        <v>105</v>
      </c>
      <c r="H106" s="39"/>
      <c r="I106" s="166" t="b">
        <v>1</v>
      </c>
      <c r="J106" s="39" t="s">
        <v>97</v>
      </c>
      <c r="K106" s="39" t="s">
        <v>97</v>
      </c>
      <c r="L106" s="39"/>
      <c r="M106" s="39"/>
      <c r="N106" s="40"/>
      <c r="O106" s="40"/>
      <c r="P106" s="9" t="s">
        <v>222</v>
      </c>
      <c r="Q106" s="9" t="s">
        <v>3415</v>
      </c>
      <c r="R106" s="9" t="str">
        <f ca="1">IFERROR(__xludf.DUMMYFUNCTION("IMPORTRANGE(""https://docs.google.com/spreadsheets/d/1NstVkNyMv132LYxaKGuXqEBScLi0RERHb0zkcgSuNZQ"", ""Vocabulary Lists!I2"")"),"Screened for S gene target failure (S dropout)")</f>
        <v>Screened for S gene target failure (S dropout)</v>
      </c>
      <c r="S106" s="51"/>
      <c r="T106" s="39"/>
      <c r="U106" s="39"/>
      <c r="V106" s="39"/>
      <c r="W106" s="39"/>
    </row>
    <row r="107" spans="1:23" ht="12.75">
      <c r="A107" s="40" t="s">
        <v>3308</v>
      </c>
      <c r="B107" s="53" t="s">
        <v>214</v>
      </c>
      <c r="C107" s="40" t="s">
        <v>223</v>
      </c>
      <c r="D107" s="53" t="str">
        <f ca="1">IFERROR(__xludf.DUMMYFUNCTION("""COMPUTED_VALUE"""),"sequencing date")</f>
        <v>sequencing date</v>
      </c>
      <c r="E107" s="82" t="str">
        <f ca="1">IFERROR(__xludf.DUMMYFUNCTION("Lower(regexreplace(regexreplace(F107,""[ /]"",""_""),""[-()]"",""""))"),"sequencing_date")</f>
        <v>sequencing_date</v>
      </c>
      <c r="F107" s="39" t="s">
        <v>126</v>
      </c>
      <c r="G107" s="39" t="s">
        <v>105</v>
      </c>
      <c r="H107" s="39"/>
      <c r="I107" s="39"/>
      <c r="J107" s="39" t="s">
        <v>97</v>
      </c>
      <c r="K107" s="39" t="s">
        <v>97</v>
      </c>
      <c r="L107" s="39"/>
      <c r="M107" s="53" t="s">
        <v>127</v>
      </c>
      <c r="N107" s="40"/>
      <c r="O107" s="40"/>
      <c r="P107" s="9" t="s">
        <v>224</v>
      </c>
      <c r="Q107" s="9" t="s">
        <v>3416</v>
      </c>
      <c r="R107" s="170">
        <v>44312</v>
      </c>
      <c r="S107" s="39"/>
      <c r="T107" s="39"/>
      <c r="U107" s="39"/>
      <c r="V107" s="39"/>
      <c r="W107" s="39"/>
    </row>
    <row r="108" spans="1:23" ht="12.75">
      <c r="A108" s="40" t="s">
        <v>3308</v>
      </c>
      <c r="B108" s="53" t="s">
        <v>214</v>
      </c>
      <c r="C108" s="40" t="s">
        <v>1448</v>
      </c>
      <c r="D108" s="53" t="str">
        <f ca="1">IFERROR(__xludf.DUMMYFUNCTION("""COMPUTED_VALUE"""),"library ID")</f>
        <v>library ID</v>
      </c>
      <c r="E108" s="82" t="str">
        <f ca="1">IFERROR(__xludf.DUMMYFUNCTION("Lower(regexreplace(regexreplace(F108,""[ /]"",""_""),""[-()]"",""""))"),"library_id")</f>
        <v>library_id</v>
      </c>
      <c r="F108" s="39" t="s">
        <v>92</v>
      </c>
      <c r="G108" s="39"/>
      <c r="H108" s="39"/>
      <c r="I108" s="39"/>
      <c r="J108" s="167" t="b">
        <v>1</v>
      </c>
      <c r="K108" s="39" t="s">
        <v>97</v>
      </c>
      <c r="L108" s="39"/>
      <c r="M108" s="39"/>
      <c r="N108" s="40"/>
      <c r="O108" s="40"/>
      <c r="P108" s="9" t="s">
        <v>1449</v>
      </c>
      <c r="Q108" s="9" t="s">
        <v>1450</v>
      </c>
      <c r="R108" s="9" t="s">
        <v>1451</v>
      </c>
      <c r="S108" s="39"/>
      <c r="T108" s="39"/>
      <c r="U108" s="53" t="s">
        <v>2334</v>
      </c>
      <c r="V108" s="39"/>
      <c r="W108" s="39"/>
    </row>
    <row r="109" spans="1:23" ht="12.75">
      <c r="A109" s="40" t="s">
        <v>3308</v>
      </c>
      <c r="B109" s="53" t="s">
        <v>214</v>
      </c>
      <c r="C109" s="40" t="s">
        <v>1452</v>
      </c>
      <c r="D109" s="53" t="str">
        <f ca="1">IFERROR(__xludf.DUMMYFUNCTION("""COMPUTED_VALUE"""),"amplicon size")</f>
        <v>amplicon size</v>
      </c>
      <c r="E109" s="82" t="str">
        <f ca="1">IFERROR(__xludf.DUMMYFUNCTION("Lower(regexreplace(regexreplace(F109,""[ /]"",""_""),""[-()]"",""""))"),"amplicon_size")</f>
        <v>amplicon_size</v>
      </c>
      <c r="F109" s="39" t="s">
        <v>92</v>
      </c>
      <c r="G109" s="10"/>
      <c r="H109" s="39"/>
      <c r="I109" s="39"/>
      <c r="J109" s="39" t="s">
        <v>97</v>
      </c>
      <c r="K109" s="39" t="s">
        <v>97</v>
      </c>
      <c r="L109" s="39"/>
      <c r="M109" s="39"/>
      <c r="N109" s="40"/>
      <c r="O109" s="40"/>
      <c r="P109" s="9" t="s">
        <v>1454</v>
      </c>
      <c r="Q109" s="9" t="s">
        <v>1455</v>
      </c>
      <c r="R109" s="9" t="s">
        <v>1456</v>
      </c>
      <c r="S109" s="39"/>
      <c r="T109" s="39"/>
      <c r="U109" s="39" t="s">
        <v>1453</v>
      </c>
      <c r="V109" s="39"/>
      <c r="W109" s="39"/>
    </row>
    <row r="110" spans="1:23" ht="12.75">
      <c r="A110" s="40" t="s">
        <v>3308</v>
      </c>
      <c r="B110" s="53" t="s">
        <v>214</v>
      </c>
      <c r="C110" s="40" t="s">
        <v>225</v>
      </c>
      <c r="D110" s="53" t="str">
        <f ca="1">IFERROR(__xludf.DUMMYFUNCTION("""COMPUTED_VALUE"""),"library preparation kit")</f>
        <v>library preparation kit</v>
      </c>
      <c r="E110" s="82" t="str">
        <f ca="1">IFERROR(__xludf.DUMMYFUNCTION("Lower(regexreplace(regexreplace(F110,""[ /]"",""_""),""[-()]"",""""))"),"library_preparation_kit")</f>
        <v>library_preparation_kit</v>
      </c>
      <c r="F110" s="39" t="s">
        <v>92</v>
      </c>
      <c r="G110" s="39"/>
      <c r="H110" s="39"/>
      <c r="I110" s="39"/>
      <c r="J110" s="39" t="s">
        <v>97</v>
      </c>
      <c r="K110" s="39" t="s">
        <v>97</v>
      </c>
      <c r="L110" s="39"/>
      <c r="M110" s="39"/>
      <c r="N110" s="40"/>
      <c r="O110" s="40"/>
      <c r="P110" s="9" t="s">
        <v>226</v>
      </c>
      <c r="Q110" s="9" t="s">
        <v>227</v>
      </c>
      <c r="R110" s="9" t="s">
        <v>228</v>
      </c>
      <c r="S110" s="39"/>
      <c r="T110" s="39"/>
      <c r="U110" s="39"/>
      <c r="V110" s="39"/>
      <c r="W110" s="39"/>
    </row>
    <row r="111" spans="1:23" ht="12.75">
      <c r="A111" s="40" t="s">
        <v>3308</v>
      </c>
      <c r="B111" s="53" t="s">
        <v>214</v>
      </c>
      <c r="C111" s="40" t="s">
        <v>1457</v>
      </c>
      <c r="D111" s="53" t="str">
        <f ca="1">IFERROR(__xludf.DUMMYFUNCTION("""COMPUTED_VALUE"""),"flow cell barcode")</f>
        <v>flow cell barcode</v>
      </c>
      <c r="E111" s="82" t="str">
        <f ca="1">IFERROR(__xludf.DUMMYFUNCTION("Lower(regexreplace(regexreplace(F111,""[ /]"",""_""),""[-()]"",""""))"),"flow_cell_barcode")</f>
        <v>flow_cell_barcode</v>
      </c>
      <c r="F111" s="39" t="s">
        <v>92</v>
      </c>
      <c r="G111" s="39"/>
      <c r="H111" s="39"/>
      <c r="I111" s="39"/>
      <c r="J111" s="39" t="s">
        <v>97</v>
      </c>
      <c r="K111" s="39" t="s">
        <v>97</v>
      </c>
      <c r="L111" s="39"/>
      <c r="M111" s="39"/>
      <c r="N111" s="40"/>
      <c r="O111" s="40"/>
      <c r="P111" s="9" t="s">
        <v>1458</v>
      </c>
      <c r="Q111" s="9" t="s">
        <v>1459</v>
      </c>
      <c r="R111" s="9" t="s">
        <v>1460</v>
      </c>
      <c r="S111" s="39"/>
      <c r="T111" s="39"/>
      <c r="U111" s="39"/>
      <c r="V111" s="39"/>
      <c r="W111" s="39"/>
    </row>
    <row r="112" spans="1:23" ht="12.75">
      <c r="A112" s="40" t="s">
        <v>3308</v>
      </c>
      <c r="B112" s="53" t="s">
        <v>214</v>
      </c>
      <c r="C112" s="40" t="s">
        <v>229</v>
      </c>
      <c r="D112" s="53" t="str">
        <f ca="1">IFERROR(__xludf.DUMMYFUNCTION("""COMPUTED_VALUE"""),"sequencing instrument")</f>
        <v>sequencing instrument</v>
      </c>
      <c r="E112" s="82" t="str">
        <f ca="1">IFERROR(__xludf.DUMMYFUNCTION("Lower(regexreplace(regexreplace(F112,""[ /]"",""_""),""[-()]"",""""))"),"sequencing_instrument")</f>
        <v>sequencing_instrument</v>
      </c>
      <c r="F112" s="171" t="str">
        <f ca="1">IFERROR(__xludf.DUMMYFUNCTION("concat(regexreplace(proper(F112),""[_ (/)-]"",""""),""Menu"")"),"SequencingInstrumentMenu")</f>
        <v>SequencingInstrumentMenu</v>
      </c>
      <c r="G112" s="39" t="s">
        <v>105</v>
      </c>
      <c r="H112" s="39"/>
      <c r="I112" s="166" t="b">
        <v>1</v>
      </c>
      <c r="J112" s="39" t="s">
        <v>97</v>
      </c>
      <c r="K112" s="39" t="b">
        <v>1</v>
      </c>
      <c r="L112" s="39"/>
      <c r="M112" s="39"/>
      <c r="N112" s="40"/>
      <c r="O112" s="40"/>
      <c r="P112" s="9" t="s">
        <v>231</v>
      </c>
      <c r="Q112" s="9" t="s">
        <v>3417</v>
      </c>
      <c r="R112" s="9" t="str">
        <f ca="1">IFERROR(__xludf.DUMMYFUNCTION("TRIM(IMPORTRANGE(""https://docs.google.com/spreadsheets/d/1NstVkNyMv132LYxaKGuXqEBScLi0RERHb0zkcgSuNZQ"", ""Vocabulary Lists!BS39""))"),"Oxford Nanopore MinION [GENEPIO:0100142]")</f>
        <v>Oxford Nanopore MinION [GENEPIO:0100142]</v>
      </c>
      <c r="S112" s="39" t="s">
        <v>232</v>
      </c>
      <c r="T112" s="39"/>
      <c r="U112" s="39" t="s">
        <v>3418</v>
      </c>
      <c r="V112" s="39" t="s">
        <v>3419</v>
      </c>
      <c r="W112" s="39"/>
    </row>
    <row r="113" spans="1:23" ht="12.75">
      <c r="A113" s="40" t="s">
        <v>3308</v>
      </c>
      <c r="B113" s="53" t="s">
        <v>214</v>
      </c>
      <c r="C113" s="40" t="s">
        <v>1461</v>
      </c>
      <c r="D113" s="44" t="str">
        <f ca="1">IFERROR(__xludf.DUMMYFUNCTION("""COMPUTED_VALUE"""),"sequencing protocol name")</f>
        <v>sequencing protocol name</v>
      </c>
      <c r="E113" s="82" t="str">
        <f ca="1">IFERROR(__xludf.DUMMYFUNCTION("Lower(regexreplace(regexreplace(F113,""[ /]"",""_""),""[-()]"",""""))"),"sequencing_protocol_name")</f>
        <v>sequencing_protocol_name</v>
      </c>
      <c r="F113" s="39" t="s">
        <v>92</v>
      </c>
      <c r="G113" s="39"/>
      <c r="H113" s="39"/>
      <c r="I113" s="39"/>
      <c r="J113" s="167" t="b">
        <v>1</v>
      </c>
      <c r="K113" s="39" t="s">
        <v>97</v>
      </c>
      <c r="L113" s="39"/>
      <c r="M113" s="39"/>
      <c r="N113" s="40"/>
      <c r="O113" s="40"/>
      <c r="P113" s="9" t="s">
        <v>1463</v>
      </c>
      <c r="Q113" s="9" t="s">
        <v>3420</v>
      </c>
      <c r="R113" s="9" t="s">
        <v>3421</v>
      </c>
      <c r="S113" s="39"/>
      <c r="T113" s="39"/>
      <c r="U113" s="39" t="s">
        <v>1462</v>
      </c>
      <c r="V113" s="39"/>
      <c r="W113" s="39"/>
    </row>
    <row r="114" spans="1:23" ht="12.75">
      <c r="A114" s="40" t="s">
        <v>3308</v>
      </c>
      <c r="B114" s="53" t="s">
        <v>214</v>
      </c>
      <c r="C114" s="40" t="s">
        <v>1464</v>
      </c>
      <c r="D114" s="44" t="str">
        <f ca="1">IFERROR(__xludf.DUMMYFUNCTION("""COMPUTED_VALUE"""),"sequencing protocol")</f>
        <v>sequencing protocol</v>
      </c>
      <c r="E114" s="82" t="str">
        <f ca="1">IFERROR(__xludf.DUMMYFUNCTION("Lower(regexreplace(regexreplace(F114,""[ /]"",""_""),""[-()]"",""""))"),"sequencing_protocol")</f>
        <v>sequencing_protocol</v>
      </c>
      <c r="F114" s="39" t="s">
        <v>92</v>
      </c>
      <c r="G114" s="39"/>
      <c r="H114" s="39"/>
      <c r="I114" s="39"/>
      <c r="J114" s="39" t="s">
        <v>97</v>
      </c>
      <c r="K114" s="39" t="s">
        <v>97</v>
      </c>
      <c r="L114" s="39"/>
      <c r="M114" s="39"/>
      <c r="N114" s="40"/>
      <c r="O114" s="40"/>
      <c r="P114" s="9" t="s">
        <v>1465</v>
      </c>
      <c r="Q114" s="9" t="s">
        <v>3422</v>
      </c>
      <c r="R114" s="9" t="s">
        <v>1466</v>
      </c>
      <c r="S114" s="39"/>
      <c r="T114" s="39"/>
      <c r="U114" s="39" t="s">
        <v>3423</v>
      </c>
      <c r="V114" s="39"/>
      <c r="W114" s="39"/>
    </row>
    <row r="115" spans="1:23" ht="12.75">
      <c r="A115" s="40" t="s">
        <v>3308</v>
      </c>
      <c r="B115" s="53" t="s">
        <v>214</v>
      </c>
      <c r="C115" s="40" t="s">
        <v>1467</v>
      </c>
      <c r="D115" s="44" t="str">
        <f ca="1">IFERROR(__xludf.DUMMYFUNCTION("""COMPUTED_VALUE"""),"sequencing kit number")</f>
        <v>sequencing kit number</v>
      </c>
      <c r="E115" s="82" t="str">
        <f ca="1">IFERROR(__xludf.DUMMYFUNCTION("Lower(regexreplace(regexreplace(F115,""[ /]"",""_""),""[-()]"",""""))"),"sequencing_kit_number")</f>
        <v>sequencing_kit_number</v>
      </c>
      <c r="F115" s="39" t="s">
        <v>92</v>
      </c>
      <c r="G115" s="39"/>
      <c r="H115" s="39"/>
      <c r="I115" s="39"/>
      <c r="J115" s="39" t="s">
        <v>97</v>
      </c>
      <c r="K115" s="39" t="s">
        <v>97</v>
      </c>
      <c r="L115" s="39"/>
      <c r="M115" s="39"/>
      <c r="N115" s="40"/>
      <c r="O115" s="40"/>
      <c r="P115" s="9" t="s">
        <v>1468</v>
      </c>
      <c r="Q115" s="9" t="s">
        <v>1469</v>
      </c>
      <c r="R115" s="9" t="s">
        <v>1470</v>
      </c>
      <c r="S115" s="39"/>
      <c r="T115" s="39"/>
      <c r="U115" s="39"/>
      <c r="V115" s="39"/>
      <c r="W115" s="39"/>
    </row>
    <row r="116" spans="1:23" ht="12.75">
      <c r="A116" s="40" t="s">
        <v>3308</v>
      </c>
      <c r="B116" s="53" t="s">
        <v>214</v>
      </c>
      <c r="C116" s="40" t="s">
        <v>1471</v>
      </c>
      <c r="D116" s="53" t="str">
        <f ca="1">IFERROR(__xludf.DUMMYFUNCTION("""COMPUTED_VALUE"""),"amplicon pcr primer scheme")</f>
        <v>amplicon pcr primer scheme</v>
      </c>
      <c r="E116" s="82" t="str">
        <f ca="1">IFERROR(__xludf.DUMMYFUNCTION("Lower(regexreplace(regexreplace(F116,""[ /]"",""_""),""[-()]"",""""))"),"amplicon_pcr_primer_scheme")</f>
        <v>amplicon_pcr_primer_scheme</v>
      </c>
      <c r="F116" s="39" t="s">
        <v>92</v>
      </c>
      <c r="G116" s="39"/>
      <c r="H116" s="39"/>
      <c r="I116" s="39"/>
      <c r="J116" s="39" t="s">
        <v>97</v>
      </c>
      <c r="K116" s="39" t="s">
        <v>97</v>
      </c>
      <c r="L116" s="39"/>
      <c r="M116" s="39"/>
      <c r="N116" s="40"/>
      <c r="O116" s="40"/>
      <c r="P116" s="9" t="s">
        <v>1473</v>
      </c>
      <c r="Q116" s="9" t="s">
        <v>1474</v>
      </c>
      <c r="R116" s="175" t="s">
        <v>1475</v>
      </c>
      <c r="S116" s="39"/>
      <c r="T116" s="39"/>
      <c r="U116" s="39" t="s">
        <v>1472</v>
      </c>
      <c r="V116" s="39"/>
      <c r="W116" s="39"/>
    </row>
    <row r="117" spans="1:23" ht="12.75">
      <c r="A117" s="40" t="s">
        <v>3308</v>
      </c>
      <c r="B117" s="44"/>
      <c r="C117" s="6"/>
      <c r="D117" s="44"/>
      <c r="E117" s="82" t="str">
        <f ca="1">IFERROR(__xludf.DUMMYFUNCTION("Lower(regexreplace(regexreplace(F117,""[ /]"",""_""),""[-()]"",""""))"),"")</f>
        <v/>
      </c>
      <c r="F117" s="6"/>
      <c r="G117" s="6"/>
      <c r="H117" s="6"/>
      <c r="I117" s="6"/>
      <c r="J117" s="39" t="s">
        <v>97</v>
      </c>
      <c r="K117" s="39" t="s">
        <v>97</v>
      </c>
      <c r="L117" s="6"/>
      <c r="M117" s="6"/>
      <c r="N117" s="6"/>
      <c r="O117" s="6"/>
      <c r="P117" s="6"/>
      <c r="Q117" s="6"/>
      <c r="R117" s="6"/>
      <c r="S117" s="6"/>
      <c r="T117" s="6"/>
      <c r="U117" s="6"/>
      <c r="V117" s="6"/>
      <c r="W117" s="6"/>
    </row>
    <row r="118" spans="1:23" ht="12.75">
      <c r="A118" s="40" t="s">
        <v>3308</v>
      </c>
      <c r="B118" s="44"/>
      <c r="C118" s="6"/>
      <c r="D118" s="44"/>
      <c r="E118" s="82" t="str">
        <f ca="1">IFERROR(__xludf.DUMMYFUNCTION("Lower(regexreplace(regexreplace(F118,""[ /]"",""_""),""[-()]"",""""))"),"")</f>
        <v/>
      </c>
      <c r="F118" s="6"/>
      <c r="G118" s="6"/>
      <c r="H118" s="6"/>
      <c r="I118" s="6"/>
      <c r="J118" s="39" t="s">
        <v>97</v>
      </c>
      <c r="K118" s="39" t="s">
        <v>97</v>
      </c>
      <c r="L118" s="6"/>
      <c r="M118" s="6"/>
      <c r="N118" s="6"/>
      <c r="O118" s="6"/>
      <c r="P118" s="6"/>
      <c r="Q118" s="6"/>
      <c r="R118" s="6"/>
      <c r="S118" s="6"/>
      <c r="T118" s="6"/>
      <c r="U118" s="6"/>
      <c r="V118" s="6"/>
      <c r="W118" s="6"/>
    </row>
    <row r="119" spans="1:23" ht="12.75">
      <c r="A119" s="40" t="s">
        <v>3308</v>
      </c>
      <c r="B119" s="142"/>
      <c r="C119" s="163" t="s">
        <v>241</v>
      </c>
      <c r="D119" s="164" t="s">
        <v>242</v>
      </c>
      <c r="E119" s="82" t="str">
        <f ca="1">IFERROR(__xludf.DUMMYFUNCTION("Lower(regexreplace(regexreplace(F119,""[ /]"",""_""),""[-()]"",""""))"),"bioinformatics_and_qc_metrics")</f>
        <v>bioinformatics_and_qc_metrics</v>
      </c>
      <c r="F119" s="165"/>
      <c r="G119" s="165"/>
      <c r="H119" s="165"/>
      <c r="I119" s="165"/>
      <c r="J119" s="165" t="s">
        <v>97</v>
      </c>
      <c r="K119" s="165" t="s">
        <v>97</v>
      </c>
      <c r="L119" s="165"/>
      <c r="M119" s="165"/>
      <c r="N119" s="165"/>
      <c r="O119" s="165"/>
      <c r="P119" s="165"/>
      <c r="Q119" s="165"/>
      <c r="R119" s="165"/>
      <c r="S119" s="165"/>
      <c r="T119" s="165"/>
      <c r="U119" s="165"/>
      <c r="V119" s="165"/>
      <c r="W119" s="165"/>
    </row>
    <row r="120" spans="1:23" ht="12.75">
      <c r="A120" s="40" t="s">
        <v>3308</v>
      </c>
      <c r="B120" s="53" t="s">
        <v>242</v>
      </c>
      <c r="C120" s="40" t="s">
        <v>243</v>
      </c>
      <c r="D120" s="40" t="str">
        <f ca="1">IFERROR(__xludf.DUMMYFUNCTION("IMPORTRANGE(""https://docs.google.com/spreadsheets/d/1NstVkNyMv132LYxaKGuXqEBScLi0RERHb0zkcgSuNZQ"",""Field Reference Guide!B118:B138"")"),"raw sequence data processing method")</f>
        <v>raw sequence data processing method</v>
      </c>
      <c r="E120" s="82" t="str">
        <f ca="1">IFERROR(__xludf.DUMMYFUNCTION("Lower(regexreplace(regexreplace(F120,""[ /]"",""_""),""[-()]"",""""))"),"raw_sequence_data_processing_method")</f>
        <v>raw_sequence_data_processing_method</v>
      </c>
      <c r="F120" s="39" t="s">
        <v>92</v>
      </c>
      <c r="G120" s="39"/>
      <c r="H120" s="39"/>
      <c r="I120" s="39"/>
      <c r="J120" s="167" t="b">
        <v>1</v>
      </c>
      <c r="K120" s="39" t="s">
        <v>97</v>
      </c>
      <c r="L120" s="39"/>
      <c r="M120" s="39"/>
      <c r="N120" s="40"/>
      <c r="O120" s="40"/>
      <c r="P120" s="9" t="s">
        <v>3424</v>
      </c>
      <c r="Q120" s="9" t="s">
        <v>3425</v>
      </c>
      <c r="R120" s="9" t="s">
        <v>244</v>
      </c>
      <c r="S120" s="39"/>
      <c r="T120" s="39"/>
      <c r="U120" s="39" t="s">
        <v>3426</v>
      </c>
      <c r="V120" s="39"/>
      <c r="W120" s="39"/>
    </row>
    <row r="121" spans="1:23" ht="12.75">
      <c r="A121" s="40" t="s">
        <v>3308</v>
      </c>
      <c r="B121" s="53" t="s">
        <v>242</v>
      </c>
      <c r="C121" s="40" t="s">
        <v>245</v>
      </c>
      <c r="D121" s="53" t="str">
        <f ca="1">IFERROR(__xludf.DUMMYFUNCTION("""COMPUTED_VALUE"""),"dehosting method")</f>
        <v>dehosting method</v>
      </c>
      <c r="E121" s="82" t="str">
        <f ca="1">IFERROR(__xludf.DUMMYFUNCTION("Lower(regexreplace(regexreplace(F121,""[ /]"",""_""),""[-()]"",""""))"),"dehosting_method")</f>
        <v>dehosting_method</v>
      </c>
      <c r="F121" s="39" t="s">
        <v>92</v>
      </c>
      <c r="G121" s="39"/>
      <c r="H121" s="39"/>
      <c r="I121" s="39"/>
      <c r="J121" s="167" t="b">
        <v>1</v>
      </c>
      <c r="K121" s="39" t="s">
        <v>97</v>
      </c>
      <c r="L121" s="39"/>
      <c r="M121" s="39"/>
      <c r="N121" s="40"/>
      <c r="O121" s="40"/>
      <c r="P121" s="9" t="s">
        <v>246</v>
      </c>
      <c r="Q121" s="9" t="s">
        <v>247</v>
      </c>
      <c r="R121" s="9" t="s">
        <v>3427</v>
      </c>
      <c r="S121" s="39"/>
      <c r="T121" s="39"/>
      <c r="U121" s="39" t="s">
        <v>1476</v>
      </c>
      <c r="V121" s="39"/>
      <c r="W121" s="39"/>
    </row>
    <row r="122" spans="1:23" ht="12.75">
      <c r="A122" s="40" t="s">
        <v>3308</v>
      </c>
      <c r="B122" s="53" t="s">
        <v>242</v>
      </c>
      <c r="C122" s="40" t="s">
        <v>1477</v>
      </c>
      <c r="D122" s="53" t="str">
        <f ca="1">IFERROR(__xludf.DUMMYFUNCTION("""COMPUTED_VALUE"""),"consensus sequence name")</f>
        <v>consensus sequence name</v>
      </c>
      <c r="E122" s="82" t="str">
        <f ca="1">IFERROR(__xludf.DUMMYFUNCTION("Lower(regexreplace(regexreplace(F122,""[ /]"",""_""),""[-()]"",""""))"),"consensus_sequence_name")</f>
        <v>consensus_sequence_name</v>
      </c>
      <c r="F122" s="39" t="s">
        <v>92</v>
      </c>
      <c r="G122" s="39"/>
      <c r="H122" s="39"/>
      <c r="I122" s="39"/>
      <c r="J122" s="39" t="s">
        <v>97</v>
      </c>
      <c r="K122" s="39" t="s">
        <v>97</v>
      </c>
      <c r="L122" s="39"/>
      <c r="M122" s="39"/>
      <c r="N122" s="40"/>
      <c r="O122" s="40"/>
      <c r="P122" s="9" t="s">
        <v>1478</v>
      </c>
      <c r="Q122" s="9" t="s">
        <v>1479</v>
      </c>
      <c r="R122" s="9" t="s">
        <v>1480</v>
      </c>
      <c r="S122" s="39"/>
      <c r="T122" s="39"/>
      <c r="U122" s="39"/>
      <c r="V122" s="6"/>
      <c r="W122" s="39"/>
    </row>
    <row r="123" spans="1:23" ht="12.75">
      <c r="A123" s="40" t="s">
        <v>3308</v>
      </c>
      <c r="B123" s="53" t="s">
        <v>242</v>
      </c>
      <c r="C123" s="40" t="s">
        <v>1481</v>
      </c>
      <c r="D123" s="53" t="str">
        <f ca="1">IFERROR(__xludf.DUMMYFUNCTION("""COMPUTED_VALUE"""),"consensus sequence filename")</f>
        <v>consensus sequence filename</v>
      </c>
      <c r="E123" s="82" t="str">
        <f ca="1">IFERROR(__xludf.DUMMYFUNCTION("Lower(regexreplace(regexreplace(F123,""[ /]"",""_""),""[-()]"",""""))"),"consensus_sequence_filename")</f>
        <v>consensus_sequence_filename</v>
      </c>
      <c r="F123" s="39" t="s">
        <v>92</v>
      </c>
      <c r="G123" s="39"/>
      <c r="H123" s="39"/>
      <c r="I123" s="39"/>
      <c r="J123" s="39" t="s">
        <v>97</v>
      </c>
      <c r="K123" s="39" t="s">
        <v>97</v>
      </c>
      <c r="L123" s="39"/>
      <c r="M123" s="39"/>
      <c r="N123" s="40"/>
      <c r="O123" s="40"/>
      <c r="P123" s="9" t="s">
        <v>1482</v>
      </c>
      <c r="Q123" s="9" t="s">
        <v>1483</v>
      </c>
      <c r="R123" s="9" t="s">
        <v>1484</v>
      </c>
      <c r="S123" s="39"/>
      <c r="T123" s="39"/>
      <c r="U123" s="39"/>
      <c r="V123" s="39" t="s">
        <v>3428</v>
      </c>
      <c r="W123" s="39"/>
    </row>
    <row r="124" spans="1:23" ht="12.75">
      <c r="A124" s="40" t="s">
        <v>3308</v>
      </c>
      <c r="B124" s="53" t="s">
        <v>242</v>
      </c>
      <c r="C124" s="40" t="s">
        <v>1485</v>
      </c>
      <c r="D124" s="53" t="str">
        <f ca="1">IFERROR(__xludf.DUMMYFUNCTION("""COMPUTED_VALUE"""),"consensus sequence filepath")</f>
        <v>consensus sequence filepath</v>
      </c>
      <c r="E124" s="82" t="str">
        <f ca="1">IFERROR(__xludf.DUMMYFUNCTION("Lower(regexreplace(regexreplace(F124,""[ /]"",""_""),""[-()]"",""""))"),"consensus_sequence_filepath")</f>
        <v>consensus_sequence_filepath</v>
      </c>
      <c r="F124" s="39" t="s">
        <v>92</v>
      </c>
      <c r="G124" s="39"/>
      <c r="H124" s="39"/>
      <c r="I124" s="39"/>
      <c r="J124" s="39" t="s">
        <v>97</v>
      </c>
      <c r="K124" s="39" t="s">
        <v>97</v>
      </c>
      <c r="L124" s="39"/>
      <c r="M124" s="39"/>
      <c r="N124" s="40"/>
      <c r="O124" s="40"/>
      <c r="P124" s="9" t="s">
        <v>1486</v>
      </c>
      <c r="Q124" s="9" t="s">
        <v>1487</v>
      </c>
      <c r="R124" s="9" t="s">
        <v>1488</v>
      </c>
      <c r="S124" s="39"/>
      <c r="T124" s="39"/>
      <c r="U124" s="39"/>
      <c r="V124" s="6"/>
      <c r="W124" s="39"/>
    </row>
    <row r="125" spans="1:23" ht="12.75">
      <c r="A125" s="40" t="s">
        <v>3308</v>
      </c>
      <c r="B125" s="53" t="s">
        <v>242</v>
      </c>
      <c r="C125" s="40" t="s">
        <v>248</v>
      </c>
      <c r="D125" s="53" t="str">
        <f ca="1">IFERROR(__xludf.DUMMYFUNCTION("""COMPUTED_VALUE"""),"consensus sequence software name")</f>
        <v>consensus sequence software name</v>
      </c>
      <c r="E125" s="82" t="str">
        <f ca="1">IFERROR(__xludf.DUMMYFUNCTION("Lower(regexreplace(regexreplace(F125,""[ /]"",""_""),""[-()]"",""""))"),"consensus_sequence_software_name")</f>
        <v>consensus_sequence_software_name</v>
      </c>
      <c r="F125" s="39" t="s">
        <v>92</v>
      </c>
      <c r="G125" s="39"/>
      <c r="H125" s="39"/>
      <c r="I125" s="166" t="b">
        <v>1</v>
      </c>
      <c r="J125" s="39" t="s">
        <v>97</v>
      </c>
      <c r="K125" s="39" t="s">
        <v>97</v>
      </c>
      <c r="L125" s="39"/>
      <c r="M125" s="39"/>
      <c r="N125" s="40"/>
      <c r="O125" s="40"/>
      <c r="P125" s="9" t="s">
        <v>249</v>
      </c>
      <c r="Q125" s="9" t="s">
        <v>250</v>
      </c>
      <c r="R125" s="9" t="s">
        <v>3429</v>
      </c>
      <c r="S125" s="39" t="s">
        <v>251</v>
      </c>
      <c r="T125" s="39"/>
      <c r="U125" s="39"/>
      <c r="V125" s="39" t="s">
        <v>3430</v>
      </c>
      <c r="W125" s="39"/>
    </row>
    <row r="126" spans="1:23" ht="12.75">
      <c r="A126" s="40" t="s">
        <v>3308</v>
      </c>
      <c r="B126" s="53" t="s">
        <v>242</v>
      </c>
      <c r="C126" s="40" t="s">
        <v>252</v>
      </c>
      <c r="D126" s="53" t="str">
        <f ca="1">IFERROR(__xludf.DUMMYFUNCTION("""COMPUTED_VALUE"""),"consensus sequence software version")</f>
        <v>consensus sequence software version</v>
      </c>
      <c r="E126" s="82" t="str">
        <f ca="1">IFERROR(__xludf.DUMMYFUNCTION("Lower(regexreplace(regexreplace(F126,""[ /]"",""_""),""[-()]"",""""))"),"consensus_sequence_software_version")</f>
        <v>consensus_sequence_software_version</v>
      </c>
      <c r="F126" s="39" t="s">
        <v>198</v>
      </c>
      <c r="G126" s="39"/>
      <c r="H126" s="39"/>
      <c r="I126" s="166" t="b">
        <v>1</v>
      </c>
      <c r="J126" s="39" t="s">
        <v>97</v>
      </c>
      <c r="K126" s="39" t="s">
        <v>97</v>
      </c>
      <c r="L126" s="39"/>
      <c r="M126" s="39"/>
      <c r="N126" s="40"/>
      <c r="O126" s="40"/>
      <c r="P126" s="9" t="s">
        <v>253</v>
      </c>
      <c r="Q126" s="9" t="s">
        <v>254</v>
      </c>
      <c r="R126" s="172">
        <v>1.3</v>
      </c>
      <c r="S126" s="39" t="s">
        <v>251</v>
      </c>
      <c r="T126" s="39"/>
      <c r="U126" s="39"/>
      <c r="V126" s="39" t="s">
        <v>3431</v>
      </c>
      <c r="W126" s="39"/>
    </row>
    <row r="127" spans="1:23" ht="12.75">
      <c r="A127" s="40" t="s">
        <v>3308</v>
      </c>
      <c r="B127" s="53" t="s">
        <v>242</v>
      </c>
      <c r="C127" s="40" t="s">
        <v>1489</v>
      </c>
      <c r="D127" s="53" t="str">
        <f ca="1">IFERROR(__xludf.DUMMYFUNCTION("""COMPUTED_VALUE"""),"breadth of coverage value")</f>
        <v>breadth of coverage value</v>
      </c>
      <c r="E127" s="82" t="str">
        <f ca="1">IFERROR(__xludf.DUMMYFUNCTION("Lower(regexreplace(regexreplace(F127,""[ /]"",""_""),""[-()]"",""""))"),"breadth_of_coverage_value")</f>
        <v>breadth_of_coverage_value</v>
      </c>
      <c r="F127" s="39" t="s">
        <v>92</v>
      </c>
      <c r="G127" s="39"/>
      <c r="H127" s="39"/>
      <c r="I127" s="39"/>
      <c r="J127" s="39" t="s">
        <v>97</v>
      </c>
      <c r="K127" s="39" t="s">
        <v>97</v>
      </c>
      <c r="L127" s="39"/>
      <c r="M127" s="39"/>
      <c r="N127" s="40"/>
      <c r="O127" s="40"/>
      <c r="P127" s="9" t="s">
        <v>1490</v>
      </c>
      <c r="Q127" s="9" t="s">
        <v>1491</v>
      </c>
      <c r="R127" s="176">
        <v>0.95</v>
      </c>
      <c r="T127" s="39"/>
      <c r="U127" s="39"/>
      <c r="V127" s="39"/>
      <c r="W127" s="39"/>
    </row>
    <row r="128" spans="1:23" ht="12.75">
      <c r="A128" s="40" t="s">
        <v>3308</v>
      </c>
      <c r="B128" s="53" t="s">
        <v>242</v>
      </c>
      <c r="C128" s="40" t="s">
        <v>1492</v>
      </c>
      <c r="D128" s="53" t="str">
        <f ca="1">IFERROR(__xludf.DUMMYFUNCTION("""COMPUTED_VALUE"""),"depth of coverage value")</f>
        <v>depth of coverage value</v>
      </c>
      <c r="E128" s="82" t="str">
        <f ca="1">IFERROR(__xludf.DUMMYFUNCTION("Lower(regexreplace(regexreplace(F128,""[ /]"",""_""),""[-()]"",""""))"),"depth_of_coverage_value")</f>
        <v>depth_of_coverage_value</v>
      </c>
      <c r="F128" s="39" t="s">
        <v>92</v>
      </c>
      <c r="G128" s="39"/>
      <c r="H128" s="39"/>
      <c r="I128" s="39"/>
      <c r="J128" s="39" t="s">
        <v>97</v>
      </c>
      <c r="K128" s="39" t="s">
        <v>97</v>
      </c>
      <c r="L128" s="39"/>
      <c r="M128" s="39"/>
      <c r="N128" s="40"/>
      <c r="O128" s="40"/>
      <c r="P128" s="9" t="s">
        <v>1493</v>
      </c>
      <c r="Q128" s="9" t="s">
        <v>1494</v>
      </c>
      <c r="R128" s="9" t="s">
        <v>1495</v>
      </c>
      <c r="S128" s="8" t="s">
        <v>2336</v>
      </c>
      <c r="T128" s="39"/>
      <c r="U128" s="39"/>
      <c r="V128" s="39" t="s">
        <v>3432</v>
      </c>
      <c r="W128" s="39"/>
    </row>
    <row r="129" spans="1:23" ht="12.75">
      <c r="A129" s="40" t="s">
        <v>3308</v>
      </c>
      <c r="B129" s="53" t="s">
        <v>242</v>
      </c>
      <c r="C129" s="40" t="s">
        <v>1496</v>
      </c>
      <c r="D129" s="44" t="str">
        <f ca="1">IFERROR(__xludf.DUMMYFUNCTION("""COMPUTED_VALUE"""),"depth of coverage threshold")</f>
        <v>depth of coverage threshold</v>
      </c>
      <c r="E129" s="82" t="str">
        <f ca="1">IFERROR(__xludf.DUMMYFUNCTION("Lower(regexreplace(regexreplace(F129,""[ /]"",""_""),""[-()]"",""""))"),"depth_of_coverage_threshold")</f>
        <v>depth_of_coverage_threshold</v>
      </c>
      <c r="F129" s="39" t="s">
        <v>92</v>
      </c>
      <c r="G129" s="39"/>
      <c r="H129" s="39"/>
      <c r="I129" s="39"/>
      <c r="J129" s="39" t="s">
        <v>97</v>
      </c>
      <c r="K129" s="39" t="s">
        <v>97</v>
      </c>
      <c r="L129" s="39"/>
      <c r="M129" s="39"/>
      <c r="N129" s="40"/>
      <c r="O129" s="40"/>
      <c r="P129" s="9" t="s">
        <v>1497</v>
      </c>
      <c r="Q129" s="9" t="s">
        <v>1498</v>
      </c>
      <c r="R129" s="9" t="s">
        <v>1499</v>
      </c>
      <c r="S129" s="39"/>
      <c r="T129" s="39"/>
      <c r="U129" s="39"/>
      <c r="V129" s="39"/>
      <c r="W129" s="39"/>
    </row>
    <row r="130" spans="1:23" ht="12.75">
      <c r="A130" s="40" t="s">
        <v>3308</v>
      </c>
      <c r="B130" s="53" t="s">
        <v>242</v>
      </c>
      <c r="C130" s="40" t="s">
        <v>233</v>
      </c>
      <c r="D130" s="44" t="str">
        <f ca="1">IFERROR(__xludf.DUMMYFUNCTION("""COMPUTED_VALUE"""),"r1 fastq filename")</f>
        <v>r1 fastq filename</v>
      </c>
      <c r="E130" s="82" t="str">
        <f ca="1">IFERROR(__xludf.DUMMYFUNCTION("Lower(regexreplace(regexreplace(F130,""[ /]"",""_""),""[-()]"",""""))"),"r1_fastq_filename")</f>
        <v>r1_fastq_filename</v>
      </c>
      <c r="F130" s="39" t="s">
        <v>92</v>
      </c>
      <c r="G130" s="39"/>
      <c r="H130" s="39"/>
      <c r="I130" s="39"/>
      <c r="J130" s="39" t="s">
        <v>97</v>
      </c>
      <c r="K130" s="39" t="s">
        <v>97</v>
      </c>
      <c r="L130" s="39"/>
      <c r="M130" s="39"/>
      <c r="N130" s="40"/>
      <c r="O130" s="40"/>
      <c r="P130" s="9" t="s">
        <v>234</v>
      </c>
      <c r="Q130" s="9" t="s">
        <v>235</v>
      </c>
      <c r="R130" s="9" t="s">
        <v>236</v>
      </c>
      <c r="S130" s="39"/>
      <c r="T130" s="39"/>
      <c r="U130" s="39"/>
      <c r="V130" s="39"/>
      <c r="W130" s="39"/>
    </row>
    <row r="131" spans="1:23" ht="12.75">
      <c r="A131" s="40" t="s">
        <v>3308</v>
      </c>
      <c r="B131" s="53" t="s">
        <v>242</v>
      </c>
      <c r="C131" s="40" t="s">
        <v>237</v>
      </c>
      <c r="D131" s="91" t="str">
        <f ca="1">IFERROR(__xludf.DUMMYFUNCTION("""COMPUTED_VALUE"""),"r2 fastq filename")</f>
        <v>r2 fastq filename</v>
      </c>
      <c r="E131" s="82" t="str">
        <f ca="1">IFERROR(__xludf.DUMMYFUNCTION("Lower(regexreplace(regexreplace(F131,""[ /]"",""_""),""[-()]"",""""))"),"r2_fastq_filename")</f>
        <v>r2_fastq_filename</v>
      </c>
      <c r="F131" s="39" t="s">
        <v>92</v>
      </c>
      <c r="G131" s="39"/>
      <c r="H131" s="39"/>
      <c r="I131" s="39"/>
      <c r="J131" s="39" t="s">
        <v>97</v>
      </c>
      <c r="K131" s="39" t="s">
        <v>97</v>
      </c>
      <c r="L131" s="39"/>
      <c r="M131" s="39"/>
      <c r="N131" s="40"/>
      <c r="O131" s="40"/>
      <c r="P131" s="9" t="s">
        <v>238</v>
      </c>
      <c r="Q131" s="9" t="s">
        <v>239</v>
      </c>
      <c r="R131" s="9" t="s">
        <v>240</v>
      </c>
      <c r="S131" s="39"/>
      <c r="T131" s="39"/>
      <c r="U131" s="39"/>
      <c r="V131" s="39"/>
      <c r="W131" s="39"/>
    </row>
    <row r="132" spans="1:23" ht="12.75">
      <c r="A132" s="40" t="s">
        <v>3308</v>
      </c>
      <c r="B132" s="53" t="s">
        <v>242</v>
      </c>
      <c r="C132" s="40" t="s">
        <v>1500</v>
      </c>
      <c r="D132" s="44" t="str">
        <f ca="1">IFERROR(__xludf.DUMMYFUNCTION("""COMPUTED_VALUE"""),"r1 fastq filepath")</f>
        <v>r1 fastq filepath</v>
      </c>
      <c r="E132" s="82" t="str">
        <f ca="1">IFERROR(__xludf.DUMMYFUNCTION("Lower(regexreplace(regexreplace(F132,""[ /]"",""_""),""[-()]"",""""))"),"r1_fastq_filepath")</f>
        <v>r1_fastq_filepath</v>
      </c>
      <c r="F132" s="39" t="s">
        <v>92</v>
      </c>
      <c r="G132" s="39"/>
      <c r="H132" s="39"/>
      <c r="I132" s="39"/>
      <c r="J132" s="39" t="s">
        <v>97</v>
      </c>
      <c r="K132" s="39" t="s">
        <v>97</v>
      </c>
      <c r="L132" s="39"/>
      <c r="M132" s="39"/>
      <c r="N132" s="40"/>
      <c r="O132" s="40"/>
      <c r="P132" s="9" t="s">
        <v>3433</v>
      </c>
      <c r="Q132" s="9" t="s">
        <v>3434</v>
      </c>
      <c r="R132" s="9" t="s">
        <v>1501</v>
      </c>
      <c r="S132" s="39"/>
      <c r="T132" s="39"/>
      <c r="U132" s="39"/>
      <c r="V132" s="39"/>
      <c r="W132" s="39"/>
    </row>
    <row r="133" spans="1:23" ht="12.75">
      <c r="A133" s="40" t="s">
        <v>3308</v>
      </c>
      <c r="B133" s="53" t="s">
        <v>242</v>
      </c>
      <c r="C133" s="40" t="s">
        <v>1502</v>
      </c>
      <c r="D133" s="44" t="str">
        <f ca="1">IFERROR(__xludf.DUMMYFUNCTION("""COMPUTED_VALUE"""),"r2 fastq filepath")</f>
        <v>r2 fastq filepath</v>
      </c>
      <c r="E133" s="82" t="str">
        <f ca="1">IFERROR(__xludf.DUMMYFUNCTION("Lower(regexreplace(regexreplace(F133,""[ /]"",""_""),""[-()]"",""""))"),"r2_fastq_filepath")</f>
        <v>r2_fastq_filepath</v>
      </c>
      <c r="F133" s="39" t="s">
        <v>92</v>
      </c>
      <c r="G133" s="39"/>
      <c r="H133" s="39"/>
      <c r="I133" s="39"/>
      <c r="J133" s="39" t="s">
        <v>97</v>
      </c>
      <c r="K133" s="39" t="s">
        <v>97</v>
      </c>
      <c r="L133" s="39"/>
      <c r="M133" s="39"/>
      <c r="N133" s="40"/>
      <c r="O133" s="40"/>
      <c r="P133" s="9" t="s">
        <v>3435</v>
      </c>
      <c r="Q133" s="9" t="s">
        <v>3436</v>
      </c>
      <c r="R133" s="9" t="s">
        <v>1503</v>
      </c>
      <c r="S133" s="39"/>
      <c r="T133" s="39"/>
      <c r="U133" s="39"/>
      <c r="V133" s="39"/>
      <c r="W133" s="39"/>
    </row>
    <row r="134" spans="1:23" ht="12.75">
      <c r="A134" s="40" t="s">
        <v>3308</v>
      </c>
      <c r="B134" s="53" t="s">
        <v>242</v>
      </c>
      <c r="C134" s="40" t="s">
        <v>1504</v>
      </c>
      <c r="D134" s="44" t="str">
        <f ca="1">IFERROR(__xludf.DUMMYFUNCTION("""COMPUTED_VALUE"""),"fast5 filename")</f>
        <v>fast5 filename</v>
      </c>
      <c r="E134" s="82" t="str">
        <f ca="1">IFERROR(__xludf.DUMMYFUNCTION("Lower(regexreplace(regexreplace(F134,""[ /]"",""_""),""[-()]"",""""))"),"fast5_filename")</f>
        <v>fast5_filename</v>
      </c>
      <c r="F134" s="39" t="s">
        <v>92</v>
      </c>
      <c r="G134" s="39"/>
      <c r="H134" s="39"/>
      <c r="I134" s="39"/>
      <c r="J134" s="39" t="s">
        <v>97</v>
      </c>
      <c r="K134" s="39" t="s">
        <v>97</v>
      </c>
      <c r="L134" s="39"/>
      <c r="M134" s="39"/>
      <c r="N134" s="40"/>
      <c r="O134" s="40"/>
      <c r="P134" s="9" t="s">
        <v>1505</v>
      </c>
      <c r="Q134" s="9" t="s">
        <v>1506</v>
      </c>
      <c r="R134" s="9" t="s">
        <v>3437</v>
      </c>
      <c r="S134" s="39"/>
      <c r="T134" s="39"/>
      <c r="U134" s="39"/>
      <c r="V134" s="39"/>
      <c r="W134" s="39"/>
    </row>
    <row r="135" spans="1:23" ht="12.75">
      <c r="A135" s="40" t="s">
        <v>3308</v>
      </c>
      <c r="B135" s="53" t="s">
        <v>242</v>
      </c>
      <c r="C135" s="40" t="s">
        <v>1507</v>
      </c>
      <c r="D135" s="44" t="str">
        <f ca="1">IFERROR(__xludf.DUMMYFUNCTION("""COMPUTED_VALUE"""),"fast5 filepath")</f>
        <v>fast5 filepath</v>
      </c>
      <c r="E135" s="82" t="str">
        <f ca="1">IFERROR(__xludf.DUMMYFUNCTION("Lower(regexreplace(regexreplace(F135,""[ /]"",""_""),""[-()]"",""""))"),"fast5_filepath")</f>
        <v>fast5_filepath</v>
      </c>
      <c r="F135" s="39" t="s">
        <v>92</v>
      </c>
      <c r="G135" s="39"/>
      <c r="H135" s="39"/>
      <c r="I135" s="39"/>
      <c r="J135" s="39" t="s">
        <v>97</v>
      </c>
      <c r="K135" s="39" t="s">
        <v>97</v>
      </c>
      <c r="L135" s="39"/>
      <c r="M135" s="39"/>
      <c r="N135" s="40"/>
      <c r="O135" s="40"/>
      <c r="P135" s="9" t="s">
        <v>3438</v>
      </c>
      <c r="Q135" s="9" t="s">
        <v>3439</v>
      </c>
      <c r="R135" s="9" t="s">
        <v>3440</v>
      </c>
      <c r="S135" s="39"/>
      <c r="T135" s="39"/>
      <c r="U135" s="39"/>
      <c r="V135" s="39"/>
      <c r="W135" s="39"/>
    </row>
    <row r="136" spans="1:23" ht="12.75">
      <c r="A136" s="40" t="s">
        <v>3308</v>
      </c>
      <c r="B136" s="53" t="s">
        <v>242</v>
      </c>
      <c r="C136" s="40" t="s">
        <v>1508</v>
      </c>
      <c r="D136" s="53" t="str">
        <f ca="1">IFERROR(__xludf.DUMMYFUNCTION("""COMPUTED_VALUE"""),"number of base pairs sequenced")</f>
        <v>number of base pairs sequenced</v>
      </c>
      <c r="E136" s="82" t="str">
        <f ca="1">IFERROR(__xludf.DUMMYFUNCTION("Lower(regexreplace(regexreplace(F136,""[ /]"",""_""),""[-()]"",""""))"),"number_of_base_pairs_sequenced")</f>
        <v>number_of_base_pairs_sequenced</v>
      </c>
      <c r="F136" s="49" t="s">
        <v>93</v>
      </c>
      <c r="G136" s="40"/>
      <c r="H136" s="40"/>
      <c r="I136" s="40"/>
      <c r="J136" s="39" t="s">
        <v>97</v>
      </c>
      <c r="K136" s="39" t="s">
        <v>97</v>
      </c>
      <c r="L136" s="40">
        <v>0</v>
      </c>
      <c r="M136" s="40"/>
      <c r="N136" s="40"/>
      <c r="O136" s="40"/>
      <c r="P136" s="9" t="s">
        <v>1509</v>
      </c>
      <c r="Q136" s="9" t="s">
        <v>1510</v>
      </c>
      <c r="R136" s="172">
        <v>387566</v>
      </c>
      <c r="S136" s="40"/>
      <c r="T136" s="40"/>
      <c r="U136" s="40"/>
      <c r="V136" s="40"/>
      <c r="W136" s="40"/>
    </row>
    <row r="137" spans="1:23" ht="12.75">
      <c r="A137" s="40" t="s">
        <v>3308</v>
      </c>
      <c r="B137" s="53" t="s">
        <v>242</v>
      </c>
      <c r="C137" s="40" t="s">
        <v>1511</v>
      </c>
      <c r="D137" s="53" t="str">
        <f ca="1">IFERROR(__xludf.DUMMYFUNCTION("""COMPUTED_VALUE"""),"consensus genome length")</f>
        <v>consensus genome length</v>
      </c>
      <c r="E137" s="82" t="str">
        <f ca="1">IFERROR(__xludf.DUMMYFUNCTION("Lower(regexreplace(regexreplace(F137,""[ /]"",""_""),""[-()]"",""""))"),"consensus_genome_length")</f>
        <v>consensus_genome_length</v>
      </c>
      <c r="F137" s="49" t="s">
        <v>93</v>
      </c>
      <c r="G137" s="39"/>
      <c r="H137" s="39"/>
      <c r="I137" s="39"/>
      <c r="J137" s="39" t="s">
        <v>97</v>
      </c>
      <c r="K137" s="39" t="s">
        <v>97</v>
      </c>
      <c r="L137" s="39">
        <v>0</v>
      </c>
      <c r="M137" s="39"/>
      <c r="N137" s="40"/>
      <c r="O137" s="40"/>
      <c r="P137" s="9" t="s">
        <v>3441</v>
      </c>
      <c r="Q137" s="9" t="s">
        <v>1510</v>
      </c>
      <c r="R137" s="172">
        <v>38677</v>
      </c>
      <c r="S137" s="39"/>
      <c r="T137" s="39"/>
      <c r="U137" s="39"/>
      <c r="V137" s="39"/>
      <c r="W137" s="39"/>
    </row>
    <row r="138" spans="1:23" ht="12.75">
      <c r="A138" s="40" t="s">
        <v>3308</v>
      </c>
      <c r="B138" s="53" t="s">
        <v>242</v>
      </c>
      <c r="C138" s="40" t="s">
        <v>1512</v>
      </c>
      <c r="D138" s="53" t="str">
        <f ca="1">IFERROR(__xludf.DUMMYFUNCTION("""COMPUTED_VALUE"""),"Ns per 100 kbp")</f>
        <v>Ns per 100 kbp</v>
      </c>
      <c r="E138" s="82" t="str">
        <f ca="1">IFERROR(__xludf.DUMMYFUNCTION("Lower(regexreplace(regexreplace(F138,""[ /]"",""_""),""[-()]"",""""))"),"ns_per_100_kbp")</f>
        <v>ns_per_100_kbp</v>
      </c>
      <c r="F138" s="39" t="s">
        <v>198</v>
      </c>
      <c r="G138" s="39"/>
      <c r="H138" s="39"/>
      <c r="I138" s="39"/>
      <c r="J138" s="39" t="s">
        <v>97</v>
      </c>
      <c r="K138" s="39" t="s">
        <v>97</v>
      </c>
      <c r="L138" s="39"/>
      <c r="M138" s="39"/>
      <c r="N138" s="40"/>
      <c r="O138" s="40"/>
      <c r="P138" s="9" t="s">
        <v>1513</v>
      </c>
      <c r="Q138" s="9" t="s">
        <v>1510</v>
      </c>
      <c r="R138" s="172">
        <v>300</v>
      </c>
      <c r="S138" s="39"/>
      <c r="T138" s="39"/>
      <c r="U138" s="39"/>
      <c r="V138" s="39"/>
      <c r="W138" s="39"/>
    </row>
    <row r="139" spans="1:23" ht="12.75">
      <c r="A139" s="40" t="s">
        <v>3308</v>
      </c>
      <c r="B139" s="53" t="s">
        <v>242</v>
      </c>
      <c r="C139" s="40" t="s">
        <v>1514</v>
      </c>
      <c r="D139" s="53" t="str">
        <f ca="1">IFERROR(__xludf.DUMMYFUNCTION("""COMPUTED_VALUE"""),"reference genome accession")</f>
        <v>reference genome accession</v>
      </c>
      <c r="E139" s="82" t="str">
        <f ca="1">IFERROR(__xludf.DUMMYFUNCTION("Lower(regexreplace(regexreplace(F139,""[ /]"",""_""),""[-()]"",""""))"),"reference_genome_accession")</f>
        <v>reference_genome_accession</v>
      </c>
      <c r="F139" s="39" t="s">
        <v>92</v>
      </c>
      <c r="G139" s="40"/>
      <c r="H139" s="40"/>
      <c r="I139" s="40"/>
      <c r="J139" s="39" t="s">
        <v>97</v>
      </c>
      <c r="K139" s="39" t="s">
        <v>97</v>
      </c>
      <c r="L139" s="40"/>
      <c r="M139" s="40"/>
      <c r="N139" s="40"/>
      <c r="O139" s="40"/>
      <c r="P139" s="9" t="s">
        <v>1515</v>
      </c>
      <c r="Q139" s="9" t="s">
        <v>1516</v>
      </c>
      <c r="R139" s="9" t="s">
        <v>1517</v>
      </c>
      <c r="S139" s="40"/>
      <c r="T139" s="40"/>
      <c r="U139" s="40"/>
      <c r="V139" s="40" t="s">
        <v>3442</v>
      </c>
      <c r="W139" s="40"/>
    </row>
    <row r="140" spans="1:23" ht="12.75">
      <c r="A140" s="40" t="s">
        <v>3308</v>
      </c>
      <c r="B140" s="53" t="s">
        <v>242</v>
      </c>
      <c r="C140" s="40" t="s">
        <v>255</v>
      </c>
      <c r="D140" s="53" t="str">
        <f ca="1">IFERROR(__xludf.DUMMYFUNCTION("""COMPUTED_VALUE"""),"bioinformatics protocol")</f>
        <v>bioinformatics protocol</v>
      </c>
      <c r="E140" s="82" t="str">
        <f ca="1">IFERROR(__xludf.DUMMYFUNCTION("Lower(regexreplace(regexreplace(F140,""[ /]"",""_""),""[-()]"",""""))"),"bioinformatics_protocol")</f>
        <v>bioinformatics_protocol</v>
      </c>
      <c r="F140" s="39" t="s">
        <v>92</v>
      </c>
      <c r="G140" s="40"/>
      <c r="H140" s="40"/>
      <c r="I140" s="40"/>
      <c r="J140" s="39" t="s">
        <v>97</v>
      </c>
      <c r="K140" s="39" t="s">
        <v>97</v>
      </c>
      <c r="L140" s="40"/>
      <c r="M140" s="40"/>
      <c r="N140" s="40"/>
      <c r="O140" s="40"/>
      <c r="P140" s="9" t="s">
        <v>3443</v>
      </c>
      <c r="Q140" s="9" t="s">
        <v>3444</v>
      </c>
      <c r="R140" s="175" t="s">
        <v>3445</v>
      </c>
      <c r="S140" s="40"/>
      <c r="T140" s="40"/>
      <c r="U140" s="40"/>
      <c r="V140" s="40"/>
      <c r="W140" s="40"/>
    </row>
    <row r="141" spans="1:23" ht="12.75">
      <c r="A141" s="40" t="s">
        <v>3308</v>
      </c>
      <c r="B141" s="142"/>
      <c r="C141" s="163" t="s">
        <v>1518</v>
      </c>
      <c r="D141" s="168" t="s">
        <v>1519</v>
      </c>
      <c r="E141" s="82" t="str">
        <f ca="1">IFERROR(__xludf.DUMMYFUNCTION("Lower(regexreplace(regexreplace(F141,""[ /]"",""_""),""[-()]"",""""))"),"lineage_and_variant_information")</f>
        <v>lineage_and_variant_information</v>
      </c>
      <c r="F141" s="163"/>
      <c r="G141" s="163"/>
      <c r="H141" s="163"/>
      <c r="I141" s="163"/>
      <c r="J141" s="165" t="s">
        <v>97</v>
      </c>
      <c r="K141" s="165" t="s">
        <v>97</v>
      </c>
      <c r="L141" s="163"/>
      <c r="M141" s="163"/>
      <c r="N141" s="163"/>
      <c r="O141" s="163"/>
      <c r="P141" s="163"/>
      <c r="Q141" s="163"/>
      <c r="R141" s="163"/>
      <c r="S141" s="163"/>
      <c r="T141" s="163"/>
      <c r="U141" s="163"/>
      <c r="V141" s="163"/>
      <c r="W141" s="163"/>
    </row>
    <row r="142" spans="1:23" ht="12.75">
      <c r="A142" s="40" t="s">
        <v>3308</v>
      </c>
      <c r="B142" s="53" t="s">
        <v>1519</v>
      </c>
      <c r="C142" s="40" t="s">
        <v>1520</v>
      </c>
      <c r="D142" s="40" t="str">
        <f ca="1">IFERROR(__xludf.DUMMYFUNCTION("IMPORTRANGE(""https://docs.google.com/spreadsheets/d/1NstVkNyMv132LYxaKGuXqEBScLi0RERHb0zkcgSuNZQ"",""Field Reference Guide!B140:B144"")"),"lineage/clade name")</f>
        <v>lineage/clade name</v>
      </c>
      <c r="E142" s="82" t="str">
        <f ca="1">IFERROR(__xludf.DUMMYFUNCTION("Lower(regexreplace(regexreplace(F142,""[ /]"",""_""),""[-()]"",""""))"),"lineage_clade_name")</f>
        <v>lineage_clade_name</v>
      </c>
      <c r="F142" s="39" t="s">
        <v>92</v>
      </c>
      <c r="G142" s="40"/>
      <c r="H142" s="40"/>
      <c r="I142" s="40"/>
      <c r="J142" s="39" t="s">
        <v>97</v>
      </c>
      <c r="K142" s="39" t="s">
        <v>97</v>
      </c>
      <c r="L142" s="40"/>
      <c r="M142" s="40"/>
      <c r="N142" s="40"/>
      <c r="O142" s="40"/>
      <c r="P142" s="9" t="s">
        <v>1521</v>
      </c>
      <c r="Q142" s="9" t="s">
        <v>1522</v>
      </c>
      <c r="R142" s="155"/>
      <c r="S142" s="40"/>
      <c r="T142" s="40"/>
      <c r="U142" s="40"/>
      <c r="V142" s="40"/>
      <c r="W142" s="40"/>
    </row>
    <row r="143" spans="1:23" ht="12.75">
      <c r="A143" s="40" t="s">
        <v>3308</v>
      </c>
      <c r="B143" s="53" t="s">
        <v>1519</v>
      </c>
      <c r="C143" s="40" t="s">
        <v>1523</v>
      </c>
      <c r="D143" s="53" t="str">
        <f ca="1">IFERROR(__xludf.DUMMYFUNCTION("""COMPUTED_VALUE"""),"lineage/clade analysis software name")</f>
        <v>lineage/clade analysis software name</v>
      </c>
      <c r="E143" s="82" t="str">
        <f ca="1">IFERROR(__xludf.DUMMYFUNCTION("Lower(regexreplace(regexreplace(F143,""[ /]"",""_""),""[-()]"",""""))"),"lineage_clade_analysis_software_name")</f>
        <v>lineage_clade_analysis_software_name</v>
      </c>
      <c r="F143" s="39" t="s">
        <v>92</v>
      </c>
      <c r="G143" s="40"/>
      <c r="H143" s="40"/>
      <c r="I143" s="40"/>
      <c r="J143" s="39" t="s">
        <v>97</v>
      </c>
      <c r="K143" s="39" t="s">
        <v>97</v>
      </c>
      <c r="L143" s="40"/>
      <c r="M143" s="40"/>
      <c r="N143" s="40"/>
      <c r="O143" s="40"/>
      <c r="P143" s="9" t="s">
        <v>1524</v>
      </c>
      <c r="Q143" s="9" t="s">
        <v>1525</v>
      </c>
      <c r="R143" s="155"/>
      <c r="S143" s="40"/>
      <c r="T143" s="40"/>
      <c r="U143" s="40"/>
      <c r="V143" s="40"/>
      <c r="W143" s="40"/>
    </row>
    <row r="144" spans="1:23" ht="12.75">
      <c r="A144" s="40" t="s">
        <v>3308</v>
      </c>
      <c r="B144" s="53" t="s">
        <v>1519</v>
      </c>
      <c r="C144" s="40" t="s">
        <v>1527</v>
      </c>
      <c r="D144" s="53" t="str">
        <f ca="1">IFERROR(__xludf.DUMMYFUNCTION("""COMPUTED_VALUE"""),"lineage/clade analysis software version")</f>
        <v>lineage/clade analysis software version</v>
      </c>
      <c r="E144" s="82" t="str">
        <f ca="1">IFERROR(__xludf.DUMMYFUNCTION("Lower(regexreplace(regexreplace(F144,""[ /]"",""_""),""[-()]"",""""))"),"lineage_clade_analysis_software_version")</f>
        <v>lineage_clade_analysis_software_version</v>
      </c>
      <c r="F144" s="39" t="s">
        <v>92</v>
      </c>
      <c r="G144" s="40"/>
      <c r="H144" s="40"/>
      <c r="I144" s="40"/>
      <c r="J144" s="39" t="s">
        <v>97</v>
      </c>
      <c r="K144" s="39" t="s">
        <v>97</v>
      </c>
      <c r="L144" s="40"/>
      <c r="M144" s="40"/>
      <c r="N144" s="40"/>
      <c r="O144" s="40"/>
      <c r="P144" s="9" t="s">
        <v>1528</v>
      </c>
      <c r="Q144" s="9" t="s">
        <v>1529</v>
      </c>
      <c r="R144" s="155"/>
      <c r="S144" s="40"/>
      <c r="T144" s="40"/>
      <c r="U144" s="40"/>
      <c r="V144" s="40"/>
      <c r="W144" s="40"/>
    </row>
    <row r="145" spans="1:23" ht="12.75">
      <c r="A145" s="40" t="s">
        <v>3308</v>
      </c>
      <c r="B145" s="53" t="s">
        <v>1519</v>
      </c>
      <c r="C145" s="40" t="s">
        <v>1530</v>
      </c>
      <c r="D145" s="53" t="str">
        <f ca="1">IFERROR(__xludf.DUMMYFUNCTION("""COMPUTED_VALUE"""),"variant designation")</f>
        <v>variant designation</v>
      </c>
      <c r="E145" s="82" t="str">
        <f ca="1">IFERROR(__xludf.DUMMYFUNCTION("Lower(regexreplace(regexreplace(F145,""[ /]"",""_""),""[-()]"",""""))"),"variant_designation")</f>
        <v>variant_designation</v>
      </c>
      <c r="F145" s="171" t="str">
        <f ca="1">IFERROR(__xludf.DUMMYFUNCTION("concat(regexreplace(proper(F145),""[_ (/)-]"",""""),""Menu"")"),"VariantDesignationMenu")</f>
        <v>VariantDesignationMenu</v>
      </c>
      <c r="G145" s="39" t="s">
        <v>105</v>
      </c>
      <c r="H145" s="40"/>
      <c r="I145" s="40"/>
      <c r="J145" s="39" t="s">
        <v>97</v>
      </c>
      <c r="K145" s="39" t="s">
        <v>97</v>
      </c>
      <c r="L145" s="40"/>
      <c r="M145" s="40"/>
      <c r="N145" s="40"/>
      <c r="O145" s="40"/>
      <c r="P145" s="9" t="s">
        <v>1533</v>
      </c>
      <c r="Q145" s="9" t="s">
        <v>1534</v>
      </c>
      <c r="R145" s="155"/>
      <c r="S145" s="40"/>
      <c r="T145" s="40"/>
      <c r="U145" s="40"/>
      <c r="V145" s="40"/>
      <c r="W145" s="40"/>
    </row>
    <row r="146" spans="1:23" ht="12.75">
      <c r="A146" s="40" t="s">
        <v>3308</v>
      </c>
      <c r="B146" s="53" t="s">
        <v>1519</v>
      </c>
      <c r="C146" s="40" t="s">
        <v>1536</v>
      </c>
      <c r="D146" s="53" t="str">
        <f ca="1">IFERROR(__xludf.DUMMYFUNCTION("""COMPUTED_VALUE"""),"variant evidence details")</f>
        <v>variant evidence details</v>
      </c>
      <c r="E146" s="82" t="str">
        <f ca="1">IFERROR(__xludf.DUMMYFUNCTION("Lower(regexreplace(regexreplace(F146,""[ /]"",""_""),""[-()]"",""""))"),"variant_evidence_details")</f>
        <v>variant_evidence_details</v>
      </c>
      <c r="F146" s="39" t="s">
        <v>92</v>
      </c>
      <c r="G146" s="40"/>
      <c r="H146" s="40"/>
      <c r="I146" s="40"/>
      <c r="J146" s="39" t="s">
        <v>97</v>
      </c>
      <c r="K146" s="39" t="s">
        <v>97</v>
      </c>
      <c r="L146" s="40"/>
      <c r="M146" s="40"/>
      <c r="N146" s="40"/>
      <c r="O146" s="40"/>
      <c r="P146" s="9" t="s">
        <v>1535</v>
      </c>
      <c r="Q146" s="9" t="s">
        <v>3446</v>
      </c>
      <c r="R146" s="155"/>
      <c r="S146" s="40"/>
      <c r="T146" s="40"/>
      <c r="U146" s="40"/>
      <c r="V146" s="40"/>
      <c r="W146" s="40"/>
    </row>
    <row r="147" spans="1:23" ht="12.75">
      <c r="A147" s="40" t="s">
        <v>3308</v>
      </c>
      <c r="B147" s="142"/>
      <c r="C147" s="163" t="s">
        <v>1537</v>
      </c>
      <c r="D147" s="168" t="s">
        <v>1538</v>
      </c>
      <c r="E147" s="82" t="str">
        <f ca="1">IFERROR(__xludf.DUMMYFUNCTION("Lower(regexreplace(regexreplace(F147,""[ /]"",""_""),""[-()]"",""""))"),"pathogen_diagnostic_testing")</f>
        <v>pathogen_diagnostic_testing</v>
      </c>
      <c r="F147" s="163"/>
      <c r="G147" s="163"/>
      <c r="H147" s="163"/>
      <c r="I147" s="163"/>
      <c r="J147" s="165" t="s">
        <v>97</v>
      </c>
      <c r="K147" s="165" t="s">
        <v>97</v>
      </c>
      <c r="L147" s="163"/>
      <c r="M147" s="163"/>
      <c r="N147" s="163"/>
      <c r="O147" s="163"/>
      <c r="P147" s="163"/>
      <c r="Q147" s="163"/>
      <c r="R147" s="163"/>
      <c r="S147" s="163"/>
      <c r="T147" s="163"/>
      <c r="U147" s="163"/>
      <c r="V147" s="163"/>
      <c r="W147" s="163"/>
    </row>
    <row r="148" spans="1:23" ht="12.75">
      <c r="A148" s="40" t="s">
        <v>3308</v>
      </c>
      <c r="B148" s="44" t="s">
        <v>1538</v>
      </c>
      <c r="C148" s="56" t="s">
        <v>1539</v>
      </c>
      <c r="D148" s="40" t="str">
        <f ca="1">IFERROR(__xludf.DUMMYFUNCTION("IMPORTRANGE(""https://docs.google.com/spreadsheets/d/1NstVkNyMv132LYxaKGuXqEBScLi0RERHb0zkcgSuNZQ"",""Field Reference Guide!B146:B151"")"),"gene name 1")</f>
        <v>gene name 1</v>
      </c>
      <c r="E148" s="82" t="str">
        <f ca="1">IFERROR(__xludf.DUMMYFUNCTION("Lower(regexreplace(regexreplace(F148,""[ /]"",""_""),""[-()]"",""""))"),"gene_name_1")</f>
        <v>gene_name_1</v>
      </c>
      <c r="F148" s="171" t="s">
        <v>1540</v>
      </c>
      <c r="G148" s="39" t="s">
        <v>105</v>
      </c>
      <c r="H148" s="40"/>
      <c r="I148" s="40"/>
      <c r="J148" s="39" t="s">
        <v>97</v>
      </c>
      <c r="K148" s="39" t="s">
        <v>97</v>
      </c>
      <c r="L148" s="40"/>
      <c r="M148" s="40"/>
      <c r="N148" s="40"/>
      <c r="O148" s="40"/>
      <c r="P148" s="40" t="s">
        <v>1541</v>
      </c>
      <c r="Q148" s="41" t="s">
        <v>3447</v>
      </c>
      <c r="R148" s="40" t="s">
        <v>3448</v>
      </c>
      <c r="S148" s="40"/>
      <c r="T148" s="40" t="s">
        <v>3449</v>
      </c>
      <c r="U148" s="40"/>
      <c r="V148" s="40"/>
      <c r="W148" s="40"/>
    </row>
    <row r="149" spans="1:23" ht="12.75">
      <c r="A149" s="40" t="s">
        <v>3308</v>
      </c>
      <c r="B149" s="44" t="s">
        <v>1538</v>
      </c>
      <c r="C149" s="56" t="s">
        <v>1542</v>
      </c>
      <c r="D149" s="53" t="str">
        <f ca="1">IFERROR(__xludf.DUMMYFUNCTION("""COMPUTED_VALUE"""),"diagnostic pcr protocol 1")</f>
        <v>diagnostic pcr protocol 1</v>
      </c>
      <c r="E149" s="82" t="str">
        <f ca="1">IFERROR(__xludf.DUMMYFUNCTION("Lower(regexreplace(regexreplace(F149,""[ /]"",""_""),""[-()]"",""""))"),"diagnostic_pcr_protocol_1")</f>
        <v>diagnostic_pcr_protocol_1</v>
      </c>
      <c r="F149" s="39" t="s">
        <v>92</v>
      </c>
      <c r="G149" s="40"/>
      <c r="H149" s="40"/>
      <c r="I149" s="40"/>
      <c r="J149" s="39" t="s">
        <v>97</v>
      </c>
      <c r="K149" s="39" t="s">
        <v>97</v>
      </c>
      <c r="L149" s="40"/>
      <c r="M149" s="40"/>
      <c r="N149" s="40"/>
      <c r="O149" s="40"/>
      <c r="P149" s="40" t="s">
        <v>1543</v>
      </c>
      <c r="Q149" s="41" t="s">
        <v>1544</v>
      </c>
      <c r="R149" s="40" t="s">
        <v>3450</v>
      </c>
      <c r="S149" s="40"/>
      <c r="T149" s="46"/>
      <c r="U149" s="40"/>
      <c r="V149" s="40"/>
      <c r="W149" s="40"/>
    </row>
    <row r="150" spans="1:23" ht="12.75">
      <c r="A150" s="40" t="s">
        <v>3308</v>
      </c>
      <c r="B150" s="44" t="s">
        <v>1538</v>
      </c>
      <c r="C150" s="56" t="s">
        <v>1545</v>
      </c>
      <c r="D150" s="53" t="str">
        <f ca="1">IFERROR(__xludf.DUMMYFUNCTION("""COMPUTED_VALUE"""),"diagnostic pcr Ct value 1")</f>
        <v>diagnostic pcr Ct value 1</v>
      </c>
      <c r="E150" s="82" t="str">
        <f ca="1">IFERROR(__xludf.DUMMYFUNCTION("Lower(regexreplace(regexreplace(F150,""[ /]"",""_""),""[-()]"",""""))"),"diagnostic_pcr_ct_value_1")</f>
        <v>diagnostic_pcr_ct_value_1</v>
      </c>
      <c r="F150" s="39" t="s">
        <v>92</v>
      </c>
      <c r="G150" s="40"/>
      <c r="H150" s="40"/>
      <c r="I150" s="40"/>
      <c r="J150" s="39" t="s">
        <v>97</v>
      </c>
      <c r="K150" s="39" t="s">
        <v>97</v>
      </c>
      <c r="L150" s="40"/>
      <c r="M150" s="40"/>
      <c r="N150" s="40"/>
      <c r="O150" s="40"/>
      <c r="P150" s="40" t="s">
        <v>3451</v>
      </c>
      <c r="Q150" s="41" t="s">
        <v>3452</v>
      </c>
      <c r="R150" s="177">
        <v>21</v>
      </c>
      <c r="S150" s="40"/>
      <c r="T150" s="46" t="s">
        <v>3453</v>
      </c>
      <c r="U150" s="40"/>
      <c r="V150" s="40"/>
      <c r="W150" s="40"/>
    </row>
    <row r="151" spans="1:23" ht="12.75">
      <c r="A151" s="40" t="s">
        <v>3308</v>
      </c>
      <c r="B151" s="44" t="s">
        <v>1538</v>
      </c>
      <c r="C151" s="56" t="s">
        <v>1546</v>
      </c>
      <c r="D151" s="53" t="str">
        <f ca="1">IFERROR(__xludf.DUMMYFUNCTION("""COMPUTED_VALUE"""),"gene name 2")</f>
        <v>gene name 2</v>
      </c>
      <c r="E151" s="82" t="str">
        <f ca="1">IFERROR(__xludf.DUMMYFUNCTION("Lower(regexreplace(regexreplace(F151,""[ /]"",""_""),""[-()]"",""""))"),"gene_name_2")</f>
        <v>gene_name_2</v>
      </c>
      <c r="F151" s="171" t="s">
        <v>1540</v>
      </c>
      <c r="G151" s="39" t="s">
        <v>105</v>
      </c>
      <c r="H151" s="40"/>
      <c r="I151" s="40"/>
      <c r="J151" s="39" t="s">
        <v>97</v>
      </c>
      <c r="K151" s="39" t="s">
        <v>97</v>
      </c>
      <c r="L151" s="40"/>
      <c r="M151" s="40"/>
      <c r="N151" s="40"/>
      <c r="O151" s="40"/>
      <c r="P151" s="40" t="s">
        <v>1541</v>
      </c>
      <c r="Q151" s="41" t="s">
        <v>3447</v>
      </c>
      <c r="R151" s="39" t="s">
        <v>3454</v>
      </c>
      <c r="S151" s="40"/>
      <c r="T151" s="40" t="s">
        <v>3455</v>
      </c>
      <c r="U151" s="40"/>
      <c r="V151" s="40"/>
      <c r="W151" s="40"/>
    </row>
    <row r="152" spans="1:23" ht="12.75">
      <c r="A152" s="40" t="s">
        <v>3308</v>
      </c>
      <c r="B152" s="44" t="s">
        <v>1538</v>
      </c>
      <c r="C152" s="56" t="s">
        <v>1547</v>
      </c>
      <c r="D152" s="53" t="str">
        <f ca="1">IFERROR(__xludf.DUMMYFUNCTION("""COMPUTED_VALUE"""),"diagnostic pcr protocol 2")</f>
        <v>diagnostic pcr protocol 2</v>
      </c>
      <c r="E152" s="82" t="str">
        <f ca="1">IFERROR(__xludf.DUMMYFUNCTION("Lower(regexreplace(regexreplace(F152,""[ /]"",""_""),""[-()]"",""""))"),"diagnostic_pcr_protocol_2")</f>
        <v>diagnostic_pcr_protocol_2</v>
      </c>
      <c r="F152" s="39" t="s">
        <v>92</v>
      </c>
      <c r="G152" s="40"/>
      <c r="H152" s="40"/>
      <c r="I152" s="40"/>
      <c r="J152" s="39" t="s">
        <v>97</v>
      </c>
      <c r="K152" s="39" t="s">
        <v>97</v>
      </c>
      <c r="L152" s="40"/>
      <c r="M152" s="40"/>
      <c r="N152" s="40"/>
      <c r="O152" s="40"/>
      <c r="P152" s="40" t="s">
        <v>1543</v>
      </c>
      <c r="Q152" s="41" t="s">
        <v>1548</v>
      </c>
      <c r="R152" s="39" t="s">
        <v>3456</v>
      </c>
      <c r="S152" s="40"/>
      <c r="T152" s="46"/>
      <c r="U152" s="40"/>
      <c r="V152" s="40"/>
      <c r="W152" s="40"/>
    </row>
    <row r="153" spans="1:23" ht="12.75">
      <c r="A153" s="40" t="s">
        <v>3308</v>
      </c>
      <c r="B153" s="44" t="s">
        <v>1538</v>
      </c>
      <c r="C153" s="56" t="s">
        <v>1549</v>
      </c>
      <c r="D153" s="53" t="str">
        <f ca="1">IFERROR(__xludf.DUMMYFUNCTION("""COMPUTED_VALUE"""),"diagnostic pcr Ct value 2")</f>
        <v>diagnostic pcr Ct value 2</v>
      </c>
      <c r="E153" s="82" t="str">
        <f ca="1">IFERROR(__xludf.DUMMYFUNCTION("Lower(regexreplace(regexreplace(F153,""[ /]"",""_""),""[-()]"",""""))"),"diagnostic_pcr_ct_value_2")</f>
        <v>diagnostic_pcr_ct_value_2</v>
      </c>
      <c r="F153" s="39" t="s">
        <v>92</v>
      </c>
      <c r="G153" s="40"/>
      <c r="H153" s="40"/>
      <c r="I153" s="40"/>
      <c r="J153" s="39" t="s">
        <v>97</v>
      </c>
      <c r="K153" s="39" t="s">
        <v>97</v>
      </c>
      <c r="L153" s="40"/>
      <c r="M153" s="40"/>
      <c r="N153" s="40"/>
      <c r="O153" s="40"/>
      <c r="P153" s="40" t="s">
        <v>3451</v>
      </c>
      <c r="Q153" s="41" t="s">
        <v>3457</v>
      </c>
      <c r="R153" s="178">
        <v>36</v>
      </c>
      <c r="S153" s="40"/>
      <c r="T153" s="46" t="s">
        <v>3458</v>
      </c>
      <c r="U153" s="40"/>
      <c r="V153" s="40"/>
      <c r="W153" s="40"/>
    </row>
    <row r="154" spans="1:23" ht="12.75">
      <c r="A154" s="40" t="s">
        <v>3308</v>
      </c>
      <c r="B154" s="44"/>
      <c r="C154" s="40"/>
      <c r="D154" s="113"/>
      <c r="E154" s="82" t="str">
        <f ca="1">IFERROR(__xludf.DUMMYFUNCTION("Lower(regexreplace(regexreplace(F154,""[ /]"",""_""),""[-()]"",""""))"),"")</f>
        <v/>
      </c>
      <c r="F154" s="40"/>
      <c r="G154" s="40"/>
      <c r="H154" s="40"/>
      <c r="I154" s="40"/>
      <c r="J154" s="39" t="s">
        <v>97</v>
      </c>
      <c r="K154" s="39" t="s">
        <v>97</v>
      </c>
      <c r="L154" s="40"/>
      <c r="M154" s="40"/>
      <c r="N154" s="40"/>
      <c r="O154" s="40"/>
      <c r="P154" s="40"/>
      <c r="Q154" s="40"/>
      <c r="R154" s="40"/>
      <c r="S154" s="40"/>
      <c r="T154" s="40"/>
      <c r="U154" s="40"/>
      <c r="V154" s="40"/>
      <c r="W154" s="40"/>
    </row>
    <row r="155" spans="1:23" ht="12.75">
      <c r="A155" s="40" t="s">
        <v>3308</v>
      </c>
      <c r="B155" s="142"/>
      <c r="C155" s="163" t="s">
        <v>3459</v>
      </c>
      <c r="D155" s="168" t="s">
        <v>3460</v>
      </c>
      <c r="E155" s="82" t="str">
        <f ca="1">IFERROR(__xludf.DUMMYFUNCTION("Lower(regexreplace(regexreplace(F155,""[ /]"",""_""),""[-()]"",""""))"),"ncbi_sra_information")</f>
        <v>ncbi_sra_information</v>
      </c>
      <c r="F155" s="163"/>
      <c r="G155" s="163"/>
      <c r="H155" s="163"/>
      <c r="I155" s="163"/>
      <c r="J155" s="165" t="s">
        <v>97</v>
      </c>
      <c r="K155" s="165" t="s">
        <v>97</v>
      </c>
      <c r="L155" s="163"/>
      <c r="M155" s="163"/>
      <c r="N155" s="163"/>
      <c r="O155" s="163"/>
      <c r="P155" s="163"/>
      <c r="Q155" s="163"/>
      <c r="R155" s="163"/>
      <c r="S155" s="163"/>
      <c r="T155" s="163"/>
      <c r="U155" s="163"/>
      <c r="V155" s="163"/>
      <c r="W155" s="163"/>
    </row>
    <row r="156" spans="1:23" ht="12.75">
      <c r="A156" s="40" t="s">
        <v>3308</v>
      </c>
      <c r="B156" s="53" t="s">
        <v>3460</v>
      </c>
      <c r="C156" s="179" t="s">
        <v>3461</v>
      </c>
      <c r="D156" s="53" t="s">
        <v>26</v>
      </c>
      <c r="E156" s="82" t="str">
        <f ca="1">IFERROR(__xludf.DUMMYFUNCTION("Lower(regexreplace(regexreplace(F156,""[ /]"",""_""),""[-()]"",""""))"),"title")</f>
        <v>title</v>
      </c>
      <c r="F156" s="39" t="s">
        <v>92</v>
      </c>
      <c r="G156" s="40"/>
      <c r="H156" s="40"/>
      <c r="I156" s="40"/>
      <c r="J156" s="39" t="s">
        <v>97</v>
      </c>
      <c r="K156" s="39" t="s">
        <v>97</v>
      </c>
      <c r="L156" s="40"/>
      <c r="M156" s="40"/>
      <c r="N156" s="40"/>
      <c r="O156" s="40"/>
      <c r="P156" s="40" t="s">
        <v>3462</v>
      </c>
      <c r="Q156" s="40" t="s">
        <v>3463</v>
      </c>
      <c r="R156" s="40" t="s">
        <v>3464</v>
      </c>
      <c r="S156" s="40"/>
      <c r="T156" s="40"/>
      <c r="U156" s="40" t="s">
        <v>26</v>
      </c>
      <c r="V156" s="40"/>
      <c r="W156" s="40"/>
    </row>
    <row r="157" spans="1:23" ht="12.75">
      <c r="A157" s="40" t="s">
        <v>3308</v>
      </c>
      <c r="B157" s="53" t="s">
        <v>3460</v>
      </c>
      <c r="C157" s="179" t="s">
        <v>3465</v>
      </c>
      <c r="D157" s="53" t="s">
        <v>3466</v>
      </c>
      <c r="E157" s="82" t="str">
        <f ca="1">IFERROR(__xludf.DUMMYFUNCTION("Lower(regexreplace(regexreplace(F157,""[ /]"",""_""),""[-()]"",""""))"),"library_strategy")</f>
        <v>library_strategy</v>
      </c>
      <c r="F157" s="171" t="str">
        <f ca="1">IFERROR(__xludf.DUMMYFUNCTION("concat(regexreplace(proper(F157),""[_ (/)-]"",""""),""Menu"")"),"LibraryStrategyMenu")</f>
        <v>LibraryStrategyMenu</v>
      </c>
      <c r="G157" s="40"/>
      <c r="H157" s="40"/>
      <c r="I157" s="40"/>
      <c r="J157" s="39" t="s">
        <v>97</v>
      </c>
      <c r="K157" s="39" t="s">
        <v>97</v>
      </c>
      <c r="L157" s="40"/>
      <c r="M157" s="40"/>
      <c r="N157" s="40"/>
      <c r="O157" s="40"/>
      <c r="P157" s="40" t="s">
        <v>3467</v>
      </c>
      <c r="Q157" s="40" t="s">
        <v>3468</v>
      </c>
      <c r="R157" s="40"/>
      <c r="S157" s="40"/>
      <c r="T157" s="40"/>
      <c r="U157" s="40" t="s">
        <v>3466</v>
      </c>
      <c r="V157" s="40"/>
      <c r="W157" s="40"/>
    </row>
    <row r="158" spans="1:23" ht="12.75">
      <c r="A158" s="40" t="s">
        <v>3308</v>
      </c>
      <c r="B158" s="53" t="s">
        <v>3460</v>
      </c>
      <c r="C158" s="179" t="s">
        <v>3469</v>
      </c>
      <c r="D158" s="53" t="s">
        <v>3470</v>
      </c>
      <c r="E158" s="82" t="str">
        <f ca="1">IFERROR(__xludf.DUMMYFUNCTION("Lower(regexreplace(regexreplace(F158,""[ /]"",""_""),""[-()]"",""""))"),"library_source")</f>
        <v>library_source</v>
      </c>
      <c r="F158" s="171" t="str">
        <f ca="1">IFERROR(__xludf.DUMMYFUNCTION("concat(regexreplace(proper(F158),""[_ (/)-]"",""""),""Menu"")"),"LibrarySourceMenu")</f>
        <v>LibrarySourceMenu</v>
      </c>
      <c r="G158" s="40"/>
      <c r="H158" s="40"/>
      <c r="I158" s="40"/>
      <c r="J158" s="39" t="s">
        <v>97</v>
      </c>
      <c r="K158" s="39" t="s">
        <v>97</v>
      </c>
      <c r="L158" s="40"/>
      <c r="M158" s="40"/>
      <c r="N158" s="40"/>
      <c r="O158" s="40"/>
      <c r="P158" s="40" t="s">
        <v>3467</v>
      </c>
      <c r="Q158" s="40" t="s">
        <v>3471</v>
      </c>
      <c r="R158" s="40"/>
      <c r="S158" s="40"/>
      <c r="T158" s="40"/>
      <c r="U158" s="40" t="s">
        <v>3470</v>
      </c>
      <c r="V158" s="40"/>
      <c r="W158" s="40"/>
    </row>
    <row r="159" spans="1:23" ht="12.75">
      <c r="A159" s="40" t="s">
        <v>3308</v>
      </c>
      <c r="B159" s="53" t="s">
        <v>3460</v>
      </c>
      <c r="C159" s="179" t="s">
        <v>3472</v>
      </c>
      <c r="D159" s="53" t="s">
        <v>3473</v>
      </c>
      <c r="E159" s="82" t="str">
        <f ca="1">IFERROR(__xludf.DUMMYFUNCTION("Lower(regexreplace(regexreplace(F159,""[ /]"",""_""),""[-()]"",""""))"),"library_selection")</f>
        <v>library_selection</v>
      </c>
      <c r="F159" s="171" t="str">
        <f ca="1">IFERROR(__xludf.DUMMYFUNCTION("concat(regexreplace(proper(F159),""[_ (/)-]"",""""),""Menu"")"),"LibrarySelectionMenu")</f>
        <v>LibrarySelectionMenu</v>
      </c>
      <c r="G159" s="40"/>
      <c r="H159" s="40"/>
      <c r="I159" s="40"/>
      <c r="J159" s="39" t="s">
        <v>97</v>
      </c>
      <c r="K159" s="39" t="s">
        <v>97</v>
      </c>
      <c r="L159" s="40"/>
      <c r="M159" s="40"/>
      <c r="N159" s="40"/>
      <c r="O159" s="40"/>
      <c r="P159" s="40" t="s">
        <v>3467</v>
      </c>
      <c r="Q159" s="40" t="s">
        <v>3474</v>
      </c>
      <c r="R159" s="40"/>
      <c r="S159" s="40"/>
      <c r="T159" s="40"/>
      <c r="U159" s="40" t="s">
        <v>3473</v>
      </c>
      <c r="V159" s="40"/>
      <c r="W159" s="40"/>
    </row>
    <row r="160" spans="1:23" ht="12.75">
      <c r="A160" s="40" t="s">
        <v>3308</v>
      </c>
      <c r="B160" s="53" t="s">
        <v>3460</v>
      </c>
      <c r="C160" s="179" t="s">
        <v>3475</v>
      </c>
      <c r="D160" s="53" t="s">
        <v>3476</v>
      </c>
      <c r="E160" s="82" t="str">
        <f ca="1">IFERROR(__xludf.DUMMYFUNCTION("Lower(regexreplace(regexreplace(F160,""[ /]"",""_""),""[-()]"",""""))"),"library_layout")</f>
        <v>library_layout</v>
      </c>
      <c r="F160" s="171" t="str">
        <f ca="1">IFERROR(__xludf.DUMMYFUNCTION("concat(regexreplace(proper(F160),""[_ (/)-]"",""""),""Menu"")"),"LibraryLayoutMenu")</f>
        <v>LibraryLayoutMenu</v>
      </c>
      <c r="G160" s="40"/>
      <c r="H160" s="40"/>
      <c r="I160" s="40"/>
      <c r="J160" s="39" t="s">
        <v>97</v>
      </c>
      <c r="K160" s="39" t="s">
        <v>97</v>
      </c>
      <c r="L160" s="40"/>
      <c r="M160" s="40"/>
      <c r="N160" s="40"/>
      <c r="O160" s="40"/>
      <c r="P160" s="40" t="s">
        <v>3467</v>
      </c>
      <c r="Q160" s="40" t="s">
        <v>3477</v>
      </c>
      <c r="R160" s="40"/>
      <c r="S160" s="40"/>
      <c r="T160" s="40"/>
      <c r="U160" s="40" t="s">
        <v>3476</v>
      </c>
      <c r="V160" s="40"/>
      <c r="W160" s="40"/>
    </row>
    <row r="161" spans="1:23" ht="12.75">
      <c r="A161" s="40" t="s">
        <v>3308</v>
      </c>
      <c r="B161" s="53" t="s">
        <v>3460</v>
      </c>
      <c r="C161" s="179" t="s">
        <v>3478</v>
      </c>
      <c r="D161" s="53" t="s">
        <v>3479</v>
      </c>
      <c r="E161" s="82" t="str">
        <f ca="1">IFERROR(__xludf.DUMMYFUNCTION("Lower(regexreplace(regexreplace(F161,""[ /]"",""_""),""[-()]"",""""))"),"filetype")</f>
        <v>filetype</v>
      </c>
      <c r="F161" s="171" t="str">
        <f ca="1">IFERROR(__xludf.DUMMYFUNCTION("concat(regexreplace(proper(F161),""[_ (/)-]"",""""),""Menu"")"),"FiletypeMenu")</f>
        <v>FiletypeMenu</v>
      </c>
      <c r="G161" s="40"/>
      <c r="H161" s="40"/>
      <c r="I161" s="40"/>
      <c r="J161" s="39" t="s">
        <v>97</v>
      </c>
      <c r="K161" s="39" t="s">
        <v>97</v>
      </c>
      <c r="L161" s="40"/>
      <c r="M161" s="40"/>
      <c r="N161" s="40"/>
      <c r="O161" s="40"/>
      <c r="P161" s="40" t="s">
        <v>3467</v>
      </c>
      <c r="Q161" s="40" t="s">
        <v>3480</v>
      </c>
      <c r="R161" s="40"/>
      <c r="S161" s="40"/>
      <c r="T161" s="40"/>
      <c r="U161" s="53" t="s">
        <v>3479</v>
      </c>
      <c r="V161" s="40"/>
      <c r="W161" s="40"/>
    </row>
    <row r="162" spans="1:23" ht="12.75">
      <c r="A162" s="40" t="s">
        <v>3308</v>
      </c>
      <c r="B162" s="53" t="s">
        <v>3460</v>
      </c>
      <c r="C162" s="179" t="s">
        <v>3481</v>
      </c>
      <c r="D162" s="53" t="s">
        <v>3428</v>
      </c>
      <c r="E162" s="82" t="str">
        <f ca="1">IFERROR(__xludf.DUMMYFUNCTION("Lower(regexreplace(regexreplace(F162,""[ /]"",""_""),""[-()]"",""""))"),"filename")</f>
        <v>filename</v>
      </c>
      <c r="F162" s="39" t="s">
        <v>92</v>
      </c>
      <c r="G162" s="40"/>
      <c r="H162" s="40"/>
      <c r="I162" s="40"/>
      <c r="J162" s="39" t="s">
        <v>97</v>
      </c>
      <c r="K162" s="39" t="s">
        <v>97</v>
      </c>
      <c r="L162" s="40"/>
      <c r="M162" s="40"/>
      <c r="N162" s="40"/>
      <c r="O162" s="40"/>
      <c r="P162" s="40" t="s">
        <v>3467</v>
      </c>
      <c r="Q162" s="40" t="s">
        <v>3482</v>
      </c>
      <c r="R162" s="40"/>
      <c r="S162" s="40"/>
      <c r="T162" s="40"/>
      <c r="U162" s="53" t="s">
        <v>3428</v>
      </c>
      <c r="V162" s="40"/>
      <c r="W162" s="40"/>
    </row>
    <row r="163" spans="1:23" ht="12.75">
      <c r="A163" s="40" t="s">
        <v>3308</v>
      </c>
      <c r="B163" s="53" t="s">
        <v>3460</v>
      </c>
      <c r="C163" s="179" t="s">
        <v>3483</v>
      </c>
      <c r="D163" s="44" t="s">
        <v>3484</v>
      </c>
      <c r="E163" s="82" t="str">
        <f ca="1">IFERROR(__xludf.DUMMYFUNCTION("Lower(regexreplace(regexreplace(F163,""[ /]"",""_""),""[-()]"",""""))"),"filename2")</f>
        <v>filename2</v>
      </c>
      <c r="F163" s="39" t="s">
        <v>92</v>
      </c>
      <c r="G163" s="6"/>
      <c r="H163" s="40"/>
      <c r="I163" s="40"/>
      <c r="J163" s="39" t="s">
        <v>97</v>
      </c>
      <c r="K163" s="39" t="s">
        <v>97</v>
      </c>
      <c r="L163" s="40"/>
      <c r="M163" s="40"/>
      <c r="N163" s="40"/>
      <c r="O163" s="40"/>
      <c r="P163" s="40" t="s">
        <v>3467</v>
      </c>
      <c r="Q163" s="40" t="s">
        <v>3485</v>
      </c>
      <c r="R163" s="40"/>
      <c r="S163" s="40"/>
      <c r="T163" s="40"/>
      <c r="U163" s="44" t="s">
        <v>3484</v>
      </c>
      <c r="V163" s="40"/>
      <c r="W163" s="40"/>
    </row>
    <row r="164" spans="1:23" ht="12.75">
      <c r="A164" s="40" t="s">
        <v>3308</v>
      </c>
      <c r="B164" s="44"/>
      <c r="C164" s="40"/>
      <c r="D164" s="113"/>
      <c r="E164" s="82" t="str">
        <f ca="1">IFERROR(__xludf.DUMMYFUNCTION("Lower(regexreplace(regexreplace(F164,""[ /]"",""_""),""[-()]"",""""))"),"")</f>
        <v/>
      </c>
      <c r="F164" s="40"/>
      <c r="G164" s="40"/>
      <c r="H164" s="40"/>
      <c r="I164" s="40"/>
      <c r="J164" s="39" t="s">
        <v>97</v>
      </c>
      <c r="K164" s="39" t="s">
        <v>97</v>
      </c>
      <c r="L164" s="40"/>
      <c r="M164" s="40"/>
      <c r="N164" s="40"/>
      <c r="O164" s="40"/>
      <c r="P164" s="40"/>
      <c r="Q164" s="40"/>
      <c r="R164" s="40"/>
      <c r="S164" s="40"/>
      <c r="T164" s="40"/>
      <c r="U164" s="40"/>
      <c r="V164" s="40"/>
      <c r="W164" s="40"/>
    </row>
    <row r="165" spans="1:23" ht="12.75">
      <c r="A165" s="40" t="s">
        <v>3308</v>
      </c>
      <c r="B165" s="142"/>
      <c r="C165" s="163" t="s">
        <v>256</v>
      </c>
      <c r="D165" s="168" t="s">
        <v>257</v>
      </c>
      <c r="E165" s="82" t="str">
        <f ca="1">IFERROR(__xludf.DUMMYFUNCTION("Lower(regexreplace(regexreplace(F165,""[ /]"",""_""),""[-()]"",""""))"),"contributor_acknowledgement")</f>
        <v>contributor_acknowledgement</v>
      </c>
      <c r="F165" s="163"/>
      <c r="G165" s="163"/>
      <c r="H165" s="163"/>
      <c r="I165" s="163"/>
      <c r="J165" s="165" t="s">
        <v>97</v>
      </c>
      <c r="K165" s="165" t="s">
        <v>97</v>
      </c>
      <c r="L165" s="163"/>
      <c r="M165" s="163"/>
      <c r="N165" s="163"/>
      <c r="O165" s="163"/>
      <c r="P165" s="163"/>
      <c r="Q165" s="163"/>
      <c r="R165" s="163"/>
      <c r="S165" s="163"/>
      <c r="T165" s="163"/>
      <c r="U165" s="163"/>
      <c r="V165" s="163"/>
      <c r="W165" s="163"/>
    </row>
    <row r="166" spans="1:23" ht="12.75">
      <c r="A166" s="40" t="s">
        <v>3308</v>
      </c>
      <c r="B166" s="44" t="s">
        <v>257</v>
      </c>
      <c r="C166" s="40" t="s">
        <v>258</v>
      </c>
      <c r="D166" s="40" t="str">
        <f ca="1">IFERROR(__xludf.DUMMYFUNCTION("IMPORTRANGE(""https://docs.google.com/spreadsheets/d/1NstVkNyMv132LYxaKGuXqEBScLi0RERHb0zkcgSuNZQ"",""Field Reference Guide!B153"")"),"authors")</f>
        <v>authors</v>
      </c>
      <c r="E166" s="82" t="str">
        <f ca="1">IFERROR(__xludf.DUMMYFUNCTION("Lower(regexreplace(regexreplace(F166,""[ /]"",""_""),""[-()]"",""""))"),"authors")</f>
        <v>authors</v>
      </c>
      <c r="F166" s="40" t="s">
        <v>92</v>
      </c>
      <c r="G166" s="39"/>
      <c r="H166" s="39"/>
      <c r="I166" s="39"/>
      <c r="J166" s="167" t="b">
        <v>1</v>
      </c>
      <c r="K166" s="39" t="s">
        <v>97</v>
      </c>
      <c r="L166" s="39"/>
      <c r="M166" s="39"/>
      <c r="N166" s="40"/>
      <c r="O166" s="40"/>
      <c r="P166" s="9" t="s">
        <v>259</v>
      </c>
      <c r="Q166" s="9" t="s">
        <v>260</v>
      </c>
      <c r="R166" s="9" t="s">
        <v>3486</v>
      </c>
      <c r="S166" s="40" t="s">
        <v>261</v>
      </c>
      <c r="T166" s="40"/>
      <c r="U166" s="40"/>
      <c r="V166" s="40"/>
      <c r="W166" s="40"/>
    </row>
    <row r="167" spans="1:23" ht="12.75">
      <c r="A167" s="40" t="s">
        <v>3308</v>
      </c>
      <c r="B167" s="44" t="s">
        <v>257</v>
      </c>
      <c r="C167" s="40" t="s">
        <v>262</v>
      </c>
      <c r="D167" s="44" t="s">
        <v>263</v>
      </c>
      <c r="E167" s="82" t="str">
        <f ca="1">IFERROR(__xludf.DUMMYFUNCTION("Lower(regexreplace(regexreplace(F167,""[ /]"",""_""),""[-()]"",""""))"),"dataharmonizer_provenance")</f>
        <v>dataharmonizer_provenance</v>
      </c>
      <c r="F167" s="40" t="s">
        <v>264</v>
      </c>
      <c r="G167" s="40"/>
      <c r="H167" s="40"/>
      <c r="I167" s="40"/>
      <c r="J167" s="39" t="s">
        <v>97</v>
      </c>
      <c r="K167" s="39" t="s">
        <v>97</v>
      </c>
      <c r="L167" s="40"/>
      <c r="M167" s="40"/>
      <c r="N167" s="40"/>
      <c r="O167" s="40"/>
      <c r="P167" s="40" t="s">
        <v>265</v>
      </c>
      <c r="Q167" s="40" t="s">
        <v>266</v>
      </c>
      <c r="R167" s="40" t="s">
        <v>3487</v>
      </c>
      <c r="S167" s="81"/>
      <c r="T167" s="39"/>
      <c r="U167" s="40"/>
      <c r="V167" s="40"/>
      <c r="W167" s="40"/>
    </row>
    <row r="168" spans="1:23" ht="12.75">
      <c r="A168" s="40" t="s">
        <v>3308</v>
      </c>
      <c r="B168" s="60"/>
      <c r="C168" s="75" t="s">
        <v>97</v>
      </c>
      <c r="D168" s="70"/>
      <c r="E168" s="40"/>
      <c r="F168" s="75"/>
      <c r="G168" s="75"/>
      <c r="H168" s="75"/>
      <c r="I168" s="75"/>
      <c r="J168" s="75"/>
      <c r="K168" s="75"/>
      <c r="L168" s="75"/>
      <c r="M168" s="75"/>
      <c r="N168" s="75"/>
      <c r="O168" s="75"/>
      <c r="P168" s="75"/>
      <c r="Q168" s="75"/>
      <c r="R168" s="75"/>
      <c r="S168" s="75"/>
      <c r="T168" s="75"/>
      <c r="U168" s="75"/>
      <c r="V168" s="75"/>
      <c r="W168" s="75"/>
    </row>
  </sheetData>
  <conditionalFormatting sqref="I1:I168">
    <cfRule type="cellIs" dxfId="1" priority="1" operator="equal">
      <formula>"TRUE"</formula>
    </cfRule>
  </conditionalFormatting>
  <conditionalFormatting sqref="J1:J168">
    <cfRule type="cellIs" dxfId="0" priority="2" operator="equal">
      <formula>"TRUE"</formula>
    </cfRule>
  </conditionalFormatting>
  <dataValidations count="2">
    <dataValidation type="list" allowBlank="1" sqref="N2:O3 N12:O95 N103:O116 N119:O168" xr:uid="{00000000-0002-0000-0E00-000000000000}">
      <formula1>"lower,UPPER,Title"</formula1>
    </dataValidation>
    <dataValidation type="list" allowBlank="1" sqref="N4:O11" xr:uid="{00000000-0002-0000-0E00-000001000000}">
      <formula1>"{lower_case},{UPPER_CASE},{Title_Case}"</formula1>
    </dataValidation>
  </dataValidations>
  <hyperlinks>
    <hyperlink ref="Q11" r:id="rId1" xr:uid="{00000000-0004-0000-0E00-000004000000}"/>
    <hyperlink ref="Q22" r:id="rId2" xr:uid="{00000000-0004-0000-0E00-000005000000}"/>
    <hyperlink ref="R116" r:id="rId3" xr:uid="{00000000-0004-0000-0E00-000006000000}"/>
    <hyperlink ref="R140" r:id="rId4" xr:uid="{00000000-0004-0000-0E00-000007000000}"/>
  </hyperlinks>
  <pageMargins left="0.7" right="0.7" top="0.75" bottom="0.75" header="0.3" footer="0.3"/>
  <legacyDrawing r:id="rId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O1165"/>
  <sheetViews>
    <sheetView workbookViewId="0">
      <pane ySplit="1" topLeftCell="A2" activePane="bottomLeft" state="frozen"/>
      <selection activeCell="I42" sqref="I42"/>
      <selection pane="bottomLeft" activeCell="I42" sqref="I42"/>
    </sheetView>
  </sheetViews>
  <sheetFormatPr defaultColWidth="12.5703125" defaultRowHeight="15.75" customHeight="1"/>
  <cols>
    <col min="1" max="1" width="31.7109375" customWidth="1"/>
    <col min="2" max="2" width="24" customWidth="1"/>
    <col min="3" max="3" width="16" customWidth="1"/>
    <col min="4" max="4" width="10" customWidth="1"/>
    <col min="5" max="5" width="8.28515625" customWidth="1"/>
    <col min="6" max="6" width="10.42578125" customWidth="1"/>
    <col min="7" max="7" width="9.42578125" customWidth="1"/>
    <col min="8" max="8" width="10.140625" customWidth="1"/>
    <col min="9" max="9" width="12.140625" customWidth="1"/>
    <col min="10" max="11" width="16" customWidth="1"/>
    <col min="12" max="12" width="31.28515625" customWidth="1"/>
    <col min="13" max="13" width="18.7109375" customWidth="1"/>
    <col min="14" max="14" width="21" customWidth="1"/>
    <col min="15" max="15" width="26.42578125" customWidth="1"/>
  </cols>
  <sheetData>
    <row r="1" spans="1:15" ht="25.5">
      <c r="A1" s="57" t="s">
        <v>26</v>
      </c>
      <c r="B1" s="180" t="s">
        <v>30</v>
      </c>
      <c r="C1" s="180" t="s">
        <v>71</v>
      </c>
      <c r="D1" s="112" t="s">
        <v>3304</v>
      </c>
      <c r="E1" s="181" t="s">
        <v>73</v>
      </c>
      <c r="F1" s="182" t="s">
        <v>75</v>
      </c>
      <c r="G1" s="183" t="s">
        <v>76</v>
      </c>
      <c r="H1" s="184" t="s">
        <v>77</v>
      </c>
      <c r="I1" s="185" t="s">
        <v>78</v>
      </c>
      <c r="J1" s="133" t="s">
        <v>51</v>
      </c>
      <c r="K1" s="186" t="s">
        <v>60</v>
      </c>
      <c r="L1" s="186" t="s">
        <v>3305</v>
      </c>
      <c r="M1" s="186" t="s">
        <v>2287</v>
      </c>
      <c r="N1" s="186" t="s">
        <v>3306</v>
      </c>
      <c r="O1" s="186" t="s">
        <v>3307</v>
      </c>
    </row>
    <row r="2" spans="1:15" ht="12.75">
      <c r="A2" s="55"/>
      <c r="B2" s="147"/>
      <c r="C2" s="40" t="s">
        <v>97</v>
      </c>
      <c r="D2" s="40"/>
      <c r="E2" s="187"/>
      <c r="F2" s="188"/>
      <c r="G2" s="71"/>
      <c r="H2" s="153"/>
      <c r="I2" s="189"/>
      <c r="J2" s="118"/>
      <c r="K2" s="42"/>
      <c r="L2" s="42"/>
      <c r="M2" s="42"/>
      <c r="N2" s="42"/>
      <c r="O2" s="42"/>
    </row>
    <row r="3" spans="1:15" ht="12.75">
      <c r="A3" s="64" t="s">
        <v>267</v>
      </c>
      <c r="B3" s="147" t="s">
        <v>105</v>
      </c>
      <c r="C3" s="40" t="s">
        <v>269</v>
      </c>
      <c r="D3" s="42" t="s">
        <v>2401</v>
      </c>
      <c r="E3" s="134" t="s">
        <v>3488</v>
      </c>
      <c r="F3" s="188"/>
      <c r="G3" s="144"/>
      <c r="H3" s="153"/>
      <c r="I3" s="189"/>
      <c r="J3" s="118"/>
      <c r="K3" s="42"/>
      <c r="L3" s="42"/>
      <c r="M3" s="42"/>
      <c r="N3" s="42"/>
      <c r="O3" s="42"/>
    </row>
    <row r="4" spans="1:15" ht="12.75">
      <c r="A4" s="6"/>
      <c r="B4" s="40"/>
      <c r="C4" s="40" t="s">
        <v>273</v>
      </c>
      <c r="D4" s="42" t="s">
        <v>2401</v>
      </c>
      <c r="E4" s="190" t="s">
        <v>3489</v>
      </c>
      <c r="F4" s="188"/>
      <c r="G4" s="71"/>
      <c r="H4" s="153"/>
      <c r="I4" s="189"/>
      <c r="J4" s="118"/>
      <c r="K4" s="42"/>
      <c r="L4" s="42"/>
      <c r="M4" s="42"/>
      <c r="N4" s="42"/>
      <c r="O4" s="42"/>
    </row>
    <row r="5" spans="1:15" ht="12.75">
      <c r="A5" s="6"/>
      <c r="B5" s="40"/>
      <c r="C5" s="40" t="s">
        <v>275</v>
      </c>
      <c r="D5" s="42" t="s">
        <v>2401</v>
      </c>
      <c r="E5" s="191" t="s">
        <v>3490</v>
      </c>
      <c r="F5" s="188"/>
      <c r="G5" s="71"/>
      <c r="H5" s="153"/>
      <c r="I5" s="189"/>
      <c r="J5" s="118"/>
      <c r="K5" s="42"/>
      <c r="L5" s="42"/>
      <c r="M5" s="42"/>
      <c r="N5" s="42"/>
      <c r="O5" s="42"/>
    </row>
    <row r="6" spans="1:15" ht="12.75">
      <c r="A6" s="6"/>
      <c r="B6" s="40"/>
      <c r="C6" s="40" t="s">
        <v>271</v>
      </c>
      <c r="D6" s="42" t="s">
        <v>2401</v>
      </c>
      <c r="E6" s="190" t="s">
        <v>3491</v>
      </c>
      <c r="F6" s="188"/>
      <c r="G6" s="71"/>
      <c r="H6" s="153"/>
      <c r="I6" s="189"/>
      <c r="J6" s="118"/>
      <c r="K6" s="42"/>
      <c r="L6" s="42"/>
      <c r="M6" s="42"/>
      <c r="N6" s="42"/>
      <c r="O6" s="42"/>
    </row>
    <row r="7" spans="1:15" ht="12.75">
      <c r="A7" s="6"/>
      <c r="B7" s="40"/>
      <c r="C7" s="40" t="s">
        <v>277</v>
      </c>
      <c r="D7" s="42" t="s">
        <v>2401</v>
      </c>
      <c r="E7" s="190" t="s">
        <v>3492</v>
      </c>
      <c r="F7" s="188"/>
      <c r="G7" s="71"/>
      <c r="H7" s="153"/>
      <c r="I7" s="189"/>
      <c r="J7" s="118"/>
      <c r="K7" s="42"/>
      <c r="L7" s="42"/>
      <c r="M7" s="42"/>
      <c r="N7" s="42"/>
      <c r="O7" s="42"/>
    </row>
    <row r="8" spans="1:15" ht="12.75">
      <c r="A8" s="67"/>
      <c r="B8" s="75"/>
      <c r="C8" s="75" t="s">
        <v>97</v>
      </c>
      <c r="D8" s="75"/>
      <c r="E8" s="192"/>
      <c r="F8" s="193"/>
      <c r="G8" s="74"/>
      <c r="H8" s="194"/>
      <c r="I8" s="195"/>
      <c r="J8" s="117"/>
      <c r="K8" s="63"/>
      <c r="L8" s="63"/>
      <c r="M8" s="63"/>
      <c r="N8" s="63"/>
      <c r="O8" s="63"/>
    </row>
    <row r="9" spans="1:15" ht="12.75">
      <c r="A9" s="67"/>
      <c r="B9" s="75"/>
      <c r="C9" s="75" t="s">
        <v>97</v>
      </c>
      <c r="D9" s="75"/>
      <c r="E9" s="196"/>
      <c r="F9" s="193"/>
      <c r="G9" s="74"/>
      <c r="H9" s="194"/>
      <c r="I9" s="195"/>
      <c r="J9" s="117"/>
      <c r="K9" s="63"/>
      <c r="L9" s="63"/>
      <c r="M9" s="63"/>
      <c r="N9" s="63"/>
      <c r="O9" s="63"/>
    </row>
    <row r="10" spans="1:15" ht="12.75">
      <c r="A10" s="38" t="s">
        <v>278</v>
      </c>
      <c r="B10" s="147" t="s">
        <v>203</v>
      </c>
      <c r="C10" s="155" t="s">
        <v>280</v>
      </c>
      <c r="D10" s="42" t="s">
        <v>2401</v>
      </c>
      <c r="E10" s="134" t="s">
        <v>2526</v>
      </c>
      <c r="F10" s="188"/>
      <c r="G10" s="71"/>
      <c r="H10" s="153"/>
      <c r="I10" s="189"/>
      <c r="J10" s="118"/>
      <c r="K10" s="42"/>
      <c r="L10" s="42"/>
      <c r="M10" s="42"/>
      <c r="N10" s="42"/>
      <c r="O10" s="42"/>
    </row>
    <row r="11" spans="1:15" ht="38.25">
      <c r="A11" s="38"/>
      <c r="B11" s="155"/>
      <c r="C11" s="155" t="s">
        <v>281</v>
      </c>
      <c r="D11" s="42" t="s">
        <v>2401</v>
      </c>
      <c r="E11" s="197" t="s">
        <v>2527</v>
      </c>
      <c r="F11" s="188"/>
      <c r="G11" s="71"/>
      <c r="H11" s="153"/>
      <c r="I11" s="189"/>
      <c r="J11" s="118"/>
      <c r="K11" s="42"/>
      <c r="L11" s="42"/>
      <c r="M11" s="42"/>
      <c r="N11" s="42"/>
      <c r="O11" s="42"/>
    </row>
    <row r="12" spans="1:15" ht="12.75">
      <c r="A12" s="59"/>
      <c r="B12" s="75"/>
      <c r="C12" s="75" t="s">
        <v>97</v>
      </c>
      <c r="D12" s="75"/>
      <c r="E12" s="196"/>
      <c r="F12" s="193"/>
      <c r="G12" s="74"/>
      <c r="H12" s="194"/>
      <c r="I12" s="195"/>
      <c r="J12" s="117"/>
      <c r="K12" s="63"/>
      <c r="L12" s="63"/>
      <c r="M12" s="63"/>
      <c r="N12" s="63"/>
      <c r="O12" s="63"/>
    </row>
    <row r="13" spans="1:15" ht="12.75">
      <c r="A13" s="59"/>
      <c r="B13" s="75"/>
      <c r="C13" s="75" t="s">
        <v>97</v>
      </c>
      <c r="D13" s="75"/>
      <c r="E13" s="196"/>
      <c r="F13" s="193"/>
      <c r="G13" s="74"/>
      <c r="H13" s="194"/>
      <c r="I13" s="195"/>
      <c r="J13" s="117"/>
      <c r="K13" s="63"/>
      <c r="L13" s="63"/>
      <c r="M13" s="63"/>
      <c r="N13" s="63"/>
      <c r="O13" s="63"/>
    </row>
    <row r="14" spans="1:15" ht="12.75">
      <c r="A14" s="13" t="s">
        <v>1550</v>
      </c>
      <c r="B14" s="147" t="s">
        <v>1309</v>
      </c>
      <c r="C14" s="10" t="s">
        <v>1551</v>
      </c>
      <c r="D14" s="42" t="s">
        <v>2401</v>
      </c>
      <c r="E14" s="143" t="s">
        <v>3493</v>
      </c>
      <c r="F14" s="188"/>
      <c r="G14" s="71"/>
      <c r="H14" s="153"/>
      <c r="I14" s="189"/>
      <c r="J14" s="118"/>
      <c r="K14" s="42"/>
      <c r="L14" s="42"/>
      <c r="M14" s="42"/>
      <c r="N14" s="42"/>
      <c r="O14" s="42"/>
    </row>
    <row r="15" spans="1:15" ht="12.75">
      <c r="A15" s="13"/>
      <c r="B15" s="10"/>
      <c r="C15" s="10" t="s">
        <v>1552</v>
      </c>
      <c r="D15" s="42" t="s">
        <v>2401</v>
      </c>
      <c r="E15" s="143" t="s">
        <v>3494</v>
      </c>
      <c r="F15" s="188"/>
      <c r="G15" s="71"/>
      <c r="H15" s="153"/>
      <c r="I15" s="189"/>
      <c r="J15" s="118"/>
      <c r="K15" s="42"/>
      <c r="L15" s="42"/>
      <c r="M15" s="43"/>
      <c r="N15" s="43"/>
      <c r="O15" s="43"/>
    </row>
    <row r="16" spans="1:15" ht="12.75">
      <c r="A16" s="13"/>
      <c r="B16" s="10"/>
      <c r="C16" s="10" t="s">
        <v>1554</v>
      </c>
      <c r="D16" s="42" t="s">
        <v>2401</v>
      </c>
      <c r="E16" s="143" t="s">
        <v>3495</v>
      </c>
      <c r="F16" s="188"/>
      <c r="G16" s="71"/>
      <c r="H16" s="153"/>
      <c r="I16" s="189"/>
      <c r="J16" s="118"/>
      <c r="K16" s="42"/>
      <c r="L16" s="42"/>
      <c r="M16" s="42"/>
      <c r="N16" s="42"/>
      <c r="O16" s="42"/>
    </row>
    <row r="17" spans="1:15" ht="12.75">
      <c r="A17" s="13"/>
      <c r="B17" s="10"/>
      <c r="C17" s="10" t="s">
        <v>1556</v>
      </c>
      <c r="D17" s="42" t="s">
        <v>2401</v>
      </c>
      <c r="E17" s="143" t="s">
        <v>3496</v>
      </c>
      <c r="F17" s="188"/>
      <c r="G17" s="71"/>
      <c r="H17" s="153"/>
      <c r="I17" s="189"/>
      <c r="J17" s="118"/>
      <c r="K17" s="42"/>
      <c r="L17" s="42"/>
      <c r="M17" s="42"/>
      <c r="N17" s="42"/>
      <c r="O17" s="42"/>
    </row>
    <row r="18" spans="1:15" ht="12.75">
      <c r="A18" s="13"/>
      <c r="B18" s="10"/>
      <c r="C18" s="10" t="s">
        <v>283</v>
      </c>
      <c r="D18" s="42" t="s">
        <v>2401</v>
      </c>
      <c r="E18" s="143" t="s">
        <v>3497</v>
      </c>
      <c r="F18" s="198"/>
      <c r="G18" s="198"/>
      <c r="H18" s="127"/>
      <c r="I18" s="119"/>
      <c r="J18" s="120"/>
      <c r="K18" s="6"/>
      <c r="L18" s="6"/>
      <c r="M18" s="6"/>
      <c r="N18" s="6"/>
      <c r="O18" s="6"/>
    </row>
    <row r="19" spans="1:15" ht="12.75">
      <c r="A19" s="60"/>
      <c r="B19" s="75"/>
      <c r="C19" s="75" t="s">
        <v>97</v>
      </c>
      <c r="D19" s="75"/>
      <c r="E19" s="196"/>
      <c r="F19" s="193"/>
      <c r="G19" s="74"/>
      <c r="H19" s="194"/>
      <c r="I19" s="195"/>
      <c r="J19" s="117"/>
      <c r="K19" s="63"/>
      <c r="L19" s="63"/>
      <c r="M19" s="63"/>
      <c r="N19" s="63"/>
      <c r="O19" s="63"/>
    </row>
    <row r="20" spans="1:15" ht="12.75">
      <c r="A20" s="59"/>
      <c r="B20" s="75"/>
      <c r="C20" s="75" t="s">
        <v>97</v>
      </c>
      <c r="D20" s="75"/>
      <c r="E20" s="196"/>
      <c r="F20" s="193"/>
      <c r="G20" s="74"/>
      <c r="H20" s="194"/>
      <c r="I20" s="195"/>
      <c r="J20" s="117"/>
      <c r="K20" s="63"/>
      <c r="L20" s="63"/>
      <c r="M20" s="63"/>
      <c r="N20" s="63"/>
      <c r="O20" s="63"/>
    </row>
    <row r="21" spans="1:15" ht="12.75">
      <c r="A21" s="44" t="s">
        <v>1558</v>
      </c>
      <c r="B21" s="147" t="s">
        <v>1336</v>
      </c>
      <c r="C21" s="10" t="s">
        <v>1559</v>
      </c>
      <c r="D21" s="42" t="s">
        <v>2401</v>
      </c>
      <c r="E21" s="143" t="s">
        <v>3498</v>
      </c>
      <c r="F21" s="144"/>
      <c r="G21" s="71"/>
      <c r="H21" s="153"/>
      <c r="I21" s="154"/>
      <c r="J21" s="65"/>
      <c r="K21" s="40"/>
      <c r="L21" s="40"/>
      <c r="M21" s="40"/>
      <c r="N21" s="40"/>
      <c r="O21" s="40"/>
    </row>
    <row r="22" spans="1:15" ht="12.75">
      <c r="A22" s="44"/>
      <c r="B22" s="147" t="s">
        <v>97</v>
      </c>
      <c r="C22" s="131" t="s">
        <v>1561</v>
      </c>
      <c r="D22" s="42" t="s">
        <v>2401</v>
      </c>
      <c r="E22" s="190" t="s">
        <v>3499</v>
      </c>
      <c r="F22" s="71"/>
      <c r="G22" s="71"/>
      <c r="H22" s="153"/>
      <c r="I22" s="154"/>
      <c r="J22" s="65"/>
      <c r="K22" s="40"/>
      <c r="L22" s="40"/>
      <c r="M22" s="40"/>
      <c r="N22" s="40"/>
      <c r="O22" s="40"/>
    </row>
    <row r="23" spans="1:15" ht="12.75">
      <c r="A23" s="44"/>
      <c r="B23" s="147" t="s">
        <v>97</v>
      </c>
      <c r="C23" s="10" t="s">
        <v>1563</v>
      </c>
      <c r="D23" s="42" t="s">
        <v>2401</v>
      </c>
      <c r="E23" s="199"/>
      <c r="F23" s="89" t="s">
        <v>3500</v>
      </c>
      <c r="G23" s="71"/>
      <c r="H23" s="153"/>
      <c r="I23" s="154"/>
      <c r="J23" s="65"/>
      <c r="K23" s="40"/>
      <c r="L23" s="40"/>
      <c r="M23" s="40"/>
      <c r="N23" s="40"/>
      <c r="O23" s="40"/>
    </row>
    <row r="24" spans="1:15" ht="12.75">
      <c r="A24" s="44"/>
      <c r="B24" s="147" t="s">
        <v>97</v>
      </c>
      <c r="C24" s="129" t="s">
        <v>1565</v>
      </c>
      <c r="D24" s="42" t="s">
        <v>2401</v>
      </c>
      <c r="E24" s="199"/>
      <c r="F24" s="89" t="s">
        <v>3501</v>
      </c>
      <c r="G24" s="71"/>
      <c r="H24" s="153"/>
      <c r="I24" s="154"/>
      <c r="J24" s="65"/>
      <c r="K24" s="40"/>
      <c r="L24" s="40"/>
      <c r="M24" s="40"/>
      <c r="N24" s="40"/>
      <c r="O24" s="40"/>
    </row>
    <row r="25" spans="1:15" ht="12.75">
      <c r="A25" s="44"/>
      <c r="B25" s="147" t="s">
        <v>97</v>
      </c>
      <c r="C25" s="10" t="s">
        <v>1566</v>
      </c>
      <c r="D25" s="42" t="s">
        <v>2401</v>
      </c>
      <c r="E25" s="199"/>
      <c r="F25" s="89" t="s">
        <v>3502</v>
      </c>
      <c r="G25" s="71"/>
      <c r="H25" s="153"/>
      <c r="I25" s="154"/>
      <c r="J25" s="65"/>
      <c r="K25" s="40"/>
      <c r="L25" s="40"/>
      <c r="M25" s="40"/>
      <c r="N25" s="40"/>
      <c r="O25" s="40"/>
    </row>
    <row r="26" spans="1:15" ht="12.75">
      <c r="A26" s="44"/>
      <c r="B26" s="147" t="s">
        <v>97</v>
      </c>
      <c r="C26" s="129" t="s">
        <v>1568</v>
      </c>
      <c r="D26" s="42" t="s">
        <v>2401</v>
      </c>
      <c r="E26" s="143" t="s">
        <v>3503</v>
      </c>
      <c r="F26" s="71"/>
      <c r="G26" s="71"/>
      <c r="H26" s="153"/>
      <c r="I26" s="154"/>
      <c r="J26" s="65"/>
      <c r="K26" s="40"/>
      <c r="L26" s="40"/>
      <c r="M26" s="40"/>
      <c r="N26" s="40"/>
      <c r="O26" s="40"/>
    </row>
    <row r="27" spans="1:15" ht="12.75">
      <c r="A27" s="44"/>
      <c r="B27" s="147" t="s">
        <v>97</v>
      </c>
      <c r="C27" s="10" t="s">
        <v>1570</v>
      </c>
      <c r="D27" s="42" t="s">
        <v>2401</v>
      </c>
      <c r="E27" s="143"/>
      <c r="F27" s="89" t="s">
        <v>3504</v>
      </c>
      <c r="G27" s="71"/>
      <c r="H27" s="153"/>
      <c r="I27" s="154"/>
      <c r="J27" s="65"/>
      <c r="K27" s="40"/>
      <c r="L27" s="40"/>
      <c r="M27" s="40"/>
      <c r="N27" s="40"/>
      <c r="O27" s="40"/>
    </row>
    <row r="28" spans="1:15" ht="12.75">
      <c r="A28" s="44"/>
      <c r="B28" s="147" t="s">
        <v>97</v>
      </c>
      <c r="C28" s="10" t="s">
        <v>1572</v>
      </c>
      <c r="D28" s="42" t="s">
        <v>2401</v>
      </c>
      <c r="E28" s="143"/>
      <c r="F28" s="89" t="s">
        <v>3505</v>
      </c>
      <c r="G28" s="71"/>
      <c r="H28" s="153"/>
      <c r="I28" s="154"/>
      <c r="J28" s="65"/>
      <c r="K28" s="40"/>
      <c r="L28" s="40"/>
      <c r="M28" s="40"/>
      <c r="N28" s="40"/>
      <c r="O28" s="40"/>
    </row>
    <row r="29" spans="1:15" ht="12.75">
      <c r="A29" s="44"/>
      <c r="B29" s="147" t="s">
        <v>97</v>
      </c>
      <c r="C29" s="10" t="s">
        <v>1574</v>
      </c>
      <c r="D29" s="42" t="s">
        <v>2401</v>
      </c>
      <c r="E29" s="143" t="s">
        <v>3506</v>
      </c>
      <c r="F29" s="71"/>
      <c r="G29" s="71"/>
      <c r="H29" s="153"/>
      <c r="I29" s="154"/>
      <c r="J29" s="65"/>
      <c r="K29" s="40"/>
      <c r="L29" s="121"/>
      <c r="M29" s="40"/>
      <c r="N29" s="40"/>
      <c r="O29" s="40"/>
    </row>
    <row r="30" spans="1:15" ht="12.75">
      <c r="A30" s="44"/>
      <c r="B30" s="147" t="s">
        <v>97</v>
      </c>
      <c r="C30" s="129" t="s">
        <v>1576</v>
      </c>
      <c r="D30" s="42" t="s">
        <v>2401</v>
      </c>
      <c r="E30" s="143" t="s">
        <v>3507</v>
      </c>
      <c r="F30" s="71"/>
      <c r="G30" s="71"/>
      <c r="H30" s="153"/>
      <c r="I30" s="154"/>
      <c r="J30" s="65"/>
      <c r="K30" s="40"/>
      <c r="L30" s="40"/>
      <c r="M30" s="40"/>
      <c r="N30" s="40"/>
      <c r="O30" s="40"/>
    </row>
    <row r="31" spans="1:15" ht="12.75">
      <c r="A31" s="55"/>
      <c r="B31" s="147" t="s">
        <v>97</v>
      </c>
      <c r="C31" s="129" t="s">
        <v>1578</v>
      </c>
      <c r="D31" s="42" t="s">
        <v>2401</v>
      </c>
      <c r="E31" s="134"/>
      <c r="F31" s="71" t="s">
        <v>3508</v>
      </c>
      <c r="G31" s="71"/>
      <c r="H31" s="153"/>
      <c r="I31" s="154"/>
      <c r="J31" s="65"/>
      <c r="K31" s="40"/>
      <c r="L31" s="40"/>
      <c r="M31" s="40"/>
      <c r="N31" s="40"/>
      <c r="O31" s="40"/>
    </row>
    <row r="32" spans="1:15" ht="12.75">
      <c r="A32" s="55"/>
      <c r="B32" s="147" t="s">
        <v>97</v>
      </c>
      <c r="C32" s="10" t="s">
        <v>1580</v>
      </c>
      <c r="D32" s="42" t="s">
        <v>2401</v>
      </c>
      <c r="E32" s="134"/>
      <c r="F32" s="71" t="s">
        <v>3509</v>
      </c>
      <c r="G32" s="71"/>
      <c r="H32" s="153"/>
      <c r="I32" s="154"/>
      <c r="J32" s="65"/>
      <c r="K32" s="40"/>
      <c r="L32" s="40"/>
      <c r="M32" s="40"/>
      <c r="N32" s="40"/>
      <c r="O32" s="40"/>
    </row>
    <row r="33" spans="1:15" ht="12.75">
      <c r="A33" s="55"/>
      <c r="B33" s="147" t="s">
        <v>97</v>
      </c>
      <c r="C33" s="10" t="s">
        <v>1582</v>
      </c>
      <c r="D33" s="42" t="s">
        <v>2401</v>
      </c>
      <c r="E33" s="134"/>
      <c r="F33" s="71" t="s">
        <v>3510</v>
      </c>
      <c r="G33" s="71"/>
      <c r="H33" s="153"/>
      <c r="I33" s="154"/>
      <c r="J33" s="65"/>
      <c r="K33" s="40"/>
      <c r="L33" s="40"/>
      <c r="M33" s="40"/>
      <c r="N33" s="40"/>
      <c r="O33" s="40"/>
    </row>
    <row r="34" spans="1:15" ht="12.75">
      <c r="A34" s="44"/>
      <c r="B34" s="147" t="s">
        <v>97</v>
      </c>
      <c r="C34" s="10" t="s">
        <v>1584</v>
      </c>
      <c r="D34" s="42" t="s">
        <v>2401</v>
      </c>
      <c r="E34" s="143"/>
      <c r="F34" s="71"/>
      <c r="G34" s="89" t="s">
        <v>3511</v>
      </c>
      <c r="H34" s="153"/>
      <c r="I34" s="154"/>
      <c r="J34" s="65"/>
      <c r="K34" s="40"/>
      <c r="L34" s="40"/>
      <c r="M34" s="40"/>
      <c r="N34" s="40"/>
      <c r="O34" s="40"/>
    </row>
    <row r="35" spans="1:15" ht="12.75">
      <c r="A35" s="55"/>
      <c r="B35" s="147" t="s">
        <v>97</v>
      </c>
      <c r="C35" s="10" t="s">
        <v>1586</v>
      </c>
      <c r="D35" s="42" t="s">
        <v>2401</v>
      </c>
      <c r="E35" s="143"/>
      <c r="F35" s="89" t="s">
        <v>3512</v>
      </c>
      <c r="G35" s="71"/>
      <c r="H35" s="153"/>
      <c r="I35" s="154"/>
      <c r="J35" s="65"/>
      <c r="K35" s="40"/>
      <c r="L35" s="40"/>
      <c r="M35" s="40"/>
      <c r="N35" s="40"/>
      <c r="O35" s="40"/>
    </row>
    <row r="36" spans="1:15" ht="12.75">
      <c r="A36" s="55"/>
      <c r="B36" s="147" t="s">
        <v>97</v>
      </c>
      <c r="C36" s="10" t="s">
        <v>1588</v>
      </c>
      <c r="D36" s="42" t="s">
        <v>2401</v>
      </c>
      <c r="E36" s="134"/>
      <c r="F36" s="71" t="s">
        <v>3513</v>
      </c>
      <c r="G36" s="71"/>
      <c r="H36" s="153"/>
      <c r="I36" s="154"/>
      <c r="J36" s="65"/>
      <c r="K36" s="40"/>
      <c r="L36" s="40"/>
      <c r="M36" s="40"/>
      <c r="N36" s="40"/>
      <c r="O36" s="40"/>
    </row>
    <row r="37" spans="1:15" ht="12.75">
      <c r="A37" s="55"/>
      <c r="B37" s="147" t="s">
        <v>97</v>
      </c>
      <c r="C37" s="10" t="s">
        <v>1590</v>
      </c>
      <c r="D37" s="42" t="s">
        <v>2401</v>
      </c>
      <c r="E37" s="143"/>
      <c r="F37" s="89" t="s">
        <v>3514</v>
      </c>
      <c r="G37" s="71"/>
      <c r="H37" s="153"/>
      <c r="I37" s="154"/>
      <c r="J37" s="65"/>
      <c r="K37" s="40"/>
      <c r="L37" s="40"/>
      <c r="M37" s="40"/>
      <c r="N37" s="40"/>
      <c r="O37" s="40"/>
    </row>
    <row r="38" spans="1:15" ht="12.75">
      <c r="A38" s="44"/>
      <c r="B38" s="147" t="s">
        <v>97</v>
      </c>
      <c r="C38" s="129" t="s">
        <v>1592</v>
      </c>
      <c r="D38" s="42" t="s">
        <v>2401</v>
      </c>
      <c r="E38" s="143" t="s">
        <v>3515</v>
      </c>
      <c r="F38" s="71"/>
      <c r="G38" s="71"/>
      <c r="H38" s="153"/>
      <c r="I38" s="154"/>
      <c r="J38" s="65"/>
      <c r="K38" s="40"/>
      <c r="L38" s="40"/>
      <c r="M38" s="40"/>
      <c r="N38" s="40"/>
      <c r="O38" s="40"/>
    </row>
    <row r="39" spans="1:15" ht="12.75">
      <c r="A39" s="44"/>
      <c r="B39" s="147" t="s">
        <v>97</v>
      </c>
      <c r="C39" s="10" t="s">
        <v>1594</v>
      </c>
      <c r="D39" s="42" t="s">
        <v>2401</v>
      </c>
      <c r="E39" s="134" t="s">
        <v>3516</v>
      </c>
      <c r="F39" s="71"/>
      <c r="G39" s="71"/>
      <c r="H39" s="153"/>
      <c r="I39" s="154"/>
      <c r="J39" s="65"/>
      <c r="K39" s="40"/>
      <c r="L39" s="40"/>
      <c r="M39" s="40"/>
      <c r="N39" s="40"/>
      <c r="O39" s="40"/>
    </row>
    <row r="40" spans="1:15" ht="12.75">
      <c r="A40" s="44"/>
      <c r="B40" s="147" t="s">
        <v>97</v>
      </c>
      <c r="C40" s="129" t="s">
        <v>1596</v>
      </c>
      <c r="D40" s="42" t="s">
        <v>2401</v>
      </c>
      <c r="E40" s="134" t="s">
        <v>3517</v>
      </c>
      <c r="F40" s="71"/>
      <c r="G40" s="71"/>
      <c r="H40" s="153"/>
      <c r="I40" s="154"/>
      <c r="J40" s="65"/>
      <c r="K40" s="40"/>
      <c r="L40" s="40"/>
      <c r="M40" s="40"/>
      <c r="N40" s="40"/>
      <c r="O40" s="40"/>
    </row>
    <row r="41" spans="1:15" ht="12.75">
      <c r="A41" s="44"/>
      <c r="B41" s="147" t="s">
        <v>97</v>
      </c>
      <c r="C41" s="129" t="s">
        <v>1598</v>
      </c>
      <c r="D41" s="42" t="s">
        <v>2401</v>
      </c>
      <c r="E41" s="199"/>
      <c r="F41" s="71" t="s">
        <v>3518</v>
      </c>
      <c r="G41" s="71"/>
      <c r="H41" s="153"/>
      <c r="I41" s="154"/>
      <c r="J41" s="65"/>
      <c r="K41" s="40"/>
      <c r="L41" s="40"/>
      <c r="M41" s="40"/>
      <c r="N41" s="40"/>
      <c r="O41" s="40"/>
    </row>
    <row r="42" spans="1:15" ht="12.75">
      <c r="A42" s="44"/>
      <c r="B42" s="147" t="s">
        <v>97</v>
      </c>
      <c r="C42" s="10" t="s">
        <v>1600</v>
      </c>
      <c r="D42" s="42" t="s">
        <v>2401</v>
      </c>
      <c r="E42" s="134" t="s">
        <v>2571</v>
      </c>
      <c r="F42" s="71"/>
      <c r="G42" s="71"/>
      <c r="H42" s="153"/>
      <c r="I42" s="154"/>
      <c r="J42" s="65"/>
      <c r="K42" s="40"/>
      <c r="L42" s="200"/>
      <c r="M42" s="40"/>
      <c r="N42" s="40"/>
      <c r="O42" s="40"/>
    </row>
    <row r="43" spans="1:15" ht="12.75">
      <c r="A43" s="44"/>
      <c r="B43" s="147" t="s">
        <v>97</v>
      </c>
      <c r="C43" s="10" t="s">
        <v>1602</v>
      </c>
      <c r="D43" s="42" t="s">
        <v>2401</v>
      </c>
      <c r="E43" s="143" t="s">
        <v>3519</v>
      </c>
      <c r="F43" s="71"/>
      <c r="G43" s="71"/>
      <c r="H43" s="153"/>
      <c r="I43" s="154"/>
      <c r="J43" s="65"/>
      <c r="K43" s="40"/>
      <c r="L43" s="122"/>
      <c r="M43" s="122"/>
      <c r="N43" s="122"/>
      <c r="O43" s="122"/>
    </row>
    <row r="44" spans="1:15" ht="12.75">
      <c r="A44" s="44"/>
      <c r="B44" s="147" t="s">
        <v>97</v>
      </c>
      <c r="C44" s="10" t="s">
        <v>1604</v>
      </c>
      <c r="D44" s="42" t="s">
        <v>2401</v>
      </c>
      <c r="E44" s="143" t="s">
        <v>2572</v>
      </c>
      <c r="F44" s="71"/>
      <c r="G44" s="71"/>
      <c r="H44" s="153"/>
      <c r="I44" s="154"/>
      <c r="J44" s="65"/>
      <c r="K44" s="40"/>
      <c r="L44" s="121"/>
      <c r="M44" s="40"/>
      <c r="N44" s="40"/>
      <c r="O44" s="40"/>
    </row>
    <row r="45" spans="1:15" ht="12.75">
      <c r="A45" s="44"/>
      <c r="B45" s="147" t="s">
        <v>97</v>
      </c>
      <c r="C45" s="10" t="s">
        <v>1606</v>
      </c>
      <c r="D45" s="42" t="s">
        <v>2401</v>
      </c>
      <c r="E45" s="143" t="s">
        <v>3520</v>
      </c>
      <c r="F45" s="71"/>
      <c r="G45" s="71"/>
      <c r="H45" s="153"/>
      <c r="I45" s="154"/>
      <c r="J45" s="65"/>
      <c r="K45" s="40"/>
      <c r="L45" s="40"/>
      <c r="M45" s="40"/>
      <c r="N45" s="40"/>
      <c r="O45" s="40"/>
    </row>
    <row r="46" spans="1:15" ht="12.75">
      <c r="A46" s="44"/>
      <c r="B46" s="147" t="s">
        <v>97</v>
      </c>
      <c r="C46" s="10" t="s">
        <v>1608</v>
      </c>
      <c r="D46" s="42" t="s">
        <v>2401</v>
      </c>
      <c r="E46" s="143" t="s">
        <v>2573</v>
      </c>
      <c r="F46" s="71"/>
      <c r="G46" s="71"/>
      <c r="H46" s="153"/>
      <c r="I46" s="154"/>
      <c r="J46" s="65"/>
      <c r="K46" s="40"/>
      <c r="L46" s="40"/>
      <c r="M46" s="40"/>
      <c r="N46" s="40"/>
      <c r="O46" s="40"/>
    </row>
    <row r="47" spans="1:15" ht="12.75">
      <c r="A47" s="44"/>
      <c r="B47" s="147" t="s">
        <v>97</v>
      </c>
      <c r="C47" s="129" t="s">
        <v>1610</v>
      </c>
      <c r="D47" s="42" t="s">
        <v>2401</v>
      </c>
      <c r="E47" s="199"/>
      <c r="F47" s="89" t="s">
        <v>3521</v>
      </c>
      <c r="G47" s="71"/>
      <c r="H47" s="153"/>
      <c r="I47" s="154"/>
      <c r="J47" s="65"/>
      <c r="K47" s="40"/>
      <c r="L47" s="40"/>
      <c r="M47" s="40"/>
      <c r="N47" s="40"/>
      <c r="O47" s="40"/>
    </row>
    <row r="48" spans="1:15" ht="12.75">
      <c r="A48" s="44"/>
      <c r="B48" s="147" t="s">
        <v>97</v>
      </c>
      <c r="C48" s="129" t="s">
        <v>1612</v>
      </c>
      <c r="D48" s="42" t="s">
        <v>2401</v>
      </c>
      <c r="E48" s="199"/>
      <c r="F48" s="71" t="s">
        <v>3522</v>
      </c>
      <c r="G48" s="71"/>
      <c r="H48" s="153"/>
      <c r="I48" s="154"/>
      <c r="J48" s="65"/>
      <c r="K48" s="40"/>
      <c r="L48" s="40"/>
      <c r="M48" s="40"/>
      <c r="N48" s="40"/>
      <c r="O48" s="40"/>
    </row>
    <row r="49" spans="1:15" ht="12.75">
      <c r="A49" s="44"/>
      <c r="B49" s="147" t="s">
        <v>97</v>
      </c>
      <c r="C49" s="129" t="s">
        <v>1614</v>
      </c>
      <c r="D49" s="42" t="s">
        <v>2401</v>
      </c>
      <c r="E49" s="143" t="s">
        <v>3523</v>
      </c>
      <c r="F49" s="71"/>
      <c r="G49" s="71"/>
      <c r="H49" s="153"/>
      <c r="I49" s="154"/>
      <c r="J49" s="65"/>
      <c r="K49" s="40"/>
      <c r="L49" s="40"/>
      <c r="M49" s="40"/>
      <c r="N49" s="40"/>
      <c r="O49" s="40"/>
    </row>
    <row r="50" spans="1:15" ht="12.75">
      <c r="A50" s="54"/>
      <c r="B50" s="147" t="s">
        <v>97</v>
      </c>
      <c r="C50" s="129" t="s">
        <v>1616</v>
      </c>
      <c r="D50" s="42" t="s">
        <v>2401</v>
      </c>
      <c r="E50" s="199"/>
      <c r="F50" s="89" t="s">
        <v>3524</v>
      </c>
      <c r="G50" s="71"/>
      <c r="H50" s="153"/>
      <c r="I50" s="154"/>
      <c r="J50" s="65"/>
      <c r="K50" s="40"/>
      <c r="L50" s="40"/>
      <c r="M50" s="40"/>
      <c r="N50" s="40"/>
      <c r="O50" s="40"/>
    </row>
    <row r="51" spans="1:15" ht="12.75">
      <c r="A51" s="44"/>
      <c r="B51" s="147" t="s">
        <v>97</v>
      </c>
      <c r="C51" s="155" t="s">
        <v>1618</v>
      </c>
      <c r="D51" s="42" t="s">
        <v>2401</v>
      </c>
      <c r="E51" s="199"/>
      <c r="F51" s="144"/>
      <c r="G51" s="89" t="s">
        <v>3525</v>
      </c>
      <c r="H51" s="153"/>
      <c r="I51" s="154"/>
      <c r="J51" s="65"/>
      <c r="K51" s="40"/>
      <c r="L51" s="40"/>
      <c r="M51" s="40"/>
      <c r="N51" s="40"/>
      <c r="O51" s="40"/>
    </row>
    <row r="52" spans="1:15" ht="12.75">
      <c r="A52" s="44"/>
      <c r="B52" s="147" t="s">
        <v>97</v>
      </c>
      <c r="C52" s="10" t="s">
        <v>1620</v>
      </c>
      <c r="D52" s="42" t="s">
        <v>2401</v>
      </c>
      <c r="E52" s="199"/>
      <c r="F52" s="144"/>
      <c r="G52" s="89" t="s">
        <v>3526</v>
      </c>
      <c r="H52" s="153"/>
      <c r="I52" s="154"/>
      <c r="J52" s="65"/>
      <c r="K52" s="40"/>
      <c r="L52" s="40"/>
      <c r="M52" s="40"/>
      <c r="N52" s="40"/>
      <c r="O52" s="40"/>
    </row>
    <row r="53" spans="1:15" ht="12.75">
      <c r="A53" s="54"/>
      <c r="B53" s="147" t="s">
        <v>97</v>
      </c>
      <c r="C53" s="10" t="s">
        <v>1622</v>
      </c>
      <c r="D53" s="42" t="s">
        <v>2401</v>
      </c>
      <c r="E53" s="199"/>
      <c r="F53" s="89" t="s">
        <v>3527</v>
      </c>
      <c r="G53" s="71"/>
      <c r="H53" s="153"/>
      <c r="I53" s="154"/>
      <c r="J53" s="65"/>
      <c r="K53" s="40"/>
      <c r="L53" s="40"/>
      <c r="M53" s="40"/>
      <c r="N53" s="40"/>
      <c r="O53" s="40"/>
    </row>
    <row r="54" spans="1:15" ht="12.75">
      <c r="A54" s="53"/>
      <c r="B54" s="147" t="s">
        <v>97</v>
      </c>
      <c r="C54" s="10" t="s">
        <v>1624</v>
      </c>
      <c r="D54" s="42" t="s">
        <v>2401</v>
      </c>
      <c r="E54" s="199"/>
      <c r="F54" s="144"/>
      <c r="G54" s="89" t="s">
        <v>3528</v>
      </c>
      <c r="H54" s="153"/>
      <c r="I54" s="154"/>
      <c r="J54" s="65"/>
      <c r="K54" s="40"/>
      <c r="L54" s="40"/>
      <c r="M54" s="40"/>
      <c r="N54" s="40"/>
      <c r="O54" s="40"/>
    </row>
    <row r="55" spans="1:15" ht="12.75">
      <c r="A55" s="54"/>
      <c r="B55" s="147" t="s">
        <v>97</v>
      </c>
      <c r="C55" s="10" t="s">
        <v>1626</v>
      </c>
      <c r="D55" s="42" t="s">
        <v>2401</v>
      </c>
      <c r="E55" s="199"/>
      <c r="F55" s="89" t="s">
        <v>3529</v>
      </c>
      <c r="G55" s="71"/>
      <c r="H55" s="153"/>
      <c r="I55" s="154"/>
      <c r="J55" s="65"/>
      <c r="K55" s="40"/>
      <c r="L55" s="40"/>
      <c r="M55" s="40"/>
      <c r="N55" s="40"/>
      <c r="O55" s="40"/>
    </row>
    <row r="56" spans="1:15" ht="12.75">
      <c r="A56" s="44"/>
      <c r="B56" s="147" t="s">
        <v>97</v>
      </c>
      <c r="C56" s="10" t="s">
        <v>1628</v>
      </c>
      <c r="D56" s="42" t="s">
        <v>2401</v>
      </c>
      <c r="E56" s="134" t="s">
        <v>3530</v>
      </c>
      <c r="F56" s="71"/>
      <c r="G56" s="71"/>
      <c r="H56" s="153"/>
      <c r="I56" s="154"/>
      <c r="J56" s="65"/>
      <c r="K56" s="40"/>
      <c r="L56" s="40"/>
      <c r="M56" s="40"/>
      <c r="N56" s="40"/>
      <c r="O56" s="40"/>
    </row>
    <row r="57" spans="1:15" ht="12.75">
      <c r="A57" s="44"/>
      <c r="B57" s="147" t="s">
        <v>97</v>
      </c>
      <c r="C57" s="10" t="s">
        <v>1630</v>
      </c>
      <c r="D57" s="42" t="s">
        <v>2401</v>
      </c>
      <c r="E57" s="143" t="s">
        <v>3531</v>
      </c>
      <c r="F57" s="71"/>
      <c r="G57" s="71"/>
      <c r="H57" s="153"/>
      <c r="I57" s="154"/>
      <c r="J57" s="65"/>
      <c r="K57" s="40"/>
      <c r="L57" s="200"/>
      <c r="M57" s="40"/>
      <c r="N57" s="40"/>
      <c r="O57" s="40"/>
    </row>
    <row r="58" spans="1:15" ht="12.75">
      <c r="A58" s="44"/>
      <c r="B58" s="147" t="s">
        <v>97</v>
      </c>
      <c r="C58" s="10" t="s">
        <v>1632</v>
      </c>
      <c r="D58" s="42" t="s">
        <v>2401</v>
      </c>
      <c r="E58" s="143" t="s">
        <v>3532</v>
      </c>
      <c r="F58" s="71"/>
      <c r="G58" s="71"/>
      <c r="H58" s="153"/>
      <c r="I58" s="154"/>
      <c r="J58" s="65"/>
      <c r="K58" s="40"/>
      <c r="L58" s="40"/>
      <c r="M58" s="40"/>
      <c r="N58" s="40"/>
      <c r="O58" s="40"/>
    </row>
    <row r="59" spans="1:15" ht="12.75">
      <c r="A59" s="44"/>
      <c r="B59" s="147" t="s">
        <v>97</v>
      </c>
      <c r="C59" s="10" t="s">
        <v>1634</v>
      </c>
      <c r="D59" s="42" t="s">
        <v>2401</v>
      </c>
      <c r="E59" s="134" t="s">
        <v>3533</v>
      </c>
      <c r="F59" s="71"/>
      <c r="G59" s="71"/>
      <c r="H59" s="153"/>
      <c r="I59" s="154"/>
      <c r="J59" s="65"/>
      <c r="K59" s="40"/>
      <c r="L59" s="121"/>
      <c r="M59" s="40"/>
      <c r="N59" s="40"/>
      <c r="O59" s="40"/>
    </row>
    <row r="60" spans="1:15" ht="12.75">
      <c r="A60" s="44"/>
      <c r="B60" s="147" t="s">
        <v>97</v>
      </c>
      <c r="C60" s="10" t="s">
        <v>1636</v>
      </c>
      <c r="D60" s="42" t="s">
        <v>2401</v>
      </c>
      <c r="E60" s="134" t="s">
        <v>3534</v>
      </c>
      <c r="F60" s="71"/>
      <c r="G60" s="71"/>
      <c r="H60" s="153"/>
      <c r="I60" s="154"/>
      <c r="J60" s="65"/>
      <c r="K60" s="40"/>
      <c r="L60" s="40"/>
      <c r="M60" s="40"/>
      <c r="N60" s="40"/>
      <c r="O60" s="40"/>
    </row>
    <row r="61" spans="1:15" ht="12.75">
      <c r="A61" s="44"/>
      <c r="B61" s="147" t="s">
        <v>97</v>
      </c>
      <c r="C61" s="10" t="s">
        <v>1638</v>
      </c>
      <c r="D61" s="42" t="s">
        <v>2401</v>
      </c>
      <c r="E61" s="134" t="s">
        <v>2574</v>
      </c>
      <c r="F61" s="71"/>
      <c r="G61" s="71"/>
      <c r="H61" s="153"/>
      <c r="I61" s="154"/>
      <c r="J61" s="65"/>
      <c r="K61" s="40"/>
      <c r="L61" s="200"/>
      <c r="M61" s="40"/>
      <c r="N61" s="40"/>
      <c r="O61" s="40"/>
    </row>
    <row r="62" spans="1:15" ht="12.75">
      <c r="A62" s="44"/>
      <c r="B62" s="147" t="s">
        <v>97</v>
      </c>
      <c r="C62" s="10" t="s">
        <v>1640</v>
      </c>
      <c r="D62" s="42" t="s">
        <v>2401</v>
      </c>
      <c r="E62" s="143" t="s">
        <v>2575</v>
      </c>
      <c r="F62" s="71"/>
      <c r="G62" s="71"/>
      <c r="H62" s="153"/>
      <c r="I62" s="154"/>
      <c r="J62" s="65"/>
      <c r="K62" s="40"/>
      <c r="L62" s="40"/>
      <c r="M62" s="40"/>
      <c r="N62" s="40"/>
      <c r="O62" s="40"/>
    </row>
    <row r="63" spans="1:15" ht="12.75">
      <c r="A63" s="44"/>
      <c r="B63" s="147" t="s">
        <v>97</v>
      </c>
      <c r="C63" s="10" t="s">
        <v>1642</v>
      </c>
      <c r="D63" s="42" t="s">
        <v>2401</v>
      </c>
      <c r="E63" s="199"/>
      <c r="F63" s="89" t="s">
        <v>3535</v>
      </c>
      <c r="G63" s="71"/>
      <c r="H63" s="153"/>
      <c r="I63" s="154"/>
      <c r="J63" s="65"/>
      <c r="K63" s="40"/>
      <c r="L63" s="121"/>
      <c r="M63" s="40"/>
      <c r="N63" s="40"/>
      <c r="O63" s="40"/>
    </row>
    <row r="64" spans="1:15" ht="12.75">
      <c r="A64" s="44"/>
      <c r="B64" s="147" t="s">
        <v>97</v>
      </c>
      <c r="C64" s="129" t="s">
        <v>1644</v>
      </c>
      <c r="D64" s="42" t="s">
        <v>2401</v>
      </c>
      <c r="E64" s="134" t="s">
        <v>3536</v>
      </c>
      <c r="F64" s="71"/>
      <c r="G64" s="71"/>
      <c r="H64" s="153"/>
      <c r="I64" s="154"/>
      <c r="J64" s="65"/>
      <c r="K64" s="40"/>
      <c r="L64" s="40"/>
      <c r="M64" s="40"/>
      <c r="N64" s="40"/>
      <c r="O64" s="40"/>
    </row>
    <row r="65" spans="1:15" ht="12.75">
      <c r="A65" s="44"/>
      <c r="B65" s="147" t="s">
        <v>97</v>
      </c>
      <c r="C65" s="10" t="s">
        <v>1646</v>
      </c>
      <c r="D65" s="42" t="s">
        <v>2401</v>
      </c>
      <c r="E65" s="134" t="s">
        <v>3537</v>
      </c>
      <c r="F65" s="71"/>
      <c r="G65" s="71"/>
      <c r="H65" s="153"/>
      <c r="I65" s="154"/>
      <c r="J65" s="65"/>
      <c r="K65" s="40"/>
      <c r="L65" s="40"/>
      <c r="M65" s="40"/>
      <c r="N65" s="40"/>
      <c r="O65" s="40"/>
    </row>
    <row r="66" spans="1:15" ht="12.75">
      <c r="A66" s="44"/>
      <c r="B66" s="147" t="s">
        <v>97</v>
      </c>
      <c r="C66" s="10" t="s">
        <v>1648</v>
      </c>
      <c r="D66" s="42" t="s">
        <v>2401</v>
      </c>
      <c r="E66" s="134" t="s">
        <v>2576</v>
      </c>
      <c r="F66" s="71"/>
      <c r="G66" s="71"/>
      <c r="H66" s="153"/>
      <c r="I66" s="154"/>
      <c r="J66" s="65"/>
      <c r="K66" s="40"/>
      <c r="L66" s="40"/>
      <c r="M66" s="40"/>
      <c r="N66" s="40"/>
      <c r="O66" s="40"/>
    </row>
    <row r="67" spans="1:15" ht="12.75">
      <c r="A67" s="44"/>
      <c r="B67" s="147" t="s">
        <v>97</v>
      </c>
      <c r="C67" s="10" t="s">
        <v>1650</v>
      </c>
      <c r="D67" s="42" t="s">
        <v>2401</v>
      </c>
      <c r="E67" s="143" t="s">
        <v>3538</v>
      </c>
      <c r="F67" s="71"/>
      <c r="G67" s="71"/>
      <c r="H67" s="153"/>
      <c r="I67" s="154"/>
      <c r="J67" s="65"/>
      <c r="K67" s="40"/>
      <c r="L67" s="40"/>
      <c r="M67" s="40"/>
      <c r="N67" s="40"/>
      <c r="O67" s="40"/>
    </row>
    <row r="68" spans="1:15" ht="12.75">
      <c r="A68" s="44"/>
      <c r="B68" s="147" t="s">
        <v>97</v>
      </c>
      <c r="C68" s="129" t="s">
        <v>1652</v>
      </c>
      <c r="D68" s="42" t="s">
        <v>2401</v>
      </c>
      <c r="E68" s="134" t="s">
        <v>3539</v>
      </c>
      <c r="F68" s="71"/>
      <c r="G68" s="71"/>
      <c r="H68" s="153"/>
      <c r="I68" s="154"/>
      <c r="J68" s="65"/>
      <c r="K68" s="40"/>
      <c r="L68" s="40"/>
      <c r="M68" s="40"/>
      <c r="N68" s="40"/>
      <c r="O68" s="40"/>
    </row>
    <row r="69" spans="1:15" ht="12.75">
      <c r="A69" s="44"/>
      <c r="B69" s="147" t="s">
        <v>97</v>
      </c>
      <c r="C69" s="10" t="s">
        <v>1654</v>
      </c>
      <c r="D69" s="42" t="s">
        <v>2401</v>
      </c>
      <c r="E69" s="134" t="s">
        <v>3540</v>
      </c>
      <c r="F69" s="71"/>
      <c r="G69" s="71"/>
      <c r="H69" s="153"/>
      <c r="I69" s="154"/>
      <c r="J69" s="65"/>
      <c r="K69" s="40"/>
      <c r="L69" s="40"/>
      <c r="M69" s="40"/>
      <c r="N69" s="40"/>
      <c r="O69" s="40"/>
    </row>
    <row r="70" spans="1:15" ht="12.75">
      <c r="A70" s="44"/>
      <c r="B70" s="147" t="s">
        <v>97</v>
      </c>
      <c r="C70" s="10" t="s">
        <v>1656</v>
      </c>
      <c r="D70" s="42" t="s">
        <v>2401</v>
      </c>
      <c r="E70" s="134" t="s">
        <v>3541</v>
      </c>
      <c r="F70" s="71"/>
      <c r="G70" s="71"/>
      <c r="H70" s="153"/>
      <c r="I70" s="154"/>
      <c r="J70" s="65"/>
      <c r="K70" s="40"/>
      <c r="L70" s="40"/>
      <c r="M70" s="40"/>
      <c r="N70" s="40"/>
      <c r="O70" s="40"/>
    </row>
    <row r="71" spans="1:15" ht="12.75">
      <c r="A71" s="44"/>
      <c r="B71" s="147" t="s">
        <v>97</v>
      </c>
      <c r="C71" s="10" t="s">
        <v>1658</v>
      </c>
      <c r="D71" s="42" t="s">
        <v>2401</v>
      </c>
      <c r="E71" s="134"/>
      <c r="F71" s="71" t="s">
        <v>3542</v>
      </c>
      <c r="G71" s="71"/>
      <c r="H71" s="153"/>
      <c r="I71" s="154"/>
      <c r="J71" s="65"/>
      <c r="K71" s="40"/>
      <c r="L71" s="40"/>
      <c r="M71" s="40"/>
      <c r="N71" s="40"/>
      <c r="O71" s="40"/>
    </row>
    <row r="72" spans="1:15" ht="12.75">
      <c r="A72" s="44"/>
      <c r="B72" s="147" t="s">
        <v>97</v>
      </c>
      <c r="C72" s="129" t="s">
        <v>1660</v>
      </c>
      <c r="D72" s="42" t="s">
        <v>2401</v>
      </c>
      <c r="E72" s="134" t="s">
        <v>3543</v>
      </c>
      <c r="F72" s="71"/>
      <c r="G72" s="71"/>
      <c r="H72" s="153"/>
      <c r="I72" s="154"/>
      <c r="J72" s="65"/>
      <c r="K72" s="40"/>
      <c r="L72" s="40"/>
      <c r="M72" s="40"/>
      <c r="N72" s="40"/>
      <c r="O72" s="40"/>
    </row>
    <row r="73" spans="1:15" ht="12.75">
      <c r="A73" s="44"/>
      <c r="B73" s="147" t="s">
        <v>97</v>
      </c>
      <c r="C73" s="129" t="s">
        <v>1662</v>
      </c>
      <c r="D73" s="42" t="s">
        <v>2401</v>
      </c>
      <c r="E73" s="134" t="s">
        <v>3544</v>
      </c>
      <c r="F73" s="71"/>
      <c r="G73" s="71"/>
      <c r="H73" s="153"/>
      <c r="I73" s="154"/>
      <c r="J73" s="65"/>
      <c r="K73" s="40"/>
      <c r="L73" s="40"/>
      <c r="M73" s="40"/>
      <c r="N73" s="40"/>
      <c r="O73" s="40"/>
    </row>
    <row r="74" spans="1:15" ht="12.75">
      <c r="A74" s="44"/>
      <c r="B74" s="147" t="s">
        <v>97</v>
      </c>
      <c r="C74" s="10" t="s">
        <v>1664</v>
      </c>
      <c r="D74" s="42" t="s">
        <v>2401</v>
      </c>
      <c r="E74" s="134" t="s">
        <v>3545</v>
      </c>
      <c r="F74" s="71"/>
      <c r="G74" s="71"/>
      <c r="H74" s="153"/>
      <c r="I74" s="154"/>
      <c r="J74" s="65"/>
      <c r="K74" s="40"/>
      <c r="L74" s="40"/>
      <c r="M74" s="40"/>
      <c r="N74" s="40"/>
      <c r="O74" s="40"/>
    </row>
    <row r="75" spans="1:15" ht="12.75">
      <c r="A75" s="44"/>
      <c r="B75" s="147" t="s">
        <v>97</v>
      </c>
      <c r="C75" s="10" t="s">
        <v>1666</v>
      </c>
      <c r="D75" s="42" t="s">
        <v>2401</v>
      </c>
      <c r="E75" s="134" t="s">
        <v>3546</v>
      </c>
      <c r="F75" s="71"/>
      <c r="G75" s="71"/>
      <c r="H75" s="153"/>
      <c r="I75" s="154"/>
      <c r="J75" s="65"/>
      <c r="K75" s="40"/>
      <c r="L75" s="40"/>
      <c r="M75" s="40"/>
      <c r="N75" s="40"/>
      <c r="O75" s="40"/>
    </row>
    <row r="76" spans="1:15" ht="12.75">
      <c r="A76" s="44"/>
      <c r="B76" s="147" t="s">
        <v>97</v>
      </c>
      <c r="C76" s="10" t="s">
        <v>1668</v>
      </c>
      <c r="D76" s="42" t="s">
        <v>2401</v>
      </c>
      <c r="E76" s="134" t="s">
        <v>3547</v>
      </c>
      <c r="F76" s="71"/>
      <c r="G76" s="71"/>
      <c r="H76" s="153"/>
      <c r="I76" s="154"/>
      <c r="J76" s="65"/>
      <c r="K76" s="40"/>
      <c r="L76" s="40"/>
      <c r="M76" s="40"/>
      <c r="N76" s="40"/>
      <c r="O76" s="40"/>
    </row>
    <row r="77" spans="1:15" ht="12.75">
      <c r="A77" s="44"/>
      <c r="B77" s="147" t="s">
        <v>97</v>
      </c>
      <c r="C77" s="10" t="s">
        <v>1670</v>
      </c>
      <c r="D77" s="42" t="s">
        <v>2401</v>
      </c>
      <c r="E77" s="134" t="s">
        <v>3548</v>
      </c>
      <c r="F77" s="71"/>
      <c r="G77" s="71"/>
      <c r="H77" s="153"/>
      <c r="I77" s="154"/>
      <c r="J77" s="65"/>
      <c r="K77" s="40"/>
      <c r="L77" s="40"/>
      <c r="M77" s="40"/>
      <c r="N77" s="40"/>
      <c r="O77" s="40"/>
    </row>
    <row r="78" spans="1:15" ht="12.75">
      <c r="A78" s="44"/>
      <c r="B78" s="147" t="s">
        <v>97</v>
      </c>
      <c r="C78" s="10" t="s">
        <v>1672</v>
      </c>
      <c r="D78" s="42" t="s">
        <v>2401</v>
      </c>
      <c r="E78" s="134" t="s">
        <v>3549</v>
      </c>
      <c r="F78" s="71"/>
      <c r="G78" s="71"/>
      <c r="H78" s="153"/>
      <c r="I78" s="154"/>
      <c r="J78" s="65"/>
      <c r="K78" s="40"/>
      <c r="L78" s="40"/>
      <c r="M78" s="40"/>
      <c r="N78" s="40"/>
      <c r="O78" s="40"/>
    </row>
    <row r="79" spans="1:15" ht="12.75">
      <c r="A79" s="44"/>
      <c r="B79" s="147" t="s">
        <v>97</v>
      </c>
      <c r="C79" s="10" t="s">
        <v>1674</v>
      </c>
      <c r="D79" s="42" t="s">
        <v>2401</v>
      </c>
      <c r="E79" s="143" t="s">
        <v>2578</v>
      </c>
      <c r="F79" s="71"/>
      <c r="G79" s="71"/>
      <c r="H79" s="153"/>
      <c r="I79" s="154"/>
      <c r="J79" s="65"/>
      <c r="K79" s="40"/>
      <c r="L79" s="40"/>
      <c r="M79" s="40"/>
      <c r="N79" s="40"/>
      <c r="O79" s="40"/>
    </row>
    <row r="80" spans="1:15" ht="12.75">
      <c r="A80" s="44"/>
      <c r="B80" s="147" t="s">
        <v>97</v>
      </c>
      <c r="C80" s="10" t="s">
        <v>1676</v>
      </c>
      <c r="D80" s="42" t="s">
        <v>2401</v>
      </c>
      <c r="E80" s="73" t="s">
        <v>3550</v>
      </c>
      <c r="F80" s="71"/>
      <c r="G80" s="71"/>
      <c r="H80" s="153"/>
      <c r="I80" s="154"/>
      <c r="J80" s="65"/>
      <c r="K80" s="40"/>
      <c r="L80" s="40"/>
      <c r="M80" s="40"/>
      <c r="N80" s="40"/>
      <c r="O80" s="40"/>
    </row>
    <row r="81" spans="1:15" ht="12.75">
      <c r="A81" s="44"/>
      <c r="B81" s="147" t="s">
        <v>97</v>
      </c>
      <c r="C81" s="10" t="s">
        <v>1678</v>
      </c>
      <c r="D81" s="42" t="s">
        <v>2401</v>
      </c>
      <c r="E81" s="73" t="s">
        <v>3551</v>
      </c>
      <c r="F81" s="71"/>
      <c r="G81" s="71"/>
      <c r="H81" s="153"/>
      <c r="I81" s="154"/>
      <c r="J81" s="65"/>
      <c r="K81" s="40"/>
      <c r="L81" s="40"/>
      <c r="M81" s="40"/>
      <c r="N81" s="40"/>
      <c r="O81" s="40"/>
    </row>
    <row r="82" spans="1:15" ht="12.75">
      <c r="A82" s="44"/>
      <c r="B82" s="147" t="s">
        <v>97</v>
      </c>
      <c r="C82" s="10" t="s">
        <v>1680</v>
      </c>
      <c r="D82" s="42" t="s">
        <v>2401</v>
      </c>
      <c r="E82" s="73" t="s">
        <v>3552</v>
      </c>
      <c r="F82" s="71"/>
      <c r="G82" s="71"/>
      <c r="H82" s="153"/>
      <c r="I82" s="154"/>
      <c r="J82" s="65"/>
      <c r="K82" s="40"/>
      <c r="L82" s="40"/>
      <c r="M82" s="40"/>
      <c r="N82" s="40"/>
      <c r="O82" s="40"/>
    </row>
    <row r="83" spans="1:15" ht="12.75">
      <c r="A83" s="44"/>
      <c r="B83" s="147" t="s">
        <v>97</v>
      </c>
      <c r="C83" s="129" t="s">
        <v>1682</v>
      </c>
      <c r="D83" s="42" t="s">
        <v>2401</v>
      </c>
      <c r="E83" s="199"/>
      <c r="F83" s="89" t="s">
        <v>3553</v>
      </c>
      <c r="G83" s="89"/>
      <c r="H83" s="148"/>
      <c r="I83" s="149"/>
      <c r="J83" s="90"/>
      <c r="K83" s="39"/>
      <c r="L83" s="39"/>
      <c r="M83" s="39"/>
      <c r="N83" s="39"/>
      <c r="O83" s="39"/>
    </row>
    <row r="84" spans="1:15" ht="12.75">
      <c r="A84" s="44"/>
      <c r="B84" s="147" t="s">
        <v>97</v>
      </c>
      <c r="C84" s="10" t="s">
        <v>1684</v>
      </c>
      <c r="D84" s="42" t="s">
        <v>2401</v>
      </c>
      <c r="E84" s="199"/>
      <c r="F84" s="71" t="s">
        <v>3554</v>
      </c>
      <c r="G84" s="71"/>
      <c r="H84" s="153"/>
      <c r="I84" s="154"/>
      <c r="J84" s="65"/>
      <c r="K84" s="40"/>
      <c r="L84" s="40"/>
      <c r="M84" s="40"/>
      <c r="N84" s="40"/>
      <c r="O84" s="40"/>
    </row>
    <row r="85" spans="1:15" ht="12.75">
      <c r="A85" s="44"/>
      <c r="B85" s="147" t="s">
        <v>97</v>
      </c>
      <c r="C85" s="10" t="s">
        <v>1686</v>
      </c>
      <c r="D85" s="42" t="s">
        <v>2401</v>
      </c>
      <c r="E85" s="199"/>
      <c r="F85" s="71" t="s">
        <v>3555</v>
      </c>
      <c r="G85" s="71"/>
      <c r="H85" s="153"/>
      <c r="I85" s="154"/>
      <c r="J85" s="65"/>
      <c r="K85" s="40"/>
      <c r="L85" s="40"/>
      <c r="M85" s="40"/>
      <c r="N85" s="40"/>
      <c r="O85" s="40"/>
    </row>
    <row r="86" spans="1:15" ht="12.75">
      <c r="A86" s="44"/>
      <c r="B86" s="147" t="s">
        <v>97</v>
      </c>
      <c r="C86" s="10" t="s">
        <v>1688</v>
      </c>
      <c r="D86" s="42" t="s">
        <v>2401</v>
      </c>
      <c r="E86" s="199"/>
      <c r="F86" s="144"/>
      <c r="G86" s="71" t="s">
        <v>3556</v>
      </c>
      <c r="H86" s="153"/>
      <c r="I86" s="154"/>
      <c r="J86" s="65"/>
      <c r="K86" s="40"/>
      <c r="L86" s="40"/>
      <c r="M86" s="40"/>
      <c r="N86" s="40"/>
      <c r="O86" s="40"/>
    </row>
    <row r="87" spans="1:15" ht="12.75">
      <c r="A87" s="40"/>
      <c r="B87" s="147" t="s">
        <v>97</v>
      </c>
      <c r="C87" s="10" t="s">
        <v>1690</v>
      </c>
      <c r="D87" s="42" t="s">
        <v>2401</v>
      </c>
      <c r="E87" s="199"/>
      <c r="F87" s="71" t="s">
        <v>2577</v>
      </c>
      <c r="G87" s="71"/>
      <c r="H87" s="153"/>
      <c r="I87" s="154"/>
      <c r="J87" s="65"/>
      <c r="K87" s="40"/>
      <c r="L87" s="40"/>
      <c r="M87" s="40"/>
      <c r="N87" s="40"/>
      <c r="O87" s="40"/>
    </row>
    <row r="88" spans="1:15" ht="12.75">
      <c r="A88" s="44"/>
      <c r="B88" s="147" t="s">
        <v>97</v>
      </c>
      <c r="C88" s="10" t="s">
        <v>1692</v>
      </c>
      <c r="D88" s="42" t="s">
        <v>2401</v>
      </c>
      <c r="E88" s="134" t="s">
        <v>3557</v>
      </c>
      <c r="F88" s="71"/>
      <c r="G88" s="71"/>
      <c r="H88" s="153"/>
      <c r="I88" s="154"/>
      <c r="J88" s="65"/>
      <c r="K88" s="40"/>
      <c r="L88" s="40"/>
      <c r="M88" s="40"/>
      <c r="N88" s="40"/>
      <c r="O88" s="40"/>
    </row>
    <row r="89" spans="1:15" ht="12.75">
      <c r="A89" s="44"/>
      <c r="B89" s="147" t="s">
        <v>97</v>
      </c>
      <c r="C89" s="10" t="s">
        <v>1694</v>
      </c>
      <c r="D89" s="42" t="s">
        <v>2401</v>
      </c>
      <c r="E89" s="134" t="s">
        <v>3558</v>
      </c>
      <c r="F89" s="71"/>
      <c r="G89" s="71"/>
      <c r="H89" s="153"/>
      <c r="I89" s="154"/>
      <c r="J89" s="65"/>
      <c r="K89" s="40"/>
      <c r="L89" s="40"/>
      <c r="M89" s="40"/>
      <c r="N89" s="40"/>
      <c r="O89" s="40"/>
    </row>
    <row r="90" spans="1:15" ht="12.75">
      <c r="A90" s="44"/>
      <c r="B90" s="147" t="s">
        <v>97</v>
      </c>
      <c r="C90" s="10" t="s">
        <v>1696</v>
      </c>
      <c r="D90" s="42" t="s">
        <v>2401</v>
      </c>
      <c r="E90" s="134" t="s">
        <v>3559</v>
      </c>
      <c r="F90" s="71"/>
      <c r="G90" s="71"/>
      <c r="H90" s="153"/>
      <c r="I90" s="154"/>
      <c r="J90" s="65"/>
      <c r="K90" s="40"/>
      <c r="L90" s="40"/>
      <c r="M90" s="40"/>
      <c r="N90" s="40"/>
      <c r="O90" s="40"/>
    </row>
    <row r="91" spans="1:15" ht="12.75">
      <c r="A91" s="44"/>
      <c r="B91" s="147" t="s">
        <v>97</v>
      </c>
      <c r="C91" s="129" t="s">
        <v>1698</v>
      </c>
      <c r="D91" s="42" t="s">
        <v>2401</v>
      </c>
      <c r="E91" s="134" t="s">
        <v>3560</v>
      </c>
      <c r="F91" s="71"/>
      <c r="G91" s="71"/>
      <c r="H91" s="153"/>
      <c r="I91" s="154"/>
      <c r="J91" s="65"/>
      <c r="K91" s="40"/>
      <c r="L91" s="40"/>
      <c r="M91" s="40"/>
      <c r="N91" s="40"/>
      <c r="O91" s="40"/>
    </row>
    <row r="92" spans="1:15" ht="12.75">
      <c r="A92" s="44"/>
      <c r="B92" s="147" t="s">
        <v>97</v>
      </c>
      <c r="C92" s="10" t="s">
        <v>1700</v>
      </c>
      <c r="D92" s="42" t="s">
        <v>2401</v>
      </c>
      <c r="E92" s="134" t="s">
        <v>3561</v>
      </c>
      <c r="F92" s="71"/>
      <c r="G92" s="71"/>
      <c r="H92" s="153"/>
      <c r="I92" s="154"/>
      <c r="J92" s="65"/>
      <c r="K92" s="40"/>
      <c r="L92" s="40"/>
      <c r="M92" s="40"/>
      <c r="N92" s="40"/>
      <c r="O92" s="40"/>
    </row>
    <row r="93" spans="1:15" ht="12.75">
      <c r="A93" s="44"/>
      <c r="B93" s="147" t="s">
        <v>97</v>
      </c>
      <c r="C93" s="10" t="s">
        <v>1702</v>
      </c>
      <c r="D93" s="42" t="s">
        <v>2401</v>
      </c>
      <c r="E93" s="199"/>
      <c r="F93" s="89" t="s">
        <v>3562</v>
      </c>
      <c r="G93" s="71"/>
      <c r="H93" s="153"/>
      <c r="I93" s="154"/>
      <c r="J93" s="65"/>
      <c r="K93" s="40"/>
      <c r="L93" s="40"/>
      <c r="M93" s="40"/>
      <c r="N93" s="40"/>
      <c r="O93" s="40"/>
    </row>
    <row r="94" spans="1:15" ht="12.75">
      <c r="A94" s="44"/>
      <c r="B94" s="147" t="s">
        <v>97</v>
      </c>
      <c r="C94" s="10" t="s">
        <v>1704</v>
      </c>
      <c r="D94" s="42" t="s">
        <v>2401</v>
      </c>
      <c r="E94" s="199"/>
      <c r="F94" s="89" t="s">
        <v>3563</v>
      </c>
      <c r="G94" s="71"/>
      <c r="H94" s="153"/>
      <c r="I94" s="154"/>
      <c r="J94" s="65"/>
      <c r="K94" s="40"/>
      <c r="L94" s="40"/>
      <c r="M94" s="40"/>
      <c r="N94" s="40"/>
      <c r="O94" s="40"/>
    </row>
    <row r="95" spans="1:15" ht="12.75">
      <c r="A95" s="44"/>
      <c r="B95" s="147" t="s">
        <v>97</v>
      </c>
      <c r="C95" s="10" t="s">
        <v>1706</v>
      </c>
      <c r="D95" s="42" t="s">
        <v>2401</v>
      </c>
      <c r="E95" s="143" t="s">
        <v>2579</v>
      </c>
      <c r="F95" s="71"/>
      <c r="G95" s="71"/>
      <c r="H95" s="153"/>
      <c r="I95" s="154"/>
      <c r="J95" s="65"/>
      <c r="K95" s="40"/>
      <c r="L95" s="40"/>
      <c r="M95" s="40"/>
      <c r="N95" s="40"/>
      <c r="O95" s="40"/>
    </row>
    <row r="96" spans="1:15" ht="12.75">
      <c r="A96" s="44"/>
      <c r="B96" s="147" t="s">
        <v>97</v>
      </c>
      <c r="C96" s="10" t="s">
        <v>1708</v>
      </c>
      <c r="D96" s="42" t="s">
        <v>2401</v>
      </c>
      <c r="E96" s="143" t="s">
        <v>3564</v>
      </c>
      <c r="F96" s="71"/>
      <c r="G96" s="71"/>
      <c r="H96" s="153"/>
      <c r="I96" s="154"/>
      <c r="J96" s="65"/>
      <c r="K96" s="40"/>
      <c r="L96" s="40"/>
      <c r="M96" s="40"/>
      <c r="N96" s="40"/>
      <c r="O96" s="40"/>
    </row>
    <row r="97" spans="1:15" ht="12.75">
      <c r="A97" s="44"/>
      <c r="B97" s="147" t="s">
        <v>97</v>
      </c>
      <c r="C97" s="10" t="s">
        <v>1710</v>
      </c>
      <c r="D97" s="42" t="s">
        <v>2401</v>
      </c>
      <c r="E97" s="134" t="s">
        <v>3565</v>
      </c>
      <c r="F97" s="71"/>
      <c r="G97" s="71"/>
      <c r="H97" s="153"/>
      <c r="I97" s="154"/>
      <c r="J97" s="65"/>
      <c r="K97" s="40"/>
      <c r="L97" s="40"/>
      <c r="M97" s="40"/>
      <c r="N97" s="40"/>
      <c r="O97" s="40"/>
    </row>
    <row r="98" spans="1:15" ht="12.75">
      <c r="A98" s="44"/>
      <c r="B98" s="147" t="s">
        <v>97</v>
      </c>
      <c r="C98" s="129" t="s">
        <v>1712</v>
      </c>
      <c r="D98" s="42" t="s">
        <v>2401</v>
      </c>
      <c r="E98" s="199"/>
      <c r="F98" s="71" t="s">
        <v>3566</v>
      </c>
      <c r="G98" s="71"/>
      <c r="H98" s="153"/>
      <c r="I98" s="154"/>
      <c r="J98" s="65"/>
      <c r="K98" s="40"/>
      <c r="L98" s="40"/>
      <c r="M98" s="40"/>
      <c r="N98" s="40"/>
      <c r="O98" s="40"/>
    </row>
    <row r="99" spans="1:15" ht="12.75">
      <c r="A99" s="44"/>
      <c r="B99" s="147" t="s">
        <v>97</v>
      </c>
      <c r="C99" s="129" t="s">
        <v>1714</v>
      </c>
      <c r="D99" s="42" t="s">
        <v>2401</v>
      </c>
      <c r="E99" s="143" t="s">
        <v>3567</v>
      </c>
      <c r="F99" s="71"/>
      <c r="G99" s="71"/>
      <c r="H99" s="153"/>
      <c r="I99" s="154"/>
      <c r="J99" s="65"/>
      <c r="K99" s="40"/>
      <c r="L99" s="40"/>
      <c r="M99" s="40"/>
      <c r="N99" s="40"/>
      <c r="O99" s="40"/>
    </row>
    <row r="100" spans="1:15" ht="12.75">
      <c r="A100" s="44"/>
      <c r="B100" s="147" t="s">
        <v>97</v>
      </c>
      <c r="C100" s="10" t="s">
        <v>1716</v>
      </c>
      <c r="D100" s="42" t="s">
        <v>2401</v>
      </c>
      <c r="E100" s="134" t="s">
        <v>3568</v>
      </c>
      <c r="F100" s="71"/>
      <c r="G100" s="71"/>
      <c r="H100" s="153"/>
      <c r="I100" s="154"/>
      <c r="J100" s="65"/>
      <c r="K100" s="40"/>
      <c r="L100" s="40"/>
      <c r="M100" s="40"/>
      <c r="N100" s="40"/>
      <c r="O100" s="40"/>
    </row>
    <row r="101" spans="1:15" ht="12.75">
      <c r="A101" s="44"/>
      <c r="B101" s="147" t="s">
        <v>97</v>
      </c>
      <c r="C101" s="10" t="s">
        <v>1718</v>
      </c>
      <c r="D101" s="42" t="s">
        <v>2401</v>
      </c>
      <c r="E101" s="134" t="s">
        <v>3569</v>
      </c>
      <c r="F101" s="71"/>
      <c r="G101" s="71"/>
      <c r="H101" s="153"/>
      <c r="I101" s="154"/>
      <c r="J101" s="65"/>
      <c r="K101" s="40"/>
      <c r="L101" s="40"/>
      <c r="M101" s="40"/>
      <c r="N101" s="40"/>
      <c r="O101" s="40"/>
    </row>
    <row r="102" spans="1:15" ht="12.75">
      <c r="A102" s="44"/>
      <c r="B102" s="147" t="s">
        <v>97</v>
      </c>
      <c r="C102" s="10" t="s">
        <v>1720</v>
      </c>
      <c r="D102" s="42" t="s">
        <v>2401</v>
      </c>
      <c r="E102" s="134" t="s">
        <v>3570</v>
      </c>
      <c r="F102" s="71"/>
      <c r="G102" s="71"/>
      <c r="H102" s="153"/>
      <c r="I102" s="154"/>
      <c r="J102" s="65"/>
      <c r="K102" s="40"/>
      <c r="L102" s="40"/>
      <c r="M102" s="40"/>
      <c r="N102" s="40"/>
      <c r="O102" s="40"/>
    </row>
    <row r="103" spans="1:15" ht="12.75">
      <c r="A103" s="44"/>
      <c r="B103" s="147" t="s">
        <v>97</v>
      </c>
      <c r="C103" s="129" t="s">
        <v>1722</v>
      </c>
      <c r="D103" s="42" t="s">
        <v>2401</v>
      </c>
      <c r="E103" s="134" t="s">
        <v>3571</v>
      </c>
      <c r="F103" s="71"/>
      <c r="G103" s="71"/>
      <c r="H103" s="153"/>
      <c r="I103" s="154"/>
      <c r="J103" s="65"/>
      <c r="K103" s="40"/>
      <c r="L103" s="40"/>
      <c r="M103" s="40"/>
      <c r="N103" s="40"/>
      <c r="O103" s="40"/>
    </row>
    <row r="104" spans="1:15" ht="12.75">
      <c r="A104" s="44"/>
      <c r="B104" s="147" t="s">
        <v>97</v>
      </c>
      <c r="C104" s="10" t="s">
        <v>1724</v>
      </c>
      <c r="D104" s="42" t="s">
        <v>2401</v>
      </c>
      <c r="E104" s="134" t="s">
        <v>2580</v>
      </c>
      <c r="F104" s="71"/>
      <c r="G104" s="71"/>
      <c r="H104" s="153"/>
      <c r="I104" s="154"/>
      <c r="J104" s="65"/>
      <c r="K104" s="40"/>
      <c r="L104" s="40"/>
      <c r="M104" s="40"/>
      <c r="N104" s="40"/>
      <c r="O104" s="40"/>
    </row>
    <row r="105" spans="1:15" ht="12.75">
      <c r="A105" s="44"/>
      <c r="B105" s="147" t="s">
        <v>97</v>
      </c>
      <c r="C105" s="10" t="s">
        <v>1726</v>
      </c>
      <c r="D105" s="42" t="s">
        <v>2401</v>
      </c>
      <c r="E105" s="143" t="s">
        <v>3572</v>
      </c>
      <c r="F105" s="71"/>
      <c r="G105" s="71"/>
      <c r="H105" s="153"/>
      <c r="I105" s="154"/>
      <c r="J105" s="65"/>
      <c r="K105" s="40"/>
      <c r="L105" s="40"/>
      <c r="M105" s="40"/>
      <c r="N105" s="40"/>
      <c r="O105" s="40"/>
    </row>
    <row r="106" spans="1:15" ht="12.75">
      <c r="A106" s="44"/>
      <c r="B106" s="147" t="s">
        <v>97</v>
      </c>
      <c r="C106" s="10" t="s">
        <v>1728</v>
      </c>
      <c r="D106" s="42" t="s">
        <v>2401</v>
      </c>
      <c r="E106" s="134" t="s">
        <v>3573</v>
      </c>
      <c r="F106" s="71"/>
      <c r="G106" s="71"/>
      <c r="H106" s="153"/>
      <c r="I106" s="154"/>
      <c r="J106" s="65"/>
      <c r="K106" s="40"/>
      <c r="L106" s="40"/>
      <c r="M106" s="40"/>
      <c r="N106" s="40"/>
      <c r="O106" s="40"/>
    </row>
    <row r="107" spans="1:15" ht="12.75">
      <c r="A107" s="44"/>
      <c r="B107" s="147" t="s">
        <v>97</v>
      </c>
      <c r="C107" s="10" t="s">
        <v>1730</v>
      </c>
      <c r="D107" s="42" t="s">
        <v>2401</v>
      </c>
      <c r="E107" s="134" t="s">
        <v>2581</v>
      </c>
      <c r="F107" s="71"/>
      <c r="G107" s="71"/>
      <c r="H107" s="153"/>
      <c r="I107" s="154"/>
      <c r="J107" s="65"/>
      <c r="K107" s="40"/>
      <c r="L107" s="40"/>
      <c r="M107" s="40"/>
      <c r="N107" s="40"/>
      <c r="O107" s="40"/>
    </row>
    <row r="108" spans="1:15" ht="12.75">
      <c r="A108" s="60"/>
      <c r="B108" s="147" t="s">
        <v>97</v>
      </c>
      <c r="C108" s="201" t="s">
        <v>97</v>
      </c>
      <c r="D108" s="201"/>
      <c r="E108" s="202"/>
      <c r="F108" s="74"/>
      <c r="G108" s="74"/>
      <c r="H108" s="194"/>
      <c r="I108" s="203"/>
      <c r="J108" s="62"/>
      <c r="K108" s="75"/>
      <c r="L108" s="75"/>
      <c r="M108" s="75"/>
      <c r="N108" s="75"/>
      <c r="O108" s="75"/>
    </row>
    <row r="109" spans="1:15" ht="12.75">
      <c r="A109" s="60"/>
      <c r="B109" s="147" t="s">
        <v>97</v>
      </c>
      <c r="C109" s="201"/>
      <c r="D109" s="201"/>
      <c r="E109" s="202"/>
      <c r="F109" s="74"/>
      <c r="G109" s="74"/>
      <c r="H109" s="194"/>
      <c r="I109" s="203"/>
      <c r="J109" s="62"/>
      <c r="K109" s="75"/>
      <c r="L109" s="75"/>
      <c r="M109" s="75"/>
      <c r="N109" s="75"/>
      <c r="O109" s="75"/>
    </row>
    <row r="110" spans="1:15" ht="12.75">
      <c r="A110" s="44" t="s">
        <v>1732</v>
      </c>
      <c r="B110" s="147" t="s">
        <v>1348</v>
      </c>
      <c r="C110" s="10" t="s">
        <v>1733</v>
      </c>
      <c r="D110" s="42" t="s">
        <v>2401</v>
      </c>
      <c r="E110" s="143" t="s">
        <v>2610</v>
      </c>
      <c r="F110" s="71"/>
      <c r="G110" s="71"/>
      <c r="H110" s="153"/>
      <c r="I110" s="154"/>
      <c r="J110" s="65"/>
      <c r="K110" s="40"/>
      <c r="L110" s="40" t="s">
        <v>3574</v>
      </c>
      <c r="M110" s="40"/>
      <c r="N110" s="40"/>
      <c r="O110" s="40"/>
    </row>
    <row r="111" spans="1:15" ht="12.75">
      <c r="A111" s="44"/>
      <c r="B111" s="147" t="s">
        <v>97</v>
      </c>
      <c r="C111" s="10" t="s">
        <v>1734</v>
      </c>
      <c r="D111" s="42" t="s">
        <v>2401</v>
      </c>
      <c r="E111" s="134" t="s">
        <v>2611</v>
      </c>
      <c r="F111" s="71"/>
      <c r="G111" s="71"/>
      <c r="H111" s="153"/>
      <c r="I111" s="154"/>
      <c r="J111" s="65"/>
      <c r="K111" s="40"/>
      <c r="L111" s="40" t="s">
        <v>3574</v>
      </c>
      <c r="M111" s="40"/>
      <c r="N111" s="40"/>
      <c r="O111" s="40"/>
    </row>
    <row r="112" spans="1:15" ht="12.75">
      <c r="A112" s="44"/>
      <c r="B112" s="147" t="s">
        <v>97</v>
      </c>
      <c r="C112" s="10" t="s">
        <v>1736</v>
      </c>
      <c r="D112" s="42" t="s">
        <v>2401</v>
      </c>
      <c r="E112" s="134" t="s">
        <v>2326</v>
      </c>
      <c r="F112" s="71"/>
      <c r="G112" s="71"/>
      <c r="H112" s="153"/>
      <c r="I112" s="154"/>
      <c r="J112" s="65"/>
      <c r="K112" s="40"/>
      <c r="L112" s="40" t="s">
        <v>3575</v>
      </c>
      <c r="M112" s="40"/>
      <c r="N112" s="40"/>
      <c r="O112" s="40"/>
    </row>
    <row r="113" spans="1:15" ht="12.75">
      <c r="A113" s="60"/>
      <c r="B113" s="147" t="s">
        <v>97</v>
      </c>
      <c r="C113" s="201" t="s">
        <v>97</v>
      </c>
      <c r="D113" s="201"/>
      <c r="E113" s="202"/>
      <c r="F113" s="74"/>
      <c r="G113" s="74"/>
      <c r="H113" s="194"/>
      <c r="I113" s="203"/>
      <c r="J113" s="62"/>
      <c r="K113" s="75"/>
      <c r="L113" s="75"/>
      <c r="M113" s="75"/>
      <c r="N113" s="75"/>
      <c r="O113" s="75"/>
    </row>
    <row r="114" spans="1:15" ht="12.75">
      <c r="A114" s="60"/>
      <c r="B114" s="147" t="s">
        <v>97</v>
      </c>
      <c r="C114" s="201"/>
      <c r="D114" s="201"/>
      <c r="E114" s="202"/>
      <c r="F114" s="74"/>
      <c r="G114" s="74"/>
      <c r="H114" s="194"/>
      <c r="I114" s="203"/>
      <c r="J114" s="62"/>
      <c r="K114" s="75"/>
      <c r="L114" s="75"/>
      <c r="M114" s="75"/>
      <c r="N114" s="75"/>
      <c r="O114" s="75"/>
    </row>
    <row r="115" spans="1:15" ht="12.75">
      <c r="A115" s="31" t="s">
        <v>1738</v>
      </c>
      <c r="B115" s="147" t="s">
        <v>1439</v>
      </c>
      <c r="C115" s="128" t="s">
        <v>2129</v>
      </c>
      <c r="D115" s="42" t="s">
        <v>2401</v>
      </c>
      <c r="E115" s="143" t="s">
        <v>2331</v>
      </c>
      <c r="F115" s="71"/>
      <c r="G115" s="71"/>
      <c r="H115" s="153"/>
      <c r="I115" s="154"/>
      <c r="J115" s="65"/>
      <c r="K115" s="40"/>
      <c r="L115" s="40" t="s">
        <v>3576</v>
      </c>
      <c r="M115" s="40"/>
      <c r="N115" s="40"/>
      <c r="O115" s="40"/>
    </row>
    <row r="116" spans="1:15" ht="12.75">
      <c r="A116" s="31"/>
      <c r="B116" s="147" t="s">
        <v>97</v>
      </c>
      <c r="C116" s="128" t="s">
        <v>1740</v>
      </c>
      <c r="D116" s="42" t="s">
        <v>2401</v>
      </c>
      <c r="E116" s="204" t="s">
        <v>2707</v>
      </c>
      <c r="F116" s="71"/>
      <c r="G116" s="71"/>
      <c r="H116" s="153"/>
      <c r="I116" s="154"/>
      <c r="J116" s="65"/>
      <c r="K116" s="40"/>
      <c r="L116" s="40" t="s">
        <v>3577</v>
      </c>
      <c r="M116" s="40"/>
      <c r="N116" s="40"/>
      <c r="O116" s="40"/>
    </row>
    <row r="117" spans="1:15" ht="12.75">
      <c r="A117" s="60"/>
      <c r="B117" s="147" t="s">
        <v>97</v>
      </c>
      <c r="C117" s="75" t="s">
        <v>97</v>
      </c>
      <c r="D117" s="201"/>
      <c r="E117" s="202"/>
      <c r="F117" s="74"/>
      <c r="G117" s="74"/>
      <c r="H117" s="194"/>
      <c r="I117" s="203"/>
      <c r="J117" s="62"/>
      <c r="K117" s="75"/>
      <c r="L117" s="75"/>
      <c r="M117" s="75"/>
      <c r="N117" s="75"/>
      <c r="O117" s="75"/>
    </row>
    <row r="118" spans="1:15" ht="12.75">
      <c r="A118" s="60"/>
      <c r="B118" s="147" t="s">
        <v>97</v>
      </c>
      <c r="C118" s="75" t="s">
        <v>97</v>
      </c>
      <c r="D118" s="201"/>
      <c r="E118" s="202"/>
      <c r="F118" s="74"/>
      <c r="G118" s="74"/>
      <c r="H118" s="194"/>
      <c r="I118" s="203"/>
      <c r="J118" s="62"/>
      <c r="K118" s="75"/>
      <c r="L118" s="75"/>
      <c r="M118" s="75"/>
      <c r="N118" s="75"/>
      <c r="O118" s="75"/>
    </row>
    <row r="119" spans="1:15" ht="12.75">
      <c r="A119" s="44" t="s">
        <v>1741</v>
      </c>
      <c r="B119" s="147" t="s">
        <v>1339</v>
      </c>
      <c r="C119" s="10" t="s">
        <v>1742</v>
      </c>
      <c r="D119" s="42" t="s">
        <v>2401</v>
      </c>
      <c r="E119" s="143" t="s">
        <v>3578</v>
      </c>
      <c r="F119" s="144"/>
      <c r="G119" s="71"/>
      <c r="H119" s="153"/>
      <c r="I119" s="154"/>
      <c r="J119" s="65"/>
      <c r="K119" s="40"/>
      <c r="L119" s="40"/>
      <c r="M119" s="40"/>
      <c r="N119" s="40"/>
      <c r="O119" s="40"/>
    </row>
    <row r="120" spans="1:15" ht="12.75">
      <c r="A120" s="44"/>
      <c r="B120" s="147" t="s">
        <v>97</v>
      </c>
      <c r="C120" s="10" t="s">
        <v>1744</v>
      </c>
      <c r="D120" s="42" t="s">
        <v>2401</v>
      </c>
      <c r="E120" s="134" t="s">
        <v>3579</v>
      </c>
      <c r="F120" s="71"/>
      <c r="G120" s="71"/>
      <c r="H120" s="153"/>
      <c r="I120" s="154"/>
      <c r="J120" s="65"/>
      <c r="K120" s="40"/>
      <c r="L120" s="40"/>
      <c r="M120" s="40"/>
      <c r="N120" s="40"/>
      <c r="O120" s="40"/>
    </row>
    <row r="121" spans="1:15" ht="12.75">
      <c r="A121" s="44"/>
      <c r="B121" s="147" t="s">
        <v>97</v>
      </c>
      <c r="C121" s="10" t="s">
        <v>1746</v>
      </c>
      <c r="D121" s="42" t="s">
        <v>2401</v>
      </c>
      <c r="E121" s="134" t="s">
        <v>3580</v>
      </c>
      <c r="F121" s="71"/>
      <c r="G121" s="71"/>
      <c r="H121" s="153"/>
      <c r="I121" s="154"/>
      <c r="J121" s="65"/>
      <c r="K121" s="40"/>
      <c r="L121" s="40"/>
      <c r="M121" s="40"/>
      <c r="N121" s="40"/>
      <c r="O121" s="40"/>
    </row>
    <row r="122" spans="1:15" ht="12.75">
      <c r="A122" s="44"/>
      <c r="B122" s="147" t="s">
        <v>97</v>
      </c>
      <c r="C122" s="10" t="s">
        <v>1748</v>
      </c>
      <c r="D122" s="42" t="s">
        <v>2401</v>
      </c>
      <c r="E122" s="205" t="s">
        <v>3581</v>
      </c>
      <c r="F122" s="71"/>
      <c r="G122" s="71"/>
      <c r="H122" s="153"/>
      <c r="I122" s="154"/>
      <c r="J122" s="65"/>
      <c r="K122" s="40"/>
      <c r="L122" s="40"/>
      <c r="M122" s="40"/>
      <c r="N122" s="40"/>
      <c r="O122" s="40"/>
    </row>
    <row r="123" spans="1:15" ht="12.75">
      <c r="A123" s="44"/>
      <c r="B123" s="147" t="s">
        <v>97</v>
      </c>
      <c r="C123" s="10" t="s">
        <v>1750</v>
      </c>
      <c r="D123" s="42" t="s">
        <v>2401</v>
      </c>
      <c r="E123" s="205" t="s">
        <v>3582</v>
      </c>
      <c r="F123" s="71"/>
      <c r="G123" s="71"/>
      <c r="H123" s="153"/>
      <c r="I123" s="154"/>
      <c r="J123" s="65"/>
      <c r="K123" s="40"/>
      <c r="L123" s="40"/>
      <c r="M123" s="40"/>
      <c r="N123" s="40"/>
      <c r="O123" s="40"/>
    </row>
    <row r="124" spans="1:15" ht="12.75">
      <c r="A124" s="44"/>
      <c r="B124" s="147" t="s">
        <v>97</v>
      </c>
      <c r="C124" s="10" t="s">
        <v>1752</v>
      </c>
      <c r="D124" s="42" t="s">
        <v>2401</v>
      </c>
      <c r="E124" s="205" t="s">
        <v>2594</v>
      </c>
      <c r="F124" s="71"/>
      <c r="G124" s="71"/>
      <c r="H124" s="153"/>
      <c r="I124" s="154"/>
      <c r="J124" s="65"/>
      <c r="K124" s="40"/>
      <c r="L124" s="40"/>
      <c r="M124" s="40"/>
      <c r="N124" s="40"/>
      <c r="O124" s="40"/>
    </row>
    <row r="125" spans="1:15" ht="12.75">
      <c r="A125" s="124"/>
      <c r="B125" s="147" t="s">
        <v>97</v>
      </c>
      <c r="C125" s="10" t="s">
        <v>1754</v>
      </c>
      <c r="D125" s="42" t="s">
        <v>2401</v>
      </c>
      <c r="E125" s="199"/>
      <c r="F125" s="125" t="s">
        <v>3583</v>
      </c>
      <c r="G125" s="71"/>
      <c r="H125" s="153"/>
      <c r="I125" s="154"/>
      <c r="J125" s="65"/>
      <c r="K125" s="40"/>
      <c r="L125" s="40"/>
      <c r="M125" s="40"/>
      <c r="N125" s="40"/>
      <c r="O125" s="40"/>
    </row>
    <row r="126" spans="1:15" ht="12.75">
      <c r="A126" s="124"/>
      <c r="B126" s="147" t="s">
        <v>97</v>
      </c>
      <c r="C126" s="10" t="s">
        <v>1756</v>
      </c>
      <c r="D126" s="42" t="s">
        <v>2401</v>
      </c>
      <c r="E126" s="199"/>
      <c r="F126" s="125" t="s">
        <v>3584</v>
      </c>
      <c r="G126" s="71"/>
      <c r="H126" s="153"/>
      <c r="I126" s="154"/>
      <c r="J126" s="65"/>
      <c r="K126" s="40"/>
      <c r="L126" s="40"/>
      <c r="M126" s="40"/>
      <c r="N126" s="40"/>
      <c r="O126" s="40"/>
    </row>
    <row r="127" spans="1:15" ht="12.75">
      <c r="A127" s="124"/>
      <c r="B127" s="147" t="s">
        <v>97</v>
      </c>
      <c r="C127" s="10" t="s">
        <v>1758</v>
      </c>
      <c r="D127" s="42" t="s">
        <v>2401</v>
      </c>
      <c r="E127" s="199"/>
      <c r="F127" s="125" t="s">
        <v>3585</v>
      </c>
      <c r="G127" s="71"/>
      <c r="H127" s="153"/>
      <c r="I127" s="154"/>
      <c r="J127" s="65"/>
      <c r="K127" s="40"/>
      <c r="L127" s="40"/>
      <c r="M127" s="40"/>
      <c r="N127" s="40"/>
      <c r="O127" s="40"/>
    </row>
    <row r="128" spans="1:15" ht="12.75">
      <c r="A128" s="124"/>
      <c r="B128" s="147" t="s">
        <v>97</v>
      </c>
      <c r="C128" s="10" t="s">
        <v>1759</v>
      </c>
      <c r="D128" s="42" t="s">
        <v>2401</v>
      </c>
      <c r="E128" s="199"/>
      <c r="F128" s="125" t="s">
        <v>3586</v>
      </c>
      <c r="G128" s="71"/>
      <c r="H128" s="153"/>
      <c r="I128" s="154"/>
      <c r="J128" s="65"/>
      <c r="K128" s="40"/>
      <c r="L128" s="40"/>
      <c r="M128" s="40"/>
      <c r="N128" s="40"/>
      <c r="O128" s="40"/>
    </row>
    <row r="129" spans="1:15" ht="12.75">
      <c r="A129" s="124"/>
      <c r="B129" s="147" t="s">
        <v>97</v>
      </c>
      <c r="C129" s="10" t="s">
        <v>1761</v>
      </c>
      <c r="D129" s="42" t="s">
        <v>2401</v>
      </c>
      <c r="E129" s="199"/>
      <c r="F129" s="125" t="s">
        <v>3587</v>
      </c>
      <c r="G129" s="71"/>
      <c r="H129" s="153"/>
      <c r="I129" s="154"/>
      <c r="J129" s="65"/>
      <c r="K129" s="40"/>
      <c r="L129" s="40"/>
      <c r="M129" s="40"/>
      <c r="N129" s="40"/>
      <c r="O129" s="40"/>
    </row>
    <row r="130" spans="1:15" ht="12.75">
      <c r="A130" s="44"/>
      <c r="B130" s="147" t="s">
        <v>97</v>
      </c>
      <c r="C130" s="155" t="s">
        <v>1763</v>
      </c>
      <c r="D130" s="42" t="s">
        <v>2401</v>
      </c>
      <c r="E130" s="205" t="s">
        <v>2603</v>
      </c>
      <c r="F130" s="71"/>
      <c r="G130" s="71"/>
      <c r="H130" s="153"/>
      <c r="I130" s="154"/>
      <c r="J130" s="65"/>
      <c r="K130" s="40"/>
      <c r="L130" s="40"/>
      <c r="M130" s="40"/>
      <c r="N130" s="40"/>
      <c r="O130" s="40"/>
    </row>
    <row r="131" spans="1:15" ht="12.75">
      <c r="A131" s="124"/>
      <c r="B131" s="147" t="s">
        <v>97</v>
      </c>
      <c r="C131" s="10" t="s">
        <v>1765</v>
      </c>
      <c r="D131" s="42" t="s">
        <v>2401</v>
      </c>
      <c r="E131" s="199"/>
      <c r="F131" s="125" t="s">
        <v>3588</v>
      </c>
      <c r="G131" s="71"/>
      <c r="H131" s="153"/>
      <c r="I131" s="154"/>
      <c r="J131" s="65"/>
      <c r="K131" s="40"/>
      <c r="L131" s="40"/>
      <c r="M131" s="40"/>
      <c r="N131" s="40"/>
      <c r="O131" s="40"/>
    </row>
    <row r="132" spans="1:15" ht="12.75">
      <c r="A132" s="124"/>
      <c r="B132" s="147" t="s">
        <v>97</v>
      </c>
      <c r="C132" s="10" t="s">
        <v>1767</v>
      </c>
      <c r="D132" s="42" t="s">
        <v>2401</v>
      </c>
      <c r="E132" s="199"/>
      <c r="F132" s="125" t="s">
        <v>2604</v>
      </c>
      <c r="G132" s="71"/>
      <c r="H132" s="153"/>
      <c r="I132" s="154"/>
      <c r="J132" s="65"/>
      <c r="K132" s="40"/>
      <c r="L132" s="40"/>
      <c r="M132" s="40"/>
      <c r="N132" s="40"/>
      <c r="O132" s="40"/>
    </row>
    <row r="133" spans="1:15" ht="12.75">
      <c r="A133" s="124"/>
      <c r="B133" s="147" t="s">
        <v>97</v>
      </c>
      <c r="C133" s="10" t="s">
        <v>1769</v>
      </c>
      <c r="D133" s="42" t="s">
        <v>2401</v>
      </c>
      <c r="E133" s="199"/>
      <c r="F133" s="71"/>
      <c r="G133" s="125" t="s">
        <v>3589</v>
      </c>
      <c r="H133" s="153"/>
      <c r="I133" s="154"/>
      <c r="J133" s="65"/>
      <c r="K133" s="40"/>
      <c r="L133" s="40"/>
      <c r="M133" s="40"/>
      <c r="N133" s="40"/>
      <c r="O133" s="40"/>
    </row>
    <row r="134" spans="1:15" ht="12.75">
      <c r="A134" s="44"/>
      <c r="B134" s="147" t="s">
        <v>97</v>
      </c>
      <c r="C134" s="10" t="s">
        <v>1771</v>
      </c>
      <c r="D134" s="42" t="s">
        <v>2401</v>
      </c>
      <c r="E134" s="205" t="s">
        <v>3590</v>
      </c>
      <c r="F134" s="71"/>
      <c r="G134" s="71"/>
      <c r="H134" s="153"/>
      <c r="I134" s="154"/>
      <c r="J134" s="65"/>
      <c r="K134" s="40"/>
      <c r="L134" s="40"/>
      <c r="M134" s="40"/>
      <c r="N134" s="40"/>
      <c r="O134" s="40"/>
    </row>
    <row r="135" spans="1:15" ht="12.75">
      <c r="A135" s="124"/>
      <c r="B135" s="147" t="s">
        <v>97</v>
      </c>
      <c r="C135" s="129" t="s">
        <v>1592</v>
      </c>
      <c r="D135" s="42" t="s">
        <v>2401</v>
      </c>
      <c r="E135" s="199"/>
      <c r="F135" s="71" t="s">
        <v>3515</v>
      </c>
      <c r="G135" s="71"/>
      <c r="H135" s="153"/>
      <c r="I135" s="154"/>
      <c r="J135" s="65"/>
      <c r="K135" s="40"/>
      <c r="L135" s="40"/>
      <c r="M135" s="40"/>
      <c r="N135" s="40"/>
      <c r="O135" s="40"/>
    </row>
    <row r="136" spans="1:15" ht="12.75">
      <c r="A136" s="124"/>
      <c r="B136" s="147" t="s">
        <v>97</v>
      </c>
      <c r="C136" s="10" t="s">
        <v>1773</v>
      </c>
      <c r="D136" s="42" t="s">
        <v>2401</v>
      </c>
      <c r="E136" s="199"/>
      <c r="F136" s="125" t="s">
        <v>3591</v>
      </c>
      <c r="G136" s="71"/>
      <c r="H136" s="153"/>
      <c r="I136" s="154"/>
      <c r="J136" s="65"/>
      <c r="K136" s="40"/>
      <c r="L136" s="40"/>
      <c r="M136" s="40"/>
      <c r="N136" s="40"/>
      <c r="O136" s="40"/>
    </row>
    <row r="137" spans="1:15" ht="12.75">
      <c r="A137" s="124"/>
      <c r="B137" s="147" t="s">
        <v>97</v>
      </c>
      <c r="C137" s="129" t="s">
        <v>1775</v>
      </c>
      <c r="D137" s="42" t="s">
        <v>2401</v>
      </c>
      <c r="E137" s="199"/>
      <c r="F137" s="89" t="s">
        <v>3592</v>
      </c>
      <c r="G137" s="71"/>
      <c r="H137" s="153"/>
      <c r="I137" s="154"/>
      <c r="J137" s="65"/>
      <c r="K137" s="40"/>
      <c r="L137" s="40"/>
      <c r="M137" s="40"/>
      <c r="N137" s="40"/>
      <c r="O137" s="40"/>
    </row>
    <row r="138" spans="1:15" ht="12.75">
      <c r="A138" s="124"/>
      <c r="B138" s="147" t="s">
        <v>97</v>
      </c>
      <c r="C138" s="10" t="s">
        <v>1777</v>
      </c>
      <c r="D138" s="42" t="s">
        <v>2401</v>
      </c>
      <c r="E138" s="199"/>
      <c r="F138" s="125" t="s">
        <v>3593</v>
      </c>
      <c r="G138" s="71"/>
      <c r="H138" s="153"/>
      <c r="I138" s="154"/>
      <c r="J138" s="65"/>
      <c r="K138" s="40"/>
      <c r="L138" s="40"/>
      <c r="M138" s="40"/>
      <c r="N138" s="40"/>
      <c r="O138" s="40"/>
    </row>
    <row r="139" spans="1:15" ht="12.75">
      <c r="A139" s="124"/>
      <c r="B139" s="147" t="s">
        <v>97</v>
      </c>
      <c r="C139" s="10" t="s">
        <v>1779</v>
      </c>
      <c r="D139" s="42" t="s">
        <v>2401</v>
      </c>
      <c r="E139" s="199"/>
      <c r="F139" s="125" t="s">
        <v>3594</v>
      </c>
      <c r="G139" s="71"/>
      <c r="H139" s="153"/>
      <c r="I139" s="154"/>
      <c r="J139" s="65"/>
      <c r="K139" s="40"/>
      <c r="L139" s="40"/>
      <c r="M139" s="40"/>
      <c r="N139" s="40"/>
      <c r="O139" s="40"/>
    </row>
    <row r="140" spans="1:15" ht="12.75">
      <c r="A140" s="124"/>
      <c r="B140" s="147" t="s">
        <v>97</v>
      </c>
      <c r="C140" s="10" t="s">
        <v>1654</v>
      </c>
      <c r="D140" s="42" t="s">
        <v>2401</v>
      </c>
      <c r="E140" s="199"/>
      <c r="F140" s="71" t="s">
        <v>3540</v>
      </c>
      <c r="G140" s="71"/>
      <c r="H140" s="153"/>
      <c r="I140" s="154"/>
      <c r="J140" s="65"/>
      <c r="K140" s="40"/>
      <c r="L140" s="40"/>
      <c r="M140" s="40"/>
      <c r="N140" s="40"/>
      <c r="O140" s="40"/>
    </row>
    <row r="141" spans="1:15" ht="12.75">
      <c r="A141" s="44"/>
      <c r="B141" s="147" t="s">
        <v>97</v>
      </c>
      <c r="C141" s="10" t="s">
        <v>1781</v>
      </c>
      <c r="D141" s="42" t="s">
        <v>2401</v>
      </c>
      <c r="E141" s="205" t="s">
        <v>3595</v>
      </c>
      <c r="F141" s="71"/>
      <c r="G141" s="71"/>
      <c r="H141" s="153"/>
      <c r="I141" s="154"/>
      <c r="J141" s="65"/>
      <c r="K141" s="40"/>
      <c r="L141" s="40"/>
      <c r="M141" s="40"/>
      <c r="N141" s="40"/>
      <c r="O141" s="40"/>
    </row>
    <row r="142" spans="1:15" ht="12.75">
      <c r="A142" s="44"/>
      <c r="B142" s="147" t="s">
        <v>97</v>
      </c>
      <c r="C142" s="10" t="s">
        <v>1783</v>
      </c>
      <c r="D142" s="42" t="s">
        <v>2401</v>
      </c>
      <c r="E142" s="205" t="s">
        <v>3596</v>
      </c>
      <c r="F142" s="71"/>
      <c r="G142" s="71"/>
      <c r="H142" s="153"/>
      <c r="I142" s="154"/>
      <c r="J142" s="65"/>
      <c r="K142" s="40"/>
      <c r="L142" s="40"/>
      <c r="M142" s="40"/>
      <c r="N142" s="40"/>
      <c r="O142" s="40"/>
    </row>
    <row r="143" spans="1:15" ht="12.75">
      <c r="A143" s="44"/>
      <c r="B143" s="147" t="s">
        <v>97</v>
      </c>
      <c r="C143" s="10" t="s">
        <v>1785</v>
      </c>
      <c r="D143" s="42" t="s">
        <v>2401</v>
      </c>
      <c r="E143" s="205" t="s">
        <v>3597</v>
      </c>
      <c r="F143" s="71"/>
      <c r="G143" s="71"/>
      <c r="H143" s="153"/>
      <c r="I143" s="154"/>
      <c r="J143" s="65"/>
      <c r="K143" s="40"/>
      <c r="L143" s="40"/>
      <c r="M143" s="40"/>
      <c r="N143" s="40"/>
      <c r="O143" s="40"/>
    </row>
    <row r="144" spans="1:15" ht="12.75">
      <c r="A144" s="44"/>
      <c r="B144" s="147" t="s">
        <v>97</v>
      </c>
      <c r="C144" s="10" t="s">
        <v>1789</v>
      </c>
      <c r="D144" s="42" t="s">
        <v>2401</v>
      </c>
      <c r="E144" s="205" t="s">
        <v>3598</v>
      </c>
      <c r="F144" s="71"/>
      <c r="G144" s="71"/>
      <c r="H144" s="153"/>
      <c r="I144" s="154"/>
      <c r="J144" s="65"/>
      <c r="K144" s="40"/>
      <c r="L144" s="40"/>
      <c r="M144" s="40"/>
      <c r="N144" s="40"/>
      <c r="O144" s="40"/>
    </row>
    <row r="145" spans="1:15" ht="12.75">
      <c r="A145" s="44"/>
      <c r="B145" s="147" t="s">
        <v>97</v>
      </c>
      <c r="C145" s="10" t="s">
        <v>1791</v>
      </c>
      <c r="D145" s="42" t="s">
        <v>2401</v>
      </c>
      <c r="E145" s="134" t="s">
        <v>2595</v>
      </c>
      <c r="F145" s="71"/>
      <c r="G145" s="71"/>
      <c r="H145" s="153"/>
      <c r="I145" s="154"/>
      <c r="J145" s="65"/>
      <c r="K145" s="40"/>
      <c r="L145" s="40"/>
      <c r="M145" s="40"/>
      <c r="N145" s="40"/>
      <c r="O145" s="40"/>
    </row>
    <row r="146" spans="1:15" ht="12.75">
      <c r="A146" s="44"/>
      <c r="B146" s="147" t="s">
        <v>97</v>
      </c>
      <c r="C146" s="10" t="s">
        <v>1793</v>
      </c>
      <c r="D146" s="42" t="s">
        <v>2401</v>
      </c>
      <c r="E146" s="199"/>
      <c r="F146" s="71" t="s">
        <v>2596</v>
      </c>
      <c r="G146" s="71"/>
      <c r="H146" s="153"/>
      <c r="I146" s="154"/>
      <c r="J146" s="65"/>
      <c r="K146" s="40"/>
      <c r="L146" s="40"/>
      <c r="M146" s="40"/>
      <c r="N146" s="40"/>
      <c r="O146" s="40"/>
    </row>
    <row r="147" spans="1:15" ht="12.75">
      <c r="A147" s="44"/>
      <c r="B147" s="147" t="s">
        <v>97</v>
      </c>
      <c r="C147" s="10" t="s">
        <v>1795</v>
      </c>
      <c r="D147" s="42" t="s">
        <v>2401</v>
      </c>
      <c r="E147" s="199"/>
      <c r="F147" s="71" t="s">
        <v>2597</v>
      </c>
      <c r="G147" s="71"/>
      <c r="H147" s="153"/>
      <c r="I147" s="154"/>
      <c r="J147" s="65"/>
      <c r="K147" s="40"/>
      <c r="L147" s="40"/>
      <c r="M147" s="40"/>
      <c r="N147" s="40"/>
      <c r="O147" s="40"/>
    </row>
    <row r="148" spans="1:15" ht="12.75">
      <c r="A148" s="44"/>
      <c r="B148" s="147" t="s">
        <v>97</v>
      </c>
      <c r="C148" s="10" t="s">
        <v>1797</v>
      </c>
      <c r="D148" s="42" t="s">
        <v>2401</v>
      </c>
      <c r="E148" s="205" t="s">
        <v>3599</v>
      </c>
      <c r="F148" s="71"/>
      <c r="G148" s="71"/>
      <c r="H148" s="153"/>
      <c r="I148" s="154"/>
      <c r="J148" s="65"/>
      <c r="K148" s="40"/>
      <c r="L148" s="40"/>
      <c r="M148" s="40"/>
      <c r="N148" s="40"/>
      <c r="O148" s="40"/>
    </row>
    <row r="149" spans="1:15" ht="12.75">
      <c r="A149" s="44"/>
      <c r="B149" s="147" t="s">
        <v>97</v>
      </c>
      <c r="C149" s="10" t="s">
        <v>1799</v>
      </c>
      <c r="D149" s="42" t="s">
        <v>2401</v>
      </c>
      <c r="E149" s="134" t="s">
        <v>3600</v>
      </c>
      <c r="F149" s="71"/>
      <c r="G149" s="71"/>
      <c r="H149" s="153"/>
      <c r="I149" s="154"/>
      <c r="J149" s="65"/>
      <c r="K149" s="40"/>
      <c r="L149" s="40"/>
      <c r="M149" s="40"/>
      <c r="N149" s="40"/>
      <c r="O149" s="40"/>
    </row>
    <row r="150" spans="1:15" ht="12.75">
      <c r="A150" s="44"/>
      <c r="B150" s="147" t="s">
        <v>97</v>
      </c>
      <c r="C150" s="10" t="s">
        <v>1801</v>
      </c>
      <c r="D150" s="42" t="s">
        <v>2401</v>
      </c>
      <c r="E150" s="199"/>
      <c r="F150" s="71" t="s">
        <v>3601</v>
      </c>
      <c r="G150" s="71"/>
      <c r="H150" s="153"/>
      <c r="I150" s="154"/>
      <c r="J150" s="65"/>
      <c r="K150" s="40"/>
      <c r="L150" s="40"/>
      <c r="M150" s="40"/>
      <c r="N150" s="40"/>
      <c r="O150" s="40"/>
    </row>
    <row r="151" spans="1:15" ht="12.75">
      <c r="A151" s="44"/>
      <c r="B151" s="147" t="s">
        <v>97</v>
      </c>
      <c r="C151" s="10" t="s">
        <v>1803</v>
      </c>
      <c r="D151" s="42" t="s">
        <v>2401</v>
      </c>
      <c r="E151" s="199"/>
      <c r="F151" s="71" t="s">
        <v>3602</v>
      </c>
      <c r="G151" s="71"/>
      <c r="H151" s="153"/>
      <c r="I151" s="154"/>
      <c r="J151" s="65"/>
      <c r="K151" s="40"/>
      <c r="L151" s="40"/>
      <c r="M151" s="40"/>
      <c r="N151" s="40"/>
      <c r="O151" s="40"/>
    </row>
    <row r="152" spans="1:15" ht="12.75">
      <c r="A152" s="44"/>
      <c r="B152" s="147" t="s">
        <v>97</v>
      </c>
      <c r="C152" s="10" t="s">
        <v>1805</v>
      </c>
      <c r="D152" s="42" t="s">
        <v>2401</v>
      </c>
      <c r="E152" s="199"/>
      <c r="F152" s="71" t="s">
        <v>3603</v>
      </c>
      <c r="G152" s="71"/>
      <c r="H152" s="153"/>
      <c r="I152" s="154"/>
      <c r="J152" s="65"/>
      <c r="K152" s="40"/>
      <c r="L152" s="40"/>
      <c r="M152" s="40"/>
      <c r="N152" s="40"/>
      <c r="O152" s="40"/>
    </row>
    <row r="153" spans="1:15" ht="12.75">
      <c r="A153" s="44"/>
      <c r="B153" s="147" t="s">
        <v>97</v>
      </c>
      <c r="C153" s="10" t="s">
        <v>1634</v>
      </c>
      <c r="D153" s="42" t="s">
        <v>2401</v>
      </c>
      <c r="E153" s="134" t="s">
        <v>3533</v>
      </c>
      <c r="F153" s="71"/>
      <c r="G153" s="71"/>
      <c r="H153" s="153"/>
      <c r="I153" s="154"/>
      <c r="J153" s="65"/>
      <c r="K153" s="40"/>
      <c r="L153" s="40"/>
      <c r="M153" s="40"/>
      <c r="N153" s="40"/>
      <c r="O153" s="40"/>
    </row>
    <row r="154" spans="1:15" ht="12.75">
      <c r="A154" s="44"/>
      <c r="B154" s="147" t="s">
        <v>97</v>
      </c>
      <c r="C154" s="10" t="s">
        <v>1807</v>
      </c>
      <c r="D154" s="42" t="s">
        <v>2401</v>
      </c>
      <c r="E154" s="134" t="s">
        <v>3604</v>
      </c>
      <c r="F154" s="71"/>
      <c r="G154" s="71"/>
      <c r="H154" s="153"/>
      <c r="I154" s="154"/>
      <c r="J154" s="65"/>
      <c r="K154" s="40"/>
      <c r="L154" s="40"/>
      <c r="M154" s="40"/>
      <c r="N154" s="40"/>
      <c r="O154" s="40"/>
    </row>
    <row r="155" spans="1:15" ht="12.75">
      <c r="A155" s="44"/>
      <c r="B155" s="147" t="s">
        <v>97</v>
      </c>
      <c r="C155" s="10" t="s">
        <v>1809</v>
      </c>
      <c r="D155" s="42" t="s">
        <v>2401</v>
      </c>
      <c r="E155" s="205" t="s">
        <v>3605</v>
      </c>
      <c r="F155" s="71"/>
      <c r="G155" s="71"/>
      <c r="H155" s="153"/>
      <c r="I155" s="154"/>
      <c r="J155" s="65"/>
      <c r="K155" s="40"/>
      <c r="L155" s="40"/>
      <c r="M155" s="40"/>
      <c r="N155" s="40"/>
      <c r="O155" s="40"/>
    </row>
    <row r="156" spans="1:15" ht="12.75">
      <c r="A156" s="44"/>
      <c r="B156" s="147" t="s">
        <v>97</v>
      </c>
      <c r="C156" s="10" t="s">
        <v>1811</v>
      </c>
      <c r="D156" s="42" t="s">
        <v>2401</v>
      </c>
      <c r="E156" s="205" t="s">
        <v>3606</v>
      </c>
      <c r="F156" s="71"/>
      <c r="G156" s="71"/>
      <c r="H156" s="153"/>
      <c r="I156" s="154"/>
      <c r="J156" s="65"/>
      <c r="K156" s="40"/>
      <c r="L156" s="40"/>
      <c r="M156" s="40"/>
      <c r="N156" s="40"/>
      <c r="O156" s="40"/>
    </row>
    <row r="157" spans="1:15" ht="12.75">
      <c r="A157" s="44"/>
      <c r="B157" s="147" t="s">
        <v>97</v>
      </c>
      <c r="C157" s="10" t="s">
        <v>1813</v>
      </c>
      <c r="D157" s="42" t="s">
        <v>2401</v>
      </c>
      <c r="E157" s="205" t="s">
        <v>2599</v>
      </c>
      <c r="F157" s="71"/>
      <c r="G157" s="71"/>
      <c r="H157" s="153"/>
      <c r="I157" s="154"/>
      <c r="J157" s="65"/>
      <c r="K157" s="40"/>
      <c r="L157" s="40"/>
      <c r="M157" s="40"/>
      <c r="N157" s="40"/>
      <c r="O157" s="40"/>
    </row>
    <row r="158" spans="1:15" ht="12.75">
      <c r="A158" s="124"/>
      <c r="B158" s="147" t="s">
        <v>97</v>
      </c>
      <c r="C158" s="10" t="s">
        <v>1815</v>
      </c>
      <c r="D158" s="42" t="s">
        <v>2401</v>
      </c>
      <c r="E158" s="199"/>
      <c r="F158" s="71" t="s">
        <v>2600</v>
      </c>
      <c r="G158" s="71"/>
      <c r="H158" s="153"/>
      <c r="I158" s="154"/>
      <c r="J158" s="65"/>
      <c r="K158" s="40"/>
      <c r="L158" s="40"/>
      <c r="M158" s="40"/>
      <c r="N158" s="40"/>
      <c r="O158" s="40"/>
    </row>
    <row r="159" spans="1:15" ht="12.75">
      <c r="A159" s="124"/>
      <c r="B159" s="147" t="s">
        <v>97</v>
      </c>
      <c r="C159" s="10" t="s">
        <v>1817</v>
      </c>
      <c r="D159" s="42" t="s">
        <v>2401</v>
      </c>
      <c r="E159" s="199"/>
      <c r="F159" s="125" t="s">
        <v>3607</v>
      </c>
      <c r="G159" s="71"/>
      <c r="H159" s="153"/>
      <c r="I159" s="154"/>
      <c r="J159" s="65"/>
      <c r="K159" s="40"/>
      <c r="L159" s="40"/>
      <c r="M159" s="40"/>
      <c r="N159" s="40"/>
      <c r="O159" s="40"/>
    </row>
    <row r="160" spans="1:15" ht="12.75">
      <c r="A160" s="44"/>
      <c r="B160" s="147" t="s">
        <v>97</v>
      </c>
      <c r="C160" s="10" t="s">
        <v>1819</v>
      </c>
      <c r="D160" s="42" t="s">
        <v>2401</v>
      </c>
      <c r="E160" s="205" t="s">
        <v>2598</v>
      </c>
      <c r="F160" s="71"/>
      <c r="G160" s="71"/>
      <c r="H160" s="153"/>
      <c r="I160" s="154"/>
      <c r="J160" s="65"/>
      <c r="K160" s="40"/>
      <c r="L160" s="40"/>
      <c r="M160" s="40"/>
      <c r="N160" s="40"/>
      <c r="O160" s="40"/>
    </row>
    <row r="161" spans="1:15" ht="12.75">
      <c r="A161" s="124"/>
      <c r="B161" s="147" t="s">
        <v>97</v>
      </c>
      <c r="C161" s="10" t="s">
        <v>1821</v>
      </c>
      <c r="D161" s="42" t="s">
        <v>2401</v>
      </c>
      <c r="E161" s="199"/>
      <c r="F161" s="125" t="s">
        <v>2601</v>
      </c>
      <c r="G161" s="71"/>
      <c r="H161" s="153"/>
      <c r="I161" s="154"/>
      <c r="J161" s="65"/>
      <c r="K161" s="40"/>
      <c r="L161" s="40"/>
      <c r="M161" s="40"/>
      <c r="N161" s="40"/>
      <c r="O161" s="40"/>
    </row>
    <row r="162" spans="1:15" ht="12.75">
      <c r="A162" s="44"/>
      <c r="B162" s="147" t="s">
        <v>97</v>
      </c>
      <c r="C162" s="10" t="s">
        <v>1823</v>
      </c>
      <c r="D162" s="42" t="s">
        <v>2401</v>
      </c>
      <c r="E162" s="205" t="s">
        <v>3608</v>
      </c>
      <c r="F162" s="71"/>
      <c r="G162" s="71"/>
      <c r="H162" s="153"/>
      <c r="I162" s="154"/>
      <c r="J162" s="65"/>
      <c r="K162" s="40"/>
      <c r="L162" s="40"/>
      <c r="M162" s="40"/>
      <c r="N162" s="40"/>
      <c r="O162" s="40"/>
    </row>
    <row r="163" spans="1:15" ht="12.75">
      <c r="A163" s="124"/>
      <c r="B163" s="147" t="s">
        <v>97</v>
      </c>
      <c r="C163" s="10" t="s">
        <v>1825</v>
      </c>
      <c r="D163" s="42" t="s">
        <v>2401</v>
      </c>
      <c r="E163" s="199"/>
      <c r="F163" s="125" t="s">
        <v>3609</v>
      </c>
      <c r="G163" s="71"/>
      <c r="H163" s="153"/>
      <c r="I163" s="154"/>
      <c r="J163" s="65"/>
      <c r="K163" s="40"/>
      <c r="L163" s="40"/>
      <c r="M163" s="40"/>
      <c r="N163" s="40"/>
      <c r="O163" s="40"/>
    </row>
    <row r="164" spans="1:15" ht="12.75">
      <c r="A164" s="124"/>
      <c r="B164" s="147" t="s">
        <v>97</v>
      </c>
      <c r="C164" s="10" t="s">
        <v>1827</v>
      </c>
      <c r="D164" s="42" t="s">
        <v>2401</v>
      </c>
      <c r="E164" s="199"/>
      <c r="F164" s="144"/>
      <c r="G164" s="125" t="s">
        <v>3610</v>
      </c>
      <c r="H164" s="153"/>
      <c r="I164" s="154"/>
      <c r="J164" s="65"/>
      <c r="K164" s="40"/>
      <c r="L164" s="40"/>
      <c r="M164" s="40"/>
      <c r="N164" s="40"/>
      <c r="O164" s="40"/>
    </row>
    <row r="165" spans="1:15" ht="12.75">
      <c r="A165" s="124"/>
      <c r="B165" s="147" t="s">
        <v>97</v>
      </c>
      <c r="C165" s="10" t="s">
        <v>1829</v>
      </c>
      <c r="D165" s="42" t="s">
        <v>2401</v>
      </c>
      <c r="E165" s="199"/>
      <c r="F165" s="125" t="s">
        <v>3611</v>
      </c>
      <c r="G165" s="71"/>
      <c r="H165" s="153"/>
      <c r="I165" s="154"/>
      <c r="J165" s="65"/>
      <c r="K165" s="40"/>
      <c r="L165" s="40"/>
      <c r="M165" s="40"/>
      <c r="N165" s="40"/>
      <c r="O165" s="40"/>
    </row>
    <row r="166" spans="1:15" ht="12.75">
      <c r="A166" s="44"/>
      <c r="B166" s="147" t="s">
        <v>97</v>
      </c>
      <c r="C166" s="10" t="s">
        <v>1831</v>
      </c>
      <c r="D166" s="42" t="s">
        <v>2401</v>
      </c>
      <c r="E166" s="205" t="s">
        <v>3612</v>
      </c>
      <c r="F166" s="71"/>
      <c r="G166" s="71"/>
      <c r="H166" s="153"/>
      <c r="I166" s="154"/>
      <c r="J166" s="65"/>
      <c r="K166" s="40"/>
      <c r="L166" s="40"/>
      <c r="M166" s="40"/>
      <c r="N166" s="40"/>
      <c r="O166" s="40"/>
    </row>
    <row r="167" spans="1:15" ht="12.75">
      <c r="A167" s="124"/>
      <c r="B167" s="147" t="s">
        <v>97</v>
      </c>
      <c r="C167" s="10" t="s">
        <v>1833</v>
      </c>
      <c r="D167" s="42" t="s">
        <v>2401</v>
      </c>
      <c r="E167" s="199"/>
      <c r="F167" s="125" t="s">
        <v>3613</v>
      </c>
      <c r="G167" s="71"/>
      <c r="H167" s="153"/>
      <c r="I167" s="154"/>
      <c r="J167" s="65"/>
      <c r="K167" s="40"/>
      <c r="L167" s="40"/>
      <c r="M167" s="40"/>
      <c r="N167" s="40"/>
      <c r="O167" s="40"/>
    </row>
    <row r="168" spans="1:15" ht="12.75">
      <c r="A168" s="124"/>
      <c r="B168" s="147" t="s">
        <v>97</v>
      </c>
      <c r="C168" s="10" t="s">
        <v>1835</v>
      </c>
      <c r="D168" s="42" t="s">
        <v>2401</v>
      </c>
      <c r="E168" s="199"/>
      <c r="F168" s="144"/>
      <c r="G168" s="125" t="s">
        <v>3614</v>
      </c>
      <c r="H168" s="153"/>
      <c r="I168" s="154"/>
      <c r="J168" s="65"/>
      <c r="K168" s="40"/>
      <c r="L168" s="40"/>
      <c r="M168" s="40"/>
      <c r="N168" s="40"/>
      <c r="O168" s="40"/>
    </row>
    <row r="169" spans="1:15" ht="12.75">
      <c r="A169" s="124"/>
      <c r="B169" s="147" t="s">
        <v>97</v>
      </c>
      <c r="C169" s="10" t="s">
        <v>1837</v>
      </c>
      <c r="D169" s="42" t="s">
        <v>2401</v>
      </c>
      <c r="E169" s="199"/>
      <c r="F169" s="125" t="s">
        <v>3615</v>
      </c>
      <c r="G169" s="71"/>
      <c r="H169" s="153"/>
      <c r="I169" s="154"/>
      <c r="J169" s="65"/>
      <c r="K169" s="40"/>
      <c r="L169" s="40"/>
      <c r="M169" s="40"/>
      <c r="N169" s="40"/>
      <c r="O169" s="40"/>
    </row>
    <row r="170" spans="1:15" ht="12.75">
      <c r="A170" s="44"/>
      <c r="B170" s="147" t="s">
        <v>97</v>
      </c>
      <c r="C170" s="10" t="s">
        <v>1839</v>
      </c>
      <c r="D170" s="42" t="s">
        <v>2401</v>
      </c>
      <c r="E170" s="205" t="s">
        <v>3616</v>
      </c>
      <c r="F170" s="71"/>
      <c r="G170" s="71"/>
      <c r="H170" s="153"/>
      <c r="I170" s="154"/>
      <c r="J170" s="65"/>
      <c r="K170" s="40"/>
      <c r="L170" s="40"/>
      <c r="M170" s="40"/>
      <c r="N170" s="40"/>
      <c r="O170" s="40"/>
    </row>
    <row r="171" spans="1:15" ht="12.75">
      <c r="A171" s="124"/>
      <c r="B171" s="147" t="s">
        <v>97</v>
      </c>
      <c r="C171" s="10" t="s">
        <v>1841</v>
      </c>
      <c r="D171" s="42" t="s">
        <v>2401</v>
      </c>
      <c r="E171" s="199"/>
      <c r="F171" s="125" t="s">
        <v>3617</v>
      </c>
      <c r="G171" s="71"/>
      <c r="H171" s="153"/>
      <c r="I171" s="154"/>
      <c r="J171" s="65"/>
      <c r="K171" s="40"/>
      <c r="L171" s="40"/>
      <c r="M171" s="40"/>
      <c r="N171" s="40"/>
      <c r="O171" s="40"/>
    </row>
    <row r="172" spans="1:15" ht="12.75">
      <c r="A172" s="124"/>
      <c r="B172" s="147" t="s">
        <v>97</v>
      </c>
      <c r="C172" s="10" t="s">
        <v>1843</v>
      </c>
      <c r="D172" s="42" t="s">
        <v>2401</v>
      </c>
      <c r="E172" s="199"/>
      <c r="F172" s="71"/>
      <c r="G172" s="125" t="s">
        <v>3618</v>
      </c>
      <c r="H172" s="153"/>
      <c r="I172" s="154"/>
      <c r="J172" s="65"/>
      <c r="K172" s="40"/>
      <c r="L172" s="40"/>
      <c r="M172" s="40"/>
      <c r="N172" s="40"/>
      <c r="O172" s="40"/>
    </row>
    <row r="173" spans="1:15" ht="12.75">
      <c r="A173" s="44"/>
      <c r="B173" s="147" t="s">
        <v>97</v>
      </c>
      <c r="C173" s="10" t="s">
        <v>1690</v>
      </c>
      <c r="D173" s="42" t="s">
        <v>2401</v>
      </c>
      <c r="E173" s="134" t="s">
        <v>3619</v>
      </c>
      <c r="F173" s="71"/>
      <c r="G173" s="71"/>
      <c r="H173" s="153"/>
      <c r="I173" s="154"/>
      <c r="J173" s="65"/>
      <c r="K173" s="40"/>
      <c r="L173" s="40"/>
      <c r="M173" s="40"/>
      <c r="N173" s="40"/>
      <c r="O173" s="40"/>
    </row>
    <row r="174" spans="1:15" ht="12.75">
      <c r="A174" s="44"/>
      <c r="B174" s="147" t="s">
        <v>97</v>
      </c>
      <c r="C174" s="10" t="s">
        <v>1845</v>
      </c>
      <c r="D174" s="42" t="s">
        <v>2401</v>
      </c>
      <c r="E174" s="143" t="s">
        <v>3620</v>
      </c>
      <c r="F174" s="71"/>
      <c r="G174" s="71"/>
      <c r="H174" s="153"/>
      <c r="I174" s="154"/>
      <c r="J174" s="65"/>
      <c r="K174" s="40"/>
      <c r="L174" s="40"/>
      <c r="M174" s="40"/>
      <c r="N174" s="40"/>
      <c r="O174" s="40"/>
    </row>
    <row r="175" spans="1:15" ht="12.75">
      <c r="A175" s="44"/>
      <c r="B175" s="147" t="s">
        <v>97</v>
      </c>
      <c r="C175" s="10" t="s">
        <v>1847</v>
      </c>
      <c r="D175" s="42" t="s">
        <v>2401</v>
      </c>
      <c r="E175" s="134" t="s">
        <v>3621</v>
      </c>
      <c r="F175" s="71"/>
      <c r="G175" s="71"/>
      <c r="H175" s="153"/>
      <c r="I175" s="154"/>
      <c r="J175" s="65"/>
      <c r="K175" s="40"/>
      <c r="L175" s="40"/>
      <c r="M175" s="40"/>
      <c r="N175" s="40"/>
      <c r="O175" s="40"/>
    </row>
    <row r="176" spans="1:15" ht="12.75">
      <c r="A176" s="44"/>
      <c r="B176" s="147" t="s">
        <v>97</v>
      </c>
      <c r="C176" s="10" t="s">
        <v>1849</v>
      </c>
      <c r="D176" s="42" t="s">
        <v>2401</v>
      </c>
      <c r="E176" s="199"/>
      <c r="F176" s="71" t="s">
        <v>3622</v>
      </c>
      <c r="G176" s="71"/>
      <c r="H176" s="153"/>
      <c r="I176" s="154"/>
      <c r="J176" s="65"/>
      <c r="K176" s="40"/>
      <c r="L176" s="40"/>
      <c r="M176" s="40"/>
      <c r="N176" s="40"/>
      <c r="O176" s="40"/>
    </row>
    <row r="177" spans="1:15" ht="12.75">
      <c r="A177" s="44"/>
      <c r="B177" s="147" t="s">
        <v>97</v>
      </c>
      <c r="C177" s="10" t="s">
        <v>1851</v>
      </c>
      <c r="D177" s="42" t="s">
        <v>2401</v>
      </c>
      <c r="E177" s="205" t="s">
        <v>3623</v>
      </c>
      <c r="F177" s="71"/>
      <c r="G177" s="71"/>
      <c r="H177" s="153"/>
      <c r="I177" s="154"/>
      <c r="J177" s="65"/>
      <c r="K177" s="40"/>
      <c r="L177" s="40"/>
      <c r="M177" s="40"/>
      <c r="N177" s="40"/>
      <c r="O177" s="40"/>
    </row>
    <row r="178" spans="1:15" ht="12.75">
      <c r="A178" s="124"/>
      <c r="B178" s="147" t="s">
        <v>97</v>
      </c>
      <c r="C178" s="10" t="s">
        <v>1853</v>
      </c>
      <c r="D178" s="42" t="s">
        <v>2401</v>
      </c>
      <c r="E178" s="199"/>
      <c r="F178" s="125" t="s">
        <v>3624</v>
      </c>
      <c r="G178" s="71"/>
      <c r="H178" s="153"/>
      <c r="I178" s="154"/>
      <c r="J178" s="65"/>
      <c r="K178" s="40"/>
      <c r="L178" s="40"/>
      <c r="M178" s="40"/>
      <c r="N178" s="40"/>
      <c r="O178" s="40"/>
    </row>
    <row r="179" spans="1:15" ht="12.75">
      <c r="A179" s="44"/>
      <c r="B179" s="147" t="s">
        <v>97</v>
      </c>
      <c r="C179" s="10" t="s">
        <v>1855</v>
      </c>
      <c r="D179" s="42" t="s">
        <v>2401</v>
      </c>
      <c r="E179" s="205" t="s">
        <v>3625</v>
      </c>
      <c r="F179" s="71"/>
      <c r="G179" s="71"/>
      <c r="H179" s="153"/>
      <c r="I179" s="154"/>
      <c r="J179" s="65"/>
      <c r="K179" s="40"/>
      <c r="L179" s="40"/>
      <c r="M179" s="40"/>
      <c r="N179" s="40"/>
      <c r="O179" s="40"/>
    </row>
    <row r="180" spans="1:15" ht="12.75">
      <c r="A180" s="124"/>
      <c r="B180" s="147" t="s">
        <v>97</v>
      </c>
      <c r="C180" s="10" t="s">
        <v>1857</v>
      </c>
      <c r="D180" s="42" t="s">
        <v>2401</v>
      </c>
      <c r="E180" s="199"/>
      <c r="F180" s="125" t="s">
        <v>3626</v>
      </c>
      <c r="G180" s="71"/>
      <c r="H180" s="153"/>
      <c r="I180" s="154"/>
      <c r="J180" s="65"/>
      <c r="K180" s="40"/>
      <c r="L180" s="40"/>
      <c r="M180" s="40"/>
      <c r="N180" s="40"/>
      <c r="O180" s="40"/>
    </row>
    <row r="181" spans="1:15" ht="12.75">
      <c r="A181" s="124"/>
      <c r="B181" s="147" t="s">
        <v>97</v>
      </c>
      <c r="C181" s="10" t="s">
        <v>1859</v>
      </c>
      <c r="D181" s="42" t="s">
        <v>2401</v>
      </c>
      <c r="E181" s="199"/>
      <c r="F181" s="125" t="s">
        <v>3627</v>
      </c>
      <c r="G181" s="71"/>
      <c r="H181" s="153"/>
      <c r="I181" s="154"/>
      <c r="J181" s="65"/>
      <c r="K181" s="40"/>
      <c r="L181" s="40"/>
      <c r="M181" s="40"/>
      <c r="N181" s="40"/>
      <c r="O181" s="40"/>
    </row>
    <row r="182" spans="1:15" ht="12.75">
      <c r="A182" s="124"/>
      <c r="B182" s="147" t="s">
        <v>97</v>
      </c>
      <c r="C182" s="10" t="s">
        <v>1861</v>
      </c>
      <c r="D182" s="42" t="s">
        <v>2401</v>
      </c>
      <c r="E182" s="199"/>
      <c r="F182" s="125" t="s">
        <v>3628</v>
      </c>
      <c r="G182" s="125"/>
      <c r="H182" s="153"/>
      <c r="I182" s="154"/>
      <c r="J182" s="65"/>
      <c r="K182" s="40"/>
      <c r="L182" s="40"/>
      <c r="M182" s="40"/>
      <c r="N182" s="40"/>
      <c r="O182" s="40"/>
    </row>
    <row r="183" spans="1:15" ht="12.75">
      <c r="A183" s="124"/>
      <c r="B183" s="147" t="s">
        <v>97</v>
      </c>
      <c r="C183" s="10" t="s">
        <v>1863</v>
      </c>
      <c r="D183" s="42" t="s">
        <v>2401</v>
      </c>
      <c r="E183" s="199"/>
      <c r="F183" s="125" t="s">
        <v>3629</v>
      </c>
      <c r="G183" s="71"/>
      <c r="H183" s="153"/>
      <c r="I183" s="154"/>
      <c r="J183" s="65"/>
      <c r="K183" s="40"/>
      <c r="L183" s="40"/>
      <c r="M183" s="40"/>
      <c r="N183" s="40"/>
      <c r="O183" s="40"/>
    </row>
    <row r="184" spans="1:15" ht="12.75">
      <c r="A184" s="124"/>
      <c r="B184" s="147" t="s">
        <v>97</v>
      </c>
      <c r="C184" s="10" t="s">
        <v>1865</v>
      </c>
      <c r="D184" s="42" t="s">
        <v>2401</v>
      </c>
      <c r="E184" s="199"/>
      <c r="F184" s="125" t="s">
        <v>3630</v>
      </c>
      <c r="G184" s="71"/>
      <c r="H184" s="153"/>
      <c r="I184" s="154"/>
      <c r="J184" s="65"/>
      <c r="K184" s="40"/>
      <c r="L184" s="40"/>
      <c r="M184" s="40"/>
      <c r="N184" s="40"/>
      <c r="O184" s="40"/>
    </row>
    <row r="185" spans="1:15" ht="12.75">
      <c r="A185" s="124"/>
      <c r="B185" s="147" t="s">
        <v>97</v>
      </c>
      <c r="C185" s="10" t="s">
        <v>1787</v>
      </c>
      <c r="D185" s="42" t="s">
        <v>2401</v>
      </c>
      <c r="E185" s="199"/>
      <c r="F185" s="144"/>
      <c r="G185" s="125" t="s">
        <v>3631</v>
      </c>
      <c r="H185" s="153"/>
      <c r="I185" s="154"/>
      <c r="J185" s="65"/>
      <c r="K185" s="40"/>
      <c r="L185" s="40"/>
      <c r="M185" s="40"/>
      <c r="N185" s="40"/>
      <c r="O185" s="40"/>
    </row>
    <row r="186" spans="1:15" ht="12.75">
      <c r="A186" s="124"/>
      <c r="B186" s="147" t="s">
        <v>97</v>
      </c>
      <c r="C186" s="10" t="s">
        <v>1867</v>
      </c>
      <c r="D186" s="42" t="s">
        <v>2401</v>
      </c>
      <c r="E186" s="199"/>
      <c r="F186" s="144"/>
      <c r="G186" s="125" t="s">
        <v>3632</v>
      </c>
      <c r="H186" s="153"/>
      <c r="I186" s="154"/>
      <c r="J186" s="65"/>
      <c r="K186" s="40"/>
      <c r="L186" s="40"/>
      <c r="M186" s="40"/>
      <c r="N186" s="40"/>
      <c r="O186" s="40"/>
    </row>
    <row r="187" spans="1:15" ht="12.75">
      <c r="A187" s="124"/>
      <c r="B187" s="147" t="s">
        <v>97</v>
      </c>
      <c r="C187" s="129" t="s">
        <v>1698</v>
      </c>
      <c r="D187" s="42" t="s">
        <v>2401</v>
      </c>
      <c r="E187" s="199"/>
      <c r="F187" s="71" t="s">
        <v>3560</v>
      </c>
      <c r="G187" s="71"/>
      <c r="H187" s="153"/>
      <c r="I187" s="154"/>
      <c r="J187" s="65"/>
      <c r="K187" s="40"/>
      <c r="L187" s="40"/>
      <c r="M187" s="40"/>
      <c r="N187" s="40"/>
      <c r="O187" s="40"/>
    </row>
    <row r="188" spans="1:15" ht="12.75">
      <c r="A188" s="124"/>
      <c r="B188" s="147" t="s">
        <v>97</v>
      </c>
      <c r="C188" s="10" t="s">
        <v>1869</v>
      </c>
      <c r="D188" s="42" t="s">
        <v>2401</v>
      </c>
      <c r="E188" s="199"/>
      <c r="F188" s="125" t="s">
        <v>3633</v>
      </c>
      <c r="G188" s="71"/>
      <c r="H188" s="153"/>
      <c r="I188" s="154"/>
      <c r="J188" s="65"/>
      <c r="K188" s="40"/>
      <c r="L188" s="40"/>
      <c r="M188" s="40"/>
      <c r="N188" s="40"/>
      <c r="O188" s="40"/>
    </row>
    <row r="189" spans="1:15" ht="12.75">
      <c r="A189" s="124"/>
      <c r="B189" s="147" t="s">
        <v>97</v>
      </c>
      <c r="C189" s="10" t="s">
        <v>1574</v>
      </c>
      <c r="D189" s="42" t="s">
        <v>2401</v>
      </c>
      <c r="E189" s="199"/>
      <c r="F189" s="144"/>
      <c r="G189" s="125" t="s">
        <v>3634</v>
      </c>
      <c r="H189" s="153"/>
      <c r="I189" s="154"/>
      <c r="J189" s="65"/>
      <c r="K189" s="40"/>
      <c r="L189" s="40"/>
      <c r="M189" s="40"/>
      <c r="N189" s="40"/>
      <c r="O189" s="40"/>
    </row>
    <row r="190" spans="1:15" ht="12.75">
      <c r="A190" s="124"/>
      <c r="B190" s="147" t="s">
        <v>97</v>
      </c>
      <c r="C190" s="10" t="s">
        <v>1872</v>
      </c>
      <c r="D190" s="42" t="s">
        <v>2401</v>
      </c>
      <c r="E190" s="199"/>
      <c r="F190" s="144"/>
      <c r="G190" s="125" t="s">
        <v>3635</v>
      </c>
      <c r="H190" s="153"/>
      <c r="I190" s="154"/>
      <c r="J190" s="65"/>
      <c r="K190" s="40"/>
      <c r="L190" s="40"/>
      <c r="M190" s="40"/>
      <c r="N190" s="40"/>
      <c r="O190" s="40"/>
    </row>
    <row r="191" spans="1:15" ht="12.75">
      <c r="A191" s="124"/>
      <c r="B191" s="147" t="s">
        <v>97</v>
      </c>
      <c r="C191" s="10" t="s">
        <v>1874</v>
      </c>
      <c r="D191" s="42" t="s">
        <v>2401</v>
      </c>
      <c r="E191" s="199"/>
      <c r="F191" s="125" t="s">
        <v>3636</v>
      </c>
      <c r="G191" s="71"/>
      <c r="H191" s="153"/>
      <c r="I191" s="154"/>
      <c r="J191" s="65"/>
      <c r="K191" s="40"/>
      <c r="L191" s="40"/>
      <c r="M191" s="40"/>
      <c r="N191" s="40"/>
      <c r="O191" s="40"/>
    </row>
    <row r="192" spans="1:15" ht="12.75">
      <c r="A192" s="44"/>
      <c r="B192" s="147" t="s">
        <v>97</v>
      </c>
      <c r="C192" s="10" t="s">
        <v>1876</v>
      </c>
      <c r="D192" s="42" t="s">
        <v>2401</v>
      </c>
      <c r="E192" s="143" t="s">
        <v>3637</v>
      </c>
      <c r="F192" s="71"/>
      <c r="G192" s="71"/>
      <c r="H192" s="153"/>
      <c r="I192" s="154"/>
      <c r="J192" s="65"/>
      <c r="K192" s="40"/>
      <c r="L192" s="40"/>
      <c r="M192" s="40"/>
      <c r="N192" s="40"/>
      <c r="O192" s="40"/>
    </row>
    <row r="193" spans="1:15" ht="12.75">
      <c r="A193" s="44"/>
      <c r="B193" s="147" t="s">
        <v>97</v>
      </c>
      <c r="C193" s="10" t="s">
        <v>1878</v>
      </c>
      <c r="D193" s="42" t="s">
        <v>2401</v>
      </c>
      <c r="E193" s="143" t="s">
        <v>2602</v>
      </c>
      <c r="F193" s="71"/>
      <c r="G193" s="71"/>
      <c r="H193" s="153"/>
      <c r="I193" s="154"/>
      <c r="J193" s="65"/>
      <c r="K193" s="40"/>
      <c r="L193" s="40"/>
      <c r="M193" s="40"/>
      <c r="N193" s="40"/>
      <c r="O193" s="40"/>
    </row>
    <row r="194" spans="1:15" ht="12.75">
      <c r="A194" s="44"/>
      <c r="B194" s="147" t="s">
        <v>97</v>
      </c>
      <c r="C194" s="10" t="s">
        <v>1880</v>
      </c>
      <c r="D194" s="42" t="s">
        <v>2401</v>
      </c>
      <c r="E194" s="205" t="s">
        <v>3638</v>
      </c>
      <c r="F194" s="71"/>
      <c r="G194" s="71"/>
      <c r="H194" s="153"/>
      <c r="I194" s="154"/>
      <c r="J194" s="65"/>
      <c r="K194" s="40"/>
      <c r="L194" s="40"/>
      <c r="M194" s="40"/>
      <c r="N194" s="40"/>
      <c r="O194" s="40"/>
    </row>
    <row r="195" spans="1:15" ht="12.75">
      <c r="A195" s="44"/>
      <c r="B195" s="147" t="s">
        <v>97</v>
      </c>
      <c r="C195" s="10" t="s">
        <v>1882</v>
      </c>
      <c r="D195" s="42" t="s">
        <v>2401</v>
      </c>
      <c r="E195" s="205" t="s">
        <v>3639</v>
      </c>
      <c r="F195" s="71"/>
      <c r="G195" s="71"/>
      <c r="H195" s="153"/>
      <c r="I195" s="154"/>
      <c r="J195" s="65"/>
      <c r="K195" s="40"/>
      <c r="L195" s="40"/>
      <c r="M195" s="40"/>
      <c r="N195" s="40"/>
      <c r="O195" s="40"/>
    </row>
    <row r="196" spans="1:15" ht="12.75">
      <c r="A196" s="44"/>
      <c r="B196" s="147" t="s">
        <v>97</v>
      </c>
      <c r="C196" s="10" t="s">
        <v>1884</v>
      </c>
      <c r="D196" s="42" t="s">
        <v>2401</v>
      </c>
      <c r="E196" s="206" t="s">
        <v>3640</v>
      </c>
      <c r="F196" s="71"/>
      <c r="G196" s="71"/>
      <c r="H196" s="153"/>
      <c r="I196" s="154"/>
      <c r="J196" s="65"/>
      <c r="K196" s="40"/>
      <c r="L196" s="40"/>
      <c r="M196" s="40"/>
      <c r="N196" s="40"/>
      <c r="O196" s="40"/>
    </row>
    <row r="197" spans="1:15" ht="12.75">
      <c r="A197" s="207"/>
      <c r="B197" s="147" t="s">
        <v>97</v>
      </c>
      <c r="C197" s="10" t="s">
        <v>1886</v>
      </c>
      <c r="D197" s="42" t="s">
        <v>2401</v>
      </c>
      <c r="E197" s="199"/>
      <c r="F197" s="89" t="s">
        <v>3641</v>
      </c>
      <c r="G197" s="71"/>
      <c r="H197" s="153"/>
      <c r="I197" s="154"/>
      <c r="J197" s="65"/>
      <c r="K197" s="40"/>
      <c r="L197" s="40"/>
      <c r="M197" s="40"/>
      <c r="N197" s="40"/>
      <c r="O197" s="40"/>
    </row>
    <row r="198" spans="1:15" ht="12.75">
      <c r="A198" s="207"/>
      <c r="B198" s="147" t="s">
        <v>97</v>
      </c>
      <c r="C198" s="10" t="s">
        <v>1888</v>
      </c>
      <c r="D198" s="42" t="s">
        <v>2401</v>
      </c>
      <c r="E198" s="199"/>
      <c r="F198" s="89" t="s">
        <v>3642</v>
      </c>
      <c r="G198" s="71"/>
      <c r="H198" s="153"/>
      <c r="I198" s="154"/>
      <c r="J198" s="65"/>
      <c r="K198" s="40"/>
      <c r="L198" s="40"/>
      <c r="M198" s="40"/>
      <c r="N198" s="40"/>
      <c r="O198" s="40"/>
    </row>
    <row r="199" spans="1:15" ht="12.75">
      <c r="A199" s="53"/>
      <c r="B199" s="147" t="s">
        <v>97</v>
      </c>
      <c r="C199" s="10" t="s">
        <v>1890</v>
      </c>
      <c r="D199" s="42" t="s">
        <v>2401</v>
      </c>
      <c r="E199" s="199"/>
      <c r="F199" s="144"/>
      <c r="G199" s="89" t="s">
        <v>3643</v>
      </c>
      <c r="H199" s="153"/>
      <c r="I199" s="154"/>
      <c r="J199" s="65"/>
      <c r="K199" s="40"/>
      <c r="L199" s="40"/>
      <c r="M199" s="40"/>
      <c r="N199" s="40"/>
      <c r="O199" s="40"/>
    </row>
    <row r="200" spans="1:15" ht="12.75">
      <c r="A200" s="207"/>
      <c r="B200" s="147" t="s">
        <v>97</v>
      </c>
      <c r="C200" s="10" t="s">
        <v>1892</v>
      </c>
      <c r="D200" s="42" t="s">
        <v>2401</v>
      </c>
      <c r="E200" s="199"/>
      <c r="F200" s="89" t="s">
        <v>3644</v>
      </c>
      <c r="G200" s="71"/>
      <c r="H200" s="153"/>
      <c r="I200" s="154"/>
      <c r="J200" s="65"/>
      <c r="K200" s="40"/>
      <c r="L200" s="40"/>
      <c r="M200" s="40"/>
      <c r="N200" s="40"/>
      <c r="O200" s="40"/>
    </row>
    <row r="201" spans="1:15" ht="12.75">
      <c r="A201" s="207"/>
      <c r="B201" s="147" t="s">
        <v>97</v>
      </c>
      <c r="C201" s="10" t="s">
        <v>1894</v>
      </c>
      <c r="D201" s="42" t="s">
        <v>2401</v>
      </c>
      <c r="E201" s="199"/>
      <c r="F201" s="89" t="s">
        <v>3645</v>
      </c>
      <c r="G201" s="71"/>
      <c r="H201" s="153"/>
      <c r="I201" s="154"/>
      <c r="J201" s="65"/>
      <c r="K201" s="40"/>
      <c r="L201" s="40"/>
      <c r="M201" s="40"/>
      <c r="N201" s="40"/>
      <c r="O201" s="40"/>
    </row>
    <row r="202" spans="1:15" ht="12.75">
      <c r="A202" s="53"/>
      <c r="B202" s="147" t="s">
        <v>97</v>
      </c>
      <c r="C202" s="10" t="s">
        <v>1726</v>
      </c>
      <c r="D202" s="42" t="s">
        <v>2401</v>
      </c>
      <c r="E202" s="143" t="s">
        <v>3572</v>
      </c>
      <c r="F202" s="71"/>
      <c r="G202" s="71"/>
      <c r="H202" s="153"/>
      <c r="I202" s="154"/>
      <c r="J202" s="65"/>
      <c r="K202" s="40"/>
      <c r="L202" s="40"/>
      <c r="M202" s="40"/>
      <c r="N202" s="40"/>
      <c r="O202" s="40"/>
    </row>
    <row r="203" spans="1:15" ht="12.75">
      <c r="A203" s="53"/>
      <c r="B203" s="147" t="s">
        <v>97</v>
      </c>
      <c r="C203" s="10" t="s">
        <v>1896</v>
      </c>
      <c r="D203" s="42" t="s">
        <v>2401</v>
      </c>
      <c r="E203" s="143" t="s">
        <v>2605</v>
      </c>
      <c r="F203" s="71"/>
      <c r="G203" s="71"/>
      <c r="H203" s="153"/>
      <c r="I203" s="154"/>
      <c r="J203" s="65"/>
      <c r="K203" s="40"/>
      <c r="L203" s="40"/>
      <c r="M203" s="40"/>
      <c r="N203" s="40"/>
      <c r="O203" s="40"/>
    </row>
    <row r="204" spans="1:15" ht="12.75">
      <c r="A204" s="53"/>
      <c r="B204" s="147" t="s">
        <v>97</v>
      </c>
      <c r="C204" s="10" t="s">
        <v>1900</v>
      </c>
      <c r="D204" s="42" t="s">
        <v>2401</v>
      </c>
      <c r="E204" s="199"/>
      <c r="F204" s="125" t="s">
        <v>3646</v>
      </c>
      <c r="G204" s="71"/>
      <c r="H204" s="153"/>
      <c r="I204" s="154"/>
      <c r="J204" s="65"/>
      <c r="K204" s="40"/>
      <c r="L204" s="40"/>
      <c r="M204" s="40"/>
      <c r="N204" s="40"/>
      <c r="O204" s="40"/>
    </row>
    <row r="205" spans="1:15" ht="12.75">
      <c r="A205" s="53"/>
      <c r="B205" s="147" t="s">
        <v>97</v>
      </c>
      <c r="C205" s="10" t="s">
        <v>1898</v>
      </c>
      <c r="D205" s="42" t="s">
        <v>2401</v>
      </c>
      <c r="E205" s="199"/>
      <c r="F205" s="125" t="s">
        <v>3647</v>
      </c>
      <c r="G205" s="71"/>
      <c r="H205" s="153"/>
      <c r="I205" s="154"/>
      <c r="J205" s="65"/>
      <c r="K205" s="40"/>
      <c r="L205" s="40"/>
      <c r="M205" s="40"/>
      <c r="N205" s="40"/>
      <c r="O205" s="40"/>
    </row>
    <row r="206" spans="1:15" ht="12.75">
      <c r="A206" s="53"/>
      <c r="B206" s="147" t="s">
        <v>97</v>
      </c>
      <c r="C206" s="10" t="s">
        <v>1902</v>
      </c>
      <c r="D206" s="42" t="s">
        <v>2401</v>
      </c>
      <c r="E206" s="199"/>
      <c r="F206" s="125" t="s">
        <v>3648</v>
      </c>
      <c r="G206" s="71"/>
      <c r="H206" s="153"/>
      <c r="I206" s="154"/>
      <c r="J206" s="65"/>
      <c r="K206" s="40"/>
      <c r="L206" s="40"/>
      <c r="M206" s="40"/>
      <c r="N206" s="40"/>
      <c r="O206" s="40"/>
    </row>
    <row r="207" spans="1:15" ht="12.75">
      <c r="A207" s="53"/>
      <c r="B207" s="147" t="s">
        <v>97</v>
      </c>
      <c r="C207" s="10" t="s">
        <v>1904</v>
      </c>
      <c r="D207" s="42" t="s">
        <v>2401</v>
      </c>
      <c r="E207" s="199"/>
      <c r="F207" s="125" t="s">
        <v>3649</v>
      </c>
      <c r="G207" s="71"/>
      <c r="H207" s="153"/>
      <c r="I207" s="154"/>
      <c r="J207" s="65"/>
      <c r="K207" s="40"/>
      <c r="L207" s="40"/>
      <c r="M207" s="40"/>
      <c r="N207" s="40"/>
      <c r="O207" s="40"/>
    </row>
    <row r="208" spans="1:15" ht="12.75">
      <c r="A208" s="60"/>
      <c r="B208" s="147" t="s">
        <v>97</v>
      </c>
      <c r="C208" s="201" t="s">
        <v>97</v>
      </c>
      <c r="D208" s="201"/>
      <c r="E208" s="202"/>
      <c r="F208" s="74"/>
      <c r="G208" s="74"/>
      <c r="H208" s="194"/>
      <c r="I208" s="203"/>
      <c r="J208" s="62"/>
      <c r="K208" s="75"/>
      <c r="L208" s="75"/>
      <c r="M208" s="75"/>
      <c r="N208" s="75"/>
      <c r="O208" s="75"/>
    </row>
    <row r="209" spans="1:15" ht="12.75">
      <c r="A209" s="60"/>
      <c r="B209" s="147" t="s">
        <v>97</v>
      </c>
      <c r="C209" s="201"/>
      <c r="D209" s="201"/>
      <c r="E209" s="202"/>
      <c r="F209" s="74"/>
      <c r="G209" s="74"/>
      <c r="H209" s="194"/>
      <c r="I209" s="203"/>
      <c r="J209" s="62"/>
      <c r="K209" s="75"/>
      <c r="L209" s="75"/>
      <c r="M209" s="75"/>
      <c r="N209" s="75"/>
      <c r="O209" s="75"/>
    </row>
    <row r="210" spans="1:15" ht="12.75">
      <c r="A210" s="44" t="s">
        <v>1906</v>
      </c>
      <c r="B210" s="147" t="s">
        <v>1532</v>
      </c>
      <c r="C210" s="128" t="s">
        <v>1907</v>
      </c>
      <c r="D210" s="42" t="s">
        <v>2401</v>
      </c>
      <c r="E210" s="143" t="s">
        <v>3650</v>
      </c>
      <c r="F210" s="71"/>
      <c r="G210" s="71"/>
      <c r="H210" s="153"/>
      <c r="I210" s="154"/>
      <c r="J210" s="65"/>
      <c r="K210" s="40"/>
      <c r="L210" s="40"/>
      <c r="M210" s="40"/>
      <c r="N210" s="40"/>
      <c r="O210" s="40"/>
    </row>
    <row r="211" spans="1:15" ht="12.75">
      <c r="A211" s="44"/>
      <c r="B211" s="147" t="s">
        <v>97</v>
      </c>
      <c r="C211" s="128" t="s">
        <v>1909</v>
      </c>
      <c r="D211" s="42" t="s">
        <v>2401</v>
      </c>
      <c r="E211" s="134" t="s">
        <v>3651</v>
      </c>
      <c r="F211" s="71"/>
      <c r="G211" s="71"/>
      <c r="H211" s="153"/>
      <c r="I211" s="154"/>
      <c r="J211" s="65"/>
      <c r="K211" s="40"/>
      <c r="L211" s="40"/>
      <c r="M211" s="40"/>
      <c r="N211" s="40"/>
      <c r="O211" s="40"/>
    </row>
    <row r="212" spans="1:15" ht="12.75">
      <c r="A212" s="44"/>
      <c r="B212" s="147" t="s">
        <v>97</v>
      </c>
      <c r="C212" s="10" t="s">
        <v>1911</v>
      </c>
      <c r="D212" s="42" t="s">
        <v>2401</v>
      </c>
      <c r="E212" s="134" t="s">
        <v>3652</v>
      </c>
      <c r="F212" s="71"/>
      <c r="G212" s="71"/>
      <c r="H212" s="153"/>
      <c r="I212" s="154"/>
      <c r="J212" s="65"/>
      <c r="K212" s="40"/>
      <c r="L212" s="40"/>
      <c r="M212" s="40"/>
      <c r="N212" s="40"/>
      <c r="O212" s="40"/>
    </row>
    <row r="213" spans="1:15" ht="12.75">
      <c r="A213" s="60"/>
      <c r="B213" s="147" t="s">
        <v>97</v>
      </c>
      <c r="C213" s="201"/>
      <c r="D213" s="201"/>
      <c r="E213" s="202"/>
      <c r="F213" s="74"/>
      <c r="G213" s="74"/>
      <c r="H213" s="194"/>
      <c r="I213" s="203"/>
      <c r="J213" s="62"/>
      <c r="K213" s="75"/>
      <c r="L213" s="75"/>
      <c r="M213" s="75"/>
      <c r="N213" s="75"/>
      <c r="O213" s="75"/>
    </row>
    <row r="214" spans="1:15" ht="12.75">
      <c r="A214" s="60"/>
      <c r="B214" s="147" t="s">
        <v>97</v>
      </c>
      <c r="C214" s="201" t="s">
        <v>97</v>
      </c>
      <c r="D214" s="201"/>
      <c r="E214" s="202"/>
      <c r="F214" s="74"/>
      <c r="G214" s="74"/>
      <c r="H214" s="194"/>
      <c r="I214" s="203"/>
      <c r="J214" s="62"/>
      <c r="K214" s="75"/>
      <c r="L214" s="75"/>
      <c r="M214" s="75"/>
      <c r="N214" s="75"/>
      <c r="O214" s="75"/>
    </row>
    <row r="215" spans="1:15" ht="12.75">
      <c r="A215" s="44" t="s">
        <v>1912</v>
      </c>
      <c r="B215" s="147" t="s">
        <v>1342</v>
      </c>
      <c r="C215" s="10" t="s">
        <v>1913</v>
      </c>
      <c r="D215" s="42" t="s">
        <v>2401</v>
      </c>
      <c r="E215" s="143" t="s">
        <v>3653</v>
      </c>
      <c r="F215" s="144"/>
      <c r="G215" s="71"/>
      <c r="H215" s="153"/>
      <c r="I215" s="154"/>
      <c r="J215" s="65"/>
      <c r="K215" s="40"/>
      <c r="L215" s="40"/>
      <c r="M215" s="40"/>
      <c r="N215" s="40"/>
      <c r="O215" s="40"/>
    </row>
    <row r="216" spans="1:15" ht="12.75">
      <c r="A216" s="44"/>
      <c r="B216" s="147" t="s">
        <v>97</v>
      </c>
      <c r="C216" s="10" t="s">
        <v>1915</v>
      </c>
      <c r="D216" s="42" t="s">
        <v>2401</v>
      </c>
      <c r="E216" s="143" t="s">
        <v>3654</v>
      </c>
      <c r="F216" s="71"/>
      <c r="G216" s="71"/>
      <c r="H216" s="153"/>
      <c r="I216" s="154"/>
      <c r="J216" s="65"/>
      <c r="K216" s="40"/>
      <c r="L216" s="40"/>
      <c r="M216" s="40"/>
      <c r="N216" s="40"/>
      <c r="O216" s="40"/>
    </row>
    <row r="217" spans="1:15" ht="12.75">
      <c r="A217" s="44"/>
      <c r="B217" s="147" t="s">
        <v>97</v>
      </c>
      <c r="C217" s="10" t="s">
        <v>1917</v>
      </c>
      <c r="D217" s="42" t="s">
        <v>2401</v>
      </c>
      <c r="E217" s="143" t="s">
        <v>3655</v>
      </c>
      <c r="F217" s="71"/>
      <c r="G217" s="71"/>
      <c r="H217" s="153"/>
      <c r="I217" s="154"/>
      <c r="J217" s="65"/>
      <c r="K217" s="40"/>
      <c r="L217" s="40"/>
      <c r="M217" s="40"/>
      <c r="N217" s="40"/>
      <c r="O217" s="40"/>
    </row>
    <row r="218" spans="1:15" ht="12.75">
      <c r="A218" s="53"/>
      <c r="B218" s="147" t="s">
        <v>97</v>
      </c>
      <c r="C218" s="10" t="s">
        <v>1919</v>
      </c>
      <c r="D218" s="42" t="s">
        <v>2401</v>
      </c>
      <c r="E218" s="199"/>
      <c r="F218" s="71" t="s">
        <v>3656</v>
      </c>
      <c r="G218" s="71"/>
      <c r="H218" s="153"/>
      <c r="I218" s="154"/>
      <c r="J218" s="65"/>
      <c r="K218" s="40"/>
      <c r="L218" s="40"/>
      <c r="M218" s="40"/>
      <c r="N218" s="40"/>
      <c r="O218" s="40"/>
    </row>
    <row r="219" spans="1:15" ht="12.75">
      <c r="A219" s="44"/>
      <c r="B219" s="147" t="s">
        <v>97</v>
      </c>
      <c r="C219" s="10" t="s">
        <v>1921</v>
      </c>
      <c r="D219" s="42" t="s">
        <v>2401</v>
      </c>
      <c r="E219" s="143" t="s">
        <v>3657</v>
      </c>
      <c r="F219" s="71"/>
      <c r="G219" s="71"/>
      <c r="H219" s="153"/>
      <c r="I219" s="154"/>
      <c r="J219" s="65"/>
      <c r="K219" s="40"/>
      <c r="L219" s="40"/>
      <c r="M219" s="40"/>
      <c r="N219" s="40"/>
      <c r="O219" s="40"/>
    </row>
    <row r="220" spans="1:15" ht="12.75">
      <c r="A220" s="44"/>
      <c r="B220" s="147" t="s">
        <v>97</v>
      </c>
      <c r="C220" s="129" t="s">
        <v>1592</v>
      </c>
      <c r="D220" s="42" t="s">
        <v>2401</v>
      </c>
      <c r="E220" s="143" t="s">
        <v>3658</v>
      </c>
      <c r="F220" s="71"/>
      <c r="G220" s="71"/>
      <c r="H220" s="153"/>
      <c r="I220" s="154"/>
      <c r="J220" s="65"/>
      <c r="K220" s="40"/>
      <c r="L220" s="40"/>
      <c r="M220" s="40"/>
      <c r="N220" s="40"/>
      <c r="O220" s="40"/>
    </row>
    <row r="221" spans="1:15" ht="12.75">
      <c r="A221" s="53"/>
      <c r="B221" s="147" t="s">
        <v>97</v>
      </c>
      <c r="C221" s="10" t="s">
        <v>1924</v>
      </c>
      <c r="D221" s="42" t="s">
        <v>2401</v>
      </c>
      <c r="E221" s="199"/>
      <c r="F221" s="89" t="s">
        <v>3659</v>
      </c>
      <c r="G221" s="71"/>
      <c r="H221" s="153"/>
      <c r="I221" s="154"/>
      <c r="J221" s="65"/>
      <c r="K221" s="40"/>
      <c r="L221" s="40"/>
      <c r="M221" s="40"/>
      <c r="N221" s="40"/>
      <c r="O221" s="40"/>
    </row>
    <row r="222" spans="1:15" ht="12.75">
      <c r="A222" s="53"/>
      <c r="B222" s="147" t="s">
        <v>97</v>
      </c>
      <c r="C222" s="10" t="s">
        <v>1926</v>
      </c>
      <c r="D222" s="42" t="s">
        <v>2401</v>
      </c>
      <c r="E222" s="199"/>
      <c r="F222" s="71"/>
      <c r="G222" s="89" t="s">
        <v>3660</v>
      </c>
      <c r="H222" s="153"/>
      <c r="I222" s="154"/>
      <c r="J222" s="65"/>
      <c r="K222" s="40"/>
      <c r="L222" s="40"/>
      <c r="M222" s="40"/>
      <c r="N222" s="40"/>
      <c r="O222" s="40"/>
    </row>
    <row r="223" spans="1:15" ht="12.75">
      <c r="A223" s="53"/>
      <c r="B223" s="147" t="s">
        <v>97</v>
      </c>
      <c r="C223" s="10" t="s">
        <v>1928</v>
      </c>
      <c r="D223" s="42" t="s">
        <v>2401</v>
      </c>
      <c r="E223" s="199"/>
      <c r="F223" s="71"/>
      <c r="G223" s="89" t="s">
        <v>3661</v>
      </c>
      <c r="H223" s="153"/>
      <c r="I223" s="154"/>
      <c r="J223" s="65"/>
      <c r="K223" s="40"/>
      <c r="L223" s="40"/>
      <c r="M223" s="40"/>
      <c r="N223" s="40"/>
      <c r="O223" s="40"/>
    </row>
    <row r="224" spans="1:15" ht="12.75">
      <c r="A224" s="44"/>
      <c r="B224" s="147" t="s">
        <v>97</v>
      </c>
      <c r="C224" s="40" t="s">
        <v>3662</v>
      </c>
      <c r="D224" s="42" t="s">
        <v>2401</v>
      </c>
      <c r="E224" s="143" t="s">
        <v>3593</v>
      </c>
      <c r="F224" s="71"/>
      <c r="G224" s="71"/>
      <c r="H224" s="153"/>
      <c r="I224" s="154"/>
      <c r="J224" s="65"/>
      <c r="K224" s="40"/>
      <c r="L224" s="40"/>
      <c r="M224" s="40"/>
      <c r="N224" s="40"/>
      <c r="O224" s="40"/>
    </row>
    <row r="225" spans="1:15" ht="12.75">
      <c r="A225" s="44"/>
      <c r="B225" s="147" t="s">
        <v>97</v>
      </c>
      <c r="C225" s="40" t="s">
        <v>1930</v>
      </c>
      <c r="D225" s="42" t="s">
        <v>2401</v>
      </c>
      <c r="E225" s="143" t="s">
        <v>3663</v>
      </c>
      <c r="F225" s="71"/>
      <c r="G225" s="71"/>
      <c r="H225" s="153"/>
      <c r="I225" s="154"/>
      <c r="J225" s="65"/>
      <c r="K225" s="40"/>
      <c r="L225" s="40"/>
      <c r="M225" s="40"/>
      <c r="N225" s="40"/>
      <c r="O225" s="40"/>
    </row>
    <row r="226" spans="1:15" ht="12.75">
      <c r="A226" s="44"/>
      <c r="B226" s="147" t="s">
        <v>97</v>
      </c>
      <c r="C226" s="40" t="s">
        <v>1932</v>
      </c>
      <c r="D226" s="42" t="s">
        <v>2401</v>
      </c>
      <c r="E226" s="143" t="s">
        <v>3664</v>
      </c>
      <c r="F226" s="71"/>
      <c r="G226" s="71"/>
      <c r="H226" s="153"/>
      <c r="I226" s="154"/>
      <c r="J226" s="65"/>
      <c r="K226" s="40"/>
      <c r="L226" s="40"/>
      <c r="M226" s="40"/>
      <c r="N226" s="40"/>
      <c r="O226" s="40"/>
    </row>
    <row r="227" spans="1:15" ht="12.75">
      <c r="A227" s="44"/>
      <c r="B227" s="147" t="s">
        <v>97</v>
      </c>
      <c r="C227" s="129" t="s">
        <v>1934</v>
      </c>
      <c r="D227" s="42" t="s">
        <v>2401</v>
      </c>
      <c r="E227" s="143" t="s">
        <v>3665</v>
      </c>
      <c r="F227" s="71"/>
      <c r="G227" s="71"/>
      <c r="H227" s="153"/>
      <c r="I227" s="154"/>
      <c r="J227" s="65"/>
      <c r="K227" s="40"/>
      <c r="L227" s="40"/>
      <c r="M227" s="40"/>
      <c r="N227" s="40"/>
      <c r="O227" s="40"/>
    </row>
    <row r="228" spans="1:15" ht="12.75">
      <c r="A228" s="53"/>
      <c r="B228" s="147" t="s">
        <v>97</v>
      </c>
      <c r="C228" s="10" t="s">
        <v>1936</v>
      </c>
      <c r="D228" s="42" t="s">
        <v>2401</v>
      </c>
      <c r="E228" s="199"/>
      <c r="F228" s="89" t="s">
        <v>3666</v>
      </c>
      <c r="G228" s="71"/>
      <c r="H228" s="153"/>
      <c r="I228" s="154"/>
      <c r="J228" s="65"/>
      <c r="K228" s="40"/>
      <c r="L228" s="40"/>
      <c r="M228" s="40"/>
      <c r="N228" s="40"/>
      <c r="O228" s="40"/>
    </row>
    <row r="229" spans="1:15" ht="12.75">
      <c r="A229" s="53"/>
      <c r="B229" s="147" t="s">
        <v>97</v>
      </c>
      <c r="C229" s="10" t="s">
        <v>1938</v>
      </c>
      <c r="D229" s="42" t="s">
        <v>2401</v>
      </c>
      <c r="E229" s="199"/>
      <c r="F229" s="89" t="s">
        <v>3667</v>
      </c>
      <c r="G229" s="71"/>
      <c r="H229" s="153"/>
      <c r="I229" s="154"/>
      <c r="J229" s="65"/>
      <c r="K229" s="40"/>
      <c r="L229" s="40"/>
      <c r="M229" s="40"/>
      <c r="N229" s="40"/>
      <c r="O229" s="40"/>
    </row>
    <row r="230" spans="1:15" ht="12.75">
      <c r="A230" s="53"/>
      <c r="B230" s="147" t="s">
        <v>97</v>
      </c>
      <c r="C230" s="10" t="s">
        <v>1940</v>
      </c>
      <c r="D230" s="42" t="s">
        <v>2401</v>
      </c>
      <c r="E230" s="199"/>
      <c r="F230" s="89" t="s">
        <v>3668</v>
      </c>
      <c r="G230" s="71"/>
      <c r="H230" s="153"/>
      <c r="I230" s="154"/>
      <c r="J230" s="65"/>
      <c r="K230" s="40"/>
      <c r="L230" s="40"/>
      <c r="M230" s="40"/>
      <c r="N230" s="40"/>
      <c r="O230" s="40"/>
    </row>
    <row r="231" spans="1:15" ht="12.75">
      <c r="A231" s="44"/>
      <c r="B231" s="147" t="s">
        <v>97</v>
      </c>
      <c r="C231" s="129" t="s">
        <v>1775</v>
      </c>
      <c r="D231" s="42" t="s">
        <v>2401</v>
      </c>
      <c r="E231" s="143" t="s">
        <v>3592</v>
      </c>
      <c r="F231" s="71"/>
      <c r="G231" s="71"/>
      <c r="H231" s="153"/>
      <c r="I231" s="154"/>
      <c r="J231" s="65"/>
      <c r="K231" s="40"/>
      <c r="L231" s="40"/>
      <c r="M231" s="40"/>
      <c r="N231" s="40"/>
      <c r="O231" s="40"/>
    </row>
    <row r="232" spans="1:15" ht="12.75">
      <c r="A232" s="44"/>
      <c r="B232" s="147" t="s">
        <v>97</v>
      </c>
      <c r="C232" s="10" t="s">
        <v>1942</v>
      </c>
      <c r="D232" s="42" t="s">
        <v>2401</v>
      </c>
      <c r="E232" s="143" t="s">
        <v>3669</v>
      </c>
      <c r="F232" s="71"/>
      <c r="G232" s="71"/>
      <c r="H232" s="153"/>
      <c r="I232" s="154"/>
      <c r="J232" s="65"/>
      <c r="K232" s="40"/>
      <c r="L232" s="40"/>
      <c r="M232" s="40"/>
      <c r="N232" s="40"/>
      <c r="O232" s="40"/>
    </row>
    <row r="233" spans="1:15" ht="12.75">
      <c r="A233" s="44"/>
      <c r="B233" s="147" t="s">
        <v>97</v>
      </c>
      <c r="C233" s="10" t="s">
        <v>1722</v>
      </c>
      <c r="D233" s="42" t="s">
        <v>2401</v>
      </c>
      <c r="E233" s="143" t="s">
        <v>3670</v>
      </c>
      <c r="F233" s="71"/>
      <c r="G233" s="71"/>
      <c r="H233" s="153"/>
      <c r="I233" s="154"/>
      <c r="J233" s="65"/>
      <c r="K233" s="40"/>
      <c r="L233" s="40"/>
      <c r="M233" s="40"/>
      <c r="N233" s="40"/>
      <c r="O233" s="40"/>
    </row>
    <row r="234" spans="1:15" ht="12.75">
      <c r="A234" s="53"/>
      <c r="B234" s="147" t="s">
        <v>97</v>
      </c>
      <c r="C234" s="10" t="s">
        <v>1945</v>
      </c>
      <c r="D234" s="42" t="s">
        <v>2401</v>
      </c>
      <c r="E234" s="199"/>
      <c r="F234" s="89" t="s">
        <v>3671</v>
      </c>
      <c r="G234" s="71"/>
      <c r="H234" s="153"/>
      <c r="I234" s="154"/>
      <c r="J234" s="65"/>
      <c r="K234" s="40"/>
      <c r="L234" s="40"/>
      <c r="M234" s="40"/>
      <c r="N234" s="40"/>
      <c r="O234" s="40"/>
    </row>
    <row r="235" spans="1:15" ht="12.75">
      <c r="A235" s="53"/>
      <c r="B235" s="147" t="s">
        <v>97</v>
      </c>
      <c r="C235" s="10" t="s">
        <v>1947</v>
      </c>
      <c r="D235" s="42" t="s">
        <v>2401</v>
      </c>
      <c r="E235" s="199"/>
      <c r="F235" s="89" t="s">
        <v>3672</v>
      </c>
      <c r="G235" s="71"/>
      <c r="H235" s="153"/>
      <c r="I235" s="154"/>
      <c r="J235" s="65"/>
      <c r="K235" s="40"/>
      <c r="L235" s="40"/>
      <c r="M235" s="40"/>
      <c r="N235" s="40"/>
      <c r="O235" s="40"/>
    </row>
    <row r="236" spans="1:15" ht="12.75">
      <c r="A236" s="44"/>
      <c r="B236" s="147" t="s">
        <v>97</v>
      </c>
      <c r="C236" s="10" t="s">
        <v>1580</v>
      </c>
      <c r="D236" s="42" t="s">
        <v>2401</v>
      </c>
      <c r="E236" s="143" t="s">
        <v>3509</v>
      </c>
      <c r="F236" s="71"/>
      <c r="G236" s="71"/>
      <c r="H236" s="153"/>
      <c r="I236" s="154"/>
      <c r="J236" s="65"/>
      <c r="K236" s="40"/>
      <c r="L236" s="40"/>
      <c r="M236" s="40"/>
      <c r="N236" s="40"/>
      <c r="O236" s="40"/>
    </row>
    <row r="237" spans="1:15" ht="12.75">
      <c r="A237" s="44"/>
      <c r="B237" s="147" t="s">
        <v>97</v>
      </c>
      <c r="C237" s="10" t="s">
        <v>1949</v>
      </c>
      <c r="D237" s="42" t="s">
        <v>2401</v>
      </c>
      <c r="E237" s="143" t="s">
        <v>3673</v>
      </c>
      <c r="F237" s="71"/>
      <c r="G237" s="71"/>
      <c r="H237" s="153"/>
      <c r="I237" s="154"/>
      <c r="J237" s="65"/>
      <c r="K237" s="40"/>
      <c r="L237" s="40"/>
      <c r="M237" s="40"/>
      <c r="N237" s="40"/>
      <c r="O237" s="40"/>
    </row>
    <row r="238" spans="1:15" ht="12.75">
      <c r="A238" s="44"/>
      <c r="B238" s="147" t="s">
        <v>97</v>
      </c>
      <c r="C238" s="10" t="s">
        <v>1951</v>
      </c>
      <c r="D238" s="42" t="s">
        <v>2401</v>
      </c>
      <c r="E238" s="143" t="s">
        <v>3674</v>
      </c>
      <c r="F238" s="71"/>
      <c r="G238" s="71"/>
      <c r="H238" s="153"/>
      <c r="I238" s="154"/>
      <c r="J238" s="65"/>
      <c r="K238" s="40"/>
      <c r="L238" s="40"/>
      <c r="M238" s="40"/>
      <c r="N238" s="40"/>
      <c r="O238" s="40"/>
    </row>
    <row r="239" spans="1:15" ht="12.75">
      <c r="A239" s="44"/>
      <c r="B239" s="147" t="s">
        <v>97</v>
      </c>
      <c r="C239" s="10" t="s">
        <v>1953</v>
      </c>
      <c r="D239" s="42" t="s">
        <v>2401</v>
      </c>
      <c r="E239" s="143" t="s">
        <v>3675</v>
      </c>
      <c r="F239" s="71"/>
      <c r="G239" s="71"/>
      <c r="H239" s="153"/>
      <c r="I239" s="154"/>
      <c r="J239" s="65"/>
      <c r="K239" s="40"/>
      <c r="L239" s="40"/>
      <c r="M239" s="40"/>
      <c r="N239" s="40"/>
      <c r="O239" s="40"/>
    </row>
    <row r="240" spans="1:15" ht="12.75">
      <c r="A240" s="44"/>
      <c r="B240" s="147" t="s">
        <v>97</v>
      </c>
      <c r="C240" s="10" t="s">
        <v>1955</v>
      </c>
      <c r="D240" s="42" t="s">
        <v>2401</v>
      </c>
      <c r="E240" s="143" t="s">
        <v>3676</v>
      </c>
      <c r="F240" s="71"/>
      <c r="G240" s="71"/>
      <c r="H240" s="153"/>
      <c r="I240" s="154"/>
      <c r="J240" s="65"/>
      <c r="K240" s="40"/>
      <c r="L240" s="40"/>
      <c r="M240" s="40"/>
      <c r="N240" s="40"/>
      <c r="O240" s="40"/>
    </row>
    <row r="241" spans="1:15" ht="12.75">
      <c r="A241" s="44"/>
      <c r="B241" s="147" t="s">
        <v>97</v>
      </c>
      <c r="C241" s="10" t="s">
        <v>1957</v>
      </c>
      <c r="D241" s="42" t="s">
        <v>2401</v>
      </c>
      <c r="E241" s="143" t="s">
        <v>3677</v>
      </c>
      <c r="F241" s="71"/>
      <c r="G241" s="71"/>
      <c r="H241" s="153"/>
      <c r="I241" s="154"/>
      <c r="J241" s="65"/>
      <c r="K241" s="40"/>
      <c r="L241" s="40"/>
      <c r="M241" s="40"/>
      <c r="N241" s="40"/>
      <c r="O241" s="40"/>
    </row>
    <row r="242" spans="1:15" ht="12.75">
      <c r="A242" s="44"/>
      <c r="B242" s="147" t="s">
        <v>97</v>
      </c>
      <c r="C242" s="10" t="s">
        <v>1636</v>
      </c>
      <c r="D242" s="42" t="s">
        <v>2401</v>
      </c>
      <c r="E242" s="143" t="s">
        <v>3534</v>
      </c>
      <c r="F242" s="71"/>
      <c r="G242" s="71"/>
      <c r="H242" s="153"/>
      <c r="I242" s="154"/>
      <c r="J242" s="65"/>
      <c r="K242" s="40"/>
      <c r="L242" s="40"/>
      <c r="M242" s="40"/>
      <c r="N242" s="40"/>
      <c r="O242" s="40"/>
    </row>
    <row r="243" spans="1:15" ht="12.75">
      <c r="A243" s="44"/>
      <c r="B243" s="147" t="s">
        <v>97</v>
      </c>
      <c r="C243" s="10" t="s">
        <v>1959</v>
      </c>
      <c r="D243" s="42" t="s">
        <v>2401</v>
      </c>
      <c r="E243" s="143" t="s">
        <v>3678</v>
      </c>
      <c r="F243" s="71"/>
      <c r="G243" s="71"/>
      <c r="H243" s="153"/>
      <c r="I243" s="154"/>
      <c r="J243" s="65"/>
      <c r="K243" s="40"/>
      <c r="L243" s="40"/>
      <c r="M243" s="40"/>
      <c r="N243" s="40"/>
      <c r="O243" s="40"/>
    </row>
    <row r="244" spans="1:15" ht="12.75">
      <c r="A244" s="44"/>
      <c r="B244" s="147" t="s">
        <v>97</v>
      </c>
      <c r="C244" s="10" t="s">
        <v>1961</v>
      </c>
      <c r="D244" s="42" t="s">
        <v>2401</v>
      </c>
      <c r="E244" s="143" t="s">
        <v>3679</v>
      </c>
      <c r="F244" s="71"/>
      <c r="G244" s="71"/>
      <c r="H244" s="153"/>
      <c r="I244" s="154"/>
      <c r="J244" s="65"/>
      <c r="K244" s="40"/>
      <c r="L244" s="40"/>
      <c r="M244" s="40"/>
      <c r="N244" s="40"/>
      <c r="O244" s="40"/>
    </row>
    <row r="245" spans="1:15" ht="12.75">
      <c r="A245" s="44"/>
      <c r="B245" s="147" t="s">
        <v>97</v>
      </c>
      <c r="C245" s="10" t="s">
        <v>1660</v>
      </c>
      <c r="D245" s="42" t="s">
        <v>2401</v>
      </c>
      <c r="E245" s="143" t="s">
        <v>3680</v>
      </c>
      <c r="F245" s="71"/>
      <c r="G245" s="71"/>
      <c r="H245" s="153"/>
      <c r="I245" s="154"/>
      <c r="J245" s="65"/>
      <c r="K245" s="40"/>
      <c r="L245" s="40"/>
      <c r="M245" s="40"/>
      <c r="N245" s="40"/>
      <c r="O245" s="40"/>
    </row>
    <row r="246" spans="1:15" ht="12.75">
      <c r="A246" s="53"/>
      <c r="B246" s="147" t="s">
        <v>97</v>
      </c>
      <c r="C246" s="10" t="s">
        <v>1964</v>
      </c>
      <c r="D246" s="42" t="s">
        <v>2401</v>
      </c>
      <c r="E246" s="199"/>
      <c r="F246" s="89" t="s">
        <v>3681</v>
      </c>
      <c r="G246" s="71"/>
      <c r="H246" s="153"/>
      <c r="I246" s="154"/>
      <c r="J246" s="65"/>
      <c r="K246" s="40"/>
      <c r="L246" s="40"/>
      <c r="M246" s="40"/>
      <c r="N246" s="40"/>
      <c r="O246" s="40"/>
    </row>
    <row r="247" spans="1:15" ht="12.75">
      <c r="A247" s="44"/>
      <c r="B247" s="147" t="s">
        <v>97</v>
      </c>
      <c r="C247" s="10" t="s">
        <v>1966</v>
      </c>
      <c r="D247" s="42" t="s">
        <v>2401</v>
      </c>
      <c r="E247" s="143" t="s">
        <v>3682</v>
      </c>
      <c r="F247" s="71"/>
      <c r="G247" s="71"/>
      <c r="H247" s="153"/>
      <c r="I247" s="154"/>
      <c r="J247" s="65"/>
      <c r="K247" s="40"/>
      <c r="L247" s="40"/>
      <c r="M247" s="40"/>
      <c r="N247" s="40"/>
      <c r="O247" s="40"/>
    </row>
    <row r="248" spans="1:15" ht="12.75">
      <c r="A248" s="53"/>
      <c r="B248" s="147" t="s">
        <v>97</v>
      </c>
      <c r="C248" s="10" t="s">
        <v>1968</v>
      </c>
      <c r="D248" s="42" t="s">
        <v>2401</v>
      </c>
      <c r="E248" s="199"/>
      <c r="F248" s="89" t="s">
        <v>3683</v>
      </c>
      <c r="G248" s="71"/>
      <c r="H248" s="153"/>
      <c r="I248" s="154"/>
      <c r="J248" s="65"/>
      <c r="K248" s="40"/>
      <c r="L248" s="40"/>
      <c r="M248" s="40"/>
      <c r="N248" s="40"/>
      <c r="O248" s="40"/>
    </row>
    <row r="249" spans="1:15" ht="12.75">
      <c r="A249" s="53"/>
      <c r="B249" s="147" t="s">
        <v>97</v>
      </c>
      <c r="C249" s="10" t="s">
        <v>1970</v>
      </c>
      <c r="D249" s="42" t="s">
        <v>2401</v>
      </c>
      <c r="E249" s="199"/>
      <c r="F249" s="89" t="s">
        <v>3684</v>
      </c>
      <c r="G249" s="71"/>
      <c r="H249" s="153"/>
      <c r="I249" s="154"/>
      <c r="J249" s="65"/>
      <c r="K249" s="40"/>
      <c r="L249" s="40"/>
      <c r="M249" s="40"/>
      <c r="N249" s="40"/>
      <c r="O249" s="40"/>
    </row>
    <row r="250" spans="1:15" ht="12.75">
      <c r="A250" s="44"/>
      <c r="B250" s="147" t="s">
        <v>97</v>
      </c>
      <c r="C250" s="10" t="s">
        <v>1972</v>
      </c>
      <c r="D250" s="42" t="s">
        <v>2401</v>
      </c>
      <c r="E250" s="143" t="s">
        <v>3685</v>
      </c>
      <c r="F250" s="71"/>
      <c r="G250" s="71"/>
      <c r="H250" s="153"/>
      <c r="I250" s="154"/>
      <c r="J250" s="65"/>
      <c r="K250" s="40"/>
      <c r="L250" s="40"/>
      <c r="M250" s="40"/>
      <c r="N250" s="40"/>
      <c r="O250" s="40"/>
    </row>
    <row r="251" spans="1:15" ht="12.75">
      <c r="A251" s="53"/>
      <c r="B251" s="147" t="s">
        <v>97</v>
      </c>
      <c r="C251" s="10" t="s">
        <v>1974</v>
      </c>
      <c r="D251" s="42" t="s">
        <v>2401</v>
      </c>
      <c r="E251" s="199"/>
      <c r="F251" s="89" t="s">
        <v>3686</v>
      </c>
      <c r="G251" s="71"/>
      <c r="H251" s="153"/>
      <c r="I251" s="154"/>
      <c r="J251" s="65"/>
      <c r="K251" s="40"/>
      <c r="L251" s="40"/>
      <c r="M251" s="40"/>
      <c r="N251" s="40"/>
      <c r="O251" s="40"/>
    </row>
    <row r="252" spans="1:15" ht="12.75">
      <c r="A252" s="44"/>
      <c r="B252" s="147" t="s">
        <v>97</v>
      </c>
      <c r="C252" s="10" t="s">
        <v>1976</v>
      </c>
      <c r="D252" s="42" t="s">
        <v>2401</v>
      </c>
      <c r="E252" s="143" t="s">
        <v>3687</v>
      </c>
      <c r="F252" s="71"/>
      <c r="G252" s="71"/>
      <c r="H252" s="153"/>
      <c r="I252" s="154"/>
      <c r="J252" s="65"/>
      <c r="K252" s="40"/>
      <c r="L252" s="40"/>
      <c r="M252" s="40"/>
      <c r="N252" s="40"/>
      <c r="O252" s="40"/>
    </row>
    <row r="253" spans="1:15" ht="12.75">
      <c r="A253" s="44"/>
      <c r="B253" s="147" t="s">
        <v>97</v>
      </c>
      <c r="C253" s="10" t="s">
        <v>1978</v>
      </c>
      <c r="D253" s="42" t="s">
        <v>2401</v>
      </c>
      <c r="E253" s="143" t="s">
        <v>3688</v>
      </c>
      <c r="F253" s="71"/>
      <c r="G253" s="71"/>
      <c r="H253" s="153"/>
      <c r="I253" s="154"/>
      <c r="J253" s="65"/>
      <c r="K253" s="40"/>
      <c r="L253" s="40"/>
      <c r="M253" s="40"/>
      <c r="N253" s="40"/>
      <c r="O253" s="40"/>
    </row>
    <row r="254" spans="1:15" ht="12.75">
      <c r="A254" s="44"/>
      <c r="B254" s="147" t="s">
        <v>97</v>
      </c>
      <c r="C254" s="10" t="s">
        <v>1980</v>
      </c>
      <c r="D254" s="42" t="s">
        <v>2401</v>
      </c>
      <c r="E254" s="143" t="s">
        <v>3689</v>
      </c>
      <c r="F254" s="71"/>
      <c r="G254" s="71"/>
      <c r="H254" s="153"/>
      <c r="I254" s="154"/>
      <c r="J254" s="65"/>
      <c r="K254" s="40"/>
      <c r="L254" s="40"/>
      <c r="M254" s="40"/>
      <c r="N254" s="40"/>
      <c r="O254" s="40"/>
    </row>
    <row r="255" spans="1:15" ht="12.75">
      <c r="A255" s="44"/>
      <c r="B255" s="147" t="s">
        <v>97</v>
      </c>
      <c r="C255" s="10" t="s">
        <v>1982</v>
      </c>
      <c r="D255" s="42" t="s">
        <v>2401</v>
      </c>
      <c r="E255" s="143" t="s">
        <v>3690</v>
      </c>
      <c r="F255" s="71"/>
      <c r="G255" s="71"/>
      <c r="H255" s="153"/>
      <c r="I255" s="154"/>
      <c r="J255" s="65"/>
      <c r="K255" s="40"/>
      <c r="L255" s="40"/>
      <c r="M255" s="40"/>
      <c r="N255" s="40"/>
      <c r="O255" s="40"/>
    </row>
    <row r="256" spans="1:15" ht="12.75">
      <c r="A256" s="44"/>
      <c r="B256" s="147" t="s">
        <v>97</v>
      </c>
      <c r="C256" s="10" t="s">
        <v>1984</v>
      </c>
      <c r="D256" s="42" t="s">
        <v>2401</v>
      </c>
      <c r="E256" s="143" t="s">
        <v>3691</v>
      </c>
      <c r="F256" s="71"/>
      <c r="G256" s="71"/>
      <c r="H256" s="153"/>
      <c r="I256" s="154"/>
      <c r="J256" s="65"/>
      <c r="K256" s="40"/>
      <c r="L256" s="40"/>
      <c r="M256" s="40"/>
      <c r="N256" s="40"/>
      <c r="O256" s="40"/>
    </row>
    <row r="257" spans="1:15" ht="12.75">
      <c r="A257" s="44"/>
      <c r="B257" s="147" t="s">
        <v>97</v>
      </c>
      <c r="C257" s="10" t="s">
        <v>1986</v>
      </c>
      <c r="D257" s="42" t="s">
        <v>2401</v>
      </c>
      <c r="E257" s="143" t="s">
        <v>3692</v>
      </c>
      <c r="F257" s="71"/>
      <c r="G257" s="71"/>
      <c r="H257" s="153"/>
      <c r="I257" s="154"/>
      <c r="J257" s="65"/>
      <c r="K257" s="40"/>
      <c r="L257" s="40"/>
      <c r="M257" s="40"/>
      <c r="N257" s="40"/>
      <c r="O257" s="40"/>
    </row>
    <row r="258" spans="1:15" ht="12.75">
      <c r="A258" s="44"/>
      <c r="B258" s="147" t="s">
        <v>97</v>
      </c>
      <c r="C258" s="10" t="s">
        <v>1987</v>
      </c>
      <c r="D258" s="42" t="s">
        <v>2401</v>
      </c>
      <c r="E258" s="143" t="s">
        <v>3693</v>
      </c>
      <c r="F258" s="71"/>
      <c r="G258" s="71"/>
      <c r="H258" s="153"/>
      <c r="I258" s="154"/>
      <c r="J258" s="65"/>
      <c r="K258" s="40"/>
      <c r="L258" s="40"/>
      <c r="M258" s="40"/>
      <c r="N258" s="40"/>
      <c r="O258" s="40"/>
    </row>
    <row r="259" spans="1:15" ht="12.75">
      <c r="A259" s="44"/>
      <c r="B259" s="147" t="s">
        <v>97</v>
      </c>
      <c r="C259" s="10" t="s">
        <v>1845</v>
      </c>
      <c r="D259" s="42" t="s">
        <v>2401</v>
      </c>
      <c r="E259" s="208" t="s">
        <v>3694</v>
      </c>
      <c r="F259" s="71"/>
      <c r="G259" s="71"/>
      <c r="H259" s="153"/>
      <c r="I259" s="154"/>
      <c r="J259" s="65"/>
      <c r="K259" s="40"/>
      <c r="L259" s="40"/>
      <c r="M259" s="40"/>
      <c r="N259" s="40"/>
      <c r="O259" s="40"/>
    </row>
    <row r="260" spans="1:15" ht="12.75">
      <c r="A260" s="44"/>
      <c r="B260" s="147" t="s">
        <v>97</v>
      </c>
      <c r="C260" s="10" t="s">
        <v>1989</v>
      </c>
      <c r="D260" s="42" t="s">
        <v>2401</v>
      </c>
      <c r="E260" s="143" t="s">
        <v>3695</v>
      </c>
      <c r="F260" s="71"/>
      <c r="G260" s="71"/>
      <c r="H260" s="153"/>
      <c r="I260" s="154"/>
      <c r="J260" s="65"/>
      <c r="K260" s="40"/>
      <c r="L260" s="40"/>
      <c r="M260" s="40"/>
      <c r="N260" s="40"/>
      <c r="O260" s="40"/>
    </row>
    <row r="261" spans="1:15" ht="12.75">
      <c r="A261" s="53"/>
      <c r="B261" s="147" t="s">
        <v>97</v>
      </c>
      <c r="C261" s="10" t="s">
        <v>1991</v>
      </c>
      <c r="D261" s="42" t="s">
        <v>2401</v>
      </c>
      <c r="E261" s="199"/>
      <c r="F261" s="89" t="s">
        <v>3696</v>
      </c>
      <c r="G261" s="71"/>
      <c r="H261" s="153"/>
      <c r="I261" s="154"/>
      <c r="J261" s="65"/>
      <c r="K261" s="40"/>
      <c r="L261" s="40"/>
      <c r="M261" s="40"/>
      <c r="N261" s="40"/>
      <c r="O261" s="40"/>
    </row>
    <row r="262" spans="1:15" ht="12.75">
      <c r="A262" s="53"/>
      <c r="B262" s="147" t="s">
        <v>97</v>
      </c>
      <c r="C262" s="10" t="s">
        <v>1993</v>
      </c>
      <c r="D262" s="42" t="s">
        <v>2401</v>
      </c>
      <c r="E262" s="199"/>
      <c r="F262" s="89" t="s">
        <v>3697</v>
      </c>
      <c r="G262" s="71"/>
      <c r="H262" s="153"/>
      <c r="I262" s="154"/>
      <c r="J262" s="65"/>
      <c r="K262" s="40"/>
      <c r="L262" s="40"/>
      <c r="M262" s="40"/>
      <c r="N262" s="40"/>
      <c r="O262" s="40"/>
    </row>
    <row r="263" spans="1:15" ht="12.75">
      <c r="A263" s="44"/>
      <c r="B263" s="147" t="s">
        <v>97</v>
      </c>
      <c r="C263" s="155" t="s">
        <v>1995</v>
      </c>
      <c r="D263" s="42" t="s">
        <v>2401</v>
      </c>
      <c r="E263" s="143" t="s">
        <v>3698</v>
      </c>
      <c r="F263" s="71"/>
      <c r="G263" s="71"/>
      <c r="H263" s="153"/>
      <c r="I263" s="154"/>
      <c r="J263" s="65"/>
      <c r="K263" s="40"/>
      <c r="L263" s="40"/>
      <c r="M263" s="40"/>
      <c r="N263" s="40"/>
      <c r="O263" s="40"/>
    </row>
    <row r="264" spans="1:15" ht="12.75">
      <c r="A264" s="44"/>
      <c r="B264" s="147" t="s">
        <v>97</v>
      </c>
      <c r="C264" s="10" t="s">
        <v>1997</v>
      </c>
      <c r="D264" s="42" t="s">
        <v>2401</v>
      </c>
      <c r="E264" s="143" t="s">
        <v>3699</v>
      </c>
      <c r="F264" s="71"/>
      <c r="G264" s="71"/>
      <c r="H264" s="153"/>
      <c r="I264" s="154"/>
      <c r="J264" s="65"/>
      <c r="K264" s="40"/>
      <c r="L264" s="40"/>
      <c r="M264" s="40"/>
      <c r="N264" s="40"/>
      <c r="O264" s="40"/>
    </row>
    <row r="265" spans="1:15" ht="12.75">
      <c r="A265" s="44"/>
      <c r="B265" s="147" t="s">
        <v>97</v>
      </c>
      <c r="C265" s="10" t="s">
        <v>1999</v>
      </c>
      <c r="D265" s="42" t="s">
        <v>2401</v>
      </c>
      <c r="E265" s="143" t="s">
        <v>3700</v>
      </c>
      <c r="F265" s="71"/>
      <c r="G265" s="71"/>
      <c r="H265" s="153"/>
      <c r="I265" s="154"/>
      <c r="J265" s="65"/>
      <c r="K265" s="40"/>
      <c r="L265" s="40"/>
      <c r="M265" s="40"/>
      <c r="N265" s="40"/>
      <c r="O265" s="40"/>
    </row>
    <row r="266" spans="1:15" ht="12.75">
      <c r="A266" s="53"/>
      <c r="B266" s="147" t="s">
        <v>97</v>
      </c>
      <c r="C266" s="10" t="s">
        <v>1574</v>
      </c>
      <c r="D266" s="42" t="s">
        <v>2401</v>
      </c>
      <c r="E266" s="199"/>
      <c r="F266" s="89" t="s">
        <v>3701</v>
      </c>
      <c r="G266" s="71"/>
      <c r="H266" s="153"/>
      <c r="I266" s="154"/>
      <c r="J266" s="65"/>
      <c r="K266" s="40"/>
      <c r="L266" s="40"/>
      <c r="M266" s="40"/>
      <c r="N266" s="40"/>
      <c r="O266" s="40"/>
    </row>
    <row r="267" spans="1:15" ht="12.75">
      <c r="A267" s="53"/>
      <c r="B267" s="147" t="s">
        <v>97</v>
      </c>
      <c r="C267" s="10" t="s">
        <v>2002</v>
      </c>
      <c r="D267" s="42" t="s">
        <v>2401</v>
      </c>
      <c r="E267" s="199"/>
      <c r="F267" s="71"/>
      <c r="G267" s="89" t="s">
        <v>3702</v>
      </c>
      <c r="H267" s="153"/>
      <c r="I267" s="154"/>
      <c r="J267" s="65"/>
      <c r="K267" s="40"/>
      <c r="L267" s="40"/>
      <c r="M267" s="40"/>
      <c r="N267" s="40"/>
      <c r="O267" s="40"/>
    </row>
    <row r="268" spans="1:15" ht="12.75">
      <c r="A268" s="53"/>
      <c r="B268" s="147" t="s">
        <v>97</v>
      </c>
      <c r="C268" s="10" t="s">
        <v>2004</v>
      </c>
      <c r="D268" s="42" t="s">
        <v>2401</v>
      </c>
      <c r="E268" s="199"/>
      <c r="F268" s="71"/>
      <c r="G268" s="89" t="s">
        <v>3703</v>
      </c>
      <c r="H268" s="153"/>
      <c r="I268" s="154"/>
      <c r="J268" s="65"/>
      <c r="K268" s="40"/>
      <c r="L268" s="40"/>
      <c r="M268" s="40"/>
      <c r="N268" s="40"/>
      <c r="O268" s="40"/>
    </row>
    <row r="269" spans="1:15" ht="12.75">
      <c r="A269" s="44"/>
      <c r="B269" s="147" t="s">
        <v>97</v>
      </c>
      <c r="C269" s="10" t="s">
        <v>2006</v>
      </c>
      <c r="D269" s="42" t="s">
        <v>2401</v>
      </c>
      <c r="E269" s="143" t="s">
        <v>3704</v>
      </c>
      <c r="F269" s="71"/>
      <c r="G269" s="71"/>
      <c r="H269" s="153"/>
      <c r="I269" s="154"/>
      <c r="J269" s="65"/>
      <c r="K269" s="40"/>
      <c r="L269" s="40"/>
      <c r="M269" s="40"/>
      <c r="N269" s="40"/>
      <c r="O269" s="40"/>
    </row>
    <row r="270" spans="1:15" ht="12.75">
      <c r="A270" s="53"/>
      <c r="B270" s="147" t="s">
        <v>97</v>
      </c>
      <c r="C270" s="10" t="s">
        <v>2008</v>
      </c>
      <c r="D270" s="42" t="s">
        <v>2401</v>
      </c>
      <c r="E270" s="199"/>
      <c r="F270" s="89" t="s">
        <v>3705</v>
      </c>
      <c r="G270" s="71"/>
      <c r="H270" s="153"/>
      <c r="I270" s="154"/>
      <c r="J270" s="65"/>
      <c r="K270" s="40"/>
      <c r="L270" s="40"/>
      <c r="M270" s="40"/>
      <c r="N270" s="40"/>
      <c r="O270" s="40"/>
    </row>
    <row r="271" spans="1:15" ht="12.75">
      <c r="A271" s="53"/>
      <c r="B271" s="147" t="s">
        <v>97</v>
      </c>
      <c r="C271" s="10" t="s">
        <v>2010</v>
      </c>
      <c r="D271" s="42" t="s">
        <v>2401</v>
      </c>
      <c r="E271" s="199"/>
      <c r="F271" s="89" t="s">
        <v>3706</v>
      </c>
      <c r="G271" s="71"/>
      <c r="H271" s="153"/>
      <c r="I271" s="154"/>
      <c r="J271" s="65"/>
      <c r="K271" s="40"/>
      <c r="L271" s="40"/>
      <c r="M271" s="40"/>
      <c r="N271" s="40"/>
      <c r="O271" s="40"/>
    </row>
    <row r="272" spans="1:15" ht="12.75">
      <c r="A272" s="44"/>
      <c r="B272" s="147" t="s">
        <v>97</v>
      </c>
      <c r="C272" s="10" t="s">
        <v>2012</v>
      </c>
      <c r="D272" s="42" t="s">
        <v>2401</v>
      </c>
      <c r="E272" s="143" t="s">
        <v>3707</v>
      </c>
      <c r="F272" s="71"/>
      <c r="G272" s="71"/>
      <c r="H272" s="153"/>
      <c r="I272" s="154"/>
      <c r="J272" s="65"/>
      <c r="K272" s="40"/>
      <c r="L272" s="40"/>
      <c r="M272" s="40"/>
      <c r="N272" s="40"/>
      <c r="O272" s="40"/>
    </row>
    <row r="273" spans="1:15" ht="12.75">
      <c r="A273" s="44"/>
      <c r="B273" s="147" t="s">
        <v>97</v>
      </c>
      <c r="C273" s="10" t="s">
        <v>2014</v>
      </c>
      <c r="D273" s="42" t="s">
        <v>2401</v>
      </c>
      <c r="E273" s="143" t="s">
        <v>3708</v>
      </c>
      <c r="F273" s="71"/>
      <c r="G273" s="71"/>
      <c r="H273" s="153"/>
      <c r="I273" s="154"/>
      <c r="J273" s="65"/>
      <c r="K273" s="40"/>
      <c r="L273" s="40"/>
      <c r="M273" s="40"/>
      <c r="N273" s="40"/>
      <c r="O273" s="40"/>
    </row>
    <row r="274" spans="1:15" ht="12.75">
      <c r="A274" s="53"/>
      <c r="B274" s="147" t="s">
        <v>97</v>
      </c>
      <c r="C274" s="10" t="s">
        <v>2016</v>
      </c>
      <c r="D274" s="42" t="s">
        <v>2401</v>
      </c>
      <c r="E274" s="199"/>
      <c r="F274" s="89" t="s">
        <v>3709</v>
      </c>
      <c r="G274" s="71"/>
      <c r="H274" s="153"/>
      <c r="I274" s="154"/>
      <c r="J274" s="65"/>
      <c r="K274" s="40"/>
      <c r="L274" s="40"/>
      <c r="M274" s="40"/>
      <c r="N274" s="40"/>
      <c r="O274" s="40"/>
    </row>
    <row r="275" spans="1:15" ht="12.75">
      <c r="A275" s="53"/>
      <c r="B275" s="147" t="s">
        <v>97</v>
      </c>
      <c r="C275" s="10" t="s">
        <v>2018</v>
      </c>
      <c r="D275" s="42" t="s">
        <v>2401</v>
      </c>
      <c r="E275" s="199"/>
      <c r="F275" s="89" t="s">
        <v>3710</v>
      </c>
      <c r="G275" s="71"/>
      <c r="H275" s="153"/>
      <c r="I275" s="154"/>
      <c r="J275" s="65"/>
      <c r="K275" s="40"/>
      <c r="L275" s="40"/>
      <c r="M275" s="40"/>
      <c r="N275" s="40"/>
      <c r="O275" s="40"/>
    </row>
    <row r="276" spans="1:15" ht="12.75">
      <c r="A276" s="44"/>
      <c r="B276" s="147" t="s">
        <v>97</v>
      </c>
      <c r="C276" s="10" t="s">
        <v>1698</v>
      </c>
      <c r="D276" s="42" t="s">
        <v>2401</v>
      </c>
      <c r="E276" s="143" t="s">
        <v>3711</v>
      </c>
      <c r="F276" s="71"/>
      <c r="G276" s="71"/>
      <c r="H276" s="153"/>
      <c r="I276" s="154"/>
      <c r="J276" s="65"/>
      <c r="K276" s="40"/>
      <c r="L276" s="40"/>
      <c r="M276" s="40"/>
      <c r="N276" s="40"/>
      <c r="O276" s="40"/>
    </row>
    <row r="277" spans="1:15" ht="12.75">
      <c r="A277" s="53"/>
      <c r="B277" s="147" t="s">
        <v>97</v>
      </c>
      <c r="C277" s="10" t="s">
        <v>2020</v>
      </c>
      <c r="D277" s="42" t="s">
        <v>2401</v>
      </c>
      <c r="E277" s="199"/>
      <c r="F277" s="89" t="s">
        <v>3712</v>
      </c>
      <c r="G277" s="71"/>
      <c r="H277" s="153"/>
      <c r="I277" s="154"/>
      <c r="J277" s="65"/>
      <c r="K277" s="40"/>
      <c r="L277" s="40"/>
      <c r="M277" s="40"/>
      <c r="N277" s="40"/>
      <c r="O277" s="40"/>
    </row>
    <row r="278" spans="1:15" ht="12.75">
      <c r="A278" s="44"/>
      <c r="B278" s="147" t="s">
        <v>97</v>
      </c>
      <c r="C278" s="10" t="s">
        <v>2022</v>
      </c>
      <c r="D278" s="42" t="s">
        <v>2401</v>
      </c>
      <c r="E278" s="143" t="s">
        <v>3713</v>
      </c>
      <c r="F278" s="71"/>
      <c r="G278" s="71"/>
      <c r="H278" s="153"/>
      <c r="I278" s="154"/>
      <c r="J278" s="65"/>
      <c r="K278" s="40"/>
      <c r="L278" s="40"/>
      <c r="M278" s="40"/>
      <c r="N278" s="40"/>
      <c r="O278" s="40"/>
    </row>
    <row r="279" spans="1:15" ht="12.75">
      <c r="A279" s="44"/>
      <c r="B279" s="147" t="s">
        <v>97</v>
      </c>
      <c r="C279" s="10" t="s">
        <v>2024</v>
      </c>
      <c r="D279" s="42" t="s">
        <v>2401</v>
      </c>
      <c r="E279" s="143" t="s">
        <v>3714</v>
      </c>
      <c r="F279" s="71"/>
      <c r="G279" s="71"/>
      <c r="H279" s="153"/>
      <c r="I279" s="154"/>
      <c r="J279" s="65"/>
      <c r="K279" s="40"/>
      <c r="L279" s="40"/>
      <c r="M279" s="40"/>
      <c r="N279" s="40"/>
      <c r="O279" s="40"/>
    </row>
    <row r="280" spans="1:15" ht="12.75">
      <c r="A280" s="44"/>
      <c r="B280" s="147" t="s">
        <v>97</v>
      </c>
      <c r="C280" s="10" t="s">
        <v>2026</v>
      </c>
      <c r="D280" s="42" t="s">
        <v>2401</v>
      </c>
      <c r="E280" s="143" t="s">
        <v>2608</v>
      </c>
      <c r="F280" s="71"/>
      <c r="G280" s="71"/>
      <c r="H280" s="153"/>
      <c r="I280" s="154"/>
      <c r="J280" s="65"/>
      <c r="K280" s="40"/>
      <c r="L280" s="40"/>
      <c r="M280" s="40"/>
      <c r="N280" s="40"/>
      <c r="O280" s="40"/>
    </row>
    <row r="281" spans="1:15" ht="12.75">
      <c r="A281" s="53"/>
      <c r="B281" s="147" t="s">
        <v>97</v>
      </c>
      <c r="C281" s="10" t="s">
        <v>2028</v>
      </c>
      <c r="D281" s="42" t="s">
        <v>2401</v>
      </c>
      <c r="E281" s="199"/>
      <c r="F281" s="89" t="s">
        <v>3715</v>
      </c>
      <c r="G281" s="71"/>
      <c r="H281" s="153"/>
      <c r="I281" s="154"/>
      <c r="J281" s="65"/>
      <c r="K281" s="40"/>
      <c r="L281" s="40"/>
      <c r="M281" s="40"/>
      <c r="N281" s="40"/>
      <c r="O281" s="40"/>
    </row>
    <row r="282" spans="1:15" ht="12.75">
      <c r="A282" s="53"/>
      <c r="B282" s="147" t="s">
        <v>97</v>
      </c>
      <c r="C282" s="10" t="s">
        <v>2030</v>
      </c>
      <c r="D282" s="42" t="s">
        <v>2401</v>
      </c>
      <c r="E282" s="199"/>
      <c r="F282" s="89" t="s">
        <v>3716</v>
      </c>
      <c r="G282" s="71"/>
      <c r="H282" s="153"/>
      <c r="I282" s="154"/>
      <c r="J282" s="65"/>
      <c r="K282" s="40"/>
      <c r="L282" s="40"/>
      <c r="M282" s="40"/>
      <c r="N282" s="40"/>
      <c r="O282" s="40"/>
    </row>
    <row r="283" spans="1:15" ht="12.75">
      <c r="A283" s="44"/>
      <c r="B283" s="147" t="s">
        <v>97</v>
      </c>
      <c r="C283" s="10" t="s">
        <v>1710</v>
      </c>
      <c r="D283" s="42" t="s">
        <v>2401</v>
      </c>
      <c r="E283" s="134" t="s">
        <v>3717</v>
      </c>
      <c r="F283" s="71"/>
      <c r="G283" s="71"/>
      <c r="H283" s="153"/>
      <c r="I283" s="154"/>
      <c r="J283" s="65"/>
      <c r="K283" s="40"/>
      <c r="L283" s="40"/>
      <c r="M283" s="40"/>
      <c r="N283" s="40"/>
      <c r="O283" s="40"/>
    </row>
    <row r="284" spans="1:15" ht="12.75">
      <c r="A284" s="44"/>
      <c r="B284" s="147" t="s">
        <v>97</v>
      </c>
      <c r="C284" s="209" t="s">
        <v>1712</v>
      </c>
      <c r="D284" s="42" t="s">
        <v>2401</v>
      </c>
      <c r="E284" s="199"/>
      <c r="F284" s="71" t="s">
        <v>3566</v>
      </c>
      <c r="G284" s="71"/>
      <c r="H284" s="153"/>
      <c r="I284" s="154"/>
      <c r="J284" s="65"/>
      <c r="K284" s="40"/>
      <c r="L284" s="40"/>
      <c r="M284" s="40"/>
      <c r="N284" s="40"/>
      <c r="O284" s="40"/>
    </row>
    <row r="285" spans="1:15" ht="12.75">
      <c r="A285" s="44"/>
      <c r="B285" s="147" t="s">
        <v>97</v>
      </c>
      <c r="C285" s="10" t="s">
        <v>2033</v>
      </c>
      <c r="D285" s="42" t="s">
        <v>2401</v>
      </c>
      <c r="E285" s="143" t="s">
        <v>3718</v>
      </c>
      <c r="F285" s="71"/>
      <c r="G285" s="71"/>
      <c r="H285" s="153"/>
      <c r="I285" s="154"/>
      <c r="J285" s="65"/>
      <c r="K285" s="40"/>
      <c r="L285" s="40"/>
      <c r="M285" s="40"/>
      <c r="N285" s="40"/>
      <c r="O285" s="40"/>
    </row>
    <row r="286" spans="1:15" ht="12.75">
      <c r="A286" s="53"/>
      <c r="B286" s="147" t="s">
        <v>97</v>
      </c>
      <c r="C286" s="10" t="s">
        <v>2035</v>
      </c>
      <c r="D286" s="42" t="s">
        <v>2401</v>
      </c>
      <c r="E286" s="199"/>
      <c r="F286" s="89" t="s">
        <v>3719</v>
      </c>
      <c r="G286" s="71"/>
      <c r="H286" s="153"/>
      <c r="I286" s="154"/>
      <c r="J286" s="65"/>
      <c r="K286" s="40"/>
      <c r="L286" s="40"/>
      <c r="M286" s="40"/>
      <c r="N286" s="40"/>
      <c r="O286" s="40"/>
    </row>
    <row r="287" spans="1:15" ht="12.75">
      <c r="A287" s="53"/>
      <c r="B287" s="147" t="s">
        <v>97</v>
      </c>
      <c r="C287" s="10" t="s">
        <v>2036</v>
      </c>
      <c r="D287" s="42" t="s">
        <v>2401</v>
      </c>
      <c r="E287" s="199"/>
      <c r="F287" s="89" t="s">
        <v>3720</v>
      </c>
      <c r="G287" s="71"/>
      <c r="H287" s="153"/>
      <c r="I287" s="154"/>
      <c r="J287" s="65"/>
      <c r="K287" s="40"/>
      <c r="L287" s="40"/>
      <c r="M287" s="40"/>
      <c r="N287" s="40"/>
      <c r="O287" s="40"/>
    </row>
    <row r="288" spans="1:15" ht="12.75">
      <c r="A288" s="44"/>
      <c r="B288" s="147" t="s">
        <v>97</v>
      </c>
      <c r="C288" s="10" t="s">
        <v>2037</v>
      </c>
      <c r="D288" s="42" t="s">
        <v>2401</v>
      </c>
      <c r="E288" s="143" t="s">
        <v>3721</v>
      </c>
      <c r="F288" s="71"/>
      <c r="G288" s="71"/>
      <c r="H288" s="153"/>
      <c r="I288" s="154"/>
      <c r="J288" s="65"/>
      <c r="K288" s="40"/>
      <c r="L288" s="40"/>
      <c r="M288" s="40"/>
      <c r="N288" s="40"/>
      <c r="O288" s="40"/>
    </row>
    <row r="289" spans="1:15" ht="12.75">
      <c r="A289" s="53"/>
      <c r="B289" s="147" t="s">
        <v>97</v>
      </c>
      <c r="C289" s="10" t="s">
        <v>2039</v>
      </c>
      <c r="D289" s="42" t="s">
        <v>2401</v>
      </c>
      <c r="E289" s="143"/>
      <c r="F289" s="71" t="s">
        <v>3722</v>
      </c>
      <c r="G289" s="71"/>
      <c r="H289" s="153"/>
      <c r="I289" s="154"/>
      <c r="J289" s="65"/>
      <c r="K289" s="40"/>
      <c r="L289" s="40"/>
      <c r="M289" s="40"/>
      <c r="N289" s="40"/>
      <c r="O289" s="40"/>
    </row>
    <row r="290" spans="1:15" ht="12.75">
      <c r="A290" s="53"/>
      <c r="B290" s="147" t="s">
        <v>97</v>
      </c>
      <c r="C290" s="10" t="s">
        <v>2041</v>
      </c>
      <c r="D290" s="42" t="s">
        <v>2401</v>
      </c>
      <c r="E290" s="143"/>
      <c r="F290" s="71" t="s">
        <v>3723</v>
      </c>
      <c r="G290" s="71"/>
      <c r="H290" s="153"/>
      <c r="I290" s="154"/>
      <c r="J290" s="65"/>
      <c r="K290" s="40"/>
      <c r="L290" s="40"/>
      <c r="M290" s="40"/>
      <c r="N290" s="40"/>
      <c r="O290" s="40"/>
    </row>
    <row r="291" spans="1:15" ht="12.75">
      <c r="A291" s="53"/>
      <c r="B291" s="147" t="s">
        <v>97</v>
      </c>
      <c r="C291" s="10" t="s">
        <v>2043</v>
      </c>
      <c r="D291" s="42" t="s">
        <v>2401</v>
      </c>
      <c r="E291" s="143"/>
      <c r="F291" s="71" t="s">
        <v>3724</v>
      </c>
      <c r="G291" s="71"/>
      <c r="H291" s="153"/>
      <c r="I291" s="154"/>
      <c r="J291" s="65"/>
      <c r="K291" s="40"/>
      <c r="L291" s="40"/>
      <c r="M291" s="40"/>
      <c r="N291" s="40"/>
      <c r="O291" s="40"/>
    </row>
    <row r="292" spans="1:15" ht="12.75">
      <c r="A292" s="53"/>
      <c r="B292" s="147" t="s">
        <v>97</v>
      </c>
      <c r="C292" s="10" t="s">
        <v>2045</v>
      </c>
      <c r="D292" s="42" t="s">
        <v>2401</v>
      </c>
      <c r="E292" s="143"/>
      <c r="F292" s="71" t="s">
        <v>3725</v>
      </c>
      <c r="G292" s="71"/>
      <c r="H292" s="153"/>
      <c r="I292" s="154"/>
      <c r="J292" s="65"/>
      <c r="K292" s="40"/>
      <c r="L292" s="40"/>
      <c r="M292" s="40"/>
      <c r="N292" s="40"/>
      <c r="O292" s="40"/>
    </row>
    <row r="293" spans="1:15" ht="12.75">
      <c r="A293" s="44"/>
      <c r="B293" s="147" t="s">
        <v>97</v>
      </c>
      <c r="C293" s="10" t="s">
        <v>2047</v>
      </c>
      <c r="D293" s="42" t="s">
        <v>2401</v>
      </c>
      <c r="E293" s="134" t="s">
        <v>3726</v>
      </c>
      <c r="F293" s="71"/>
      <c r="G293" s="71"/>
      <c r="H293" s="153"/>
      <c r="I293" s="154"/>
      <c r="J293" s="65"/>
      <c r="K293" s="40"/>
      <c r="L293" s="40"/>
      <c r="M293" s="40"/>
      <c r="N293" s="40"/>
      <c r="O293" s="40"/>
    </row>
    <row r="294" spans="1:15" ht="12.75">
      <c r="A294" s="59"/>
      <c r="B294" s="147" t="s">
        <v>97</v>
      </c>
      <c r="C294" s="63"/>
      <c r="D294" s="63"/>
      <c r="E294" s="196"/>
      <c r="F294" s="61"/>
      <c r="G294" s="61"/>
      <c r="H294" s="210"/>
      <c r="I294" s="211"/>
      <c r="J294" s="86"/>
      <c r="K294" s="87"/>
      <c r="L294" s="88"/>
      <c r="M294" s="88"/>
      <c r="N294" s="88"/>
      <c r="O294" s="88"/>
    </row>
    <row r="295" spans="1:15" ht="12.75">
      <c r="A295" s="59"/>
      <c r="B295" s="147" t="s">
        <v>97</v>
      </c>
      <c r="C295" s="63" t="s">
        <v>97</v>
      </c>
      <c r="D295" s="63"/>
      <c r="E295" s="196"/>
      <c r="F295" s="61"/>
      <c r="G295" s="61"/>
      <c r="H295" s="210"/>
      <c r="I295" s="211"/>
      <c r="J295" s="86"/>
      <c r="K295" s="87"/>
      <c r="L295" s="88"/>
      <c r="M295" s="88"/>
      <c r="N295" s="88"/>
      <c r="O295" s="88"/>
    </row>
    <row r="296" spans="1:15" ht="12.75">
      <c r="A296" s="31" t="s">
        <v>3727</v>
      </c>
      <c r="B296" s="147" t="s">
        <v>3728</v>
      </c>
      <c r="C296" s="13" t="s">
        <v>3729</v>
      </c>
      <c r="D296" s="42" t="s">
        <v>2401</v>
      </c>
      <c r="E296" s="143" t="s">
        <v>3730</v>
      </c>
      <c r="F296" s="89"/>
      <c r="G296" s="89"/>
      <c r="H296" s="148"/>
      <c r="I296" s="149"/>
      <c r="J296" s="90"/>
      <c r="K296" s="43"/>
      <c r="L296" s="39"/>
      <c r="M296" s="39"/>
      <c r="N296" s="39"/>
      <c r="O296" s="39"/>
    </row>
    <row r="297" spans="1:15" ht="38.25">
      <c r="A297" s="31"/>
      <c r="B297" s="147" t="s">
        <v>97</v>
      </c>
      <c r="C297" s="13" t="s">
        <v>3731</v>
      </c>
      <c r="D297" s="42" t="s">
        <v>2401</v>
      </c>
      <c r="E297" s="212" t="s">
        <v>3732</v>
      </c>
      <c r="F297" s="89"/>
      <c r="G297" s="89"/>
      <c r="H297" s="148"/>
      <c r="I297" s="149"/>
      <c r="J297" s="90"/>
      <c r="K297" s="43"/>
      <c r="L297" s="39"/>
      <c r="M297" s="39"/>
      <c r="N297" s="39"/>
      <c r="O297" s="39"/>
    </row>
    <row r="298" spans="1:15" ht="12.75">
      <c r="A298" s="59"/>
      <c r="B298" s="147" t="s">
        <v>97</v>
      </c>
      <c r="C298" s="63" t="s">
        <v>97</v>
      </c>
      <c r="D298" s="63"/>
      <c r="E298" s="213"/>
      <c r="F298" s="61"/>
      <c r="G298" s="61"/>
      <c r="H298" s="210"/>
      <c r="I298" s="211"/>
      <c r="J298" s="86"/>
      <c r="K298" s="87"/>
      <c r="L298" s="88"/>
      <c r="M298" s="88"/>
      <c r="N298" s="88"/>
      <c r="O298" s="88"/>
    </row>
    <row r="299" spans="1:15" ht="12.75">
      <c r="A299" s="59"/>
      <c r="B299" s="147" t="s">
        <v>97</v>
      </c>
      <c r="C299" s="63" t="s">
        <v>97</v>
      </c>
      <c r="D299" s="63"/>
      <c r="E299" s="213"/>
      <c r="F299" s="61"/>
      <c r="G299" s="61"/>
      <c r="H299" s="210"/>
      <c r="I299" s="211"/>
      <c r="J299" s="86"/>
      <c r="K299" s="87"/>
      <c r="L299" s="88"/>
      <c r="M299" s="88"/>
      <c r="N299" s="88"/>
      <c r="O299" s="88"/>
    </row>
    <row r="300" spans="1:15" ht="12.75">
      <c r="A300" s="13" t="s">
        <v>284</v>
      </c>
      <c r="B300" s="147" t="s">
        <v>148</v>
      </c>
      <c r="C300" s="50" t="s">
        <v>285</v>
      </c>
      <c r="D300" s="42" t="s">
        <v>2401</v>
      </c>
      <c r="E300" s="143" t="s">
        <v>2353</v>
      </c>
      <c r="F300" s="144"/>
      <c r="G300" s="72"/>
      <c r="H300" s="151"/>
      <c r="I300" s="152"/>
      <c r="J300" s="84"/>
      <c r="K300" s="100"/>
      <c r="L300" s="81"/>
      <c r="M300" s="81"/>
      <c r="N300" s="81"/>
      <c r="O300" s="81"/>
    </row>
    <row r="301" spans="1:15" ht="12.75">
      <c r="A301" s="13"/>
      <c r="B301" s="147" t="s">
        <v>97</v>
      </c>
      <c r="C301" s="50" t="s">
        <v>287</v>
      </c>
      <c r="D301" s="42" t="s">
        <v>2401</v>
      </c>
      <c r="E301" s="150" t="s">
        <v>2354</v>
      </c>
      <c r="F301" s="72"/>
      <c r="G301" s="72"/>
      <c r="H301" s="151"/>
      <c r="I301" s="152"/>
      <c r="J301" s="84"/>
      <c r="K301" s="100"/>
      <c r="L301" s="81"/>
      <c r="M301" s="81"/>
      <c r="N301" s="81"/>
      <c r="O301" s="81"/>
    </row>
    <row r="302" spans="1:15" ht="12.75">
      <c r="A302" s="82"/>
      <c r="B302" s="147" t="s">
        <v>97</v>
      </c>
      <c r="C302" s="50" t="s">
        <v>291</v>
      </c>
      <c r="D302" s="42" t="s">
        <v>2401</v>
      </c>
      <c r="E302" s="199"/>
      <c r="F302" s="83" t="s">
        <v>2356</v>
      </c>
      <c r="G302" s="72"/>
      <c r="H302" s="151"/>
      <c r="I302" s="152"/>
      <c r="J302" s="84"/>
      <c r="K302" s="100"/>
      <c r="L302" s="81"/>
      <c r="M302" s="81"/>
      <c r="N302" s="81"/>
      <c r="O302" s="81"/>
    </row>
    <row r="303" spans="1:15" ht="12.75">
      <c r="A303" s="82"/>
      <c r="B303" s="147" t="s">
        <v>97</v>
      </c>
      <c r="C303" s="50" t="s">
        <v>293</v>
      </c>
      <c r="D303" s="42" t="s">
        <v>2401</v>
      </c>
      <c r="E303" s="199"/>
      <c r="F303" s="83" t="s">
        <v>2357</v>
      </c>
      <c r="G303" s="72"/>
      <c r="H303" s="151"/>
      <c r="I303" s="152"/>
      <c r="J303" s="84"/>
      <c r="K303" s="100"/>
      <c r="L303" s="81"/>
      <c r="M303" s="81"/>
      <c r="N303" s="81"/>
      <c r="O303" s="81"/>
    </row>
    <row r="304" spans="1:15" ht="12.75">
      <c r="A304" s="82"/>
      <c r="B304" s="147" t="s">
        <v>97</v>
      </c>
      <c r="C304" s="50" t="s">
        <v>295</v>
      </c>
      <c r="D304" s="42" t="s">
        <v>2401</v>
      </c>
      <c r="E304" s="199"/>
      <c r="F304" s="83" t="s">
        <v>2358</v>
      </c>
      <c r="G304" s="72"/>
      <c r="H304" s="151"/>
      <c r="I304" s="152"/>
      <c r="J304" s="84"/>
      <c r="K304" s="100"/>
      <c r="L304" s="81"/>
      <c r="M304" s="81"/>
      <c r="N304" s="81"/>
      <c r="O304" s="81"/>
    </row>
    <row r="305" spans="1:15" ht="12.75">
      <c r="A305" s="82"/>
      <c r="B305" s="147" t="s">
        <v>97</v>
      </c>
      <c r="C305" s="50" t="s">
        <v>297</v>
      </c>
      <c r="D305" s="42" t="s">
        <v>2401</v>
      </c>
      <c r="E305" s="199"/>
      <c r="F305" s="85" t="s">
        <v>2359</v>
      </c>
      <c r="G305" s="72"/>
      <c r="H305" s="151"/>
      <c r="I305" s="152"/>
      <c r="J305" s="84"/>
      <c r="K305" s="100"/>
      <c r="L305" s="81"/>
      <c r="M305" s="81"/>
      <c r="N305" s="81"/>
      <c r="O305" s="81"/>
    </row>
    <row r="306" spans="1:15" ht="12.75">
      <c r="A306" s="82"/>
      <c r="B306" s="147" t="s">
        <v>97</v>
      </c>
      <c r="C306" s="50" t="s">
        <v>299</v>
      </c>
      <c r="D306" s="42" t="s">
        <v>2401</v>
      </c>
      <c r="E306" s="199"/>
      <c r="F306" s="85" t="s">
        <v>2360</v>
      </c>
      <c r="G306" s="72"/>
      <c r="H306" s="151"/>
      <c r="I306" s="152"/>
      <c r="J306" s="84"/>
      <c r="K306" s="100"/>
      <c r="L306" s="81"/>
      <c r="M306" s="81"/>
      <c r="N306" s="81"/>
      <c r="O306" s="81"/>
    </row>
    <row r="307" spans="1:15" ht="12.75">
      <c r="A307" s="82"/>
      <c r="B307" s="147" t="s">
        <v>97</v>
      </c>
      <c r="C307" s="50" t="s">
        <v>289</v>
      </c>
      <c r="D307" s="42" t="s">
        <v>2401</v>
      </c>
      <c r="E307" s="199"/>
      <c r="F307" s="83" t="s">
        <v>2355</v>
      </c>
      <c r="G307" s="72"/>
      <c r="H307" s="151"/>
      <c r="I307" s="152"/>
      <c r="J307" s="84"/>
      <c r="K307" s="100"/>
      <c r="L307" s="81"/>
      <c r="M307" s="81"/>
      <c r="N307" s="81"/>
      <c r="O307" s="81"/>
    </row>
    <row r="308" spans="1:15" ht="12.75">
      <c r="A308" s="13"/>
      <c r="B308" s="147" t="s">
        <v>97</v>
      </c>
      <c r="C308" s="50" t="s">
        <v>301</v>
      </c>
      <c r="D308" s="42" t="s">
        <v>2401</v>
      </c>
      <c r="E308" s="150" t="s">
        <v>2361</v>
      </c>
      <c r="F308" s="72"/>
      <c r="G308" s="72"/>
      <c r="H308" s="151"/>
      <c r="I308" s="152"/>
      <c r="J308" s="84"/>
      <c r="K308" s="100"/>
      <c r="L308" s="81"/>
      <c r="M308" s="81"/>
      <c r="N308" s="81"/>
      <c r="O308" s="81"/>
    </row>
    <row r="309" spans="1:15" ht="12.75">
      <c r="A309" s="59"/>
      <c r="B309" s="147" t="s">
        <v>97</v>
      </c>
      <c r="C309" s="63" t="s">
        <v>97</v>
      </c>
      <c r="D309" s="63"/>
      <c r="E309" s="196"/>
      <c r="F309" s="61"/>
      <c r="G309" s="61"/>
      <c r="H309" s="210"/>
      <c r="I309" s="211"/>
      <c r="J309" s="86"/>
      <c r="K309" s="87"/>
      <c r="L309" s="88"/>
      <c r="M309" s="88"/>
      <c r="N309" s="88"/>
      <c r="O309" s="88"/>
    </row>
    <row r="310" spans="1:15" ht="12.75">
      <c r="A310" s="60"/>
      <c r="B310" s="147" t="s">
        <v>97</v>
      </c>
      <c r="C310" s="63" t="s">
        <v>97</v>
      </c>
      <c r="D310" s="63"/>
      <c r="E310" s="213"/>
      <c r="F310" s="61"/>
      <c r="G310" s="61"/>
      <c r="H310" s="210"/>
      <c r="I310" s="211"/>
      <c r="J310" s="86"/>
      <c r="K310" s="87"/>
      <c r="L310" s="88"/>
      <c r="M310" s="88"/>
      <c r="N310" s="88"/>
      <c r="O310" s="88"/>
    </row>
    <row r="311" spans="1:15" ht="12.75">
      <c r="A311" s="13" t="s">
        <v>302</v>
      </c>
      <c r="B311" s="147" t="s">
        <v>153</v>
      </c>
      <c r="C311" s="10" t="s">
        <v>304</v>
      </c>
      <c r="D311" s="42" t="s">
        <v>2401</v>
      </c>
      <c r="E311" s="143" t="s">
        <v>2372</v>
      </c>
      <c r="F311" s="144"/>
      <c r="G311" s="89"/>
      <c r="H311" s="148"/>
      <c r="I311" s="149"/>
      <c r="J311" s="90"/>
      <c r="K311" s="43"/>
      <c r="L311" s="39"/>
      <c r="M311" s="39"/>
      <c r="N311" s="39"/>
      <c r="O311" s="39"/>
    </row>
    <row r="312" spans="1:15" ht="12.75">
      <c r="A312" s="13"/>
      <c r="B312" s="147" t="s">
        <v>97</v>
      </c>
      <c r="C312" s="10" t="s">
        <v>306</v>
      </c>
      <c r="D312" s="42" t="s">
        <v>2401</v>
      </c>
      <c r="E312" s="150" t="s">
        <v>2373</v>
      </c>
      <c r="F312" s="89"/>
      <c r="G312" s="89"/>
      <c r="H312" s="148"/>
      <c r="I312" s="149"/>
      <c r="J312" s="90"/>
      <c r="K312" s="43"/>
      <c r="L312" s="39"/>
      <c r="M312" s="39"/>
      <c r="N312" s="39"/>
      <c r="O312" s="39"/>
    </row>
    <row r="313" spans="1:15" ht="12.75">
      <c r="A313" s="13"/>
      <c r="B313" s="147" t="s">
        <v>97</v>
      </c>
      <c r="C313" s="10" t="s">
        <v>308</v>
      </c>
      <c r="D313" s="42" t="s">
        <v>2401</v>
      </c>
      <c r="E313" s="150" t="s">
        <v>3733</v>
      </c>
      <c r="F313" s="89"/>
      <c r="G313" s="89"/>
      <c r="H313" s="148"/>
      <c r="I313" s="149"/>
      <c r="J313" s="90"/>
      <c r="K313" s="43"/>
      <c r="L313" s="39"/>
      <c r="M313" s="39"/>
      <c r="N313" s="39"/>
      <c r="O313" s="39"/>
    </row>
    <row r="314" spans="1:15" ht="12.75">
      <c r="A314" s="13"/>
      <c r="B314" s="147" t="s">
        <v>97</v>
      </c>
      <c r="C314" s="10" t="s">
        <v>310</v>
      </c>
      <c r="D314" s="42" t="s">
        <v>2401</v>
      </c>
      <c r="E314" s="150" t="s">
        <v>2374</v>
      </c>
      <c r="F314" s="89"/>
      <c r="G314" s="89"/>
      <c r="H314" s="148"/>
      <c r="I314" s="149"/>
      <c r="J314" s="90"/>
      <c r="K314" s="43"/>
      <c r="L314" s="39"/>
      <c r="M314" s="39"/>
      <c r="N314" s="39"/>
      <c r="O314" s="39"/>
    </row>
    <row r="315" spans="1:15" ht="12.75">
      <c r="A315" s="13"/>
      <c r="B315" s="147" t="s">
        <v>97</v>
      </c>
      <c r="C315" s="10" t="s">
        <v>312</v>
      </c>
      <c r="D315" s="42" t="s">
        <v>2401</v>
      </c>
      <c r="E315" s="150" t="s">
        <v>3734</v>
      </c>
      <c r="F315" s="72"/>
      <c r="G315" s="72"/>
      <c r="H315" s="151"/>
      <c r="I315" s="152"/>
      <c r="J315" s="84"/>
      <c r="K315" s="100"/>
      <c r="L315" s="81"/>
      <c r="M315" s="81"/>
      <c r="N315" s="81"/>
      <c r="O315" s="81"/>
    </row>
    <row r="316" spans="1:15" ht="12.75">
      <c r="A316" s="13"/>
      <c r="B316" s="147" t="s">
        <v>97</v>
      </c>
      <c r="C316" s="10" t="s">
        <v>314</v>
      </c>
      <c r="D316" s="42" t="s">
        <v>2401</v>
      </c>
      <c r="E316" s="150" t="s">
        <v>3735</v>
      </c>
      <c r="F316" s="72"/>
      <c r="G316" s="72"/>
      <c r="H316" s="151"/>
      <c r="I316" s="152"/>
      <c r="J316" s="84"/>
      <c r="K316" s="100"/>
      <c r="L316" s="81"/>
      <c r="M316" s="81"/>
      <c r="N316" s="81"/>
      <c r="O316" s="81"/>
    </row>
    <row r="317" spans="1:15" ht="12.75">
      <c r="A317" s="82"/>
      <c r="B317" s="147" t="s">
        <v>97</v>
      </c>
      <c r="C317" s="10" t="s">
        <v>316</v>
      </c>
      <c r="D317" s="42" t="s">
        <v>2401</v>
      </c>
      <c r="E317" s="199"/>
      <c r="F317" s="83" t="s">
        <v>3736</v>
      </c>
      <c r="G317" s="72"/>
      <c r="H317" s="151"/>
      <c r="I317" s="152"/>
      <c r="J317" s="84"/>
      <c r="K317" s="100"/>
      <c r="L317" s="81"/>
      <c r="M317" s="81"/>
      <c r="N317" s="81"/>
      <c r="O317" s="81"/>
    </row>
    <row r="318" spans="1:15" ht="12.75">
      <c r="A318" s="82"/>
      <c r="B318" s="147" t="s">
        <v>97</v>
      </c>
      <c r="C318" s="10" t="s">
        <v>318</v>
      </c>
      <c r="D318" s="42" t="s">
        <v>2401</v>
      </c>
      <c r="E318" s="199"/>
      <c r="F318" s="83" t="s">
        <v>3737</v>
      </c>
      <c r="G318" s="72"/>
      <c r="H318" s="151"/>
      <c r="I318" s="152"/>
      <c r="J318" s="84"/>
      <c r="K318" s="100"/>
      <c r="L318" s="81"/>
      <c r="M318" s="81"/>
      <c r="N318" s="81"/>
      <c r="O318" s="81"/>
    </row>
    <row r="319" spans="1:15" ht="12.75">
      <c r="A319" s="82"/>
      <c r="B319" s="147" t="s">
        <v>97</v>
      </c>
      <c r="C319" s="10" t="s">
        <v>320</v>
      </c>
      <c r="D319" s="42" t="s">
        <v>2401</v>
      </c>
      <c r="E319" s="199"/>
      <c r="F319" s="144"/>
      <c r="G319" s="83" t="s">
        <v>3738</v>
      </c>
      <c r="H319" s="151"/>
      <c r="I319" s="152"/>
      <c r="J319" s="84"/>
      <c r="K319" s="100"/>
      <c r="L319" s="81"/>
      <c r="M319" s="81"/>
      <c r="N319" s="81"/>
      <c r="O319" s="81"/>
    </row>
    <row r="320" spans="1:15" ht="12.75">
      <c r="A320" s="82"/>
      <c r="B320" s="147" t="s">
        <v>97</v>
      </c>
      <c r="C320" s="10" t="s">
        <v>322</v>
      </c>
      <c r="D320" s="42" t="s">
        <v>2401</v>
      </c>
      <c r="E320" s="199"/>
      <c r="F320" s="144"/>
      <c r="G320" s="83" t="s">
        <v>3739</v>
      </c>
      <c r="H320" s="151"/>
      <c r="I320" s="152"/>
      <c r="J320" s="84"/>
      <c r="K320" s="100"/>
      <c r="L320" s="81"/>
      <c r="M320" s="81"/>
      <c r="N320" s="81"/>
      <c r="O320" s="81"/>
    </row>
    <row r="321" spans="1:15" ht="12.75">
      <c r="A321" s="82"/>
      <c r="B321" s="147" t="s">
        <v>97</v>
      </c>
      <c r="C321" s="10" t="s">
        <v>324</v>
      </c>
      <c r="D321" s="42" t="s">
        <v>2401</v>
      </c>
      <c r="E321" s="199"/>
      <c r="F321" s="83" t="s">
        <v>3740</v>
      </c>
      <c r="G321" s="85"/>
      <c r="H321" s="214"/>
      <c r="I321" s="215"/>
      <c r="J321" s="95"/>
      <c r="K321" s="105"/>
      <c r="L321" s="49"/>
      <c r="M321" s="49"/>
      <c r="N321" s="49"/>
      <c r="O321" s="49"/>
    </row>
    <row r="322" spans="1:15" ht="12.75">
      <c r="A322" s="82"/>
      <c r="B322" s="147" t="s">
        <v>97</v>
      </c>
      <c r="C322" s="10" t="s">
        <v>326</v>
      </c>
      <c r="D322" s="42" t="s">
        <v>2401</v>
      </c>
      <c r="E322" s="199"/>
      <c r="F322" s="144"/>
      <c r="G322" s="83" t="s">
        <v>3741</v>
      </c>
      <c r="H322" s="151"/>
      <c r="I322" s="152"/>
      <c r="J322" s="84"/>
      <c r="K322" s="100"/>
      <c r="L322" s="81"/>
      <c r="M322" s="81"/>
      <c r="N322" s="81"/>
      <c r="O322" s="81"/>
    </row>
    <row r="323" spans="1:15" ht="12.75">
      <c r="A323" s="82"/>
      <c r="B323" s="147" t="s">
        <v>97</v>
      </c>
      <c r="C323" s="10" t="s">
        <v>328</v>
      </c>
      <c r="D323" s="42" t="s">
        <v>2401</v>
      </c>
      <c r="E323" s="199"/>
      <c r="F323" s="83" t="s">
        <v>2379</v>
      </c>
      <c r="G323" s="72"/>
      <c r="H323" s="151"/>
      <c r="I323" s="152"/>
      <c r="J323" s="84"/>
      <c r="K323" s="100"/>
      <c r="L323" s="81"/>
      <c r="M323" s="81"/>
      <c r="N323" s="81"/>
      <c r="O323" s="81"/>
    </row>
    <row r="324" spans="1:15" ht="12.75">
      <c r="A324" s="13"/>
      <c r="B324" s="147" t="s">
        <v>97</v>
      </c>
      <c r="C324" s="10" t="s">
        <v>330</v>
      </c>
      <c r="D324" s="42" t="s">
        <v>2401</v>
      </c>
      <c r="E324" s="150" t="s">
        <v>2380</v>
      </c>
      <c r="F324" s="89"/>
      <c r="G324" s="89"/>
      <c r="H324" s="148"/>
      <c r="I324" s="149"/>
      <c r="J324" s="90"/>
      <c r="K324" s="43"/>
      <c r="L324" s="39"/>
      <c r="M324" s="39"/>
      <c r="N324" s="39"/>
      <c r="O324" s="39"/>
    </row>
    <row r="325" spans="1:15" ht="12.75">
      <c r="A325" s="13"/>
      <c r="B325" s="147" t="s">
        <v>97</v>
      </c>
      <c r="C325" s="10" t="s">
        <v>332</v>
      </c>
      <c r="D325" s="42" t="s">
        <v>2401</v>
      </c>
      <c r="E325" s="150" t="s">
        <v>2381</v>
      </c>
      <c r="F325" s="72"/>
      <c r="G325" s="72"/>
      <c r="H325" s="151"/>
      <c r="I325" s="152"/>
      <c r="J325" s="84"/>
      <c r="K325" s="100"/>
      <c r="L325" s="81"/>
      <c r="M325" s="81"/>
      <c r="N325" s="81"/>
      <c r="O325" s="81"/>
    </row>
    <row r="326" spans="1:15" ht="12.75">
      <c r="A326" s="13"/>
      <c r="B326" s="147" t="s">
        <v>97</v>
      </c>
      <c r="C326" s="10" t="s">
        <v>334</v>
      </c>
      <c r="D326" s="42" t="s">
        <v>2401</v>
      </c>
      <c r="E326" s="150" t="s">
        <v>3742</v>
      </c>
      <c r="F326" s="89"/>
      <c r="G326" s="89"/>
      <c r="H326" s="148"/>
      <c r="I326" s="149"/>
      <c r="J326" s="90"/>
      <c r="K326" s="43"/>
      <c r="L326" s="39"/>
      <c r="M326" s="39"/>
      <c r="N326" s="39"/>
      <c r="O326" s="39"/>
    </row>
    <row r="327" spans="1:15" ht="12.75">
      <c r="A327" s="13"/>
      <c r="B327" s="147" t="s">
        <v>97</v>
      </c>
      <c r="C327" s="10" t="s">
        <v>336</v>
      </c>
      <c r="D327" s="42" t="s">
        <v>2401</v>
      </c>
      <c r="E327" s="150" t="s">
        <v>3743</v>
      </c>
      <c r="F327" s="72"/>
      <c r="G327" s="72"/>
      <c r="H327" s="151"/>
      <c r="I327" s="152"/>
      <c r="J327" s="84"/>
      <c r="K327" s="100"/>
      <c r="L327" s="81"/>
      <c r="M327" s="81"/>
      <c r="N327" s="81"/>
      <c r="O327" s="81"/>
    </row>
    <row r="328" spans="1:15" ht="12.75">
      <c r="A328" s="82"/>
      <c r="B328" s="147" t="s">
        <v>97</v>
      </c>
      <c r="C328" s="10" t="s">
        <v>338</v>
      </c>
      <c r="D328" s="42" t="s">
        <v>2401</v>
      </c>
      <c r="E328" s="199"/>
      <c r="F328" s="83" t="s">
        <v>2376</v>
      </c>
      <c r="G328" s="71"/>
      <c r="H328" s="153"/>
      <c r="I328" s="154"/>
      <c r="J328" s="65"/>
      <c r="K328" s="42"/>
      <c r="L328" s="40"/>
      <c r="M328" s="40"/>
      <c r="N328" s="40"/>
      <c r="O328" s="40"/>
    </row>
    <row r="329" spans="1:15" ht="12.75">
      <c r="A329" s="82"/>
      <c r="B329" s="147" t="s">
        <v>97</v>
      </c>
      <c r="C329" s="10" t="s">
        <v>340</v>
      </c>
      <c r="D329" s="42" t="s">
        <v>2401</v>
      </c>
      <c r="E329" s="199"/>
      <c r="F329" s="83" t="s">
        <v>3744</v>
      </c>
      <c r="G329" s="89"/>
      <c r="H329" s="148"/>
      <c r="I329" s="149"/>
      <c r="J329" s="90"/>
      <c r="K329" s="43"/>
      <c r="L329" s="39"/>
      <c r="M329" s="39"/>
      <c r="N329" s="39"/>
      <c r="O329" s="39"/>
    </row>
    <row r="330" spans="1:15" ht="12.75">
      <c r="A330" s="82"/>
      <c r="B330" s="147" t="s">
        <v>97</v>
      </c>
      <c r="C330" s="10" t="s">
        <v>342</v>
      </c>
      <c r="D330" s="42" t="s">
        <v>2401</v>
      </c>
      <c r="E330" s="199"/>
      <c r="F330" s="83" t="s">
        <v>3745</v>
      </c>
      <c r="G330" s="72"/>
      <c r="H330" s="151"/>
      <c r="I330" s="152"/>
      <c r="J330" s="84"/>
      <c r="K330" s="100"/>
      <c r="L330" s="81"/>
      <c r="M330" s="81"/>
      <c r="N330" s="81"/>
      <c r="O330" s="81"/>
    </row>
    <row r="331" spans="1:15" ht="12.75">
      <c r="A331" s="82"/>
      <c r="B331" s="147" t="s">
        <v>97</v>
      </c>
      <c r="C331" s="10" t="s">
        <v>344</v>
      </c>
      <c r="D331" s="42" t="s">
        <v>2401</v>
      </c>
      <c r="E331" s="199"/>
      <c r="F331" s="83" t="s">
        <v>2375</v>
      </c>
      <c r="G331" s="72"/>
      <c r="H331" s="151"/>
      <c r="I331" s="152"/>
      <c r="J331" s="84"/>
      <c r="K331" s="100"/>
      <c r="L331" s="81"/>
      <c r="M331" s="81"/>
      <c r="N331" s="81"/>
      <c r="O331" s="81"/>
    </row>
    <row r="332" spans="1:15" ht="12.75">
      <c r="A332" s="82"/>
      <c r="B332" s="147" t="s">
        <v>97</v>
      </c>
      <c r="C332" s="10" t="s">
        <v>346</v>
      </c>
      <c r="D332" s="42" t="s">
        <v>2401</v>
      </c>
      <c r="E332" s="199"/>
      <c r="F332" s="144"/>
      <c r="G332" s="83" t="s">
        <v>3746</v>
      </c>
      <c r="H332" s="151"/>
      <c r="I332" s="152"/>
      <c r="J332" s="84"/>
      <c r="K332" s="100"/>
      <c r="L332" s="81"/>
      <c r="M332" s="81"/>
      <c r="N332" s="81"/>
      <c r="O332" s="81"/>
    </row>
    <row r="333" spans="1:15" ht="12.75">
      <c r="A333" s="82"/>
      <c r="B333" s="147" t="s">
        <v>97</v>
      </c>
      <c r="C333" s="10" t="s">
        <v>348</v>
      </c>
      <c r="D333" s="42" t="s">
        <v>2401</v>
      </c>
      <c r="E333" s="199"/>
      <c r="F333" s="144"/>
      <c r="G333" s="83" t="s">
        <v>3747</v>
      </c>
      <c r="H333" s="151"/>
      <c r="I333" s="152"/>
      <c r="J333" s="84"/>
      <c r="K333" s="100"/>
      <c r="L333" s="81"/>
      <c r="M333" s="81"/>
      <c r="N333" s="81"/>
      <c r="O333" s="81"/>
    </row>
    <row r="334" spans="1:15" ht="12.75">
      <c r="A334" s="82"/>
      <c r="B334" s="147" t="s">
        <v>97</v>
      </c>
      <c r="C334" s="10" t="s">
        <v>349</v>
      </c>
      <c r="D334" s="42" t="s">
        <v>2401</v>
      </c>
      <c r="E334" s="199"/>
      <c r="F334" s="83" t="s">
        <v>2377</v>
      </c>
      <c r="G334" s="72"/>
      <c r="H334" s="151"/>
      <c r="I334" s="152"/>
      <c r="J334" s="84"/>
      <c r="K334" s="100"/>
      <c r="L334" s="81"/>
      <c r="M334" s="81"/>
      <c r="N334" s="81"/>
      <c r="O334" s="81"/>
    </row>
    <row r="335" spans="1:15" ht="12.75">
      <c r="A335" s="82"/>
      <c r="B335" s="147" t="s">
        <v>97</v>
      </c>
      <c r="C335" s="10" t="s">
        <v>351</v>
      </c>
      <c r="D335" s="42" t="s">
        <v>2401</v>
      </c>
      <c r="E335" s="199"/>
      <c r="F335" s="83" t="s">
        <v>2378</v>
      </c>
      <c r="G335" s="72"/>
      <c r="H335" s="151"/>
      <c r="I335" s="152"/>
      <c r="J335" s="84"/>
      <c r="K335" s="100"/>
      <c r="L335" s="81"/>
      <c r="M335" s="81"/>
      <c r="N335" s="81"/>
      <c r="O335" s="81"/>
    </row>
    <row r="336" spans="1:15" ht="12.75">
      <c r="A336" s="59"/>
      <c r="B336" s="147" t="s">
        <v>97</v>
      </c>
      <c r="C336" s="75" t="s">
        <v>97</v>
      </c>
      <c r="D336" s="75"/>
      <c r="E336" s="196"/>
      <c r="F336" s="74"/>
      <c r="G336" s="74"/>
      <c r="H336" s="194"/>
      <c r="I336" s="203"/>
      <c r="J336" s="62"/>
      <c r="K336" s="63"/>
      <c r="L336" s="75"/>
      <c r="M336" s="75"/>
      <c r="N336" s="75"/>
      <c r="O336" s="75"/>
    </row>
    <row r="337" spans="1:15" ht="12.75">
      <c r="A337" s="60"/>
      <c r="B337" s="147" t="s">
        <v>97</v>
      </c>
      <c r="C337" s="63" t="s">
        <v>97</v>
      </c>
      <c r="D337" s="63"/>
      <c r="E337" s="213"/>
      <c r="F337" s="61"/>
      <c r="G337" s="61"/>
      <c r="H337" s="210"/>
      <c r="I337" s="211"/>
      <c r="J337" s="86"/>
      <c r="K337" s="87"/>
      <c r="L337" s="88"/>
      <c r="M337" s="88"/>
      <c r="N337" s="88"/>
      <c r="O337" s="88"/>
    </row>
    <row r="338" spans="1:15" ht="12.75">
      <c r="A338" s="13" t="s">
        <v>352</v>
      </c>
      <c r="B338" s="147" t="s">
        <v>157</v>
      </c>
      <c r="C338" s="10" t="s">
        <v>354</v>
      </c>
      <c r="D338" s="42" t="s">
        <v>2401</v>
      </c>
      <c r="E338" s="143" t="s">
        <v>2390</v>
      </c>
      <c r="F338" s="144"/>
      <c r="G338" s="89"/>
      <c r="H338" s="148"/>
      <c r="I338" s="149"/>
      <c r="J338" s="90"/>
      <c r="K338" s="43"/>
      <c r="L338" s="39"/>
      <c r="M338" s="39"/>
      <c r="N338" s="39"/>
      <c r="O338" s="39"/>
    </row>
    <row r="339" spans="1:15" ht="51">
      <c r="A339" s="13"/>
      <c r="B339" s="147" t="s">
        <v>97</v>
      </c>
      <c r="C339" s="10" t="s">
        <v>355</v>
      </c>
      <c r="D339" s="42" t="s">
        <v>2401</v>
      </c>
      <c r="E339" s="216" t="s">
        <v>2391</v>
      </c>
      <c r="F339" s="144"/>
      <c r="G339" s="72"/>
      <c r="H339" s="151"/>
      <c r="I339" s="152"/>
      <c r="J339" s="84"/>
      <c r="K339" s="100"/>
      <c r="L339" s="81"/>
      <c r="M339" s="81"/>
      <c r="N339" s="81"/>
      <c r="O339" s="81"/>
    </row>
    <row r="340" spans="1:15" ht="76.5">
      <c r="A340" s="55"/>
      <c r="B340" s="147" t="s">
        <v>97</v>
      </c>
      <c r="C340" s="10" t="s">
        <v>357</v>
      </c>
      <c r="D340" s="42" t="s">
        <v>2401</v>
      </c>
      <c r="E340" s="217" t="s">
        <v>2392</v>
      </c>
      <c r="F340" s="72"/>
      <c r="G340" s="72"/>
      <c r="H340" s="151"/>
      <c r="I340" s="152"/>
      <c r="J340" s="84"/>
      <c r="K340" s="100"/>
      <c r="L340" s="81"/>
      <c r="M340" s="81"/>
      <c r="N340" s="81"/>
      <c r="O340" s="81"/>
    </row>
    <row r="341" spans="1:15" ht="51">
      <c r="A341" s="13"/>
      <c r="B341" s="147" t="s">
        <v>97</v>
      </c>
      <c r="C341" s="10" t="s">
        <v>359</v>
      </c>
      <c r="D341" s="42" t="s">
        <v>2401</v>
      </c>
      <c r="E341" s="216" t="s">
        <v>2393</v>
      </c>
      <c r="F341" s="89"/>
      <c r="G341" s="89"/>
      <c r="H341" s="148"/>
      <c r="I341" s="149"/>
      <c r="J341" s="90"/>
      <c r="K341" s="43"/>
      <c r="L341" s="39"/>
      <c r="M341" s="39"/>
      <c r="N341" s="39"/>
      <c r="O341" s="39"/>
    </row>
    <row r="342" spans="1:15" ht="12.75">
      <c r="A342" s="96"/>
      <c r="B342" s="147" t="s">
        <v>97</v>
      </c>
      <c r="C342" s="10" t="s">
        <v>361</v>
      </c>
      <c r="D342" s="42" t="s">
        <v>2401</v>
      </c>
      <c r="E342" s="216"/>
      <c r="F342" s="72" t="s">
        <v>2394</v>
      </c>
      <c r="G342" s="72"/>
      <c r="H342" s="151"/>
      <c r="I342" s="152"/>
      <c r="J342" s="84"/>
      <c r="K342" s="100"/>
      <c r="L342" s="81"/>
      <c r="M342" s="81"/>
      <c r="N342" s="81"/>
      <c r="O342" s="81"/>
    </row>
    <row r="343" spans="1:15" ht="51">
      <c r="A343" s="13"/>
      <c r="B343" s="147" t="s">
        <v>97</v>
      </c>
      <c r="C343" s="10" t="s">
        <v>363</v>
      </c>
      <c r="D343" s="42" t="s">
        <v>2401</v>
      </c>
      <c r="E343" s="216" t="s">
        <v>2395</v>
      </c>
      <c r="F343" s="72"/>
      <c r="G343" s="72"/>
      <c r="H343" s="151"/>
      <c r="I343" s="152"/>
      <c r="J343" s="84"/>
      <c r="K343" s="100"/>
      <c r="L343" s="81"/>
      <c r="M343" s="81"/>
      <c r="N343" s="81"/>
      <c r="O343" s="81"/>
    </row>
    <row r="344" spans="1:15" ht="51">
      <c r="A344" s="13"/>
      <c r="B344" s="147" t="s">
        <v>97</v>
      </c>
      <c r="C344" s="10" t="s">
        <v>365</v>
      </c>
      <c r="D344" s="42" t="s">
        <v>2401</v>
      </c>
      <c r="E344" s="212" t="s">
        <v>2396</v>
      </c>
      <c r="F344" s="89"/>
      <c r="G344" s="89"/>
      <c r="H344" s="148"/>
      <c r="I344" s="149"/>
      <c r="J344" s="90"/>
      <c r="K344" s="43"/>
      <c r="L344" s="39"/>
      <c r="M344" s="39"/>
      <c r="N344" s="39"/>
      <c r="O344" s="39"/>
    </row>
    <row r="345" spans="1:15" ht="51">
      <c r="A345" s="13"/>
      <c r="B345" s="147" t="s">
        <v>97</v>
      </c>
      <c r="C345" s="10" t="s">
        <v>367</v>
      </c>
      <c r="D345" s="42" t="s">
        <v>2401</v>
      </c>
      <c r="E345" s="216" t="s">
        <v>2397</v>
      </c>
      <c r="F345" s="72"/>
      <c r="G345" s="72"/>
      <c r="H345" s="151"/>
      <c r="I345" s="152"/>
      <c r="J345" s="84"/>
      <c r="K345" s="100"/>
      <c r="L345" s="81"/>
      <c r="M345" s="81"/>
      <c r="N345" s="81"/>
      <c r="O345" s="81"/>
    </row>
    <row r="346" spans="1:15" ht="12.75">
      <c r="A346" s="60"/>
      <c r="B346" s="147" t="s">
        <v>97</v>
      </c>
      <c r="C346" s="63" t="s">
        <v>97</v>
      </c>
      <c r="D346" s="63"/>
      <c r="E346" s="213"/>
      <c r="F346" s="61"/>
      <c r="G346" s="61"/>
      <c r="H346" s="210"/>
      <c r="I346" s="211"/>
      <c r="J346" s="86"/>
      <c r="K346" s="87"/>
      <c r="L346" s="88"/>
      <c r="M346" s="88"/>
      <c r="N346" s="88"/>
      <c r="O346" s="88"/>
    </row>
    <row r="347" spans="1:15" ht="12.75">
      <c r="A347" s="60"/>
      <c r="B347" s="147" t="s">
        <v>97</v>
      </c>
      <c r="C347" s="63" t="s">
        <v>97</v>
      </c>
      <c r="D347" s="63"/>
      <c r="E347" s="213"/>
      <c r="F347" s="61"/>
      <c r="G347" s="61"/>
      <c r="H347" s="210"/>
      <c r="I347" s="211"/>
      <c r="J347" s="86"/>
      <c r="K347" s="87"/>
      <c r="L347" s="88"/>
      <c r="M347" s="88"/>
      <c r="N347" s="88"/>
      <c r="O347" s="88"/>
    </row>
    <row r="348" spans="1:15" ht="12.75">
      <c r="A348" s="13" t="s">
        <v>368</v>
      </c>
      <c r="B348" s="147" t="s">
        <v>161</v>
      </c>
      <c r="C348" s="10" t="s">
        <v>370</v>
      </c>
      <c r="D348" s="42" t="s">
        <v>2401</v>
      </c>
      <c r="E348" s="143" t="s">
        <v>3748</v>
      </c>
      <c r="F348" s="144"/>
      <c r="G348" s="89"/>
      <c r="H348" s="148"/>
      <c r="I348" s="149"/>
      <c r="J348" s="90"/>
      <c r="K348" s="43"/>
      <c r="L348" s="39"/>
      <c r="M348" s="39"/>
      <c r="N348" s="39"/>
      <c r="O348" s="39"/>
    </row>
    <row r="349" spans="1:15" ht="12.75">
      <c r="A349" s="13"/>
      <c r="B349" s="147" t="s">
        <v>97</v>
      </c>
      <c r="C349" s="10" t="s">
        <v>372</v>
      </c>
      <c r="D349" s="42" t="s">
        <v>2401</v>
      </c>
      <c r="E349" s="134" t="s">
        <v>3749</v>
      </c>
      <c r="F349" s="89"/>
      <c r="G349" s="89"/>
      <c r="H349" s="148"/>
      <c r="I349" s="149"/>
      <c r="J349" s="90"/>
      <c r="K349" s="43"/>
      <c r="L349" s="39"/>
      <c r="M349" s="39"/>
      <c r="N349" s="39"/>
      <c r="O349" s="39"/>
    </row>
    <row r="350" spans="1:15" ht="12.75">
      <c r="A350" s="13"/>
      <c r="B350" s="147" t="s">
        <v>97</v>
      </c>
      <c r="C350" s="10" t="s">
        <v>374</v>
      </c>
      <c r="D350" s="42" t="s">
        <v>2401</v>
      </c>
      <c r="E350" s="134" t="s">
        <v>3750</v>
      </c>
      <c r="F350" s="89"/>
      <c r="G350" s="89"/>
      <c r="H350" s="148"/>
      <c r="I350" s="149"/>
      <c r="J350" s="90"/>
      <c r="K350" s="43"/>
      <c r="L350" s="39"/>
      <c r="M350" s="39"/>
      <c r="N350" s="39"/>
      <c r="O350" s="39"/>
    </row>
    <row r="351" spans="1:15" ht="12.75">
      <c r="A351" s="13"/>
      <c r="B351" s="147" t="s">
        <v>97</v>
      </c>
      <c r="C351" s="10" t="s">
        <v>376</v>
      </c>
      <c r="D351" s="42" t="s">
        <v>2401</v>
      </c>
      <c r="E351" s="134" t="s">
        <v>3751</v>
      </c>
      <c r="F351" s="89"/>
      <c r="G351" s="89"/>
      <c r="H351" s="148"/>
      <c r="I351" s="149"/>
      <c r="J351" s="90"/>
      <c r="K351" s="43"/>
      <c r="L351" s="39"/>
      <c r="M351" s="39"/>
      <c r="N351" s="39"/>
      <c r="O351" s="39"/>
    </row>
    <row r="352" spans="1:15" ht="12.75">
      <c r="A352" s="13"/>
      <c r="B352" s="147" t="s">
        <v>97</v>
      </c>
      <c r="C352" s="10" t="s">
        <v>378</v>
      </c>
      <c r="D352" s="42" t="s">
        <v>2401</v>
      </c>
      <c r="E352" s="150" t="s">
        <v>3752</v>
      </c>
      <c r="F352" s="89"/>
      <c r="G352" s="89"/>
      <c r="H352" s="148"/>
      <c r="I352" s="149"/>
      <c r="J352" s="90"/>
      <c r="K352" s="43"/>
      <c r="L352" s="39"/>
      <c r="M352" s="39"/>
      <c r="N352" s="39"/>
      <c r="O352" s="39"/>
    </row>
    <row r="353" spans="1:15" ht="12.75">
      <c r="A353" s="13"/>
      <c r="B353" s="147" t="s">
        <v>97</v>
      </c>
      <c r="C353" s="10" t="s">
        <v>380</v>
      </c>
      <c r="D353" s="42" t="s">
        <v>2401</v>
      </c>
      <c r="E353" s="134" t="s">
        <v>3753</v>
      </c>
      <c r="F353" s="71"/>
      <c r="G353" s="71"/>
      <c r="H353" s="153"/>
      <c r="I353" s="154"/>
      <c r="J353" s="65"/>
      <c r="K353" s="42"/>
      <c r="L353" s="40"/>
      <c r="M353" s="40"/>
      <c r="N353" s="40"/>
      <c r="O353" s="40"/>
    </row>
    <row r="354" spans="1:15" ht="12.75">
      <c r="A354" s="13"/>
      <c r="B354" s="147" t="s">
        <v>97</v>
      </c>
      <c r="C354" s="10" t="s">
        <v>382</v>
      </c>
      <c r="D354" s="42" t="s">
        <v>2401</v>
      </c>
      <c r="E354" s="134" t="s">
        <v>3754</v>
      </c>
      <c r="F354" s="71"/>
      <c r="G354" s="71"/>
      <c r="H354" s="153"/>
      <c r="I354" s="154"/>
      <c r="J354" s="65"/>
      <c r="K354" s="42"/>
      <c r="L354" s="40"/>
      <c r="M354" s="40"/>
      <c r="N354" s="40"/>
      <c r="O354" s="40"/>
    </row>
    <row r="355" spans="1:15" ht="12.75">
      <c r="A355" s="13"/>
      <c r="B355" s="147" t="s">
        <v>97</v>
      </c>
      <c r="C355" s="10" t="s">
        <v>384</v>
      </c>
      <c r="D355" s="42" t="s">
        <v>2401</v>
      </c>
      <c r="E355" s="134" t="s">
        <v>3755</v>
      </c>
      <c r="F355" s="89"/>
      <c r="G355" s="89"/>
      <c r="H355" s="148"/>
      <c r="I355" s="149"/>
      <c r="J355" s="90"/>
      <c r="K355" s="43"/>
      <c r="L355" s="39"/>
      <c r="M355" s="39"/>
      <c r="N355" s="39"/>
      <c r="O355" s="39"/>
    </row>
    <row r="356" spans="1:15" ht="12.75">
      <c r="A356" s="13"/>
      <c r="B356" s="147" t="s">
        <v>97</v>
      </c>
      <c r="C356" s="10" t="s">
        <v>385</v>
      </c>
      <c r="D356" s="42" t="s">
        <v>2401</v>
      </c>
      <c r="E356" s="134" t="s">
        <v>3756</v>
      </c>
      <c r="F356" s="71"/>
      <c r="G356" s="71"/>
      <c r="H356" s="153"/>
      <c r="I356" s="154"/>
      <c r="J356" s="65"/>
      <c r="K356" s="42"/>
      <c r="L356" s="40"/>
      <c r="M356" s="40"/>
      <c r="N356" s="40"/>
      <c r="O356" s="40"/>
    </row>
    <row r="357" spans="1:15" ht="12.75">
      <c r="A357" s="13"/>
      <c r="B357" s="147" t="s">
        <v>97</v>
      </c>
      <c r="C357" s="10" t="s">
        <v>387</v>
      </c>
      <c r="D357" s="42" t="s">
        <v>2401</v>
      </c>
      <c r="E357" s="134" t="s">
        <v>3757</v>
      </c>
      <c r="F357" s="89"/>
      <c r="G357" s="89"/>
      <c r="H357" s="148"/>
      <c r="I357" s="149"/>
      <c r="J357" s="90"/>
      <c r="K357" s="43"/>
      <c r="L357" s="39"/>
      <c r="M357" s="39"/>
      <c r="N357" s="39"/>
      <c r="O357" s="39"/>
    </row>
    <row r="358" spans="1:15" ht="12.75">
      <c r="A358" s="13"/>
      <c r="B358" s="147" t="s">
        <v>97</v>
      </c>
      <c r="C358" s="10" t="s">
        <v>389</v>
      </c>
      <c r="D358" s="42" t="s">
        <v>2401</v>
      </c>
      <c r="E358" s="150" t="s">
        <v>3758</v>
      </c>
      <c r="F358" s="89"/>
      <c r="G358" s="89"/>
      <c r="H358" s="148"/>
      <c r="I358" s="149"/>
      <c r="J358" s="90"/>
      <c r="K358" s="43"/>
      <c r="L358" s="39"/>
      <c r="M358" s="39"/>
      <c r="N358" s="39"/>
      <c r="O358" s="39"/>
    </row>
    <row r="359" spans="1:15" ht="12.75">
      <c r="A359" s="13"/>
      <c r="B359" s="147" t="s">
        <v>97</v>
      </c>
      <c r="C359" s="129" t="s">
        <v>391</v>
      </c>
      <c r="D359" s="42" t="s">
        <v>2401</v>
      </c>
      <c r="E359" s="150" t="s">
        <v>3759</v>
      </c>
      <c r="F359" s="89"/>
      <c r="G359" s="89"/>
      <c r="H359" s="148"/>
      <c r="I359" s="149"/>
      <c r="J359" s="90"/>
      <c r="K359" s="43"/>
      <c r="L359" s="39"/>
      <c r="M359" s="39"/>
      <c r="N359" s="39"/>
      <c r="O359" s="39"/>
    </row>
    <row r="360" spans="1:15" ht="12.75">
      <c r="A360" s="13"/>
      <c r="B360" s="147" t="s">
        <v>97</v>
      </c>
      <c r="C360" s="10" t="s">
        <v>393</v>
      </c>
      <c r="D360" s="42" t="s">
        <v>2401</v>
      </c>
      <c r="E360" s="150" t="s">
        <v>3760</v>
      </c>
      <c r="F360" s="89"/>
      <c r="G360" s="89"/>
      <c r="H360" s="148"/>
      <c r="I360" s="149"/>
      <c r="J360" s="90"/>
      <c r="K360" s="43"/>
      <c r="L360" s="39"/>
      <c r="M360" s="39"/>
      <c r="N360" s="39"/>
      <c r="O360" s="39"/>
    </row>
    <row r="361" spans="1:15" ht="12.75">
      <c r="A361" s="13"/>
      <c r="B361" s="147" t="s">
        <v>97</v>
      </c>
      <c r="C361" s="10" t="s">
        <v>395</v>
      </c>
      <c r="D361" s="42" t="s">
        <v>2401</v>
      </c>
      <c r="E361" s="134" t="s">
        <v>3761</v>
      </c>
      <c r="F361" s="89"/>
      <c r="G361" s="89"/>
      <c r="H361" s="148"/>
      <c r="I361" s="149"/>
      <c r="J361" s="90"/>
      <c r="K361" s="43"/>
      <c r="L361" s="39"/>
      <c r="M361" s="39"/>
      <c r="N361" s="39"/>
      <c r="O361" s="39"/>
    </row>
    <row r="362" spans="1:15" ht="12.75">
      <c r="A362" s="13"/>
      <c r="B362" s="147" t="s">
        <v>97</v>
      </c>
      <c r="C362" s="10" t="s">
        <v>397</v>
      </c>
      <c r="D362" s="42" t="s">
        <v>2401</v>
      </c>
      <c r="E362" s="134" t="s">
        <v>3762</v>
      </c>
      <c r="F362" s="71"/>
      <c r="G362" s="71"/>
      <c r="H362" s="153"/>
      <c r="I362" s="154"/>
      <c r="J362" s="65"/>
      <c r="K362" s="42"/>
      <c r="L362" s="40"/>
      <c r="M362" s="40"/>
      <c r="N362" s="40"/>
      <c r="O362" s="40"/>
    </row>
    <row r="363" spans="1:15" ht="12.75">
      <c r="A363" s="13"/>
      <c r="B363" s="147" t="s">
        <v>97</v>
      </c>
      <c r="C363" s="10" t="s">
        <v>399</v>
      </c>
      <c r="D363" s="42" t="s">
        <v>2401</v>
      </c>
      <c r="E363" s="134" t="s">
        <v>3763</v>
      </c>
      <c r="F363" s="71"/>
      <c r="G363" s="71"/>
      <c r="H363" s="153"/>
      <c r="I363" s="154"/>
      <c r="J363" s="65"/>
      <c r="K363" s="42"/>
      <c r="L363" s="40"/>
      <c r="M363" s="40"/>
      <c r="N363" s="40"/>
      <c r="O363" s="40"/>
    </row>
    <row r="364" spans="1:15" ht="12.75">
      <c r="A364" s="13"/>
      <c r="B364" s="147" t="s">
        <v>97</v>
      </c>
      <c r="C364" s="10" t="s">
        <v>401</v>
      </c>
      <c r="D364" s="42" t="s">
        <v>2401</v>
      </c>
      <c r="E364" s="134" t="s">
        <v>3764</v>
      </c>
      <c r="F364" s="71"/>
      <c r="G364" s="71"/>
      <c r="H364" s="153"/>
      <c r="I364" s="154"/>
      <c r="J364" s="65"/>
      <c r="K364" s="42"/>
      <c r="L364" s="40"/>
      <c r="M364" s="40"/>
      <c r="N364" s="40"/>
      <c r="O364" s="40"/>
    </row>
    <row r="365" spans="1:15" ht="12.75">
      <c r="A365" s="13"/>
      <c r="B365" s="147" t="s">
        <v>97</v>
      </c>
      <c r="C365" s="10" t="s">
        <v>403</v>
      </c>
      <c r="D365" s="42" t="s">
        <v>2401</v>
      </c>
      <c r="E365" s="134" t="s">
        <v>3765</v>
      </c>
      <c r="F365" s="71"/>
      <c r="G365" s="71"/>
      <c r="H365" s="153"/>
      <c r="I365" s="154"/>
      <c r="J365" s="65"/>
      <c r="K365" s="42"/>
      <c r="L365" s="40"/>
      <c r="M365" s="40"/>
      <c r="N365" s="40"/>
      <c r="O365" s="40"/>
    </row>
    <row r="366" spans="1:15" ht="12.75">
      <c r="A366" s="13"/>
      <c r="B366" s="147" t="s">
        <v>97</v>
      </c>
      <c r="C366" s="10" t="s">
        <v>405</v>
      </c>
      <c r="D366" s="42" t="s">
        <v>2401</v>
      </c>
      <c r="E366" s="134" t="s">
        <v>3766</v>
      </c>
      <c r="F366" s="71"/>
      <c r="G366" s="71"/>
      <c r="H366" s="153"/>
      <c r="I366" s="154"/>
      <c r="J366" s="65"/>
      <c r="K366" s="42"/>
      <c r="L366" s="40"/>
      <c r="M366" s="40"/>
      <c r="N366" s="40"/>
      <c r="O366" s="40"/>
    </row>
    <row r="367" spans="1:15" ht="12.75">
      <c r="A367" s="13"/>
      <c r="B367" s="147" t="s">
        <v>97</v>
      </c>
      <c r="C367" s="10" t="s">
        <v>407</v>
      </c>
      <c r="D367" s="42" t="s">
        <v>2401</v>
      </c>
      <c r="E367" s="150" t="s">
        <v>3767</v>
      </c>
      <c r="F367" s="71"/>
      <c r="G367" s="71"/>
      <c r="H367" s="153"/>
      <c r="I367" s="154"/>
      <c r="J367" s="65"/>
      <c r="K367" s="42"/>
      <c r="L367" s="40"/>
      <c r="M367" s="40"/>
      <c r="N367" s="40"/>
      <c r="O367" s="40"/>
    </row>
    <row r="368" spans="1:15" ht="12.75">
      <c r="A368" s="13"/>
      <c r="B368" s="147" t="s">
        <v>97</v>
      </c>
      <c r="C368" s="10" t="s">
        <v>409</v>
      </c>
      <c r="D368" s="42" t="s">
        <v>2401</v>
      </c>
      <c r="E368" s="143" t="s">
        <v>3768</v>
      </c>
      <c r="F368" s="71"/>
      <c r="G368" s="218"/>
      <c r="H368" s="80"/>
      <c r="I368" s="103"/>
      <c r="J368" s="73"/>
      <c r="K368" s="10"/>
      <c r="L368" s="10"/>
      <c r="M368" s="10"/>
      <c r="N368" s="10"/>
      <c r="O368" s="10"/>
    </row>
    <row r="369" spans="1:15" ht="12.75">
      <c r="A369" s="13"/>
      <c r="B369" s="147" t="s">
        <v>97</v>
      </c>
      <c r="C369" s="10" t="s">
        <v>411</v>
      </c>
      <c r="D369" s="42" t="s">
        <v>2401</v>
      </c>
      <c r="E369" s="150" t="s">
        <v>3769</v>
      </c>
      <c r="F369" s="89"/>
      <c r="G369" s="89"/>
      <c r="H369" s="148"/>
      <c r="I369" s="149"/>
      <c r="J369" s="90"/>
      <c r="K369" s="43"/>
      <c r="L369" s="39"/>
      <c r="M369" s="39"/>
      <c r="N369" s="39"/>
      <c r="O369" s="39"/>
    </row>
    <row r="370" spans="1:15" ht="12.75">
      <c r="A370" s="13"/>
      <c r="B370" s="147" t="s">
        <v>97</v>
      </c>
      <c r="C370" s="10" t="s">
        <v>413</v>
      </c>
      <c r="D370" s="42" t="s">
        <v>2401</v>
      </c>
      <c r="E370" s="134" t="s">
        <v>3770</v>
      </c>
      <c r="F370" s="71"/>
      <c r="G370" s="71"/>
      <c r="H370" s="153"/>
      <c r="I370" s="154"/>
      <c r="J370" s="65"/>
      <c r="K370" s="42"/>
      <c r="L370" s="40"/>
      <c r="M370" s="40"/>
      <c r="N370" s="40"/>
      <c r="O370" s="40"/>
    </row>
    <row r="371" spans="1:15" ht="12.75">
      <c r="A371" s="13"/>
      <c r="B371" s="147" t="s">
        <v>97</v>
      </c>
      <c r="C371" s="10" t="s">
        <v>415</v>
      </c>
      <c r="D371" s="42" t="s">
        <v>2401</v>
      </c>
      <c r="E371" s="150" t="s">
        <v>3771</v>
      </c>
      <c r="F371" s="72"/>
      <c r="G371" s="72"/>
      <c r="H371" s="151"/>
      <c r="I371" s="152"/>
      <c r="J371" s="84"/>
      <c r="K371" s="100"/>
      <c r="L371" s="81"/>
      <c r="M371" s="81"/>
      <c r="N371" s="81"/>
      <c r="O371" s="81"/>
    </row>
    <row r="372" spans="1:15" ht="12.75">
      <c r="A372" s="13"/>
      <c r="B372" s="147" t="s">
        <v>97</v>
      </c>
      <c r="C372" s="10" t="s">
        <v>417</v>
      </c>
      <c r="D372" s="42" t="s">
        <v>2401</v>
      </c>
      <c r="E372" s="134" t="s">
        <v>3772</v>
      </c>
      <c r="F372" s="89"/>
      <c r="G372" s="89"/>
      <c r="H372" s="148"/>
      <c r="I372" s="149"/>
      <c r="J372" s="90"/>
      <c r="K372" s="43"/>
      <c r="L372" s="39"/>
      <c r="M372" s="39"/>
      <c r="N372" s="39"/>
      <c r="O372" s="39"/>
    </row>
    <row r="373" spans="1:15" ht="12.75">
      <c r="A373" s="13"/>
      <c r="B373" s="147" t="s">
        <v>97</v>
      </c>
      <c r="C373" s="10" t="s">
        <v>419</v>
      </c>
      <c r="D373" s="42" t="s">
        <v>2401</v>
      </c>
      <c r="E373" s="150" t="s">
        <v>3773</v>
      </c>
      <c r="F373" s="72"/>
      <c r="G373" s="72"/>
      <c r="H373" s="151"/>
      <c r="I373" s="152"/>
      <c r="J373" s="84"/>
      <c r="K373" s="100"/>
      <c r="L373" s="81"/>
      <c r="M373" s="81"/>
      <c r="N373" s="81"/>
      <c r="O373" s="81"/>
    </row>
    <row r="374" spans="1:15" ht="12.75">
      <c r="A374" s="13"/>
      <c r="B374" s="147" t="s">
        <v>97</v>
      </c>
      <c r="C374" s="10" t="s">
        <v>421</v>
      </c>
      <c r="D374" s="42" t="s">
        <v>2401</v>
      </c>
      <c r="E374" s="134" t="s">
        <v>3774</v>
      </c>
      <c r="F374" s="89"/>
      <c r="G374" s="89"/>
      <c r="H374" s="148"/>
      <c r="I374" s="149"/>
      <c r="J374" s="90"/>
      <c r="K374" s="43"/>
      <c r="L374" s="39"/>
      <c r="M374" s="39"/>
      <c r="N374" s="39"/>
      <c r="O374" s="39"/>
    </row>
    <row r="375" spans="1:15" ht="12.75">
      <c r="A375" s="13"/>
      <c r="B375" s="147" t="s">
        <v>97</v>
      </c>
      <c r="C375" s="10" t="s">
        <v>423</v>
      </c>
      <c r="D375" s="42" t="s">
        <v>2401</v>
      </c>
      <c r="E375" s="150" t="s">
        <v>3775</v>
      </c>
      <c r="F375" s="89"/>
      <c r="G375" s="89"/>
      <c r="H375" s="148"/>
      <c r="I375" s="149"/>
      <c r="J375" s="90"/>
      <c r="K375" s="43"/>
      <c r="L375" s="39"/>
      <c r="M375" s="39"/>
      <c r="N375" s="39"/>
      <c r="O375" s="39"/>
    </row>
    <row r="376" spans="1:15" ht="12.75">
      <c r="A376" s="13"/>
      <c r="B376" s="147" t="s">
        <v>97</v>
      </c>
      <c r="C376" s="10" t="s">
        <v>425</v>
      </c>
      <c r="D376" s="42" t="s">
        <v>2401</v>
      </c>
      <c r="E376" s="134" t="s">
        <v>3776</v>
      </c>
      <c r="F376" s="71"/>
      <c r="G376" s="71"/>
      <c r="H376" s="153"/>
      <c r="I376" s="154"/>
      <c r="J376" s="65"/>
      <c r="K376" s="42"/>
      <c r="L376" s="40"/>
      <c r="M376" s="40"/>
      <c r="N376" s="40"/>
      <c r="O376" s="40"/>
    </row>
    <row r="377" spans="1:15" ht="12.75">
      <c r="A377" s="13"/>
      <c r="B377" s="147" t="s">
        <v>97</v>
      </c>
      <c r="C377" s="10" t="s">
        <v>427</v>
      </c>
      <c r="D377" s="42" t="s">
        <v>2401</v>
      </c>
      <c r="E377" s="150" t="s">
        <v>3777</v>
      </c>
      <c r="F377" s="72"/>
      <c r="G377" s="72"/>
      <c r="H377" s="151"/>
      <c r="I377" s="152"/>
      <c r="J377" s="84"/>
      <c r="K377" s="100"/>
      <c r="L377" s="81"/>
      <c r="M377" s="81"/>
      <c r="N377" s="81"/>
      <c r="O377" s="81"/>
    </row>
    <row r="378" spans="1:15" ht="12.75">
      <c r="A378" s="13"/>
      <c r="B378" s="147" t="s">
        <v>97</v>
      </c>
      <c r="C378" s="10" t="s">
        <v>428</v>
      </c>
      <c r="D378" s="42" t="s">
        <v>2401</v>
      </c>
      <c r="E378" s="134"/>
      <c r="F378" s="71" t="s">
        <v>3778</v>
      </c>
      <c r="G378" s="71"/>
      <c r="H378" s="153"/>
      <c r="I378" s="154"/>
      <c r="J378" s="65"/>
      <c r="K378" s="42"/>
      <c r="L378" s="40"/>
      <c r="M378" s="40"/>
      <c r="N378" s="40"/>
      <c r="O378" s="40"/>
    </row>
    <row r="379" spans="1:15" ht="12.75">
      <c r="A379" s="13"/>
      <c r="B379" s="147" t="s">
        <v>97</v>
      </c>
      <c r="C379" s="10" t="s">
        <v>430</v>
      </c>
      <c r="D379" s="42" t="s">
        <v>2401</v>
      </c>
      <c r="E379" s="134" t="s">
        <v>3779</v>
      </c>
      <c r="F379" s="71"/>
      <c r="G379" s="71"/>
      <c r="H379" s="153"/>
      <c r="I379" s="154"/>
      <c r="J379" s="65"/>
      <c r="K379" s="42"/>
      <c r="L379" s="40"/>
      <c r="M379" s="40"/>
      <c r="N379" s="40"/>
      <c r="O379" s="40"/>
    </row>
    <row r="380" spans="1:15" ht="12.75">
      <c r="A380" s="13"/>
      <c r="B380" s="147" t="s">
        <v>97</v>
      </c>
      <c r="C380" s="10" t="s">
        <v>432</v>
      </c>
      <c r="D380" s="42" t="s">
        <v>2401</v>
      </c>
      <c r="E380" s="150" t="s">
        <v>3780</v>
      </c>
      <c r="F380" s="89"/>
      <c r="G380" s="89"/>
      <c r="H380" s="148"/>
      <c r="I380" s="149"/>
      <c r="J380" s="90"/>
      <c r="K380" s="43"/>
      <c r="L380" s="39"/>
      <c r="M380" s="39"/>
      <c r="N380" s="39"/>
      <c r="O380" s="39"/>
    </row>
    <row r="381" spans="1:15" ht="12.75">
      <c r="A381" s="60"/>
      <c r="B381" s="147" t="s">
        <v>97</v>
      </c>
      <c r="C381" s="63" t="s">
        <v>97</v>
      </c>
      <c r="D381" s="63"/>
      <c r="E381" s="213"/>
      <c r="F381" s="61"/>
      <c r="G381" s="61"/>
      <c r="H381" s="210"/>
      <c r="I381" s="211"/>
      <c r="J381" s="86"/>
      <c r="K381" s="87"/>
      <c r="L381" s="88"/>
      <c r="M381" s="88"/>
      <c r="N381" s="88"/>
      <c r="O381" s="88"/>
    </row>
    <row r="382" spans="1:15" ht="12.75">
      <c r="A382" s="60"/>
      <c r="B382" s="147" t="s">
        <v>97</v>
      </c>
      <c r="C382" s="63"/>
      <c r="D382" s="63"/>
      <c r="E382" s="213"/>
      <c r="F382" s="61"/>
      <c r="G382" s="61"/>
      <c r="H382" s="210"/>
      <c r="I382" s="211"/>
      <c r="J382" s="86"/>
      <c r="K382" s="87"/>
      <c r="L382" s="88"/>
      <c r="M382" s="88"/>
      <c r="N382" s="88"/>
      <c r="O382" s="88"/>
    </row>
    <row r="383" spans="1:15" ht="12.75">
      <c r="A383" s="13" t="s">
        <v>433</v>
      </c>
      <c r="B383" s="147" t="s">
        <v>165</v>
      </c>
      <c r="C383" s="10" t="s">
        <v>435</v>
      </c>
      <c r="D383" s="42" t="s">
        <v>2401</v>
      </c>
      <c r="E383" s="143" t="s">
        <v>2399</v>
      </c>
      <c r="F383" s="144"/>
      <c r="G383" s="83"/>
      <c r="H383" s="145"/>
      <c r="I383" s="146"/>
      <c r="J383" s="93"/>
      <c r="K383" s="104"/>
      <c r="L383" s="94"/>
      <c r="M383" s="94"/>
      <c r="N383" s="94"/>
      <c r="O383" s="94"/>
    </row>
    <row r="384" spans="1:15" ht="12.75">
      <c r="A384" s="13"/>
      <c r="B384" s="147" t="s">
        <v>97</v>
      </c>
      <c r="C384" s="10" t="s">
        <v>437</v>
      </c>
      <c r="D384" s="42" t="s">
        <v>2401</v>
      </c>
      <c r="E384" s="134" t="s">
        <v>2402</v>
      </c>
      <c r="F384" s="89"/>
      <c r="G384" s="89"/>
      <c r="H384" s="148"/>
      <c r="I384" s="149"/>
      <c r="J384" s="90"/>
      <c r="K384" s="43"/>
      <c r="L384" s="39"/>
      <c r="M384" s="39"/>
      <c r="N384" s="39"/>
      <c r="O384" s="39"/>
    </row>
    <row r="385" spans="1:15" ht="12.75">
      <c r="A385" s="13"/>
      <c r="B385" s="147" t="s">
        <v>97</v>
      </c>
      <c r="C385" s="10" t="s">
        <v>439</v>
      </c>
      <c r="D385" s="42" t="s">
        <v>2401</v>
      </c>
      <c r="E385" s="134" t="s">
        <v>2404</v>
      </c>
      <c r="F385" s="89"/>
      <c r="G385" s="89"/>
      <c r="H385" s="148"/>
      <c r="I385" s="149"/>
      <c r="J385" s="90"/>
      <c r="K385" s="43"/>
      <c r="L385" s="39"/>
      <c r="M385" s="39"/>
      <c r="N385" s="39"/>
      <c r="O385" s="39"/>
    </row>
    <row r="386" spans="1:15" ht="12.75">
      <c r="A386" s="13"/>
      <c r="B386" s="147" t="s">
        <v>97</v>
      </c>
      <c r="C386" s="10" t="s">
        <v>441</v>
      </c>
      <c r="D386" s="42" t="s">
        <v>2401</v>
      </c>
      <c r="E386" s="150" t="s">
        <v>2406</v>
      </c>
      <c r="F386" s="89"/>
      <c r="G386" s="89"/>
      <c r="H386" s="148"/>
      <c r="I386" s="149"/>
      <c r="J386" s="90"/>
      <c r="K386" s="43"/>
      <c r="L386" s="39"/>
      <c r="M386" s="39"/>
      <c r="N386" s="39"/>
      <c r="O386" s="39"/>
    </row>
    <row r="387" spans="1:15" ht="12.75">
      <c r="A387" s="13"/>
      <c r="B387" s="147" t="s">
        <v>97</v>
      </c>
      <c r="C387" s="10" t="s">
        <v>443</v>
      </c>
      <c r="D387" s="42" t="s">
        <v>2401</v>
      </c>
      <c r="E387" s="150" t="s">
        <v>2408</v>
      </c>
      <c r="F387" s="89"/>
      <c r="G387" s="89"/>
      <c r="H387" s="148"/>
      <c r="I387" s="149"/>
      <c r="J387" s="90"/>
      <c r="K387" s="43"/>
      <c r="L387" s="39"/>
      <c r="M387" s="39"/>
      <c r="N387" s="39"/>
      <c r="O387" s="39"/>
    </row>
    <row r="388" spans="1:15" ht="12.75">
      <c r="A388" s="13"/>
      <c r="B388" s="147" t="s">
        <v>97</v>
      </c>
      <c r="C388" s="10" t="s">
        <v>445</v>
      </c>
      <c r="D388" s="42" t="s">
        <v>2401</v>
      </c>
      <c r="E388" s="134" t="s">
        <v>2410</v>
      </c>
      <c r="F388" s="89"/>
      <c r="G388" s="89"/>
      <c r="H388" s="148"/>
      <c r="I388" s="149"/>
      <c r="J388" s="90"/>
      <c r="K388" s="43"/>
      <c r="L388" s="39"/>
      <c r="M388" s="39"/>
      <c r="N388" s="39"/>
      <c r="O388" s="39"/>
    </row>
    <row r="389" spans="1:15" ht="12.75">
      <c r="A389" s="13"/>
      <c r="B389" s="147" t="s">
        <v>97</v>
      </c>
      <c r="C389" s="10" t="s">
        <v>447</v>
      </c>
      <c r="D389" s="42" t="s">
        <v>2401</v>
      </c>
      <c r="E389" s="150" t="s">
        <v>2412</v>
      </c>
      <c r="F389" s="89"/>
      <c r="G389" s="89"/>
      <c r="H389" s="148"/>
      <c r="I389" s="149"/>
      <c r="J389" s="90"/>
      <c r="K389" s="43"/>
      <c r="L389" s="39"/>
      <c r="M389" s="39"/>
      <c r="N389" s="39"/>
      <c r="O389" s="39"/>
    </row>
    <row r="390" spans="1:15" ht="12.75">
      <c r="A390" s="13"/>
      <c r="B390" s="147" t="s">
        <v>97</v>
      </c>
      <c r="C390" s="10" t="s">
        <v>449</v>
      </c>
      <c r="D390" s="42" t="s">
        <v>2401</v>
      </c>
      <c r="E390" s="150" t="s">
        <v>2414</v>
      </c>
      <c r="F390" s="89"/>
      <c r="G390" s="89"/>
      <c r="H390" s="148"/>
      <c r="I390" s="149"/>
      <c r="J390" s="90"/>
      <c r="K390" s="43"/>
      <c r="L390" s="39"/>
      <c r="M390" s="39"/>
      <c r="N390" s="39"/>
      <c r="O390" s="39"/>
    </row>
    <row r="391" spans="1:15" ht="12.75">
      <c r="A391" s="13"/>
      <c r="B391" s="147" t="s">
        <v>97</v>
      </c>
      <c r="C391" s="10" t="s">
        <v>451</v>
      </c>
      <c r="D391" s="42" t="s">
        <v>2401</v>
      </c>
      <c r="E391" s="150" t="s">
        <v>2416</v>
      </c>
      <c r="F391" s="83"/>
      <c r="G391" s="83"/>
      <c r="H391" s="145"/>
      <c r="I391" s="146"/>
      <c r="J391" s="93"/>
      <c r="K391" s="104"/>
      <c r="L391" s="94"/>
      <c r="M391" s="94"/>
      <c r="N391" s="94"/>
      <c r="O391" s="94"/>
    </row>
    <row r="392" spans="1:15" ht="12.75">
      <c r="A392" s="13"/>
      <c r="B392" s="147" t="s">
        <v>97</v>
      </c>
      <c r="C392" s="10" t="s">
        <v>453</v>
      </c>
      <c r="D392" s="42" t="s">
        <v>2401</v>
      </c>
      <c r="E392" s="150" t="s">
        <v>2418</v>
      </c>
      <c r="F392" s="83"/>
      <c r="G392" s="83"/>
      <c r="H392" s="145"/>
      <c r="I392" s="146"/>
      <c r="J392" s="93"/>
      <c r="K392" s="104"/>
      <c r="L392" s="94"/>
      <c r="M392" s="94"/>
      <c r="N392" s="94"/>
      <c r="O392" s="94"/>
    </row>
    <row r="393" spans="1:15" ht="12.75">
      <c r="A393" s="13"/>
      <c r="B393" s="147" t="s">
        <v>97</v>
      </c>
      <c r="C393" s="10" t="s">
        <v>455</v>
      </c>
      <c r="D393" s="42" t="s">
        <v>2401</v>
      </c>
      <c r="E393" s="150" t="s">
        <v>2420</v>
      </c>
      <c r="F393" s="89"/>
      <c r="G393" s="89"/>
      <c r="H393" s="148"/>
      <c r="I393" s="149"/>
      <c r="J393" s="90"/>
      <c r="K393" s="43"/>
      <c r="L393" s="39"/>
      <c r="M393" s="39"/>
      <c r="N393" s="39"/>
      <c r="O393" s="39"/>
    </row>
    <row r="394" spans="1:15" ht="12.75">
      <c r="A394" s="13"/>
      <c r="B394" s="147" t="s">
        <v>97</v>
      </c>
      <c r="C394" s="10" t="s">
        <v>457</v>
      </c>
      <c r="D394" s="42" t="s">
        <v>2401</v>
      </c>
      <c r="E394" s="150" t="s">
        <v>2307</v>
      </c>
      <c r="F394" s="72"/>
      <c r="G394" s="72"/>
      <c r="H394" s="151"/>
      <c r="I394" s="152"/>
      <c r="J394" s="84"/>
      <c r="K394" s="100"/>
      <c r="L394" s="81"/>
      <c r="M394" s="81"/>
      <c r="N394" s="81"/>
      <c r="O394" s="81"/>
    </row>
    <row r="395" spans="1:15" ht="12.75">
      <c r="A395" s="13"/>
      <c r="B395" s="147" t="s">
        <v>97</v>
      </c>
      <c r="C395" s="10" t="s">
        <v>459</v>
      </c>
      <c r="D395" s="42" t="s">
        <v>2401</v>
      </c>
      <c r="E395" s="150" t="s">
        <v>2423</v>
      </c>
      <c r="F395" s="89"/>
      <c r="G395" s="89"/>
      <c r="H395" s="148"/>
      <c r="I395" s="149"/>
      <c r="J395" s="90"/>
      <c r="K395" s="43"/>
      <c r="L395" s="39"/>
      <c r="M395" s="39"/>
      <c r="N395" s="39"/>
      <c r="O395" s="39"/>
    </row>
    <row r="396" spans="1:15" ht="12.75">
      <c r="A396" s="13"/>
      <c r="B396" s="147" t="s">
        <v>97</v>
      </c>
      <c r="C396" s="10" t="s">
        <v>461</v>
      </c>
      <c r="D396" s="42" t="s">
        <v>2401</v>
      </c>
      <c r="E396" s="150" t="s">
        <v>2425</v>
      </c>
      <c r="F396" s="72"/>
      <c r="G396" s="72"/>
      <c r="H396" s="151"/>
      <c r="I396" s="152"/>
      <c r="J396" s="84"/>
      <c r="K396" s="100"/>
      <c r="L396" s="81"/>
      <c r="M396" s="81"/>
      <c r="N396" s="81"/>
      <c r="O396" s="81"/>
    </row>
    <row r="397" spans="1:15" ht="12.75">
      <c r="A397" s="13"/>
      <c r="B397" s="147" t="s">
        <v>97</v>
      </c>
      <c r="C397" s="10" t="s">
        <v>463</v>
      </c>
      <c r="D397" s="42" t="s">
        <v>2401</v>
      </c>
      <c r="E397" s="134" t="s">
        <v>2427</v>
      </c>
      <c r="F397" s="71"/>
      <c r="G397" s="71"/>
      <c r="H397" s="153"/>
      <c r="I397" s="154"/>
      <c r="J397" s="65"/>
      <c r="K397" s="42"/>
      <c r="L397" s="42"/>
      <c r="M397" s="42"/>
      <c r="N397" s="42"/>
      <c r="O397" s="42"/>
    </row>
    <row r="398" spans="1:15" ht="12.75">
      <c r="A398" s="13"/>
      <c r="B398" s="147" t="s">
        <v>97</v>
      </c>
      <c r="C398" s="10" t="s">
        <v>465</v>
      </c>
      <c r="D398" s="42" t="s">
        <v>2401</v>
      </c>
      <c r="E398" s="150" t="s">
        <v>2429</v>
      </c>
      <c r="F398" s="89"/>
      <c r="G398" s="89"/>
      <c r="H398" s="148"/>
      <c r="I398" s="149"/>
      <c r="J398" s="90"/>
      <c r="K398" s="43"/>
      <c r="L398" s="39"/>
      <c r="M398" s="39"/>
      <c r="N398" s="39"/>
      <c r="O398" s="39"/>
    </row>
    <row r="399" spans="1:15" ht="12.75">
      <c r="A399" s="13"/>
      <c r="B399" s="147" t="s">
        <v>97</v>
      </c>
      <c r="C399" s="10" t="s">
        <v>466</v>
      </c>
      <c r="D399" s="42" t="s">
        <v>2401</v>
      </c>
      <c r="E399" s="134" t="s">
        <v>2431</v>
      </c>
      <c r="F399" s="89"/>
      <c r="G399" s="89"/>
      <c r="H399" s="148"/>
      <c r="I399" s="149"/>
      <c r="J399" s="90"/>
      <c r="K399" s="43"/>
      <c r="L399" s="39"/>
      <c r="M399" s="39"/>
      <c r="N399" s="39"/>
      <c r="O399" s="39"/>
    </row>
    <row r="400" spans="1:15" ht="12.75">
      <c r="A400" s="13"/>
      <c r="B400" s="147" t="s">
        <v>97</v>
      </c>
      <c r="C400" s="10" t="s">
        <v>468</v>
      </c>
      <c r="D400" s="42" t="s">
        <v>2401</v>
      </c>
      <c r="E400" s="150" t="s">
        <v>2433</v>
      </c>
      <c r="F400" s="71"/>
      <c r="G400" s="71"/>
      <c r="H400" s="153"/>
      <c r="I400" s="154"/>
      <c r="J400" s="65"/>
      <c r="K400" s="42"/>
      <c r="L400" s="40"/>
      <c r="M400" s="40"/>
      <c r="N400" s="40"/>
      <c r="O400" s="40"/>
    </row>
    <row r="401" spans="1:15" ht="12.75">
      <c r="A401" s="13"/>
      <c r="B401" s="147" t="s">
        <v>97</v>
      </c>
      <c r="C401" s="10" t="s">
        <v>470</v>
      </c>
      <c r="D401" s="42" t="s">
        <v>2401</v>
      </c>
      <c r="E401" s="134" t="s">
        <v>2435</v>
      </c>
      <c r="F401" s="89"/>
      <c r="G401" s="89"/>
      <c r="H401" s="148"/>
      <c r="I401" s="149"/>
      <c r="J401" s="90"/>
      <c r="K401" s="43"/>
      <c r="L401" s="39"/>
      <c r="M401" s="39"/>
      <c r="N401" s="39"/>
      <c r="O401" s="39"/>
    </row>
    <row r="402" spans="1:15" ht="12.75">
      <c r="A402" s="13"/>
      <c r="B402" s="147" t="s">
        <v>97</v>
      </c>
      <c r="C402" s="10" t="s">
        <v>472</v>
      </c>
      <c r="D402" s="42" t="s">
        <v>2401</v>
      </c>
      <c r="E402" s="134" t="s">
        <v>2437</v>
      </c>
      <c r="F402" s="89"/>
      <c r="G402" s="89"/>
      <c r="H402" s="148"/>
      <c r="I402" s="149"/>
      <c r="J402" s="90"/>
      <c r="K402" s="43"/>
      <c r="L402" s="39"/>
      <c r="M402" s="39"/>
      <c r="N402" s="39"/>
      <c r="O402" s="39"/>
    </row>
    <row r="403" spans="1:15" ht="12.75">
      <c r="A403" s="13"/>
      <c r="B403" s="147" t="s">
        <v>97</v>
      </c>
      <c r="C403" s="10" t="s">
        <v>473</v>
      </c>
      <c r="D403" s="42" t="s">
        <v>2401</v>
      </c>
      <c r="E403" s="134" t="s">
        <v>2439</v>
      </c>
      <c r="F403" s="71"/>
      <c r="G403" s="71"/>
      <c r="H403" s="153"/>
      <c r="I403" s="154"/>
      <c r="J403" s="65"/>
      <c r="K403" s="42"/>
      <c r="L403" s="40"/>
      <c r="M403" s="40"/>
      <c r="N403" s="40"/>
      <c r="O403" s="40"/>
    </row>
    <row r="404" spans="1:15" ht="12.75">
      <c r="A404" s="13"/>
      <c r="B404" s="147" t="s">
        <v>97</v>
      </c>
      <c r="C404" s="10" t="s">
        <v>475</v>
      </c>
      <c r="D404" s="42" t="s">
        <v>2401</v>
      </c>
      <c r="E404" s="134" t="s">
        <v>2440</v>
      </c>
      <c r="F404" s="71"/>
      <c r="G404" s="71"/>
      <c r="H404" s="153"/>
      <c r="I404" s="154"/>
      <c r="J404" s="65"/>
      <c r="K404" s="42"/>
      <c r="L404" s="40"/>
      <c r="M404" s="40"/>
      <c r="N404" s="40"/>
      <c r="O404" s="40"/>
    </row>
    <row r="405" spans="1:15" ht="12.75">
      <c r="A405" s="60"/>
      <c r="B405" s="147" t="s">
        <v>97</v>
      </c>
      <c r="C405" s="63" t="s">
        <v>97</v>
      </c>
      <c r="D405" s="63"/>
      <c r="E405" s="213"/>
      <c r="F405" s="61"/>
      <c r="G405" s="61"/>
      <c r="H405" s="210"/>
      <c r="I405" s="211"/>
      <c r="J405" s="86"/>
      <c r="K405" s="87"/>
      <c r="L405" s="88"/>
      <c r="M405" s="88"/>
      <c r="N405" s="88"/>
      <c r="O405" s="88"/>
    </row>
    <row r="406" spans="1:15" ht="12.75">
      <c r="A406" s="60"/>
      <c r="B406" s="147" t="s">
        <v>97</v>
      </c>
      <c r="C406" s="63"/>
      <c r="D406" s="63"/>
      <c r="E406" s="213"/>
      <c r="F406" s="61"/>
      <c r="G406" s="61"/>
      <c r="H406" s="210"/>
      <c r="I406" s="211"/>
      <c r="J406" s="86"/>
      <c r="K406" s="87"/>
      <c r="L406" s="88"/>
      <c r="M406" s="88"/>
      <c r="N406" s="88"/>
      <c r="O406" s="88"/>
    </row>
    <row r="407" spans="1:15" ht="12.75">
      <c r="A407" s="13" t="s">
        <v>476</v>
      </c>
      <c r="B407" s="147" t="s">
        <v>174</v>
      </c>
      <c r="C407" s="10" t="s">
        <v>478</v>
      </c>
      <c r="D407" s="42" t="s">
        <v>2401</v>
      </c>
      <c r="E407" s="143" t="s">
        <v>2458</v>
      </c>
      <c r="F407" s="144"/>
      <c r="G407" s="89"/>
      <c r="H407" s="148"/>
      <c r="I407" s="149"/>
      <c r="J407" s="90"/>
      <c r="K407" s="43"/>
      <c r="L407" s="39"/>
      <c r="M407" s="39"/>
      <c r="N407" s="39"/>
      <c r="O407" s="39"/>
    </row>
    <row r="408" spans="1:15" ht="12.75">
      <c r="A408" s="13"/>
      <c r="B408" s="147" t="s">
        <v>97</v>
      </c>
      <c r="C408" s="10" t="s">
        <v>480</v>
      </c>
      <c r="D408" s="42" t="s">
        <v>2401</v>
      </c>
      <c r="E408" s="143" t="s">
        <v>2459</v>
      </c>
      <c r="F408" s="89"/>
      <c r="G408" s="89"/>
      <c r="H408" s="148"/>
      <c r="I408" s="149"/>
      <c r="J408" s="90"/>
      <c r="K408" s="43"/>
      <c r="L408" s="39"/>
      <c r="M408" s="39"/>
      <c r="N408" s="39"/>
      <c r="O408" s="39"/>
    </row>
    <row r="409" spans="1:15" ht="12.75">
      <c r="A409" s="53"/>
      <c r="B409" s="147" t="s">
        <v>97</v>
      </c>
      <c r="C409" s="10" t="s">
        <v>482</v>
      </c>
      <c r="D409" s="42" t="s">
        <v>2401</v>
      </c>
      <c r="E409" s="134"/>
      <c r="F409" s="89" t="s">
        <v>2461</v>
      </c>
      <c r="G409" s="89"/>
      <c r="H409" s="148"/>
      <c r="I409" s="149"/>
      <c r="J409" s="90"/>
      <c r="K409" s="43"/>
      <c r="L409" s="39"/>
      <c r="M409" s="39"/>
      <c r="N409" s="39"/>
      <c r="O409" s="39"/>
    </row>
    <row r="410" spans="1:15" ht="12.75">
      <c r="A410" s="53"/>
      <c r="B410" s="147" t="s">
        <v>97</v>
      </c>
      <c r="C410" s="10" t="s">
        <v>483</v>
      </c>
      <c r="D410" s="42" t="s">
        <v>2401</v>
      </c>
      <c r="E410" s="150"/>
      <c r="F410" s="89" t="s">
        <v>3781</v>
      </c>
      <c r="G410" s="89"/>
      <c r="H410" s="148"/>
      <c r="I410" s="149"/>
      <c r="J410" s="90"/>
      <c r="K410" s="43"/>
      <c r="L410" s="39"/>
      <c r="M410" s="39"/>
      <c r="N410" s="39"/>
      <c r="O410" s="39"/>
    </row>
    <row r="411" spans="1:15" ht="12.75">
      <c r="A411" s="53"/>
      <c r="B411" s="147" t="s">
        <v>97</v>
      </c>
      <c r="C411" s="10" t="s">
        <v>485</v>
      </c>
      <c r="D411" s="42" t="s">
        <v>2401</v>
      </c>
      <c r="E411" s="134"/>
      <c r="F411" s="89" t="s">
        <v>2462</v>
      </c>
      <c r="G411" s="89"/>
      <c r="H411" s="148"/>
      <c r="I411" s="149"/>
      <c r="J411" s="90"/>
      <c r="K411" s="43"/>
      <c r="L411" s="39"/>
      <c r="M411" s="39"/>
      <c r="N411" s="39"/>
      <c r="O411" s="39"/>
    </row>
    <row r="412" spans="1:15" ht="12.75">
      <c r="A412" s="13"/>
      <c r="B412" s="147" t="s">
        <v>97</v>
      </c>
      <c r="C412" s="10" t="s">
        <v>487</v>
      </c>
      <c r="D412" s="42" t="s">
        <v>2401</v>
      </c>
      <c r="E412" s="134" t="s">
        <v>2309</v>
      </c>
      <c r="F412" s="89"/>
      <c r="G412" s="89"/>
      <c r="H412" s="148"/>
      <c r="I412" s="149"/>
      <c r="J412" s="90"/>
      <c r="K412" s="43"/>
      <c r="L412" s="39"/>
      <c r="M412" s="39"/>
      <c r="N412" s="39"/>
      <c r="O412" s="39"/>
    </row>
    <row r="413" spans="1:15" ht="12.75">
      <c r="A413" s="44"/>
      <c r="B413" s="147" t="s">
        <v>97</v>
      </c>
      <c r="C413" s="10" t="s">
        <v>489</v>
      </c>
      <c r="D413" s="42" t="s">
        <v>2401</v>
      </c>
      <c r="E413" s="199"/>
      <c r="F413" s="71" t="s">
        <v>2463</v>
      </c>
      <c r="G413" s="85"/>
      <c r="H413" s="214"/>
      <c r="I413" s="215"/>
      <c r="J413" s="95"/>
      <c r="K413" s="105"/>
      <c r="L413" s="49"/>
      <c r="M413" s="49"/>
      <c r="N413" s="49"/>
      <c r="O413" s="49"/>
    </row>
    <row r="414" spans="1:15" ht="12.75">
      <c r="A414" s="13"/>
      <c r="B414" s="147" t="s">
        <v>97</v>
      </c>
      <c r="C414" s="10" t="s">
        <v>491</v>
      </c>
      <c r="D414" s="42" t="s">
        <v>2401</v>
      </c>
      <c r="E414" s="134" t="s">
        <v>2464</v>
      </c>
      <c r="F414" s="89"/>
      <c r="G414" s="89"/>
      <c r="H414" s="148"/>
      <c r="I414" s="149"/>
      <c r="J414" s="90"/>
      <c r="K414" s="43"/>
      <c r="L414" s="39"/>
      <c r="M414" s="39"/>
      <c r="N414" s="39"/>
      <c r="O414" s="39"/>
    </row>
    <row r="415" spans="1:15" ht="12.75">
      <c r="A415" s="44"/>
      <c r="B415" s="147" t="s">
        <v>97</v>
      </c>
      <c r="C415" s="10" t="s">
        <v>493</v>
      </c>
      <c r="D415" s="42" t="s">
        <v>2401</v>
      </c>
      <c r="E415" s="199"/>
      <c r="F415" s="71" t="s">
        <v>2466</v>
      </c>
      <c r="G415" s="89"/>
      <c r="H415" s="148"/>
      <c r="I415" s="149"/>
      <c r="J415" s="90"/>
      <c r="K415" s="43"/>
      <c r="L415" s="39"/>
      <c r="M415" s="39"/>
      <c r="N415" s="39"/>
      <c r="O415" s="39"/>
    </row>
    <row r="416" spans="1:15" ht="12.75">
      <c r="A416" s="13"/>
      <c r="B416" s="147" t="s">
        <v>97</v>
      </c>
      <c r="C416" s="10" t="s">
        <v>494</v>
      </c>
      <c r="D416" s="42" t="s">
        <v>2401</v>
      </c>
      <c r="E416" s="134" t="s">
        <v>3782</v>
      </c>
      <c r="F416" s="89"/>
      <c r="G416" s="89"/>
      <c r="H416" s="148"/>
      <c r="I416" s="149"/>
      <c r="J416" s="90"/>
      <c r="K416" s="43"/>
      <c r="L416" s="39"/>
      <c r="M416" s="39"/>
      <c r="N416" s="39"/>
      <c r="O416" s="39"/>
    </row>
    <row r="417" spans="1:15" ht="24">
      <c r="A417" s="44"/>
      <c r="B417" s="147" t="s">
        <v>97</v>
      </c>
      <c r="C417" s="50" t="s">
        <v>495</v>
      </c>
      <c r="D417" s="42" t="s">
        <v>2401</v>
      </c>
      <c r="E417" s="199"/>
      <c r="F417" s="83" t="s">
        <v>2468</v>
      </c>
      <c r="G417" s="72"/>
      <c r="H417" s="151"/>
      <c r="I417" s="152"/>
      <c r="J417" s="84"/>
      <c r="K417" s="100"/>
      <c r="L417" s="81"/>
      <c r="M417" s="81"/>
      <c r="N417" s="81"/>
      <c r="O417" s="81"/>
    </row>
    <row r="418" spans="1:15" ht="24">
      <c r="A418" s="44"/>
      <c r="B418" s="147" t="s">
        <v>97</v>
      </c>
      <c r="C418" s="50" t="s">
        <v>497</v>
      </c>
      <c r="D418" s="42" t="s">
        <v>2401</v>
      </c>
      <c r="E418" s="199"/>
      <c r="F418" s="83" t="s">
        <v>2469</v>
      </c>
      <c r="G418" s="72"/>
      <c r="H418" s="151"/>
      <c r="I418" s="152"/>
      <c r="J418" s="84"/>
      <c r="K418" s="100"/>
      <c r="L418" s="81"/>
      <c r="M418" s="81"/>
      <c r="N418" s="81"/>
      <c r="O418" s="81"/>
    </row>
    <row r="419" spans="1:15" ht="12.75">
      <c r="A419" s="13"/>
      <c r="B419" s="147" t="s">
        <v>97</v>
      </c>
      <c r="C419" s="10" t="s">
        <v>499</v>
      </c>
      <c r="D419" s="42" t="s">
        <v>2401</v>
      </c>
      <c r="E419" s="134" t="s">
        <v>2470</v>
      </c>
      <c r="F419" s="89"/>
      <c r="G419" s="89"/>
      <c r="H419" s="148"/>
      <c r="I419" s="149"/>
      <c r="J419" s="90"/>
      <c r="K419" s="43"/>
      <c r="L419" s="39"/>
      <c r="M419" s="39"/>
      <c r="N419" s="39"/>
      <c r="O419" s="39"/>
    </row>
    <row r="420" spans="1:15" ht="12.75">
      <c r="A420" s="13"/>
      <c r="B420" s="147" t="s">
        <v>97</v>
      </c>
      <c r="C420" s="10" t="s">
        <v>501</v>
      </c>
      <c r="D420" s="42" t="s">
        <v>2401</v>
      </c>
      <c r="E420" s="150" t="s">
        <v>2471</v>
      </c>
      <c r="F420" s="72"/>
      <c r="G420" s="72"/>
      <c r="H420" s="151"/>
      <c r="I420" s="152"/>
      <c r="J420" s="84"/>
      <c r="K420" s="100"/>
      <c r="L420" s="81"/>
      <c r="M420" s="81"/>
      <c r="N420" s="81"/>
      <c r="O420" s="81"/>
    </row>
    <row r="421" spans="1:15" ht="12.75">
      <c r="A421" s="13"/>
      <c r="B421" s="147" t="s">
        <v>97</v>
      </c>
      <c r="C421" s="10" t="s">
        <v>503</v>
      </c>
      <c r="D421" s="42" t="s">
        <v>2401</v>
      </c>
      <c r="E421" s="150" t="s">
        <v>2472</v>
      </c>
      <c r="F421" s="72"/>
      <c r="G421" s="72"/>
      <c r="H421" s="151"/>
      <c r="I421" s="152"/>
      <c r="J421" s="84"/>
      <c r="K421" s="100"/>
      <c r="L421" s="81"/>
      <c r="M421" s="81"/>
      <c r="N421" s="81"/>
      <c r="O421" s="81"/>
    </row>
    <row r="422" spans="1:15" ht="12.75">
      <c r="A422" s="13"/>
      <c r="B422" s="147" t="s">
        <v>97</v>
      </c>
      <c r="C422" s="10" t="s">
        <v>504</v>
      </c>
      <c r="D422" s="42" t="s">
        <v>2401</v>
      </c>
      <c r="E422" s="150" t="s">
        <v>3783</v>
      </c>
      <c r="F422" s="72"/>
      <c r="G422" s="72"/>
      <c r="H422" s="151"/>
      <c r="I422" s="152"/>
      <c r="J422" s="84"/>
      <c r="K422" s="100"/>
      <c r="L422" s="81"/>
      <c r="M422" s="81"/>
      <c r="N422" s="81"/>
      <c r="O422" s="81"/>
    </row>
    <row r="423" spans="1:15" ht="12.75">
      <c r="A423" s="82"/>
      <c r="B423" s="147" t="s">
        <v>97</v>
      </c>
      <c r="C423" s="10" t="s">
        <v>506</v>
      </c>
      <c r="D423" s="42" t="s">
        <v>2401</v>
      </c>
      <c r="E423" s="199"/>
      <c r="F423" s="71" t="s">
        <v>2473</v>
      </c>
      <c r="G423" s="89"/>
      <c r="H423" s="148"/>
      <c r="I423" s="149"/>
      <c r="J423" s="90"/>
      <c r="K423" s="43"/>
      <c r="L423" s="39"/>
      <c r="M423" s="39"/>
      <c r="N423" s="39"/>
      <c r="O423" s="39"/>
    </row>
    <row r="424" spans="1:15" ht="12.75">
      <c r="A424" s="13"/>
      <c r="B424" s="147" t="s">
        <v>97</v>
      </c>
      <c r="C424" s="10" t="s">
        <v>508</v>
      </c>
      <c r="D424" s="42" t="s">
        <v>2401</v>
      </c>
      <c r="E424" s="134" t="s">
        <v>2474</v>
      </c>
      <c r="F424" s="89"/>
      <c r="G424" s="89"/>
      <c r="H424" s="148"/>
      <c r="I424" s="149"/>
      <c r="J424" s="90"/>
      <c r="K424" s="43"/>
      <c r="L424" s="39"/>
      <c r="M424" s="39"/>
      <c r="N424" s="39"/>
      <c r="O424" s="39"/>
    </row>
    <row r="425" spans="1:15" ht="12.75">
      <c r="A425" s="13"/>
      <c r="B425" s="147" t="s">
        <v>97</v>
      </c>
      <c r="C425" s="10" t="s">
        <v>510</v>
      </c>
      <c r="D425" s="42" t="s">
        <v>2401</v>
      </c>
      <c r="E425" s="134" t="s">
        <v>2475</v>
      </c>
      <c r="F425" s="89"/>
      <c r="G425" s="89"/>
      <c r="H425" s="148"/>
      <c r="I425" s="149"/>
      <c r="J425" s="90"/>
      <c r="K425" s="43"/>
      <c r="L425" s="39"/>
      <c r="M425" s="39"/>
      <c r="N425" s="39"/>
      <c r="O425" s="39"/>
    </row>
    <row r="426" spans="1:15" ht="12.75">
      <c r="A426" s="44"/>
      <c r="B426" s="147" t="s">
        <v>97</v>
      </c>
      <c r="C426" s="10" t="s">
        <v>512</v>
      </c>
      <c r="D426" s="42" t="s">
        <v>2401</v>
      </c>
      <c r="E426" s="134" t="s">
        <v>2476</v>
      </c>
      <c r="F426" s="89"/>
      <c r="G426" s="89"/>
      <c r="H426" s="148"/>
      <c r="I426" s="149"/>
      <c r="J426" s="90"/>
      <c r="K426" s="43"/>
      <c r="L426" s="39"/>
      <c r="M426" s="39"/>
      <c r="N426" s="39"/>
      <c r="O426" s="39"/>
    </row>
    <row r="427" spans="1:15" ht="12.75">
      <c r="A427" s="13"/>
      <c r="B427" s="147" t="s">
        <v>97</v>
      </c>
      <c r="C427" s="10" t="s">
        <v>514</v>
      </c>
      <c r="D427" s="42" t="s">
        <v>2401</v>
      </c>
      <c r="E427" s="134" t="s">
        <v>3784</v>
      </c>
      <c r="F427" s="89"/>
      <c r="G427" s="89"/>
      <c r="H427" s="148"/>
      <c r="I427" s="149"/>
      <c r="J427" s="90"/>
      <c r="K427" s="43"/>
      <c r="L427" s="39"/>
      <c r="M427" s="39"/>
      <c r="N427" s="39"/>
      <c r="O427" s="39"/>
    </row>
    <row r="428" spans="1:15" ht="12.75">
      <c r="A428" s="59"/>
      <c r="B428" s="147" t="s">
        <v>97</v>
      </c>
      <c r="C428" s="63" t="s">
        <v>97</v>
      </c>
      <c r="D428" s="63"/>
      <c r="E428" s="219"/>
      <c r="F428" s="61"/>
      <c r="G428" s="61"/>
      <c r="H428" s="210"/>
      <c r="I428" s="211"/>
      <c r="J428" s="86"/>
      <c r="K428" s="87"/>
      <c r="L428" s="88"/>
      <c r="M428" s="88"/>
      <c r="N428" s="88"/>
      <c r="O428" s="88"/>
    </row>
    <row r="429" spans="1:15" ht="12.75">
      <c r="A429" s="59"/>
      <c r="B429" s="147" t="s">
        <v>97</v>
      </c>
      <c r="C429" s="63"/>
      <c r="D429" s="63"/>
      <c r="E429" s="219"/>
      <c r="F429" s="61"/>
      <c r="G429" s="61"/>
      <c r="H429" s="210"/>
      <c r="I429" s="211"/>
      <c r="J429" s="86"/>
      <c r="K429" s="87"/>
      <c r="L429" s="88"/>
      <c r="M429" s="88"/>
      <c r="N429" s="88"/>
      <c r="O429" s="88"/>
    </row>
    <row r="430" spans="1:15" ht="12.75">
      <c r="A430" s="13" t="s">
        <v>515</v>
      </c>
      <c r="B430" s="147" t="s">
        <v>169</v>
      </c>
      <c r="C430" s="10" t="s">
        <v>517</v>
      </c>
      <c r="D430" s="42" t="s">
        <v>2401</v>
      </c>
      <c r="E430" s="143" t="s">
        <v>3785</v>
      </c>
      <c r="F430" s="144"/>
      <c r="G430" s="89"/>
      <c r="H430" s="148"/>
      <c r="I430" s="149"/>
      <c r="J430" s="90"/>
      <c r="K430" s="43"/>
      <c r="L430" s="39"/>
      <c r="M430" s="39"/>
      <c r="N430" s="39"/>
      <c r="O430" s="39"/>
    </row>
    <row r="431" spans="1:15" ht="12.75">
      <c r="A431" s="13"/>
      <c r="B431" s="147" t="s">
        <v>97</v>
      </c>
      <c r="C431" s="10" t="s">
        <v>519</v>
      </c>
      <c r="D431" s="42" t="s">
        <v>2401</v>
      </c>
      <c r="E431" s="150" t="s">
        <v>2486</v>
      </c>
      <c r="F431" s="89"/>
      <c r="G431" s="89"/>
      <c r="H431" s="148"/>
      <c r="I431" s="149"/>
      <c r="J431" s="90"/>
      <c r="K431" s="43"/>
      <c r="L431" s="39"/>
      <c r="M431" s="39"/>
      <c r="N431" s="39"/>
      <c r="O431" s="39"/>
    </row>
    <row r="432" spans="1:15" ht="12.75">
      <c r="A432" s="13"/>
      <c r="B432" s="147" t="s">
        <v>97</v>
      </c>
      <c r="C432" s="10" t="s">
        <v>521</v>
      </c>
      <c r="D432" s="42" t="s">
        <v>2401</v>
      </c>
      <c r="E432" s="150" t="s">
        <v>2487</v>
      </c>
      <c r="F432" s="89"/>
      <c r="G432" s="89"/>
      <c r="H432" s="148"/>
      <c r="I432" s="149"/>
      <c r="J432" s="90"/>
      <c r="K432" s="43"/>
      <c r="L432" s="39"/>
      <c r="M432" s="39"/>
      <c r="N432" s="39"/>
      <c r="O432" s="39"/>
    </row>
    <row r="433" spans="1:15" ht="12.75">
      <c r="A433" s="13"/>
      <c r="B433" s="147" t="s">
        <v>97</v>
      </c>
      <c r="C433" s="10" t="s">
        <v>523</v>
      </c>
      <c r="D433" s="42" t="s">
        <v>2401</v>
      </c>
      <c r="E433" s="150" t="s">
        <v>2488</v>
      </c>
      <c r="F433" s="89"/>
      <c r="G433" s="89"/>
      <c r="H433" s="148"/>
      <c r="I433" s="149"/>
      <c r="J433" s="90"/>
      <c r="K433" s="43"/>
      <c r="L433" s="39"/>
      <c r="M433" s="39"/>
      <c r="N433" s="39"/>
      <c r="O433" s="39"/>
    </row>
    <row r="434" spans="1:15" ht="12.75">
      <c r="A434" s="13"/>
      <c r="B434" s="147" t="s">
        <v>97</v>
      </c>
      <c r="C434" s="10" t="s">
        <v>525</v>
      </c>
      <c r="D434" s="42" t="s">
        <v>2401</v>
      </c>
      <c r="E434" s="150" t="s">
        <v>2489</v>
      </c>
      <c r="F434" s="89"/>
      <c r="G434" s="89"/>
      <c r="H434" s="148"/>
      <c r="I434" s="149"/>
      <c r="J434" s="90"/>
      <c r="K434" s="43"/>
      <c r="L434" s="39"/>
      <c r="M434" s="39"/>
      <c r="N434" s="39"/>
      <c r="O434" s="39"/>
    </row>
    <row r="435" spans="1:15" ht="12.75">
      <c r="A435" s="13"/>
      <c r="B435" s="147" t="s">
        <v>97</v>
      </c>
      <c r="C435" s="10" t="s">
        <v>527</v>
      </c>
      <c r="D435" s="42" t="s">
        <v>2401</v>
      </c>
      <c r="E435" s="150" t="s">
        <v>3786</v>
      </c>
      <c r="F435" s="89"/>
      <c r="G435" s="89"/>
      <c r="H435" s="148"/>
      <c r="I435" s="149"/>
      <c r="J435" s="90"/>
      <c r="K435" s="43"/>
      <c r="L435" s="39"/>
      <c r="M435" s="39"/>
      <c r="N435" s="39"/>
      <c r="O435" s="39"/>
    </row>
    <row r="436" spans="1:15" ht="12.75">
      <c r="A436" s="13"/>
      <c r="B436" s="147" t="s">
        <v>97</v>
      </c>
      <c r="C436" s="10" t="s">
        <v>529</v>
      </c>
      <c r="D436" s="42" t="s">
        <v>2401</v>
      </c>
      <c r="E436" s="150" t="s">
        <v>2490</v>
      </c>
      <c r="F436" s="89"/>
      <c r="G436" s="89"/>
      <c r="H436" s="148"/>
      <c r="I436" s="149"/>
      <c r="J436" s="90"/>
      <c r="K436" s="43"/>
      <c r="L436" s="39"/>
      <c r="M436" s="39"/>
      <c r="N436" s="39"/>
      <c r="O436" s="39"/>
    </row>
    <row r="437" spans="1:15" ht="12.75">
      <c r="A437" s="13"/>
      <c r="B437" s="147" t="s">
        <v>97</v>
      </c>
      <c r="C437" s="10" t="s">
        <v>531</v>
      </c>
      <c r="D437" s="42" t="s">
        <v>2401</v>
      </c>
      <c r="E437" s="150" t="s">
        <v>3787</v>
      </c>
      <c r="F437" s="89"/>
      <c r="G437" s="89"/>
      <c r="H437" s="148"/>
      <c r="I437" s="149"/>
      <c r="J437" s="90"/>
      <c r="K437" s="43"/>
      <c r="L437" s="39"/>
      <c r="M437" s="39"/>
      <c r="N437" s="39"/>
      <c r="O437" s="39"/>
    </row>
    <row r="438" spans="1:15" ht="12.75">
      <c r="A438" s="13"/>
      <c r="B438" s="147" t="s">
        <v>97</v>
      </c>
      <c r="C438" s="10" t="s">
        <v>533</v>
      </c>
      <c r="D438" s="42" t="s">
        <v>2401</v>
      </c>
      <c r="E438" s="150" t="s">
        <v>3788</v>
      </c>
      <c r="F438" s="89"/>
      <c r="G438" s="89"/>
      <c r="H438" s="148"/>
      <c r="I438" s="149"/>
      <c r="J438" s="90"/>
      <c r="K438" s="43"/>
      <c r="L438" s="39"/>
      <c r="M438" s="39"/>
      <c r="N438" s="39"/>
      <c r="O438" s="39"/>
    </row>
    <row r="439" spans="1:15" ht="12.75">
      <c r="A439" s="13"/>
      <c r="B439" s="147" t="s">
        <v>97</v>
      </c>
      <c r="C439" s="129" t="s">
        <v>535</v>
      </c>
      <c r="D439" s="42" t="s">
        <v>2401</v>
      </c>
      <c r="E439" s="150" t="s">
        <v>3789</v>
      </c>
      <c r="F439" s="89"/>
      <c r="G439" s="89"/>
      <c r="H439" s="148"/>
      <c r="I439" s="149"/>
      <c r="J439" s="90"/>
      <c r="K439" s="43"/>
      <c r="L439" s="39"/>
      <c r="M439" s="39"/>
      <c r="N439" s="39"/>
      <c r="O439" s="39"/>
    </row>
    <row r="440" spans="1:15" ht="12.75">
      <c r="A440" s="13"/>
      <c r="B440" s="147" t="s">
        <v>97</v>
      </c>
      <c r="C440" s="10" t="s">
        <v>537</v>
      </c>
      <c r="D440" s="42" t="s">
        <v>2401</v>
      </c>
      <c r="E440" s="150" t="s">
        <v>2491</v>
      </c>
      <c r="F440" s="89"/>
      <c r="G440" s="89"/>
      <c r="H440" s="148"/>
      <c r="I440" s="149"/>
      <c r="J440" s="90"/>
      <c r="K440" s="43"/>
      <c r="L440" s="39"/>
      <c r="M440" s="39"/>
      <c r="N440" s="39"/>
      <c r="O440" s="39"/>
    </row>
    <row r="441" spans="1:15" ht="12.75">
      <c r="A441" s="13"/>
      <c r="B441" s="147" t="s">
        <v>97</v>
      </c>
      <c r="C441" s="10" t="s">
        <v>539</v>
      </c>
      <c r="D441" s="42" t="s">
        <v>2401</v>
      </c>
      <c r="E441" s="150" t="s">
        <v>2492</v>
      </c>
      <c r="F441" s="89"/>
      <c r="G441" s="89"/>
      <c r="H441" s="148"/>
      <c r="I441" s="149"/>
      <c r="J441" s="90"/>
      <c r="K441" s="43"/>
      <c r="L441" s="39"/>
      <c r="M441" s="39"/>
      <c r="N441" s="39"/>
      <c r="O441" s="39"/>
    </row>
    <row r="442" spans="1:15" ht="12.75">
      <c r="A442" s="13"/>
      <c r="B442" s="147" t="s">
        <v>97</v>
      </c>
      <c r="C442" s="10" t="s">
        <v>541</v>
      </c>
      <c r="D442" s="42" t="s">
        <v>2401</v>
      </c>
      <c r="E442" s="150" t="s">
        <v>2493</v>
      </c>
      <c r="F442" s="89"/>
      <c r="G442" s="89"/>
      <c r="H442" s="148"/>
      <c r="I442" s="149"/>
      <c r="J442" s="90"/>
      <c r="K442" s="43"/>
      <c r="L442" s="39"/>
      <c r="M442" s="39"/>
      <c r="N442" s="39"/>
      <c r="O442" s="39"/>
    </row>
    <row r="443" spans="1:15" ht="12.75">
      <c r="A443" s="13"/>
      <c r="B443" s="147" t="s">
        <v>97</v>
      </c>
      <c r="C443" s="10" t="s">
        <v>543</v>
      </c>
      <c r="D443" s="42" t="s">
        <v>2401</v>
      </c>
      <c r="E443" s="150" t="s">
        <v>2494</v>
      </c>
      <c r="F443" s="89"/>
      <c r="G443" s="89"/>
      <c r="H443" s="148"/>
      <c r="I443" s="149"/>
      <c r="J443" s="90"/>
      <c r="K443" s="43"/>
      <c r="L443" s="39"/>
      <c r="M443" s="39"/>
      <c r="N443" s="39"/>
      <c r="O443" s="39"/>
    </row>
    <row r="444" spans="1:15" ht="12.75">
      <c r="A444" s="13"/>
      <c r="B444" s="147" t="s">
        <v>97</v>
      </c>
      <c r="C444" s="10" t="s">
        <v>544</v>
      </c>
      <c r="D444" s="42" t="s">
        <v>2401</v>
      </c>
      <c r="E444" s="150" t="s">
        <v>2308</v>
      </c>
      <c r="F444" s="72"/>
      <c r="G444" s="72"/>
      <c r="H444" s="151"/>
      <c r="I444" s="152"/>
      <c r="J444" s="84"/>
      <c r="K444" s="100"/>
      <c r="L444" s="81"/>
      <c r="M444" s="81"/>
      <c r="N444" s="81"/>
      <c r="O444" s="81"/>
    </row>
    <row r="445" spans="1:15" ht="12.75">
      <c r="A445" s="13"/>
      <c r="B445" s="147" t="s">
        <v>97</v>
      </c>
      <c r="C445" s="10" t="s">
        <v>546</v>
      </c>
      <c r="D445" s="42" t="s">
        <v>2401</v>
      </c>
      <c r="E445" s="150" t="s">
        <v>2495</v>
      </c>
      <c r="F445" s="89"/>
      <c r="G445" s="89"/>
      <c r="H445" s="148"/>
      <c r="I445" s="149"/>
      <c r="J445" s="90"/>
      <c r="K445" s="43"/>
      <c r="L445" s="39"/>
      <c r="M445" s="39"/>
      <c r="N445" s="39"/>
      <c r="O445" s="39"/>
    </row>
    <row r="446" spans="1:15" ht="12.75">
      <c r="A446" s="13"/>
      <c r="B446" s="147" t="s">
        <v>97</v>
      </c>
      <c r="C446" s="10" t="s">
        <v>548</v>
      </c>
      <c r="D446" s="42" t="s">
        <v>2401</v>
      </c>
      <c r="E446" s="150" t="s">
        <v>2496</v>
      </c>
      <c r="F446" s="89"/>
      <c r="G446" s="89"/>
      <c r="H446" s="148"/>
      <c r="I446" s="149"/>
      <c r="J446" s="90"/>
      <c r="K446" s="43"/>
      <c r="L446" s="39"/>
      <c r="M446" s="39"/>
      <c r="N446" s="39"/>
      <c r="O446" s="39"/>
    </row>
    <row r="447" spans="1:15" ht="12.75">
      <c r="A447" s="59"/>
      <c r="B447" s="147" t="s">
        <v>97</v>
      </c>
      <c r="C447" s="220" t="s">
        <v>97</v>
      </c>
      <c r="D447" s="220"/>
      <c r="E447" s="202"/>
      <c r="F447" s="221"/>
      <c r="G447" s="221"/>
      <c r="H447" s="222"/>
      <c r="I447" s="223"/>
      <c r="J447" s="97"/>
      <c r="K447" s="98"/>
      <c r="L447" s="99"/>
      <c r="M447" s="99"/>
      <c r="N447" s="99"/>
      <c r="O447" s="99"/>
    </row>
    <row r="448" spans="1:15" ht="12.75">
      <c r="A448" s="59"/>
      <c r="B448" s="147" t="s">
        <v>97</v>
      </c>
      <c r="C448" s="220" t="s">
        <v>97</v>
      </c>
      <c r="D448" s="220"/>
      <c r="E448" s="202"/>
      <c r="F448" s="221"/>
      <c r="G448" s="221"/>
      <c r="H448" s="222"/>
      <c r="I448" s="223"/>
      <c r="J448" s="97"/>
      <c r="K448" s="98"/>
      <c r="L448" s="99"/>
      <c r="M448" s="99"/>
      <c r="N448" s="99"/>
      <c r="O448" s="99"/>
    </row>
    <row r="449" spans="1:15" ht="12.75">
      <c r="A449" s="13" t="s">
        <v>549</v>
      </c>
      <c r="B449" s="147" t="s">
        <v>188</v>
      </c>
      <c r="C449" s="40" t="s">
        <v>552</v>
      </c>
      <c r="D449" s="42" t="s">
        <v>2401</v>
      </c>
      <c r="E449" s="143" t="s">
        <v>2311</v>
      </c>
      <c r="F449" s="144"/>
      <c r="G449" s="89"/>
      <c r="H449" s="148"/>
      <c r="I449" s="149"/>
      <c r="J449" s="90"/>
      <c r="K449" s="43"/>
      <c r="L449" s="39"/>
      <c r="M449" s="39"/>
      <c r="N449" s="39"/>
      <c r="O449" s="39"/>
    </row>
    <row r="450" spans="1:15" ht="12.75">
      <c r="A450" s="13"/>
      <c r="B450" s="147" t="s">
        <v>97</v>
      </c>
      <c r="C450" s="40" t="s">
        <v>554</v>
      </c>
      <c r="D450" s="42" t="s">
        <v>2401</v>
      </c>
      <c r="E450" s="134" t="s">
        <v>3790</v>
      </c>
      <c r="F450" s="89"/>
      <c r="G450" s="89"/>
      <c r="H450" s="148"/>
      <c r="I450" s="149"/>
      <c r="J450" s="90"/>
      <c r="K450" s="43"/>
      <c r="L450" s="39"/>
      <c r="M450" s="39"/>
      <c r="N450" s="39"/>
      <c r="O450" s="39"/>
    </row>
    <row r="451" spans="1:15" ht="12.75">
      <c r="A451" s="13"/>
      <c r="B451" s="147" t="s">
        <v>97</v>
      </c>
      <c r="C451" s="42" t="s">
        <v>556</v>
      </c>
      <c r="D451" s="42" t="s">
        <v>2401</v>
      </c>
      <c r="E451" s="134" t="s">
        <v>3791</v>
      </c>
      <c r="F451" s="71"/>
      <c r="G451" s="71"/>
      <c r="H451" s="153"/>
      <c r="I451" s="154"/>
      <c r="J451" s="65"/>
      <c r="K451" s="42"/>
      <c r="L451" s="40"/>
      <c r="M451" s="40"/>
      <c r="N451" s="40"/>
      <c r="O451" s="40"/>
    </row>
    <row r="452" spans="1:15" ht="12.75">
      <c r="A452" s="13"/>
      <c r="B452" s="147" t="s">
        <v>97</v>
      </c>
      <c r="C452" s="42" t="s">
        <v>558</v>
      </c>
      <c r="D452" s="42" t="s">
        <v>2401</v>
      </c>
      <c r="E452" s="134" t="s">
        <v>3792</v>
      </c>
      <c r="F452" s="89"/>
      <c r="G452" s="89"/>
      <c r="H452" s="148"/>
      <c r="I452" s="149"/>
      <c r="J452" s="90"/>
      <c r="K452" s="43"/>
      <c r="L452" s="39"/>
      <c r="M452" s="39"/>
      <c r="N452" s="39"/>
      <c r="O452" s="39"/>
    </row>
    <row r="453" spans="1:15" ht="12.75">
      <c r="A453" s="13"/>
      <c r="B453" s="147" t="s">
        <v>97</v>
      </c>
      <c r="C453" s="40" t="s">
        <v>560</v>
      </c>
      <c r="D453" s="42" t="s">
        <v>2401</v>
      </c>
      <c r="E453" s="134" t="s">
        <v>3793</v>
      </c>
      <c r="F453" s="89"/>
      <c r="G453" s="89"/>
      <c r="H453" s="148"/>
      <c r="I453" s="149"/>
      <c r="J453" s="90"/>
      <c r="K453" s="43"/>
      <c r="L453" s="39"/>
      <c r="M453" s="39"/>
      <c r="N453" s="39"/>
      <c r="O453" s="39"/>
    </row>
    <row r="454" spans="1:15" ht="12.75">
      <c r="A454" s="13"/>
      <c r="B454" s="147" t="s">
        <v>97</v>
      </c>
      <c r="C454" s="40" t="s">
        <v>562</v>
      </c>
      <c r="D454" s="42" t="s">
        <v>2401</v>
      </c>
      <c r="E454" s="134" t="s">
        <v>3794</v>
      </c>
      <c r="F454" s="89"/>
      <c r="G454" s="89"/>
      <c r="H454" s="148"/>
      <c r="I454" s="149"/>
      <c r="J454" s="90"/>
      <c r="K454" s="43"/>
      <c r="L454" s="39"/>
      <c r="M454" s="39"/>
      <c r="N454" s="39"/>
      <c r="O454" s="39"/>
    </row>
    <row r="455" spans="1:15" ht="12.75">
      <c r="A455" s="13"/>
      <c r="B455" s="147" t="s">
        <v>97</v>
      </c>
      <c r="C455" s="50" t="s">
        <v>550</v>
      </c>
      <c r="D455" s="42" t="s">
        <v>2401</v>
      </c>
      <c r="E455" s="134" t="s">
        <v>3795</v>
      </c>
      <c r="F455" s="72"/>
      <c r="G455" s="72"/>
      <c r="H455" s="151"/>
      <c r="I455" s="152"/>
      <c r="J455" s="84"/>
      <c r="K455" s="100"/>
      <c r="L455" s="81"/>
      <c r="M455" s="81"/>
      <c r="N455" s="81"/>
      <c r="O455" s="81"/>
    </row>
    <row r="456" spans="1:15" ht="12.75">
      <c r="A456" s="13"/>
      <c r="B456" s="147" t="s">
        <v>97</v>
      </c>
      <c r="C456" s="42" t="s">
        <v>564</v>
      </c>
      <c r="D456" s="42" t="s">
        <v>2401</v>
      </c>
      <c r="E456" s="134" t="s">
        <v>3796</v>
      </c>
      <c r="F456" s="89"/>
      <c r="G456" s="89"/>
      <c r="H456" s="148"/>
      <c r="I456" s="149"/>
      <c r="J456" s="90"/>
      <c r="K456" s="43"/>
      <c r="L456" s="39"/>
      <c r="M456" s="39"/>
      <c r="N456" s="39"/>
      <c r="O456" s="39"/>
    </row>
    <row r="457" spans="1:15" ht="12.75">
      <c r="A457" s="13"/>
      <c r="B457" s="147" t="s">
        <v>97</v>
      </c>
      <c r="C457" s="42" t="s">
        <v>566</v>
      </c>
      <c r="D457" s="42" t="s">
        <v>2401</v>
      </c>
      <c r="E457" s="134" t="s">
        <v>3797</v>
      </c>
      <c r="F457" s="89"/>
      <c r="G457" s="89"/>
      <c r="H457" s="148"/>
      <c r="I457" s="149"/>
      <c r="J457" s="90"/>
      <c r="K457" s="43"/>
      <c r="L457" s="39"/>
      <c r="M457" s="39"/>
      <c r="N457" s="39"/>
      <c r="O457" s="39"/>
    </row>
    <row r="458" spans="1:15" ht="24">
      <c r="A458" s="13"/>
      <c r="B458" s="147" t="s">
        <v>97</v>
      </c>
      <c r="C458" s="42" t="s">
        <v>568</v>
      </c>
      <c r="D458" s="42" t="s">
        <v>2401</v>
      </c>
      <c r="E458" s="134" t="s">
        <v>3798</v>
      </c>
      <c r="F458" s="89"/>
      <c r="G458" s="89"/>
      <c r="H458" s="148"/>
      <c r="I458" s="149"/>
      <c r="J458" s="90"/>
      <c r="K458" s="43"/>
      <c r="L458" s="39"/>
      <c r="M458" s="39"/>
      <c r="N458" s="39"/>
      <c r="O458" s="39"/>
    </row>
    <row r="459" spans="1:15" ht="12.75">
      <c r="A459" s="13"/>
      <c r="B459" s="147" t="s">
        <v>97</v>
      </c>
      <c r="C459" s="40" t="s">
        <v>570</v>
      </c>
      <c r="D459" s="42" t="s">
        <v>2401</v>
      </c>
      <c r="E459" s="134" t="s">
        <v>3799</v>
      </c>
      <c r="F459" s="89"/>
      <c r="G459" s="89"/>
      <c r="H459" s="148"/>
      <c r="I459" s="149"/>
      <c r="J459" s="90"/>
      <c r="K459" s="43"/>
      <c r="L459" s="39"/>
      <c r="M459" s="39"/>
      <c r="N459" s="39"/>
      <c r="O459" s="39"/>
    </row>
    <row r="460" spans="1:15" ht="12.75">
      <c r="A460" s="13"/>
      <c r="B460" s="147" t="s">
        <v>97</v>
      </c>
      <c r="C460" s="40" t="s">
        <v>572</v>
      </c>
      <c r="D460" s="42" t="s">
        <v>2401</v>
      </c>
      <c r="E460" s="134" t="s">
        <v>3800</v>
      </c>
      <c r="F460" s="89"/>
      <c r="G460" s="89"/>
      <c r="H460" s="148"/>
      <c r="I460" s="149"/>
      <c r="J460" s="90"/>
      <c r="K460" s="43"/>
      <c r="L460" s="39"/>
      <c r="M460" s="39"/>
      <c r="N460" s="39"/>
      <c r="O460" s="39"/>
    </row>
    <row r="461" spans="1:15" ht="12.75">
      <c r="A461" s="13"/>
      <c r="B461" s="147" t="s">
        <v>97</v>
      </c>
      <c r="C461" s="42" t="s">
        <v>574</v>
      </c>
      <c r="D461" s="42" t="s">
        <v>2401</v>
      </c>
      <c r="E461" s="190" t="s">
        <v>3801</v>
      </c>
      <c r="F461" s="85"/>
      <c r="G461" s="85"/>
      <c r="H461" s="214"/>
      <c r="I461" s="215"/>
      <c r="J461" s="95"/>
      <c r="K461" s="105"/>
      <c r="L461" s="49"/>
      <c r="M461" s="49"/>
      <c r="N461" s="49"/>
      <c r="O461" s="49"/>
    </row>
    <row r="462" spans="1:15" ht="12.75">
      <c r="A462" s="13"/>
      <c r="B462" s="147" t="s">
        <v>97</v>
      </c>
      <c r="C462" s="42" t="s">
        <v>576</v>
      </c>
      <c r="D462" s="42" t="s">
        <v>2401</v>
      </c>
      <c r="E462" s="134" t="s">
        <v>3802</v>
      </c>
      <c r="F462" s="89"/>
      <c r="G462" s="89"/>
      <c r="H462" s="148"/>
      <c r="I462" s="149"/>
      <c r="J462" s="90"/>
      <c r="K462" s="43"/>
      <c r="L462" s="39"/>
      <c r="M462" s="39"/>
      <c r="N462" s="39"/>
      <c r="O462" s="39"/>
    </row>
    <row r="463" spans="1:15" ht="12.75">
      <c r="A463" s="13"/>
      <c r="B463" s="147" t="s">
        <v>97</v>
      </c>
      <c r="C463" s="40" t="s">
        <v>578</v>
      </c>
      <c r="D463" s="42" t="s">
        <v>2401</v>
      </c>
      <c r="E463" s="134" t="s">
        <v>3803</v>
      </c>
      <c r="F463" s="89"/>
      <c r="G463" s="89"/>
      <c r="H463" s="148"/>
      <c r="I463" s="149"/>
      <c r="J463" s="90"/>
      <c r="K463" s="43"/>
      <c r="L463" s="39"/>
      <c r="M463" s="39"/>
      <c r="N463" s="39"/>
      <c r="O463" s="39"/>
    </row>
    <row r="464" spans="1:15" ht="12.75">
      <c r="A464" s="13"/>
      <c r="B464" s="147" t="s">
        <v>97</v>
      </c>
      <c r="C464" s="42" t="s">
        <v>580</v>
      </c>
      <c r="D464" s="42" t="s">
        <v>2401</v>
      </c>
      <c r="E464" s="134" t="s">
        <v>3804</v>
      </c>
      <c r="F464" s="71"/>
      <c r="G464" s="71"/>
      <c r="H464" s="153"/>
      <c r="I464" s="154"/>
      <c r="J464" s="65"/>
      <c r="K464" s="42"/>
      <c r="L464" s="40"/>
      <c r="M464" s="40"/>
      <c r="N464" s="40"/>
      <c r="O464" s="40"/>
    </row>
    <row r="465" spans="1:15" ht="12.75">
      <c r="A465" s="60"/>
      <c r="B465" s="147" t="s">
        <v>97</v>
      </c>
      <c r="C465" s="75" t="s">
        <v>97</v>
      </c>
      <c r="D465" s="75"/>
      <c r="E465" s="202"/>
      <c r="F465" s="74"/>
      <c r="G465" s="74"/>
      <c r="H465" s="194"/>
      <c r="I465" s="203"/>
      <c r="J465" s="62"/>
      <c r="K465" s="63"/>
      <c r="L465" s="75"/>
      <c r="M465" s="75"/>
      <c r="N465" s="75"/>
      <c r="O465" s="75"/>
    </row>
    <row r="466" spans="1:15" ht="12.75">
      <c r="A466" s="60"/>
      <c r="B466" s="147" t="s">
        <v>97</v>
      </c>
      <c r="C466" s="75" t="s">
        <v>97</v>
      </c>
      <c r="D466" s="75"/>
      <c r="E466" s="202"/>
      <c r="F466" s="74"/>
      <c r="G466" s="74"/>
      <c r="H466" s="194"/>
      <c r="I466" s="203"/>
      <c r="J466" s="62"/>
      <c r="K466" s="63"/>
      <c r="L466" s="75"/>
      <c r="M466" s="75"/>
      <c r="N466" s="75"/>
      <c r="O466" s="75"/>
    </row>
    <row r="467" spans="1:15" ht="12.75">
      <c r="A467" s="13" t="s">
        <v>2050</v>
      </c>
      <c r="B467" s="147" t="s">
        <v>94</v>
      </c>
      <c r="C467" s="50" t="s">
        <v>3805</v>
      </c>
      <c r="D467" s="42" t="s">
        <v>2401</v>
      </c>
      <c r="E467" s="143" t="s">
        <v>2502</v>
      </c>
      <c r="F467" s="144"/>
      <c r="G467" s="72"/>
      <c r="H467" s="151"/>
      <c r="I467" s="152"/>
      <c r="J467" s="84"/>
      <c r="K467" s="100"/>
      <c r="L467" s="81"/>
      <c r="M467" s="81"/>
      <c r="N467" s="81"/>
      <c r="O467" s="81"/>
    </row>
    <row r="468" spans="1:15" ht="12.75">
      <c r="A468" s="13"/>
      <c r="B468" s="147" t="s">
        <v>97</v>
      </c>
      <c r="C468" s="42" t="s">
        <v>556</v>
      </c>
      <c r="D468" s="42" t="s">
        <v>2401</v>
      </c>
      <c r="E468" s="134" t="s">
        <v>3806</v>
      </c>
      <c r="F468" s="71"/>
      <c r="G468" s="71"/>
      <c r="H468" s="153"/>
      <c r="I468" s="154"/>
      <c r="J468" s="65"/>
      <c r="K468" s="42"/>
      <c r="L468" s="40"/>
      <c r="M468" s="40"/>
      <c r="N468" s="40"/>
      <c r="O468" s="40"/>
    </row>
    <row r="469" spans="1:15" ht="12.75">
      <c r="A469" s="13"/>
      <c r="B469" s="147" t="s">
        <v>97</v>
      </c>
      <c r="C469" s="40" t="s">
        <v>560</v>
      </c>
      <c r="D469" s="42" t="s">
        <v>2401</v>
      </c>
      <c r="E469" s="134" t="s">
        <v>3807</v>
      </c>
      <c r="F469" s="89"/>
      <c r="G469" s="89"/>
      <c r="H469" s="148"/>
      <c r="I469" s="149"/>
      <c r="J469" s="90"/>
      <c r="K469" s="43"/>
      <c r="L469" s="39"/>
      <c r="M469" s="39"/>
      <c r="N469" s="39"/>
      <c r="O469" s="39"/>
    </row>
    <row r="470" spans="1:15" ht="12.75">
      <c r="A470" s="13"/>
      <c r="B470" s="147" t="s">
        <v>97</v>
      </c>
      <c r="C470" s="40" t="s">
        <v>562</v>
      </c>
      <c r="D470" s="42" t="s">
        <v>2401</v>
      </c>
      <c r="E470" s="134" t="s">
        <v>3808</v>
      </c>
      <c r="F470" s="89"/>
      <c r="G470" s="89"/>
      <c r="H470" s="148"/>
      <c r="I470" s="149"/>
      <c r="J470" s="90"/>
      <c r="K470" s="43"/>
      <c r="L470" s="39"/>
      <c r="M470" s="39"/>
      <c r="N470" s="39"/>
      <c r="O470" s="39"/>
    </row>
    <row r="471" spans="1:15" ht="12.75">
      <c r="A471" s="13"/>
      <c r="B471" s="147" t="s">
        <v>97</v>
      </c>
      <c r="C471" s="42" t="s">
        <v>580</v>
      </c>
      <c r="D471" s="42" t="s">
        <v>2401</v>
      </c>
      <c r="E471" s="134" t="s">
        <v>3809</v>
      </c>
      <c r="F471" s="71"/>
      <c r="G471" s="71"/>
      <c r="H471" s="153"/>
      <c r="I471" s="154"/>
      <c r="J471" s="65"/>
      <c r="K471" s="42"/>
      <c r="L471" s="40"/>
      <c r="M471" s="40"/>
      <c r="N471" s="40"/>
      <c r="O471" s="40"/>
    </row>
    <row r="472" spans="1:15" ht="12.75">
      <c r="A472" s="13"/>
      <c r="B472" s="147" t="s">
        <v>97</v>
      </c>
      <c r="C472" s="40" t="s">
        <v>552</v>
      </c>
      <c r="D472" s="42" t="s">
        <v>2401</v>
      </c>
      <c r="E472" s="134" t="s">
        <v>3810</v>
      </c>
      <c r="F472" s="89"/>
      <c r="G472" s="89"/>
      <c r="H472" s="148"/>
      <c r="I472" s="149"/>
      <c r="J472" s="90"/>
      <c r="K472" s="43"/>
      <c r="L472" s="39"/>
      <c r="M472" s="39"/>
      <c r="N472" s="39"/>
      <c r="O472" s="39"/>
    </row>
    <row r="473" spans="1:15" ht="12.75">
      <c r="A473" s="13"/>
      <c r="B473" s="147" t="s">
        <v>97</v>
      </c>
      <c r="C473" s="40" t="s">
        <v>554</v>
      </c>
      <c r="D473" s="42" t="s">
        <v>2401</v>
      </c>
      <c r="E473" s="134" t="s">
        <v>3811</v>
      </c>
      <c r="F473" s="89"/>
      <c r="G473" s="89"/>
      <c r="H473" s="148"/>
      <c r="I473" s="149"/>
      <c r="J473" s="90"/>
      <c r="K473" s="43"/>
      <c r="L473" s="39"/>
      <c r="M473" s="39"/>
      <c r="N473" s="39"/>
      <c r="O473" s="39"/>
    </row>
    <row r="474" spans="1:15" ht="12.75">
      <c r="A474" s="13"/>
      <c r="B474" s="147" t="s">
        <v>97</v>
      </c>
      <c r="C474" s="40" t="s">
        <v>570</v>
      </c>
      <c r="D474" s="42" t="s">
        <v>2401</v>
      </c>
      <c r="E474" s="134" t="s">
        <v>3812</v>
      </c>
      <c r="F474" s="89"/>
      <c r="G474" s="89"/>
      <c r="H474" s="148"/>
      <c r="I474" s="149"/>
      <c r="J474" s="90"/>
      <c r="K474" s="43"/>
      <c r="L474" s="39"/>
      <c r="M474" s="39"/>
      <c r="N474" s="39"/>
      <c r="O474" s="39"/>
    </row>
    <row r="475" spans="1:15" ht="12.75">
      <c r="A475" s="13"/>
      <c r="B475" s="147" t="s">
        <v>97</v>
      </c>
      <c r="C475" s="40" t="s">
        <v>568</v>
      </c>
      <c r="D475" s="42" t="s">
        <v>2401</v>
      </c>
      <c r="E475" s="134" t="s">
        <v>3813</v>
      </c>
      <c r="F475" s="89"/>
      <c r="G475" s="89"/>
      <c r="H475" s="148"/>
      <c r="I475" s="149"/>
      <c r="J475" s="90"/>
      <c r="K475" s="43"/>
      <c r="L475" s="39"/>
      <c r="M475" s="39"/>
      <c r="N475" s="39"/>
      <c r="O475" s="39"/>
    </row>
    <row r="476" spans="1:15" ht="12.75">
      <c r="A476" s="13"/>
      <c r="B476" s="147" t="s">
        <v>97</v>
      </c>
      <c r="C476" s="42" t="s">
        <v>564</v>
      </c>
      <c r="D476" s="42" t="s">
        <v>2401</v>
      </c>
      <c r="E476" s="134" t="s">
        <v>3814</v>
      </c>
      <c r="F476" s="89"/>
      <c r="G476" s="89"/>
      <c r="H476" s="148"/>
      <c r="I476" s="149"/>
      <c r="J476" s="90"/>
      <c r="K476" s="43"/>
      <c r="L476" s="39"/>
      <c r="M476" s="39"/>
      <c r="N476" s="39"/>
      <c r="O476" s="39"/>
    </row>
    <row r="477" spans="1:15" ht="18.75" customHeight="1">
      <c r="A477" s="44"/>
      <c r="B477" s="147" t="s">
        <v>97</v>
      </c>
      <c r="C477" s="40" t="s">
        <v>578</v>
      </c>
      <c r="D477" s="42" t="s">
        <v>2401</v>
      </c>
      <c r="E477" s="134" t="s">
        <v>3815</v>
      </c>
      <c r="F477" s="89"/>
      <c r="G477" s="89"/>
      <c r="H477" s="148"/>
      <c r="I477" s="149"/>
      <c r="J477" s="90"/>
      <c r="K477" s="39"/>
      <c r="L477" s="123"/>
      <c r="M477" s="39"/>
      <c r="N477" s="39"/>
      <c r="O477" s="39"/>
    </row>
    <row r="478" spans="1:15" ht="12.75">
      <c r="A478" s="13"/>
      <c r="B478" s="147" t="s">
        <v>97</v>
      </c>
      <c r="C478" s="42" t="s">
        <v>558</v>
      </c>
      <c r="D478" s="42" t="s">
        <v>2401</v>
      </c>
      <c r="E478" s="134" t="s">
        <v>3816</v>
      </c>
      <c r="F478" s="89"/>
      <c r="G478" s="89"/>
      <c r="H478" s="148"/>
      <c r="I478" s="149"/>
      <c r="J478" s="90"/>
      <c r="K478" s="43"/>
      <c r="L478" s="39"/>
      <c r="M478" s="39"/>
      <c r="N478" s="39"/>
      <c r="O478" s="39"/>
    </row>
    <row r="479" spans="1:15" ht="12.75">
      <c r="A479" s="13"/>
      <c r="B479" s="147" t="s">
        <v>97</v>
      </c>
      <c r="C479" s="40" t="s">
        <v>572</v>
      </c>
      <c r="D479" s="42" t="s">
        <v>2401</v>
      </c>
      <c r="E479" s="134" t="s">
        <v>3817</v>
      </c>
      <c r="F479" s="89"/>
      <c r="G479" s="89"/>
      <c r="H479" s="148"/>
      <c r="I479" s="149"/>
      <c r="J479" s="90"/>
      <c r="K479" s="43"/>
      <c r="L479" s="39"/>
      <c r="M479" s="39"/>
      <c r="N479" s="39"/>
      <c r="O479" s="39"/>
    </row>
    <row r="480" spans="1:15" ht="12.75">
      <c r="A480" s="59"/>
      <c r="B480" s="147" t="s">
        <v>97</v>
      </c>
      <c r="C480" s="63" t="s">
        <v>97</v>
      </c>
      <c r="D480" s="63"/>
      <c r="E480" s="202"/>
      <c r="F480" s="61"/>
      <c r="G480" s="61"/>
      <c r="H480" s="210"/>
      <c r="I480" s="211"/>
      <c r="J480" s="86"/>
      <c r="K480" s="87"/>
      <c r="L480" s="88"/>
      <c r="M480" s="88"/>
      <c r="N480" s="88"/>
      <c r="O480" s="88"/>
    </row>
    <row r="481" spans="1:15" ht="12.75">
      <c r="A481" s="59"/>
      <c r="B481" s="147" t="s">
        <v>97</v>
      </c>
      <c r="C481" s="63"/>
      <c r="D481" s="63"/>
      <c r="E481" s="202"/>
      <c r="F481" s="61"/>
      <c r="G481" s="61"/>
      <c r="H481" s="210"/>
      <c r="I481" s="211"/>
      <c r="J481" s="86"/>
      <c r="K481" s="87"/>
      <c r="L481" s="88"/>
      <c r="M481" s="88"/>
      <c r="N481" s="88"/>
      <c r="O481" s="88"/>
    </row>
    <row r="482" spans="1:15" ht="12.75">
      <c r="A482" s="53" t="s">
        <v>2062</v>
      </c>
      <c r="B482" s="147" t="s">
        <v>1317</v>
      </c>
      <c r="C482" s="42" t="s">
        <v>2063</v>
      </c>
      <c r="D482" s="42" t="s">
        <v>2401</v>
      </c>
      <c r="E482" s="143" t="s">
        <v>2313</v>
      </c>
      <c r="F482" s="144"/>
      <c r="G482" s="89"/>
      <c r="H482" s="148"/>
      <c r="I482" s="149"/>
      <c r="J482" s="90"/>
      <c r="K482" s="43"/>
      <c r="L482" s="39"/>
      <c r="M482" s="39"/>
      <c r="N482" s="39"/>
      <c r="O482" s="39"/>
    </row>
    <row r="483" spans="1:15" ht="12.75">
      <c r="A483" s="53"/>
      <c r="B483" s="147" t="s">
        <v>97</v>
      </c>
      <c r="C483" s="42" t="s">
        <v>2065</v>
      </c>
      <c r="D483" s="42" t="s">
        <v>2401</v>
      </c>
      <c r="E483" s="143" t="s">
        <v>2508</v>
      </c>
      <c r="F483" s="89"/>
      <c r="G483" s="89"/>
      <c r="H483" s="148"/>
      <c r="I483" s="149"/>
      <c r="J483" s="90"/>
      <c r="K483" s="43"/>
      <c r="L483" s="39"/>
      <c r="M483" s="39"/>
      <c r="N483" s="39"/>
      <c r="O483" s="39"/>
    </row>
    <row r="484" spans="1:15" ht="12.75">
      <c r="A484" s="53"/>
      <c r="B484" s="147" t="s">
        <v>97</v>
      </c>
      <c r="C484" s="42" t="s">
        <v>2067</v>
      </c>
      <c r="D484" s="42" t="s">
        <v>2401</v>
      </c>
      <c r="E484" s="143" t="s">
        <v>2509</v>
      </c>
      <c r="F484" s="89"/>
      <c r="G484" s="89"/>
      <c r="H484" s="148"/>
      <c r="I484" s="149"/>
      <c r="J484" s="90"/>
      <c r="K484" s="43"/>
      <c r="L484" s="39"/>
      <c r="M484" s="39"/>
      <c r="N484" s="39"/>
      <c r="O484" s="39"/>
    </row>
    <row r="485" spans="1:15" ht="12.75">
      <c r="A485" s="53"/>
      <c r="B485" s="147" t="s">
        <v>97</v>
      </c>
      <c r="C485" s="42" t="s">
        <v>2069</v>
      </c>
      <c r="D485" s="42" t="s">
        <v>2401</v>
      </c>
      <c r="E485" s="143" t="s">
        <v>2315</v>
      </c>
      <c r="F485" s="89"/>
      <c r="G485" s="89"/>
      <c r="H485" s="148"/>
      <c r="I485" s="149"/>
      <c r="J485" s="90"/>
      <c r="K485" s="43"/>
      <c r="L485" s="39"/>
      <c r="M485" s="39"/>
      <c r="N485" s="39"/>
      <c r="O485" s="39"/>
    </row>
    <row r="486" spans="1:15" ht="12.75">
      <c r="A486" s="53"/>
      <c r="B486" s="147" t="s">
        <v>97</v>
      </c>
      <c r="C486" s="42" t="s">
        <v>2070</v>
      </c>
      <c r="D486" s="42" t="s">
        <v>2401</v>
      </c>
      <c r="E486" s="134" t="s">
        <v>2510</v>
      </c>
      <c r="F486" s="89"/>
      <c r="G486" s="89"/>
      <c r="H486" s="148"/>
      <c r="I486" s="149"/>
      <c r="J486" s="90"/>
      <c r="K486" s="43"/>
      <c r="L486" s="39"/>
      <c r="M486" s="39"/>
      <c r="N486" s="39"/>
      <c r="O486" s="39"/>
    </row>
    <row r="487" spans="1:15" ht="12.75">
      <c r="A487" s="70"/>
      <c r="B487" s="147" t="s">
        <v>97</v>
      </c>
      <c r="C487" s="63" t="s">
        <v>97</v>
      </c>
      <c r="D487" s="63"/>
      <c r="E487" s="202"/>
      <c r="F487" s="61"/>
      <c r="G487" s="61"/>
      <c r="H487" s="210"/>
      <c r="I487" s="211"/>
      <c r="J487" s="86"/>
      <c r="K487" s="87"/>
      <c r="L487" s="88"/>
      <c r="M487" s="88"/>
      <c r="N487" s="88"/>
      <c r="O487" s="88"/>
    </row>
    <row r="488" spans="1:15" ht="12.75">
      <c r="A488" s="70"/>
      <c r="B488" s="147" t="s">
        <v>97</v>
      </c>
      <c r="C488" s="63" t="s">
        <v>97</v>
      </c>
      <c r="D488" s="63"/>
      <c r="E488" s="202"/>
      <c r="F488" s="61"/>
      <c r="G488" s="61"/>
      <c r="H488" s="210"/>
      <c r="I488" s="211"/>
      <c r="J488" s="86"/>
      <c r="K488" s="87"/>
      <c r="L488" s="88"/>
      <c r="M488" s="88"/>
      <c r="N488" s="88"/>
      <c r="O488" s="88"/>
    </row>
    <row r="489" spans="1:15" ht="12.75">
      <c r="A489" s="53" t="s">
        <v>2071</v>
      </c>
      <c r="B489" s="147" t="s">
        <v>1322</v>
      </c>
      <c r="C489" s="42" t="s">
        <v>2072</v>
      </c>
      <c r="D489" s="42" t="s">
        <v>2401</v>
      </c>
      <c r="E489" s="143" t="s">
        <v>2314</v>
      </c>
      <c r="F489" s="144"/>
      <c r="G489" s="89"/>
      <c r="H489" s="148"/>
      <c r="I489" s="149"/>
      <c r="J489" s="90"/>
      <c r="K489" s="43"/>
      <c r="L489" s="39"/>
      <c r="M489" s="39"/>
      <c r="N489" s="39"/>
      <c r="O489" s="39"/>
    </row>
    <row r="490" spans="1:15" ht="24">
      <c r="A490" s="38"/>
      <c r="B490" s="147" t="s">
        <v>97</v>
      </c>
      <c r="C490" s="42" t="s">
        <v>2074</v>
      </c>
      <c r="D490" s="42" t="s">
        <v>2401</v>
      </c>
      <c r="E490" s="199"/>
      <c r="F490" s="83" t="s">
        <v>2517</v>
      </c>
      <c r="G490" s="89"/>
      <c r="H490" s="148"/>
      <c r="I490" s="149"/>
      <c r="J490" s="90"/>
      <c r="K490" s="43"/>
      <c r="L490" s="39"/>
      <c r="M490" s="39"/>
      <c r="N490" s="39"/>
      <c r="O490" s="39"/>
    </row>
    <row r="491" spans="1:15" ht="24">
      <c r="A491" s="38"/>
      <c r="B491" s="147" t="s">
        <v>97</v>
      </c>
      <c r="C491" s="42" t="s">
        <v>2076</v>
      </c>
      <c r="D491" s="42" t="s">
        <v>2401</v>
      </c>
      <c r="E491" s="199"/>
      <c r="F491" s="83" t="s">
        <v>2518</v>
      </c>
      <c r="G491" s="89"/>
      <c r="H491" s="148"/>
      <c r="I491" s="149"/>
      <c r="J491" s="90"/>
      <c r="K491" s="43"/>
      <c r="L491" s="39"/>
      <c r="M491" s="39"/>
      <c r="N491" s="39"/>
      <c r="O491" s="39"/>
    </row>
    <row r="492" spans="1:15" ht="12.75">
      <c r="A492" s="53"/>
      <c r="B492" s="147" t="s">
        <v>97</v>
      </c>
      <c r="C492" s="42" t="s">
        <v>2077</v>
      </c>
      <c r="D492" s="42" t="s">
        <v>2401</v>
      </c>
      <c r="E492" s="150" t="s">
        <v>3818</v>
      </c>
      <c r="F492" s="89"/>
      <c r="G492" s="89"/>
      <c r="H492" s="148"/>
      <c r="I492" s="149"/>
      <c r="J492" s="90"/>
      <c r="K492" s="43"/>
      <c r="L492" s="39"/>
      <c r="M492" s="39"/>
      <c r="N492" s="39"/>
      <c r="O492" s="39"/>
    </row>
    <row r="493" spans="1:15" ht="24">
      <c r="A493" s="53"/>
      <c r="B493" s="147" t="s">
        <v>97</v>
      </c>
      <c r="C493" s="42" t="s">
        <v>2079</v>
      </c>
      <c r="D493" s="42" t="s">
        <v>2401</v>
      </c>
      <c r="E493" s="150" t="s">
        <v>2519</v>
      </c>
      <c r="F493" s="89"/>
      <c r="G493" s="89"/>
      <c r="H493" s="148"/>
      <c r="I493" s="149"/>
      <c r="J493" s="90"/>
      <c r="K493" s="43"/>
      <c r="L493" s="39"/>
      <c r="M493" s="39"/>
      <c r="N493" s="39"/>
      <c r="O493" s="39"/>
    </row>
    <row r="494" spans="1:15" ht="24">
      <c r="A494" s="82"/>
      <c r="B494" s="147" t="s">
        <v>97</v>
      </c>
      <c r="C494" s="42" t="s">
        <v>2081</v>
      </c>
      <c r="D494" s="42" t="s">
        <v>2401</v>
      </c>
      <c r="E494" s="199"/>
      <c r="F494" s="83" t="s">
        <v>2520</v>
      </c>
      <c r="G494" s="89"/>
      <c r="H494" s="148"/>
      <c r="I494" s="149"/>
      <c r="J494" s="90"/>
      <c r="K494" s="43"/>
      <c r="L494" s="39"/>
      <c r="M494" s="39"/>
      <c r="N494" s="39"/>
      <c r="O494" s="39"/>
    </row>
    <row r="495" spans="1:15" ht="12.75">
      <c r="A495" s="53"/>
      <c r="B495" s="147" t="s">
        <v>97</v>
      </c>
      <c r="C495" s="42" t="s">
        <v>2083</v>
      </c>
      <c r="D495" s="42" t="s">
        <v>2401</v>
      </c>
      <c r="E495" s="150" t="s">
        <v>2521</v>
      </c>
      <c r="F495" s="89"/>
      <c r="G495" s="89"/>
      <c r="H495" s="148"/>
      <c r="I495" s="149"/>
      <c r="J495" s="90"/>
      <c r="K495" s="43"/>
      <c r="L495" s="39"/>
      <c r="M495" s="39"/>
      <c r="N495" s="39"/>
      <c r="O495" s="39"/>
    </row>
    <row r="496" spans="1:15" ht="12.75">
      <c r="A496" s="59"/>
      <c r="B496" s="147" t="s">
        <v>97</v>
      </c>
      <c r="C496" s="63" t="s">
        <v>97</v>
      </c>
      <c r="D496" s="63"/>
      <c r="E496" s="202"/>
      <c r="F496" s="61"/>
      <c r="G496" s="61"/>
      <c r="H496" s="210"/>
      <c r="I496" s="211"/>
      <c r="J496" s="86"/>
      <c r="K496" s="87"/>
      <c r="L496" s="88"/>
      <c r="M496" s="88"/>
      <c r="N496" s="88"/>
      <c r="O496" s="88"/>
    </row>
    <row r="497" spans="1:15" ht="12.75">
      <c r="A497" s="59"/>
      <c r="B497" s="147" t="s">
        <v>97</v>
      </c>
      <c r="C497" s="63"/>
      <c r="D497" s="63"/>
      <c r="E497" s="202"/>
      <c r="F497" s="61"/>
      <c r="G497" s="61"/>
      <c r="H497" s="210"/>
      <c r="I497" s="211"/>
      <c r="J497" s="86"/>
      <c r="K497" s="87"/>
      <c r="L497" s="88"/>
      <c r="M497" s="88"/>
      <c r="N497" s="88"/>
      <c r="O497" s="88"/>
    </row>
    <row r="498" spans="1:15" ht="12.75">
      <c r="A498" s="13" t="s">
        <v>2085</v>
      </c>
      <c r="B498" s="147" t="s">
        <v>1326</v>
      </c>
      <c r="C498" s="42" t="s">
        <v>2065</v>
      </c>
      <c r="D498" s="42" t="s">
        <v>2401</v>
      </c>
      <c r="E498" s="143" t="s">
        <v>2508</v>
      </c>
      <c r="F498" s="144"/>
      <c r="G498" s="89"/>
      <c r="H498" s="148"/>
      <c r="I498" s="149"/>
      <c r="J498" s="90"/>
      <c r="K498" s="43"/>
      <c r="L498" s="39"/>
      <c r="M498" s="39"/>
      <c r="N498" s="39"/>
      <c r="O498" s="39"/>
    </row>
    <row r="499" spans="1:15" ht="12.75">
      <c r="A499" s="13"/>
      <c r="B499" s="147" t="s">
        <v>97</v>
      </c>
      <c r="C499" s="42" t="s">
        <v>2086</v>
      </c>
      <c r="D499" s="42" t="s">
        <v>2401</v>
      </c>
      <c r="E499" s="134" t="s">
        <v>2524</v>
      </c>
      <c r="F499" s="89"/>
      <c r="G499" s="89"/>
      <c r="H499" s="148"/>
      <c r="I499" s="149"/>
      <c r="J499" s="90"/>
      <c r="K499" s="43"/>
      <c r="L499" s="39"/>
      <c r="M499" s="39"/>
      <c r="N499" s="39"/>
      <c r="O499" s="39"/>
    </row>
    <row r="500" spans="1:15" ht="12.75">
      <c r="A500" s="13"/>
      <c r="B500" s="147" t="s">
        <v>97</v>
      </c>
      <c r="C500" s="42" t="s">
        <v>2069</v>
      </c>
      <c r="D500" s="42" t="s">
        <v>2401</v>
      </c>
      <c r="E500" s="134" t="s">
        <v>2315</v>
      </c>
      <c r="F500" s="89"/>
      <c r="G500" s="89"/>
      <c r="H500" s="148"/>
      <c r="I500" s="149"/>
      <c r="J500" s="90"/>
      <c r="K500" s="43"/>
      <c r="L500" s="39"/>
      <c r="M500" s="39"/>
      <c r="N500" s="39"/>
      <c r="O500" s="39"/>
    </row>
    <row r="501" spans="1:15" ht="12.75">
      <c r="A501" s="13"/>
      <c r="B501" s="147" t="s">
        <v>97</v>
      </c>
      <c r="C501" s="42" t="s">
        <v>2088</v>
      </c>
      <c r="D501" s="42" t="s">
        <v>2401</v>
      </c>
      <c r="E501" s="134" t="s">
        <v>2525</v>
      </c>
      <c r="F501" s="89"/>
      <c r="G501" s="89"/>
      <c r="H501" s="148"/>
      <c r="I501" s="149"/>
      <c r="J501" s="90"/>
      <c r="K501" s="43"/>
      <c r="L501" s="39"/>
      <c r="M501" s="39"/>
      <c r="N501" s="39"/>
      <c r="O501" s="39"/>
    </row>
    <row r="502" spans="1:15" ht="12.75">
      <c r="A502" s="59"/>
      <c r="B502" s="147" t="s">
        <v>97</v>
      </c>
      <c r="C502" s="63" t="s">
        <v>97</v>
      </c>
      <c r="D502" s="63"/>
      <c r="E502" s="202"/>
      <c r="F502" s="61"/>
      <c r="G502" s="61"/>
      <c r="H502" s="210"/>
      <c r="I502" s="211"/>
      <c r="J502" s="86"/>
      <c r="K502" s="87"/>
      <c r="L502" s="88"/>
      <c r="M502" s="88"/>
      <c r="N502" s="88"/>
      <c r="O502" s="88"/>
    </row>
    <row r="503" spans="1:15" ht="12.75">
      <c r="A503" s="59"/>
      <c r="B503" s="147" t="s">
        <v>97</v>
      </c>
      <c r="C503" s="63"/>
      <c r="D503" s="63"/>
      <c r="E503" s="202"/>
      <c r="F503" s="61"/>
      <c r="G503" s="61"/>
      <c r="H503" s="210"/>
      <c r="I503" s="211"/>
      <c r="J503" s="86"/>
      <c r="K503" s="87"/>
      <c r="L503" s="88"/>
      <c r="M503" s="88"/>
      <c r="N503" s="88"/>
      <c r="O503" s="88"/>
    </row>
    <row r="504" spans="1:15" ht="24">
      <c r="A504" s="13" t="s">
        <v>581</v>
      </c>
      <c r="B504" s="147" t="s">
        <v>136</v>
      </c>
      <c r="C504" s="42" t="s">
        <v>582</v>
      </c>
      <c r="D504" s="42" t="s">
        <v>2401</v>
      </c>
      <c r="E504" s="143" t="s">
        <v>3819</v>
      </c>
      <c r="F504" s="144"/>
      <c r="G504" s="89"/>
      <c r="H504" s="148"/>
      <c r="I504" s="149"/>
      <c r="J504" s="90"/>
      <c r="K504" s="43"/>
      <c r="L504" s="39"/>
      <c r="M504" s="39"/>
      <c r="N504" s="39"/>
      <c r="O504" s="39"/>
    </row>
    <row r="505" spans="1:15" ht="24">
      <c r="A505" s="13"/>
      <c r="B505" s="147" t="s">
        <v>97</v>
      </c>
      <c r="C505" s="42" t="s">
        <v>2090</v>
      </c>
      <c r="D505" s="42" t="s">
        <v>2401</v>
      </c>
      <c r="E505" s="134" t="s">
        <v>3820</v>
      </c>
      <c r="F505" s="89"/>
      <c r="G505" s="89"/>
      <c r="H505" s="148"/>
      <c r="I505" s="149"/>
      <c r="J505" s="90"/>
      <c r="K505" s="43"/>
      <c r="L505" s="39"/>
      <c r="M505" s="39"/>
      <c r="N505" s="39"/>
      <c r="O505" s="39"/>
    </row>
    <row r="506" spans="1:15" ht="24">
      <c r="A506" s="13"/>
      <c r="B506" s="147" t="s">
        <v>97</v>
      </c>
      <c r="C506" s="42" t="s">
        <v>2092</v>
      </c>
      <c r="D506" s="42" t="s">
        <v>2401</v>
      </c>
      <c r="E506" s="134" t="s">
        <v>3821</v>
      </c>
      <c r="F506" s="89"/>
      <c r="G506" s="89"/>
      <c r="H506" s="148"/>
      <c r="I506" s="149"/>
      <c r="J506" s="90"/>
      <c r="K506" s="43"/>
      <c r="L506" s="39"/>
      <c r="M506" s="39"/>
      <c r="N506" s="39"/>
      <c r="O506" s="39"/>
    </row>
    <row r="507" spans="1:15" ht="12.75">
      <c r="A507" s="59"/>
      <c r="B507" s="147" t="s">
        <v>97</v>
      </c>
      <c r="C507" s="63" t="s">
        <v>97</v>
      </c>
      <c r="D507" s="63"/>
      <c r="E507" s="202"/>
      <c r="F507" s="61"/>
      <c r="G507" s="61"/>
      <c r="H507" s="210"/>
      <c r="I507" s="211"/>
      <c r="J507" s="86"/>
      <c r="K507" s="87"/>
      <c r="L507" s="88"/>
      <c r="M507" s="88"/>
      <c r="N507" s="88"/>
      <c r="O507" s="88"/>
    </row>
    <row r="508" spans="1:15" ht="12.75">
      <c r="A508" s="59"/>
      <c r="B508" s="147" t="s">
        <v>97</v>
      </c>
      <c r="C508" s="63" t="s">
        <v>97</v>
      </c>
      <c r="D508" s="63"/>
      <c r="E508" s="219"/>
      <c r="F508" s="61"/>
      <c r="G508" s="61"/>
      <c r="H508" s="210"/>
      <c r="I508" s="211"/>
      <c r="J508" s="86"/>
      <c r="K508" s="87"/>
      <c r="L508" s="88"/>
      <c r="M508" s="88"/>
      <c r="N508" s="88"/>
      <c r="O508" s="88"/>
    </row>
    <row r="509" spans="1:15" ht="24">
      <c r="A509" s="13" t="s">
        <v>583</v>
      </c>
      <c r="B509" s="147" t="s">
        <v>143</v>
      </c>
      <c r="C509" s="42" t="s">
        <v>585</v>
      </c>
      <c r="D509" s="42" t="s">
        <v>2401</v>
      </c>
      <c r="E509" s="143" t="s">
        <v>2711</v>
      </c>
      <c r="F509" s="144"/>
      <c r="G509" s="89"/>
      <c r="H509" s="148"/>
      <c r="I509" s="149"/>
      <c r="J509" s="90"/>
      <c r="K509" s="43"/>
      <c r="L509" s="39"/>
      <c r="M509" s="39"/>
      <c r="N509" s="39"/>
      <c r="O509" s="39"/>
    </row>
    <row r="510" spans="1:15" ht="24">
      <c r="A510" s="13"/>
      <c r="B510" s="147" t="s">
        <v>97</v>
      </c>
      <c r="C510" s="42" t="s">
        <v>586</v>
      </c>
      <c r="D510" s="42" t="s">
        <v>2401</v>
      </c>
      <c r="E510" s="134" t="s">
        <v>2305</v>
      </c>
      <c r="F510" s="89"/>
      <c r="G510" s="89"/>
      <c r="H510" s="148"/>
      <c r="I510" s="149"/>
      <c r="J510" s="90"/>
      <c r="K510" s="43"/>
      <c r="L510" s="39"/>
      <c r="M510" s="39"/>
      <c r="N510" s="39"/>
      <c r="O510" s="39"/>
    </row>
    <row r="511" spans="1:15" ht="24">
      <c r="A511" s="13"/>
      <c r="B511" s="147" t="s">
        <v>97</v>
      </c>
      <c r="C511" s="50" t="s">
        <v>588</v>
      </c>
      <c r="D511" s="42" t="s">
        <v>2401</v>
      </c>
      <c r="E511" s="134" t="s">
        <v>2712</v>
      </c>
      <c r="F511" s="72"/>
      <c r="G511" s="72"/>
      <c r="H511" s="151"/>
      <c r="I511" s="152"/>
      <c r="J511" s="84"/>
      <c r="K511" s="100"/>
      <c r="L511" s="81"/>
      <c r="M511" s="81"/>
      <c r="N511" s="81"/>
      <c r="O511" s="81"/>
    </row>
    <row r="512" spans="1:15" ht="12.75">
      <c r="A512" s="13"/>
      <c r="B512" s="147" t="s">
        <v>97</v>
      </c>
      <c r="C512" s="6" t="s">
        <v>630</v>
      </c>
      <c r="D512" s="42" t="s">
        <v>2401</v>
      </c>
      <c r="E512" s="199"/>
      <c r="F512" s="119" t="s">
        <v>3822</v>
      </c>
      <c r="G512" s="198"/>
      <c r="H512" s="127"/>
      <c r="I512" s="119"/>
      <c r="J512" s="120"/>
      <c r="K512" s="6"/>
      <c r="L512" s="6"/>
      <c r="M512" s="6"/>
      <c r="N512" s="6"/>
      <c r="O512" s="6"/>
    </row>
    <row r="513" spans="1:15" ht="24">
      <c r="A513" s="13"/>
      <c r="B513" s="147" t="s">
        <v>97</v>
      </c>
      <c r="C513" s="42" t="s">
        <v>590</v>
      </c>
      <c r="D513" s="42" t="s">
        <v>2401</v>
      </c>
      <c r="E513" s="134" t="s">
        <v>2713</v>
      </c>
      <c r="F513" s="89"/>
      <c r="G513" s="89"/>
      <c r="H513" s="148"/>
      <c r="I513" s="149"/>
      <c r="J513" s="90"/>
      <c r="K513" s="43"/>
      <c r="L513" s="39"/>
      <c r="M513" s="39"/>
      <c r="N513" s="39"/>
      <c r="O513" s="39"/>
    </row>
    <row r="514" spans="1:15" ht="12.75">
      <c r="A514" s="59"/>
      <c r="B514" s="147" t="s">
        <v>97</v>
      </c>
      <c r="C514" s="63" t="s">
        <v>97</v>
      </c>
      <c r="D514" s="63"/>
      <c r="E514" s="202"/>
      <c r="F514" s="61"/>
      <c r="G514" s="61"/>
      <c r="H514" s="210"/>
      <c r="I514" s="211"/>
      <c r="J514" s="86"/>
      <c r="K514" s="87"/>
      <c r="L514" s="88"/>
      <c r="M514" s="88"/>
      <c r="N514" s="88"/>
      <c r="O514" s="88"/>
    </row>
    <row r="515" spans="1:15" ht="12.75">
      <c r="A515" s="59"/>
      <c r="B515" s="147" t="s">
        <v>97</v>
      </c>
      <c r="C515" s="63"/>
      <c r="D515" s="63"/>
      <c r="E515" s="202"/>
      <c r="F515" s="61"/>
      <c r="G515" s="61"/>
      <c r="H515" s="210"/>
      <c r="I515" s="211"/>
      <c r="J515" s="86"/>
      <c r="K515" s="87"/>
      <c r="L515" s="88"/>
      <c r="M515" s="88"/>
      <c r="N515" s="88"/>
      <c r="O515" s="88"/>
    </row>
    <row r="516" spans="1:15" ht="24">
      <c r="A516" s="13" t="s">
        <v>591</v>
      </c>
      <c r="B516" s="147" t="s">
        <v>217</v>
      </c>
      <c r="C516" s="42" t="s">
        <v>592</v>
      </c>
      <c r="D516" s="42" t="s">
        <v>2401</v>
      </c>
      <c r="E516" s="143" t="s">
        <v>2333</v>
      </c>
      <c r="F516" s="144"/>
      <c r="G516" s="89"/>
      <c r="H516" s="148"/>
      <c r="I516" s="149"/>
      <c r="J516" s="90"/>
      <c r="K516" s="43"/>
      <c r="L516" s="39"/>
      <c r="M516" s="39"/>
      <c r="N516" s="39"/>
      <c r="O516" s="39"/>
    </row>
    <row r="517" spans="1:15" ht="24">
      <c r="A517" s="55"/>
      <c r="B517" s="147" t="s">
        <v>97</v>
      </c>
      <c r="C517" s="42" t="s">
        <v>594</v>
      </c>
      <c r="D517" s="42" t="s">
        <v>2401</v>
      </c>
      <c r="E517" s="134" t="s">
        <v>2726</v>
      </c>
      <c r="F517" s="89"/>
      <c r="G517" s="89"/>
      <c r="H517" s="148"/>
      <c r="I517" s="149"/>
      <c r="J517" s="90"/>
      <c r="K517" s="43"/>
      <c r="L517" s="39"/>
      <c r="M517" s="39"/>
      <c r="N517" s="39"/>
      <c r="O517" s="39"/>
    </row>
    <row r="518" spans="1:15" ht="24">
      <c r="A518" s="13"/>
      <c r="B518" s="147" t="s">
        <v>97</v>
      </c>
      <c r="C518" s="42" t="s">
        <v>596</v>
      </c>
      <c r="D518" s="42" t="s">
        <v>2401</v>
      </c>
      <c r="E518" s="199"/>
      <c r="F518" s="71" t="s">
        <v>2727</v>
      </c>
      <c r="G518" s="89"/>
      <c r="H518" s="148"/>
      <c r="I518" s="149"/>
      <c r="J518" s="90"/>
      <c r="K518" s="43"/>
      <c r="L518" s="39"/>
      <c r="M518" s="39"/>
      <c r="N518" s="39"/>
      <c r="O518" s="39"/>
    </row>
    <row r="519" spans="1:15" ht="24">
      <c r="A519" s="55"/>
      <c r="B519" s="147" t="s">
        <v>97</v>
      </c>
      <c r="C519" s="42" t="s">
        <v>598</v>
      </c>
      <c r="D519" s="42" t="s">
        <v>2401</v>
      </c>
      <c r="E519" s="199"/>
      <c r="F519" s="89"/>
      <c r="G519" s="71" t="s">
        <v>3823</v>
      </c>
      <c r="H519" s="148"/>
      <c r="I519" s="149"/>
      <c r="J519" s="90"/>
      <c r="K519" s="43"/>
      <c r="L519" s="39"/>
      <c r="M519" s="39"/>
      <c r="N519" s="39"/>
      <c r="O519" s="39"/>
    </row>
    <row r="520" spans="1:15" ht="24">
      <c r="A520" s="44"/>
      <c r="B520" s="147" t="s">
        <v>97</v>
      </c>
      <c r="C520" s="42" t="s">
        <v>599</v>
      </c>
      <c r="D520" s="42" t="s">
        <v>2401</v>
      </c>
      <c r="E520" s="199"/>
      <c r="F520" s="89"/>
      <c r="G520" s="89"/>
      <c r="H520" s="79" t="s">
        <v>3824</v>
      </c>
      <c r="I520" s="149"/>
      <c r="J520" s="90"/>
      <c r="K520" s="43"/>
      <c r="L520" s="39"/>
      <c r="M520" s="39"/>
      <c r="N520" s="39"/>
      <c r="O520" s="39"/>
    </row>
    <row r="521" spans="1:15" ht="24">
      <c r="A521" s="44"/>
      <c r="B521" s="147" t="s">
        <v>97</v>
      </c>
      <c r="C521" s="42" t="s">
        <v>600</v>
      </c>
      <c r="D521" s="42" t="s">
        <v>2401</v>
      </c>
      <c r="E521" s="199"/>
      <c r="F521" s="89"/>
      <c r="G521" s="89"/>
      <c r="H521" s="77"/>
      <c r="I521" s="71" t="s">
        <v>3825</v>
      </c>
      <c r="J521" s="90"/>
      <c r="K521" s="43"/>
      <c r="L521" s="39"/>
      <c r="M521" s="39"/>
      <c r="N521" s="39"/>
      <c r="O521" s="39"/>
    </row>
    <row r="522" spans="1:15" ht="24">
      <c r="A522" s="55"/>
      <c r="B522" s="147" t="s">
        <v>97</v>
      </c>
      <c r="C522" s="42" t="s">
        <v>602</v>
      </c>
      <c r="D522" s="42" t="s">
        <v>2401</v>
      </c>
      <c r="E522" s="199"/>
      <c r="F522" s="89"/>
      <c r="G522" s="71" t="s">
        <v>2728</v>
      </c>
      <c r="H522" s="148"/>
      <c r="I522" s="149"/>
      <c r="J522" s="90"/>
      <c r="K522" s="43"/>
      <c r="L522" s="39"/>
      <c r="M522" s="39"/>
      <c r="N522" s="39"/>
      <c r="O522" s="39"/>
    </row>
    <row r="523" spans="1:15" ht="24">
      <c r="A523" s="55"/>
      <c r="B523" s="147" t="s">
        <v>97</v>
      </c>
      <c r="C523" s="42" t="s">
        <v>604</v>
      </c>
      <c r="D523" s="42" t="s">
        <v>2401</v>
      </c>
      <c r="E523" s="199"/>
      <c r="F523" s="89"/>
      <c r="G523" s="71" t="s">
        <v>2729</v>
      </c>
      <c r="H523" s="148"/>
      <c r="I523" s="149"/>
      <c r="J523" s="90"/>
      <c r="K523" s="43"/>
      <c r="L523" s="39"/>
      <c r="M523" s="39"/>
      <c r="N523" s="39"/>
      <c r="O523" s="39"/>
    </row>
    <row r="524" spans="1:15" ht="24">
      <c r="A524" s="55"/>
      <c r="B524" s="147" t="s">
        <v>97</v>
      </c>
      <c r="C524" s="42" t="s">
        <v>606</v>
      </c>
      <c r="D524" s="42" t="s">
        <v>2401</v>
      </c>
      <c r="E524" s="199"/>
      <c r="F524" s="89"/>
      <c r="G524" s="71" t="s">
        <v>2730</v>
      </c>
      <c r="H524" s="148"/>
      <c r="I524" s="149"/>
      <c r="J524" s="90"/>
      <c r="K524" s="43"/>
      <c r="L524" s="39"/>
      <c r="M524" s="39"/>
      <c r="N524" s="39"/>
      <c r="O524" s="39"/>
    </row>
    <row r="525" spans="1:15" ht="24">
      <c r="A525" s="55"/>
      <c r="B525" s="147" t="s">
        <v>97</v>
      </c>
      <c r="C525" s="42" t="s">
        <v>608</v>
      </c>
      <c r="D525" s="42" t="s">
        <v>2401</v>
      </c>
      <c r="E525" s="199"/>
      <c r="F525" s="89"/>
      <c r="G525" s="72" t="s">
        <v>2731</v>
      </c>
      <c r="H525" s="148"/>
      <c r="I525" s="149"/>
      <c r="J525" s="90"/>
      <c r="K525" s="43"/>
      <c r="L525" s="39"/>
      <c r="M525" s="39"/>
      <c r="N525" s="39"/>
      <c r="O525" s="39"/>
    </row>
    <row r="526" spans="1:15" ht="24">
      <c r="A526" s="55"/>
      <c r="B526" s="147" t="s">
        <v>97</v>
      </c>
      <c r="C526" s="42" t="s">
        <v>610</v>
      </c>
      <c r="D526" s="42" t="s">
        <v>2401</v>
      </c>
      <c r="E526" s="199"/>
      <c r="F526" s="89"/>
      <c r="G526" s="89"/>
      <c r="H526" s="79" t="s">
        <v>2732</v>
      </c>
      <c r="I526" s="149"/>
      <c r="J526" s="90"/>
      <c r="K526" s="43"/>
      <c r="L526" s="39"/>
      <c r="M526" s="39"/>
      <c r="N526" s="39"/>
      <c r="O526" s="39"/>
    </row>
    <row r="527" spans="1:15" ht="24">
      <c r="A527" s="55"/>
      <c r="B527" s="147" t="s">
        <v>97</v>
      </c>
      <c r="C527" s="42" t="s">
        <v>611</v>
      </c>
      <c r="D527" s="42" t="s">
        <v>2401</v>
      </c>
      <c r="E527" s="199"/>
      <c r="F527" s="89"/>
      <c r="G527" s="89"/>
      <c r="H527" s="148"/>
      <c r="I527" s="71" t="s">
        <v>2733</v>
      </c>
      <c r="J527" s="90"/>
      <c r="K527" s="43"/>
      <c r="L527" s="39"/>
      <c r="M527" s="39"/>
      <c r="N527" s="39"/>
      <c r="O527" s="39"/>
    </row>
    <row r="528" spans="1:15" ht="24">
      <c r="A528" s="55"/>
      <c r="B528" s="147" t="s">
        <v>97</v>
      </c>
      <c r="C528" s="42" t="s">
        <v>612</v>
      </c>
      <c r="D528" s="42" t="s">
        <v>2401</v>
      </c>
      <c r="E528" s="199"/>
      <c r="F528" s="89"/>
      <c r="G528" s="89"/>
      <c r="H528" s="148"/>
      <c r="I528" s="71" t="s">
        <v>2734</v>
      </c>
      <c r="J528" s="90"/>
      <c r="K528" s="43"/>
      <c r="L528" s="39"/>
      <c r="M528" s="39"/>
      <c r="N528" s="39"/>
      <c r="O528" s="39"/>
    </row>
    <row r="529" spans="1:15" ht="24">
      <c r="A529" s="55"/>
      <c r="B529" s="147" t="s">
        <v>97</v>
      </c>
      <c r="C529" s="42" t="s">
        <v>614</v>
      </c>
      <c r="D529" s="42" t="s">
        <v>2401</v>
      </c>
      <c r="E529" s="199"/>
      <c r="F529" s="89"/>
      <c r="G529" s="89"/>
      <c r="H529" s="79" t="s">
        <v>2735</v>
      </c>
      <c r="I529" s="149"/>
      <c r="J529" s="90"/>
      <c r="K529" s="43"/>
      <c r="L529" s="39"/>
      <c r="M529" s="39"/>
      <c r="N529" s="39"/>
      <c r="O529" s="39"/>
    </row>
    <row r="530" spans="1:15" ht="24">
      <c r="A530" s="44"/>
      <c r="B530" s="147" t="s">
        <v>97</v>
      </c>
      <c r="C530" s="42" t="s">
        <v>616</v>
      </c>
      <c r="D530" s="42" t="s">
        <v>2401</v>
      </c>
      <c r="E530" s="199"/>
      <c r="F530" s="89"/>
      <c r="G530" s="89"/>
      <c r="H530" s="148"/>
      <c r="I530" s="71" t="s">
        <v>3826</v>
      </c>
      <c r="J530" s="90"/>
      <c r="K530" s="43"/>
      <c r="L530" s="39"/>
      <c r="M530" s="39"/>
      <c r="N530" s="39"/>
      <c r="O530" s="39"/>
    </row>
    <row r="531" spans="1:15" ht="24">
      <c r="A531" s="44"/>
      <c r="B531" s="147" t="s">
        <v>97</v>
      </c>
      <c r="C531" s="42" t="s">
        <v>618</v>
      </c>
      <c r="D531" s="42" t="s">
        <v>2401</v>
      </c>
      <c r="E531" s="199"/>
      <c r="F531" s="89"/>
      <c r="G531" s="89"/>
      <c r="H531" s="148"/>
      <c r="I531" s="71" t="s">
        <v>3827</v>
      </c>
      <c r="J531" s="90"/>
      <c r="K531" s="43"/>
      <c r="L531" s="39"/>
      <c r="M531" s="39"/>
      <c r="N531" s="39"/>
      <c r="O531" s="39"/>
    </row>
    <row r="532" spans="1:15" ht="24">
      <c r="A532" s="44"/>
      <c r="B532" s="147" t="s">
        <v>97</v>
      </c>
      <c r="C532" s="42" t="s">
        <v>620</v>
      </c>
      <c r="D532" s="42" t="s">
        <v>2401</v>
      </c>
      <c r="E532" s="199"/>
      <c r="F532" s="89"/>
      <c r="G532" s="89"/>
      <c r="H532" s="148"/>
      <c r="I532" s="71" t="s">
        <v>3828</v>
      </c>
      <c r="J532" s="90"/>
      <c r="K532" s="43"/>
      <c r="L532" s="39"/>
      <c r="M532" s="39"/>
      <c r="N532" s="39"/>
      <c r="O532" s="39"/>
    </row>
    <row r="533" spans="1:15" ht="24">
      <c r="A533" s="44"/>
      <c r="B533" s="147" t="s">
        <v>97</v>
      </c>
      <c r="C533" s="42" t="s">
        <v>622</v>
      </c>
      <c r="D533" s="42" t="s">
        <v>2401</v>
      </c>
      <c r="E533" s="199"/>
      <c r="F533" s="89"/>
      <c r="G533" s="89"/>
      <c r="H533" s="148"/>
      <c r="I533" s="71" t="s">
        <v>3829</v>
      </c>
      <c r="J533" s="90"/>
      <c r="K533" s="43"/>
      <c r="L533" s="39"/>
      <c r="M533" s="39"/>
      <c r="N533" s="39"/>
      <c r="O533" s="39"/>
    </row>
    <row r="534" spans="1:15" ht="24">
      <c r="A534" s="13"/>
      <c r="B534" s="147" t="s">
        <v>97</v>
      </c>
      <c r="C534" s="42" t="s">
        <v>623</v>
      </c>
      <c r="D534" s="42" t="s">
        <v>2401</v>
      </c>
      <c r="E534" s="134" t="s">
        <v>2736</v>
      </c>
      <c r="F534" s="89"/>
      <c r="G534" s="89"/>
      <c r="H534" s="148"/>
      <c r="I534" s="149"/>
      <c r="J534" s="90"/>
      <c r="K534" s="43"/>
      <c r="L534" s="39"/>
      <c r="M534" s="39"/>
      <c r="N534" s="39"/>
      <c r="O534" s="39"/>
    </row>
    <row r="535" spans="1:15" ht="24">
      <c r="A535" s="44"/>
      <c r="B535" s="147" t="s">
        <v>97</v>
      </c>
      <c r="C535" s="42" t="s">
        <v>625</v>
      </c>
      <c r="D535" s="42" t="s">
        <v>2401</v>
      </c>
      <c r="E535" s="199"/>
      <c r="F535" s="71" t="s">
        <v>2737</v>
      </c>
      <c r="G535" s="89"/>
      <c r="H535" s="148"/>
      <c r="I535" s="149"/>
      <c r="J535" s="90"/>
      <c r="K535" s="43"/>
      <c r="L535" s="39"/>
      <c r="M535" s="39"/>
      <c r="N535" s="39"/>
      <c r="O535" s="39"/>
    </row>
    <row r="536" spans="1:15" ht="24">
      <c r="A536" s="44"/>
      <c r="B536" s="147" t="s">
        <v>97</v>
      </c>
      <c r="C536" s="42" t="s">
        <v>627</v>
      </c>
      <c r="D536" s="42" t="s">
        <v>2401</v>
      </c>
      <c r="E536" s="199"/>
      <c r="F536" s="71" t="s">
        <v>2738</v>
      </c>
      <c r="G536" s="89"/>
      <c r="H536" s="148"/>
      <c r="I536" s="149"/>
      <c r="J536" s="90"/>
      <c r="K536" s="43"/>
      <c r="L536" s="39"/>
      <c r="M536" s="39"/>
      <c r="N536" s="39"/>
      <c r="O536" s="39"/>
    </row>
    <row r="537" spans="1:15" ht="24">
      <c r="A537" s="13"/>
      <c r="B537" s="147" t="s">
        <v>97</v>
      </c>
      <c r="C537" s="42" t="s">
        <v>628</v>
      </c>
      <c r="D537" s="42" t="s">
        <v>2401</v>
      </c>
      <c r="E537" s="134" t="s">
        <v>2739</v>
      </c>
      <c r="F537" s="89"/>
      <c r="G537" s="89"/>
      <c r="H537" s="148"/>
      <c r="I537" s="149"/>
      <c r="J537" s="90"/>
      <c r="K537" s="43"/>
      <c r="L537" s="39"/>
      <c r="M537" s="39"/>
      <c r="N537" s="39"/>
      <c r="O537" s="39"/>
    </row>
    <row r="538" spans="1:15" ht="24">
      <c r="A538" s="44"/>
      <c r="B538" s="147" t="s">
        <v>97</v>
      </c>
      <c r="C538" s="42" t="s">
        <v>2094</v>
      </c>
      <c r="D538" s="42" t="s">
        <v>2401</v>
      </c>
      <c r="E538" s="199"/>
      <c r="F538" s="71" t="s">
        <v>2740</v>
      </c>
      <c r="G538" s="89"/>
      <c r="H538" s="148"/>
      <c r="I538" s="149"/>
      <c r="J538" s="90"/>
      <c r="K538" s="43"/>
      <c r="L538" s="39"/>
      <c r="M538" s="39"/>
      <c r="N538" s="39"/>
      <c r="O538" s="39"/>
    </row>
    <row r="539" spans="1:15" ht="24">
      <c r="A539" s="44"/>
      <c r="B539" s="147" t="s">
        <v>97</v>
      </c>
      <c r="C539" s="42" t="s">
        <v>630</v>
      </c>
      <c r="D539" s="42" t="s">
        <v>2401</v>
      </c>
      <c r="E539" s="199"/>
      <c r="F539" s="71" t="s">
        <v>2741</v>
      </c>
      <c r="G539" s="89"/>
      <c r="H539" s="148"/>
      <c r="I539" s="149"/>
      <c r="J539" s="90"/>
      <c r="K539" s="43"/>
      <c r="L539" s="39"/>
      <c r="M539" s="39"/>
      <c r="N539" s="39"/>
      <c r="O539" s="39"/>
    </row>
    <row r="540" spans="1:15" ht="24">
      <c r="A540" s="13"/>
      <c r="B540" s="147" t="s">
        <v>97</v>
      </c>
      <c r="C540" s="42" t="s">
        <v>631</v>
      </c>
      <c r="D540" s="42"/>
      <c r="E540" s="134" t="s">
        <v>2742</v>
      </c>
      <c r="F540" s="89"/>
      <c r="G540" s="89"/>
      <c r="H540" s="148"/>
      <c r="I540" s="149"/>
      <c r="J540" s="90"/>
      <c r="K540" s="43"/>
      <c r="L540" s="39"/>
      <c r="M540" s="39"/>
      <c r="N540" s="39"/>
      <c r="O540" s="39"/>
    </row>
    <row r="541" spans="1:15" ht="12.75">
      <c r="A541" s="59"/>
      <c r="B541" s="147" t="s">
        <v>97</v>
      </c>
      <c r="C541" s="63" t="s">
        <v>97</v>
      </c>
      <c r="D541" s="63"/>
      <c r="E541" s="202"/>
      <c r="F541" s="61"/>
      <c r="G541" s="61"/>
      <c r="H541" s="210"/>
      <c r="I541" s="211"/>
      <c r="J541" s="86"/>
      <c r="K541" s="87"/>
      <c r="L541" s="88"/>
      <c r="M541" s="88"/>
      <c r="N541" s="88"/>
      <c r="O541" s="88"/>
    </row>
    <row r="542" spans="1:15" ht="12.75">
      <c r="A542" s="59"/>
      <c r="B542" s="147" t="s">
        <v>97</v>
      </c>
      <c r="C542" s="63" t="s">
        <v>97</v>
      </c>
      <c r="D542" s="63"/>
      <c r="E542" s="202"/>
      <c r="F542" s="61"/>
      <c r="G542" s="61"/>
      <c r="H542" s="210"/>
      <c r="I542" s="211"/>
      <c r="J542" s="86"/>
      <c r="K542" s="87"/>
      <c r="L542" s="88"/>
      <c r="M542" s="88"/>
      <c r="N542" s="88"/>
      <c r="O542" s="88"/>
    </row>
    <row r="543" spans="1:15" ht="24">
      <c r="A543" s="13" t="s">
        <v>632</v>
      </c>
      <c r="B543" s="147" t="s">
        <v>179</v>
      </c>
      <c r="C543" s="42" t="s">
        <v>634</v>
      </c>
      <c r="D543" s="42" t="s">
        <v>2401</v>
      </c>
      <c r="E543" s="143" t="s">
        <v>2499</v>
      </c>
      <c r="F543" s="144"/>
      <c r="G543" s="89"/>
      <c r="H543" s="148"/>
      <c r="I543" s="149"/>
      <c r="J543" s="90"/>
      <c r="K543" s="43"/>
      <c r="L543" s="39"/>
      <c r="M543" s="39"/>
      <c r="N543" s="39"/>
      <c r="O543" s="39"/>
    </row>
    <row r="544" spans="1:15" ht="24">
      <c r="A544" s="13"/>
      <c r="B544" s="147" t="s">
        <v>97</v>
      </c>
      <c r="C544" s="42" t="s">
        <v>636</v>
      </c>
      <c r="D544" s="42" t="s">
        <v>2401</v>
      </c>
      <c r="E544" s="143" t="s">
        <v>3830</v>
      </c>
      <c r="F544" s="89"/>
      <c r="G544" s="89"/>
      <c r="H544" s="148"/>
      <c r="I544" s="149"/>
      <c r="J544" s="90"/>
      <c r="K544" s="43"/>
      <c r="L544" s="39"/>
      <c r="M544" s="39"/>
      <c r="N544" s="39"/>
      <c r="O544" s="39"/>
    </row>
    <row r="545" spans="1:15" ht="12.75">
      <c r="A545" s="13"/>
      <c r="B545" s="147" t="s">
        <v>97</v>
      </c>
      <c r="C545" s="42" t="s">
        <v>637</v>
      </c>
      <c r="D545" s="42" t="s">
        <v>2401</v>
      </c>
      <c r="E545" s="143" t="s">
        <v>2310</v>
      </c>
      <c r="F545" s="89"/>
      <c r="G545" s="89"/>
      <c r="H545" s="148"/>
      <c r="I545" s="149"/>
      <c r="J545" s="90"/>
      <c r="K545" s="43"/>
      <c r="L545" s="39"/>
      <c r="M545" s="39"/>
      <c r="N545" s="39"/>
      <c r="O545" s="39"/>
    </row>
    <row r="546" spans="1:15" ht="12.75">
      <c r="A546" s="13"/>
      <c r="B546" s="147" t="s">
        <v>97</v>
      </c>
      <c r="C546" s="42" t="s">
        <v>2500</v>
      </c>
      <c r="D546" s="42" t="s">
        <v>2401</v>
      </c>
      <c r="E546" s="143" t="s">
        <v>2501</v>
      </c>
      <c r="F546" s="89"/>
      <c r="G546" s="89"/>
      <c r="H546" s="148"/>
      <c r="I546" s="149"/>
      <c r="J546" s="90"/>
      <c r="K546" s="43"/>
      <c r="L546" s="39"/>
      <c r="M546" s="39"/>
      <c r="N546" s="39"/>
      <c r="O546" s="39"/>
    </row>
    <row r="547" spans="1:15" ht="12.75">
      <c r="A547" s="59"/>
      <c r="B547" s="147" t="s">
        <v>97</v>
      </c>
      <c r="C547" s="63"/>
      <c r="D547" s="63"/>
      <c r="E547" s="202"/>
      <c r="F547" s="61"/>
      <c r="G547" s="61"/>
      <c r="H547" s="210"/>
      <c r="I547" s="211"/>
      <c r="J547" s="86"/>
      <c r="K547" s="87"/>
      <c r="L547" s="88"/>
      <c r="M547" s="88"/>
      <c r="N547" s="88"/>
      <c r="O547" s="88"/>
    </row>
    <row r="548" spans="1:15" ht="12.75">
      <c r="A548" s="59"/>
      <c r="B548" s="147" t="s">
        <v>97</v>
      </c>
      <c r="C548" s="63"/>
      <c r="D548" s="63"/>
      <c r="E548" s="202"/>
      <c r="F548" s="61"/>
      <c r="G548" s="61"/>
      <c r="H548" s="210"/>
      <c r="I548" s="211"/>
      <c r="J548" s="86"/>
      <c r="K548" s="87"/>
      <c r="L548" s="88"/>
      <c r="M548" s="88"/>
      <c r="N548" s="88"/>
      <c r="O548" s="88"/>
    </row>
    <row r="549" spans="1:15" ht="12.75">
      <c r="A549" s="44" t="s">
        <v>2096</v>
      </c>
      <c r="B549" s="147" t="s">
        <v>1300</v>
      </c>
      <c r="C549" s="40" t="s">
        <v>2097</v>
      </c>
      <c r="D549" s="40" t="s">
        <v>2401</v>
      </c>
      <c r="E549" s="143" t="s">
        <v>3831</v>
      </c>
      <c r="F549" s="144"/>
      <c r="G549" s="89"/>
      <c r="H549" s="148"/>
      <c r="I549" s="149"/>
      <c r="J549" s="90"/>
      <c r="K549" s="39"/>
      <c r="L549" s="39"/>
      <c r="M549" s="39"/>
      <c r="N549" s="39"/>
      <c r="O549" s="39"/>
    </row>
    <row r="550" spans="1:15" ht="12.75">
      <c r="A550" s="44"/>
      <c r="B550" s="147" t="s">
        <v>97</v>
      </c>
      <c r="C550" s="40" t="s">
        <v>2099</v>
      </c>
      <c r="D550" s="40" t="s">
        <v>2401</v>
      </c>
      <c r="E550" s="150" t="s">
        <v>3832</v>
      </c>
      <c r="F550" s="89"/>
      <c r="G550" s="89"/>
      <c r="H550" s="148"/>
      <c r="I550" s="149"/>
      <c r="J550" s="90"/>
      <c r="K550" s="39"/>
      <c r="L550" s="39"/>
      <c r="M550" s="39"/>
      <c r="N550" s="39"/>
      <c r="O550" s="39"/>
    </row>
    <row r="551" spans="1:15" ht="12.75">
      <c r="A551" s="44"/>
      <c r="B551" s="147" t="s">
        <v>97</v>
      </c>
      <c r="C551" s="40" t="s">
        <v>2101</v>
      </c>
      <c r="D551" s="40" t="s">
        <v>2401</v>
      </c>
      <c r="E551" s="150" t="s">
        <v>3833</v>
      </c>
      <c r="F551" s="89"/>
      <c r="G551" s="89"/>
      <c r="H551" s="148"/>
      <c r="I551" s="149"/>
      <c r="J551" s="90"/>
      <c r="K551" s="39"/>
      <c r="L551" s="39"/>
      <c r="M551" s="39"/>
      <c r="N551" s="39"/>
      <c r="O551" s="39"/>
    </row>
    <row r="552" spans="1:15" ht="12.75">
      <c r="A552" s="44"/>
      <c r="B552" s="147" t="s">
        <v>97</v>
      </c>
      <c r="C552" s="40" t="s">
        <v>2103</v>
      </c>
      <c r="D552" s="40" t="s">
        <v>2401</v>
      </c>
      <c r="E552" s="150" t="s">
        <v>3834</v>
      </c>
      <c r="F552" s="89"/>
      <c r="G552" s="89"/>
      <c r="H552" s="148"/>
      <c r="I552" s="149"/>
      <c r="J552" s="90"/>
      <c r="K552" s="39"/>
      <c r="L552" s="39"/>
      <c r="M552" s="39"/>
      <c r="N552" s="39"/>
      <c r="O552" s="39"/>
    </row>
    <row r="553" spans="1:15" ht="12.75">
      <c r="A553" s="44"/>
      <c r="B553" s="147" t="s">
        <v>97</v>
      </c>
      <c r="C553" s="40" t="s">
        <v>2105</v>
      </c>
      <c r="D553" s="40" t="s">
        <v>2401</v>
      </c>
      <c r="E553" s="150" t="s">
        <v>3835</v>
      </c>
      <c r="F553" s="89"/>
      <c r="G553" s="89"/>
      <c r="H553" s="148"/>
      <c r="I553" s="149"/>
      <c r="J553" s="90"/>
      <c r="K553" s="39"/>
      <c r="L553" s="39"/>
      <c r="M553" s="39"/>
      <c r="N553" s="39"/>
      <c r="O553" s="39"/>
    </row>
    <row r="554" spans="1:15" ht="12.75">
      <c r="A554" s="44"/>
      <c r="B554" s="147" t="s">
        <v>97</v>
      </c>
      <c r="C554" s="40" t="s">
        <v>2107</v>
      </c>
      <c r="D554" s="40" t="s">
        <v>2401</v>
      </c>
      <c r="E554" s="150" t="s">
        <v>3836</v>
      </c>
      <c r="F554" s="89"/>
      <c r="G554" s="89"/>
      <c r="H554" s="148"/>
      <c r="I554" s="149"/>
      <c r="J554" s="90"/>
      <c r="K554" s="39"/>
      <c r="L554" s="39"/>
      <c r="M554" s="39"/>
      <c r="N554" s="39"/>
      <c r="O554" s="39"/>
    </row>
    <row r="555" spans="1:15" ht="12.75">
      <c r="A555" s="44"/>
      <c r="B555" s="147" t="s">
        <v>97</v>
      </c>
      <c r="C555" s="40" t="s">
        <v>2109</v>
      </c>
      <c r="D555" s="40" t="s">
        <v>2401</v>
      </c>
      <c r="E555" s="150" t="s">
        <v>3837</v>
      </c>
      <c r="F555" s="89"/>
      <c r="G555" s="89"/>
      <c r="H555" s="148"/>
      <c r="I555" s="149"/>
      <c r="J555" s="90"/>
      <c r="K555" s="39"/>
      <c r="L555" s="39"/>
      <c r="M555" s="39"/>
      <c r="N555" s="39"/>
      <c r="O555" s="39"/>
    </row>
    <row r="556" spans="1:15" ht="12.75">
      <c r="A556" s="44"/>
      <c r="B556" s="147" t="s">
        <v>97</v>
      </c>
      <c r="C556" s="40" t="s">
        <v>2111</v>
      </c>
      <c r="D556" s="40" t="s">
        <v>2401</v>
      </c>
      <c r="E556" s="150" t="s">
        <v>3838</v>
      </c>
      <c r="F556" s="89"/>
      <c r="G556" s="89"/>
      <c r="H556" s="148"/>
      <c r="I556" s="149"/>
      <c r="J556" s="90"/>
      <c r="K556" s="39"/>
      <c r="L556" s="39"/>
      <c r="M556" s="39"/>
      <c r="N556" s="39"/>
      <c r="O556" s="39"/>
    </row>
    <row r="557" spans="1:15" ht="12.75">
      <c r="A557" s="44"/>
      <c r="B557" s="147" t="s">
        <v>97</v>
      </c>
      <c r="C557" s="40" t="s">
        <v>2114</v>
      </c>
      <c r="D557" s="40" t="s">
        <v>2401</v>
      </c>
      <c r="E557" s="150" t="s">
        <v>3839</v>
      </c>
      <c r="F557" s="89"/>
      <c r="G557" s="89"/>
      <c r="H557" s="148"/>
      <c r="I557" s="149"/>
      <c r="J557" s="90"/>
      <c r="K557" s="39"/>
      <c r="L557" s="39"/>
      <c r="M557" s="39"/>
      <c r="N557" s="39"/>
      <c r="O557" s="39"/>
    </row>
    <row r="558" spans="1:15" ht="12.75">
      <c r="A558" s="44"/>
      <c r="B558" s="147" t="s">
        <v>97</v>
      </c>
      <c r="C558" s="40" t="s">
        <v>2117</v>
      </c>
      <c r="D558" s="40" t="s">
        <v>2401</v>
      </c>
      <c r="E558" s="150" t="s">
        <v>3840</v>
      </c>
      <c r="F558" s="89"/>
      <c r="G558" s="89"/>
      <c r="H558" s="148"/>
      <c r="I558" s="149"/>
      <c r="J558" s="90"/>
      <c r="K558" s="39"/>
      <c r="L558" s="39"/>
      <c r="M558" s="39"/>
      <c r="N558" s="39"/>
      <c r="O558" s="39"/>
    </row>
    <row r="559" spans="1:15" ht="12.75">
      <c r="A559" s="44"/>
      <c r="B559" s="147" t="s">
        <v>97</v>
      </c>
      <c r="C559" s="40" t="s">
        <v>2119</v>
      </c>
      <c r="D559" s="40" t="s">
        <v>2401</v>
      </c>
      <c r="E559" s="150" t="s">
        <v>3841</v>
      </c>
      <c r="F559" s="89"/>
      <c r="G559" s="89"/>
      <c r="H559" s="148"/>
      <c r="I559" s="149"/>
      <c r="J559" s="90"/>
      <c r="K559" s="39"/>
      <c r="L559" s="39"/>
      <c r="M559" s="39"/>
      <c r="N559" s="39"/>
      <c r="O559" s="39"/>
    </row>
    <row r="560" spans="1:15" ht="12.75">
      <c r="A560" s="44"/>
      <c r="B560" s="147" t="s">
        <v>97</v>
      </c>
      <c r="C560" s="40" t="s">
        <v>2121</v>
      </c>
      <c r="D560" s="40" t="s">
        <v>2401</v>
      </c>
      <c r="E560" s="150" t="s">
        <v>3842</v>
      </c>
      <c r="F560" s="89"/>
      <c r="G560" s="89"/>
      <c r="H560" s="148"/>
      <c r="I560" s="149"/>
      <c r="J560" s="90"/>
      <c r="K560" s="39"/>
      <c r="L560" s="39"/>
      <c r="M560" s="39"/>
      <c r="N560" s="39"/>
      <c r="O560" s="39"/>
    </row>
    <row r="561" spans="1:15" ht="12.75">
      <c r="A561" s="44"/>
      <c r="B561" s="147" t="s">
        <v>97</v>
      </c>
      <c r="C561" s="40" t="s">
        <v>2123</v>
      </c>
      <c r="D561" s="40" t="s">
        <v>2401</v>
      </c>
      <c r="E561" s="150" t="s">
        <v>3843</v>
      </c>
      <c r="F561" s="71"/>
      <c r="G561" s="71"/>
      <c r="H561" s="153"/>
      <c r="I561" s="154"/>
      <c r="J561" s="65"/>
      <c r="K561" s="40"/>
      <c r="L561" s="40"/>
      <c r="M561" s="40"/>
      <c r="N561" s="40"/>
      <c r="O561" s="40"/>
    </row>
    <row r="562" spans="1:15" ht="12.75">
      <c r="A562" s="44"/>
      <c r="B562" s="147" t="s">
        <v>97</v>
      </c>
      <c r="C562" s="40" t="s">
        <v>2113</v>
      </c>
      <c r="D562" s="40" t="s">
        <v>2401</v>
      </c>
      <c r="E562" s="134" t="s">
        <v>3844</v>
      </c>
      <c r="F562" s="89"/>
      <c r="G562" s="89"/>
      <c r="H562" s="148"/>
      <c r="I562" s="149"/>
      <c r="J562" s="90"/>
      <c r="K562" s="39"/>
      <c r="L562" s="39"/>
      <c r="M562" s="39"/>
      <c r="N562" s="39"/>
      <c r="O562" s="39"/>
    </row>
    <row r="563" spans="1:15" ht="12.75">
      <c r="A563" s="44"/>
      <c r="B563" s="147" t="s">
        <v>97</v>
      </c>
      <c r="C563" s="40" t="s">
        <v>2125</v>
      </c>
      <c r="D563" s="40" t="s">
        <v>2401</v>
      </c>
      <c r="E563" s="199"/>
      <c r="F563" s="83" t="s">
        <v>3845</v>
      </c>
      <c r="G563" s="89"/>
      <c r="H563" s="148"/>
      <c r="I563" s="149"/>
      <c r="J563" s="90"/>
      <c r="K563" s="39"/>
      <c r="L563" s="39"/>
      <c r="M563" s="39"/>
      <c r="N563" s="39"/>
      <c r="O563" s="39"/>
    </row>
    <row r="564" spans="1:15" ht="12.75">
      <c r="A564" s="44"/>
      <c r="B564" s="147" t="s">
        <v>97</v>
      </c>
      <c r="C564" s="40" t="s">
        <v>2126</v>
      </c>
      <c r="D564" s="40" t="s">
        <v>2401</v>
      </c>
      <c r="E564" s="199"/>
      <c r="F564" s="89"/>
      <c r="G564" s="83" t="s">
        <v>3846</v>
      </c>
      <c r="H564" s="148"/>
      <c r="I564" s="149"/>
      <c r="J564" s="90"/>
      <c r="K564" s="39"/>
      <c r="L564" s="39"/>
      <c r="M564" s="39"/>
      <c r="N564" s="39"/>
      <c r="O564" s="39"/>
    </row>
    <row r="565" spans="1:15" ht="12.75">
      <c r="A565" s="59"/>
      <c r="B565" s="147" t="s">
        <v>97</v>
      </c>
      <c r="C565" s="63" t="s">
        <v>97</v>
      </c>
      <c r="D565" s="63"/>
      <c r="E565" s="219"/>
      <c r="F565" s="61"/>
      <c r="G565" s="61"/>
      <c r="H565" s="210"/>
      <c r="I565" s="211"/>
      <c r="J565" s="86"/>
      <c r="K565" s="87"/>
      <c r="L565" s="88"/>
      <c r="M565" s="88"/>
      <c r="N565" s="88"/>
      <c r="O565" s="88"/>
    </row>
    <row r="566" spans="1:15" ht="12.75">
      <c r="A566" s="59"/>
      <c r="B566" s="147" t="s">
        <v>97</v>
      </c>
      <c r="C566" s="63"/>
      <c r="D566" s="63"/>
      <c r="E566" s="219"/>
      <c r="F566" s="61"/>
      <c r="G566" s="61"/>
      <c r="H566" s="210"/>
      <c r="I566" s="211"/>
      <c r="J566" s="86"/>
      <c r="K566" s="87"/>
      <c r="L566" s="88"/>
      <c r="M566" s="88"/>
      <c r="N566" s="88"/>
      <c r="O566" s="88"/>
    </row>
    <row r="567" spans="1:15" ht="12.75">
      <c r="A567" s="53" t="s">
        <v>638</v>
      </c>
      <c r="B567" s="147" t="s">
        <v>194</v>
      </c>
      <c r="C567" s="42" t="s">
        <v>639</v>
      </c>
      <c r="D567" s="42" t="s">
        <v>2401</v>
      </c>
      <c r="E567" s="143" t="s">
        <v>3847</v>
      </c>
      <c r="F567" s="89"/>
      <c r="G567" s="89"/>
      <c r="H567" s="148"/>
      <c r="I567" s="149"/>
      <c r="J567" s="90"/>
      <c r="K567" s="43"/>
      <c r="L567" s="39"/>
      <c r="M567" s="39"/>
      <c r="N567" s="39"/>
      <c r="O567" s="39"/>
    </row>
    <row r="568" spans="1:15" ht="12.75">
      <c r="A568" s="59"/>
      <c r="B568" s="147" t="s">
        <v>97</v>
      </c>
      <c r="C568" s="63" t="s">
        <v>97</v>
      </c>
      <c r="D568" s="63"/>
      <c r="E568" s="219"/>
      <c r="F568" s="61"/>
      <c r="G568" s="61"/>
      <c r="H568" s="210"/>
      <c r="I568" s="211"/>
      <c r="J568" s="86"/>
      <c r="K568" s="87"/>
      <c r="L568" s="88"/>
      <c r="M568" s="88"/>
      <c r="N568" s="88"/>
      <c r="O568" s="88"/>
    </row>
    <row r="569" spans="1:15" ht="12.75">
      <c r="A569" s="59"/>
      <c r="B569" s="147" t="s">
        <v>97</v>
      </c>
      <c r="C569" s="63"/>
      <c r="D569" s="63"/>
      <c r="E569" s="219"/>
      <c r="F569" s="61"/>
      <c r="G569" s="61"/>
      <c r="H569" s="210"/>
      <c r="I569" s="211"/>
      <c r="J569" s="86"/>
      <c r="K569" s="87"/>
      <c r="L569" s="88"/>
      <c r="M569" s="88"/>
      <c r="N569" s="88"/>
      <c r="O569" s="88"/>
    </row>
    <row r="570" spans="1:15" ht="24">
      <c r="A570" s="13" t="s">
        <v>640</v>
      </c>
      <c r="B570" s="147" t="s">
        <v>205</v>
      </c>
      <c r="C570" s="42" t="s">
        <v>642</v>
      </c>
      <c r="D570" s="42" t="s">
        <v>2401</v>
      </c>
      <c r="E570" s="143" t="s">
        <v>2539</v>
      </c>
      <c r="F570" s="144"/>
      <c r="G570" s="89"/>
      <c r="H570" s="148"/>
      <c r="I570" s="149"/>
      <c r="J570" s="90"/>
      <c r="K570" s="43"/>
      <c r="L570" s="39"/>
      <c r="M570" s="39"/>
      <c r="N570" s="39"/>
      <c r="O570" s="39"/>
    </row>
    <row r="571" spans="1:15" ht="24">
      <c r="A571" s="13"/>
      <c r="B571" s="147" t="s">
        <v>97</v>
      </c>
      <c r="C571" s="42" t="s">
        <v>644</v>
      </c>
      <c r="D571" s="42" t="s">
        <v>2401</v>
      </c>
      <c r="E571" s="143" t="s">
        <v>2540</v>
      </c>
      <c r="F571" s="89"/>
      <c r="G571" s="89"/>
      <c r="H571" s="148"/>
      <c r="I571" s="149"/>
      <c r="J571" s="90"/>
      <c r="K571" s="43"/>
      <c r="L571" s="39"/>
      <c r="M571" s="39"/>
      <c r="N571" s="39"/>
      <c r="O571" s="39"/>
    </row>
    <row r="572" spans="1:15" ht="24">
      <c r="A572" s="13"/>
      <c r="B572" s="147" t="s">
        <v>97</v>
      </c>
      <c r="C572" s="42" t="s">
        <v>646</v>
      </c>
      <c r="D572" s="42" t="s">
        <v>2401</v>
      </c>
      <c r="E572" s="143" t="s">
        <v>2541</v>
      </c>
      <c r="F572" s="89"/>
      <c r="G572" s="89"/>
      <c r="H572" s="148"/>
      <c r="I572" s="149"/>
      <c r="J572" s="90"/>
      <c r="K572" s="43"/>
      <c r="L572" s="39"/>
      <c r="M572" s="39"/>
      <c r="N572" s="39"/>
      <c r="O572" s="39"/>
    </row>
    <row r="573" spans="1:15" ht="24">
      <c r="A573" s="13"/>
      <c r="B573" s="147" t="s">
        <v>97</v>
      </c>
      <c r="C573" s="42" t="s">
        <v>648</v>
      </c>
      <c r="D573" s="42" t="s">
        <v>2401</v>
      </c>
      <c r="E573" s="143" t="s">
        <v>2542</v>
      </c>
      <c r="F573" s="89"/>
      <c r="G573" s="89"/>
      <c r="H573" s="148"/>
      <c r="I573" s="149"/>
      <c r="J573" s="90"/>
      <c r="K573" s="43"/>
      <c r="L573" s="39"/>
      <c r="M573" s="39"/>
      <c r="N573" s="39"/>
      <c r="O573" s="39"/>
    </row>
    <row r="574" spans="1:15" ht="24">
      <c r="A574" s="13"/>
      <c r="B574" s="147" t="s">
        <v>97</v>
      </c>
      <c r="C574" s="42" t="s">
        <v>650</v>
      </c>
      <c r="D574" s="42" t="s">
        <v>2401</v>
      </c>
      <c r="E574" s="143" t="s">
        <v>2543</v>
      </c>
      <c r="F574" s="89"/>
      <c r="G574" s="89"/>
      <c r="H574" s="148"/>
      <c r="I574" s="149"/>
      <c r="J574" s="90"/>
      <c r="K574" s="43"/>
      <c r="L574" s="39"/>
      <c r="M574" s="39"/>
      <c r="N574" s="39"/>
      <c r="O574" s="39"/>
    </row>
    <row r="575" spans="1:15" ht="24">
      <c r="A575" s="13"/>
      <c r="B575" s="147" t="s">
        <v>97</v>
      </c>
      <c r="C575" s="42" t="s">
        <v>652</v>
      </c>
      <c r="D575" s="42" t="s">
        <v>2401</v>
      </c>
      <c r="E575" s="143" t="s">
        <v>2321</v>
      </c>
      <c r="F575" s="89"/>
      <c r="G575" s="89"/>
      <c r="H575" s="148"/>
      <c r="I575" s="149"/>
      <c r="J575" s="90"/>
      <c r="K575" s="43"/>
      <c r="L575" s="39"/>
      <c r="M575" s="39"/>
      <c r="N575" s="39"/>
      <c r="O575" s="39"/>
    </row>
    <row r="576" spans="1:15" ht="24">
      <c r="A576" s="13"/>
      <c r="B576" s="147" t="s">
        <v>97</v>
      </c>
      <c r="C576" s="42" t="s">
        <v>653</v>
      </c>
      <c r="D576" s="42" t="s">
        <v>2401</v>
      </c>
      <c r="E576" s="143" t="s">
        <v>2544</v>
      </c>
      <c r="F576" s="89"/>
      <c r="G576" s="89"/>
      <c r="H576" s="148"/>
      <c r="I576" s="149"/>
      <c r="J576" s="90"/>
      <c r="K576" s="43"/>
      <c r="L576" s="39"/>
      <c r="M576" s="39"/>
      <c r="N576" s="39"/>
      <c r="O576" s="39"/>
    </row>
    <row r="577" spans="1:15" ht="24">
      <c r="A577" s="13"/>
      <c r="B577" s="147" t="s">
        <v>97</v>
      </c>
      <c r="C577" s="42" t="s">
        <v>655</v>
      </c>
      <c r="D577" s="42" t="s">
        <v>2401</v>
      </c>
      <c r="E577" s="143" t="s">
        <v>2545</v>
      </c>
      <c r="F577" s="89"/>
      <c r="G577" s="89"/>
      <c r="H577" s="148"/>
      <c r="I577" s="149"/>
      <c r="J577" s="90"/>
      <c r="K577" s="43"/>
      <c r="L577" s="39"/>
      <c r="M577" s="39"/>
      <c r="N577" s="39"/>
      <c r="O577" s="39"/>
    </row>
    <row r="578" spans="1:15" ht="24">
      <c r="A578" s="13"/>
      <c r="B578" s="147" t="s">
        <v>97</v>
      </c>
      <c r="C578" s="42" t="s">
        <v>657</v>
      </c>
      <c r="D578" s="42" t="s">
        <v>2401</v>
      </c>
      <c r="E578" s="143" t="s">
        <v>2546</v>
      </c>
      <c r="F578" s="89"/>
      <c r="G578" s="89"/>
      <c r="H578" s="148"/>
      <c r="I578" s="149"/>
      <c r="J578" s="90"/>
      <c r="K578" s="43"/>
      <c r="L578" s="39"/>
      <c r="M578" s="39"/>
      <c r="N578" s="39"/>
      <c r="O578" s="39"/>
    </row>
    <row r="579" spans="1:15" ht="24">
      <c r="A579" s="13"/>
      <c r="B579" s="147" t="s">
        <v>97</v>
      </c>
      <c r="C579" s="42" t="s">
        <v>659</v>
      </c>
      <c r="D579" s="42" t="s">
        <v>2401</v>
      </c>
      <c r="E579" s="143" t="s">
        <v>2547</v>
      </c>
      <c r="F579" s="89"/>
      <c r="G579" s="89"/>
      <c r="H579" s="148"/>
      <c r="I579" s="149"/>
      <c r="J579" s="90"/>
      <c r="K579" s="43"/>
      <c r="L579" s="39"/>
      <c r="M579" s="39"/>
      <c r="N579" s="39"/>
      <c r="O579" s="39"/>
    </row>
    <row r="580" spans="1:15" ht="24">
      <c r="A580" s="13"/>
      <c r="B580" s="147" t="s">
        <v>97</v>
      </c>
      <c r="C580" s="42" t="s">
        <v>661</v>
      </c>
      <c r="D580" s="42" t="s">
        <v>2401</v>
      </c>
      <c r="E580" s="143" t="s">
        <v>2548</v>
      </c>
      <c r="F580" s="89"/>
      <c r="G580" s="89"/>
      <c r="H580" s="148"/>
      <c r="I580" s="149"/>
      <c r="J580" s="90"/>
      <c r="K580" s="43"/>
      <c r="L580" s="39"/>
      <c r="M580" s="39"/>
      <c r="N580" s="39"/>
      <c r="O580" s="39"/>
    </row>
    <row r="581" spans="1:15" ht="12.75">
      <c r="A581" s="59"/>
      <c r="B581" s="147" t="s">
        <v>97</v>
      </c>
      <c r="C581" s="63" t="s">
        <v>97</v>
      </c>
      <c r="D581" s="63"/>
      <c r="E581" s="219"/>
      <c r="F581" s="61"/>
      <c r="G581" s="61"/>
      <c r="H581" s="210"/>
      <c r="I581" s="211"/>
      <c r="J581" s="86"/>
      <c r="K581" s="87"/>
      <c r="L581" s="88"/>
      <c r="M581" s="88"/>
      <c r="N581" s="88"/>
      <c r="O581" s="88"/>
    </row>
    <row r="582" spans="1:15" ht="12.75">
      <c r="A582" s="59"/>
      <c r="B582" s="147" t="s">
        <v>97</v>
      </c>
      <c r="C582" s="63"/>
      <c r="D582" s="63"/>
      <c r="E582" s="219"/>
      <c r="F582" s="61"/>
      <c r="G582" s="61"/>
      <c r="H582" s="210"/>
      <c r="I582" s="211"/>
      <c r="J582" s="86"/>
      <c r="K582" s="87"/>
      <c r="L582" s="88"/>
      <c r="M582" s="88"/>
      <c r="N582" s="88"/>
      <c r="O582" s="88"/>
    </row>
    <row r="583" spans="1:15" ht="12.75">
      <c r="A583" s="13" t="s">
        <v>662</v>
      </c>
      <c r="B583" s="147" t="s">
        <v>208</v>
      </c>
      <c r="C583" s="42" t="s">
        <v>664</v>
      </c>
      <c r="D583" s="42" t="s">
        <v>2401</v>
      </c>
      <c r="E583" s="143" t="s">
        <v>2555</v>
      </c>
      <c r="F583" s="144"/>
      <c r="G583" s="89"/>
      <c r="H583" s="148"/>
      <c r="I583" s="149"/>
      <c r="J583" s="90"/>
      <c r="K583" s="43"/>
      <c r="L583" s="39"/>
      <c r="M583" s="39"/>
      <c r="N583" s="39"/>
      <c r="O583" s="39"/>
    </row>
    <row r="584" spans="1:15" ht="12.75">
      <c r="A584" s="13"/>
      <c r="B584" s="147" t="s">
        <v>97</v>
      </c>
      <c r="C584" s="42" t="s">
        <v>665</v>
      </c>
      <c r="D584" s="42" t="s">
        <v>2401</v>
      </c>
      <c r="E584" s="143" t="s">
        <v>2322</v>
      </c>
      <c r="F584" s="89"/>
      <c r="G584" s="89"/>
      <c r="H584" s="148"/>
      <c r="I584" s="149"/>
      <c r="J584" s="90"/>
      <c r="K584" s="43"/>
      <c r="L584" s="39"/>
      <c r="M584" s="39"/>
      <c r="N584" s="39"/>
      <c r="O584" s="39"/>
    </row>
    <row r="585" spans="1:15" ht="12.75">
      <c r="A585" s="13"/>
      <c r="B585" s="147" t="s">
        <v>97</v>
      </c>
      <c r="C585" s="42" t="s">
        <v>667</v>
      </c>
      <c r="D585" s="42" t="s">
        <v>2401</v>
      </c>
      <c r="E585" s="143" t="s">
        <v>2556</v>
      </c>
      <c r="F585" s="89"/>
      <c r="G585" s="89"/>
      <c r="H585" s="148"/>
      <c r="I585" s="149"/>
      <c r="J585" s="90"/>
      <c r="K585" s="43"/>
      <c r="L585" s="39"/>
      <c r="M585" s="39"/>
      <c r="N585" s="39"/>
      <c r="O585" s="39"/>
    </row>
    <row r="586" spans="1:15" ht="12.75">
      <c r="A586" s="13"/>
      <c r="B586" s="147" t="s">
        <v>97</v>
      </c>
      <c r="C586" s="42" t="s">
        <v>668</v>
      </c>
      <c r="D586" s="42" t="s">
        <v>2401</v>
      </c>
      <c r="E586" s="143" t="s">
        <v>2557</v>
      </c>
      <c r="F586" s="89"/>
      <c r="G586" s="89"/>
      <c r="H586" s="148"/>
      <c r="I586" s="149"/>
      <c r="J586" s="90"/>
      <c r="K586" s="43"/>
      <c r="L586" s="39"/>
      <c r="M586" s="39"/>
      <c r="N586" s="39"/>
      <c r="O586" s="39"/>
    </row>
    <row r="587" spans="1:15" ht="12.75">
      <c r="A587" s="13"/>
      <c r="B587" s="147" t="s">
        <v>97</v>
      </c>
      <c r="C587" s="42" t="s">
        <v>669</v>
      </c>
      <c r="D587" s="42" t="s">
        <v>2401</v>
      </c>
      <c r="E587" s="143" t="s">
        <v>2558</v>
      </c>
      <c r="F587" s="89"/>
      <c r="G587" s="89"/>
      <c r="H587" s="148"/>
      <c r="I587" s="149"/>
      <c r="J587" s="90"/>
      <c r="K587" s="43"/>
      <c r="L587" s="39"/>
      <c r="M587" s="39"/>
      <c r="N587" s="39"/>
      <c r="O587" s="39"/>
    </row>
    <row r="588" spans="1:15" ht="12.75">
      <c r="A588" s="13"/>
      <c r="B588" s="147" t="s">
        <v>97</v>
      </c>
      <c r="C588" s="42" t="s">
        <v>671</v>
      </c>
      <c r="D588" s="42" t="s">
        <v>2401</v>
      </c>
      <c r="E588" s="143" t="s">
        <v>2559</v>
      </c>
      <c r="F588" s="89"/>
      <c r="G588" s="89"/>
      <c r="H588" s="148"/>
      <c r="I588" s="149"/>
      <c r="J588" s="90"/>
      <c r="K588" s="43"/>
      <c r="L588" s="39"/>
      <c r="M588" s="39"/>
      <c r="N588" s="39"/>
      <c r="O588" s="39"/>
    </row>
    <row r="589" spans="1:15" ht="12.75">
      <c r="A589" s="59"/>
      <c r="B589" s="147" t="s">
        <v>97</v>
      </c>
      <c r="C589" s="63" t="s">
        <v>97</v>
      </c>
      <c r="D589" s="63"/>
      <c r="E589" s="202"/>
      <c r="F589" s="61"/>
      <c r="G589" s="61"/>
      <c r="H589" s="210"/>
      <c r="I589" s="211"/>
      <c r="J589" s="86"/>
      <c r="K589" s="87"/>
      <c r="L589" s="88"/>
      <c r="M589" s="88"/>
      <c r="N589" s="88"/>
      <c r="O589" s="88"/>
    </row>
    <row r="590" spans="1:15" ht="12.75">
      <c r="A590" s="59"/>
      <c r="B590" s="147" t="s">
        <v>97</v>
      </c>
      <c r="C590" s="63"/>
      <c r="D590" s="63"/>
      <c r="E590" s="202"/>
      <c r="F590" s="61"/>
      <c r="G590" s="61"/>
      <c r="H590" s="210"/>
      <c r="I590" s="211"/>
      <c r="J590" s="86"/>
      <c r="K590" s="87"/>
      <c r="L590" s="88"/>
      <c r="M590" s="88"/>
      <c r="N590" s="88"/>
      <c r="O590" s="88"/>
    </row>
    <row r="591" spans="1:15" ht="12.75">
      <c r="A591" s="44" t="s">
        <v>2128</v>
      </c>
      <c r="B591" s="147" t="s">
        <v>1407</v>
      </c>
      <c r="C591" s="40" t="s">
        <v>2129</v>
      </c>
      <c r="D591" s="42" t="s">
        <v>2401</v>
      </c>
      <c r="E591" s="143" t="s">
        <v>2612</v>
      </c>
      <c r="F591" s="144"/>
      <c r="G591" s="71"/>
      <c r="H591" s="153"/>
      <c r="I591" s="154"/>
      <c r="J591" s="65"/>
      <c r="K591" s="40"/>
      <c r="L591" s="40"/>
      <c r="M591" s="40"/>
      <c r="N591" s="40"/>
      <c r="O591" s="40"/>
    </row>
    <row r="592" spans="1:15" ht="12.75">
      <c r="A592" s="44"/>
      <c r="B592" s="147" t="s">
        <v>97</v>
      </c>
      <c r="C592" s="40" t="s">
        <v>2131</v>
      </c>
      <c r="D592" s="42" t="s">
        <v>2401</v>
      </c>
      <c r="E592" s="199"/>
      <c r="F592" s="89" t="s">
        <v>3848</v>
      </c>
      <c r="G592" s="71"/>
      <c r="H592" s="153"/>
      <c r="I592" s="154"/>
      <c r="J592" s="65"/>
      <c r="K592" s="40"/>
      <c r="L592" s="40"/>
      <c r="M592" s="40"/>
      <c r="N592" s="40"/>
      <c r="O592" s="40"/>
    </row>
    <row r="593" spans="1:15" ht="12.75">
      <c r="A593" s="44"/>
      <c r="B593" s="147" t="s">
        <v>97</v>
      </c>
      <c r="C593" s="40" t="s">
        <v>2132</v>
      </c>
      <c r="D593" s="42" t="s">
        <v>2401</v>
      </c>
      <c r="E593" s="199"/>
      <c r="F593" s="89" t="s">
        <v>3849</v>
      </c>
      <c r="G593" s="71"/>
      <c r="H593" s="153"/>
      <c r="I593" s="154"/>
      <c r="J593" s="65"/>
      <c r="K593" s="40"/>
      <c r="L593" s="40"/>
      <c r="M593" s="40"/>
      <c r="N593" s="40"/>
      <c r="O593" s="40"/>
    </row>
    <row r="594" spans="1:15" ht="12.75">
      <c r="A594" s="44"/>
      <c r="B594" s="147" t="s">
        <v>97</v>
      </c>
      <c r="C594" s="40" t="s">
        <v>2130</v>
      </c>
      <c r="D594" s="42" t="s">
        <v>2401</v>
      </c>
      <c r="E594" s="199"/>
      <c r="F594" s="89" t="s">
        <v>2613</v>
      </c>
      <c r="G594" s="71"/>
      <c r="H594" s="153"/>
      <c r="I594" s="154"/>
      <c r="J594" s="65"/>
      <c r="K594" s="40"/>
      <c r="L594" s="40"/>
      <c r="M594" s="40"/>
      <c r="N594" s="40"/>
      <c r="O594" s="40"/>
    </row>
    <row r="595" spans="1:15" ht="12.75">
      <c r="A595" s="44"/>
      <c r="B595" s="147" t="s">
        <v>97</v>
      </c>
      <c r="C595" s="40" t="s">
        <v>2133</v>
      </c>
      <c r="D595" s="42" t="s">
        <v>2401</v>
      </c>
      <c r="E595" s="143" t="s">
        <v>3850</v>
      </c>
      <c r="F595" s="71"/>
      <c r="G595" s="71"/>
      <c r="H595" s="153"/>
      <c r="I595" s="154"/>
      <c r="J595" s="65"/>
      <c r="K595" s="40"/>
      <c r="L595" s="40"/>
      <c r="M595" s="40"/>
      <c r="N595" s="40"/>
      <c r="O595" s="40"/>
    </row>
    <row r="596" spans="1:15" ht="12.75">
      <c r="A596" s="44"/>
      <c r="B596" s="147" t="s">
        <v>97</v>
      </c>
      <c r="C596" s="40" t="s">
        <v>2134</v>
      </c>
      <c r="D596" s="42" t="s">
        <v>2401</v>
      </c>
      <c r="E596" s="199"/>
      <c r="F596" s="89" t="s">
        <v>3851</v>
      </c>
      <c r="G596" s="71"/>
      <c r="H596" s="153"/>
      <c r="I596" s="154"/>
      <c r="J596" s="65"/>
      <c r="K596" s="40"/>
      <c r="L596" s="40"/>
      <c r="M596" s="40"/>
      <c r="N596" s="40"/>
      <c r="O596" s="40"/>
    </row>
    <row r="597" spans="1:15" ht="12.75">
      <c r="A597" s="44"/>
      <c r="B597" s="147" t="s">
        <v>97</v>
      </c>
      <c r="C597" s="40" t="s">
        <v>2135</v>
      </c>
      <c r="D597" s="42" t="s">
        <v>2401</v>
      </c>
      <c r="E597" s="143" t="s">
        <v>2614</v>
      </c>
      <c r="F597" s="71"/>
      <c r="G597" s="71"/>
      <c r="H597" s="153"/>
      <c r="I597" s="154"/>
      <c r="J597" s="65"/>
      <c r="K597" s="40"/>
      <c r="L597" s="40"/>
      <c r="M597" s="40"/>
      <c r="N597" s="40"/>
      <c r="O597" s="40"/>
    </row>
    <row r="598" spans="1:15" ht="12.75">
      <c r="A598" s="44"/>
      <c r="B598" s="147" t="s">
        <v>97</v>
      </c>
      <c r="C598" s="40" t="s">
        <v>2136</v>
      </c>
      <c r="D598" s="42" t="s">
        <v>2401</v>
      </c>
      <c r="E598" s="199"/>
      <c r="F598" s="89" t="s">
        <v>3852</v>
      </c>
      <c r="G598" s="71"/>
      <c r="H598" s="153"/>
      <c r="I598" s="154"/>
      <c r="J598" s="65"/>
      <c r="K598" s="40"/>
      <c r="L598" s="40"/>
      <c r="M598" s="40"/>
      <c r="N598" s="40"/>
      <c r="O598" s="40"/>
    </row>
    <row r="599" spans="1:15" ht="12.75">
      <c r="A599" s="44"/>
      <c r="B599" s="147" t="s">
        <v>97</v>
      </c>
      <c r="C599" s="40" t="s">
        <v>2137</v>
      </c>
      <c r="D599" s="42" t="s">
        <v>2401</v>
      </c>
      <c r="E599" s="199"/>
      <c r="F599" s="89" t="s">
        <v>2615</v>
      </c>
      <c r="G599" s="71"/>
      <c r="H599" s="153"/>
      <c r="I599" s="154"/>
      <c r="J599" s="65"/>
      <c r="K599" s="40"/>
      <c r="L599" s="40"/>
      <c r="M599" s="40"/>
      <c r="N599" s="40"/>
      <c r="O599" s="40"/>
    </row>
    <row r="600" spans="1:15" ht="12.75">
      <c r="A600" s="44"/>
      <c r="B600" s="147" t="s">
        <v>97</v>
      </c>
      <c r="C600" s="40" t="s">
        <v>2138</v>
      </c>
      <c r="D600" s="42" t="s">
        <v>2401</v>
      </c>
      <c r="E600" s="199"/>
      <c r="F600" s="89" t="s">
        <v>3853</v>
      </c>
      <c r="G600" s="71"/>
      <c r="H600" s="153"/>
      <c r="I600" s="154"/>
      <c r="J600" s="65"/>
      <c r="K600" s="40"/>
      <c r="L600" s="40"/>
      <c r="M600" s="40"/>
      <c r="N600" s="40"/>
      <c r="O600" s="40"/>
    </row>
    <row r="601" spans="1:15" ht="12.75">
      <c r="A601" s="44"/>
      <c r="B601" s="147" t="s">
        <v>97</v>
      </c>
      <c r="C601" s="40" t="s">
        <v>2139</v>
      </c>
      <c r="D601" s="42" t="s">
        <v>2401</v>
      </c>
      <c r="E601" s="199"/>
      <c r="F601" s="71"/>
      <c r="G601" s="89" t="s">
        <v>3854</v>
      </c>
      <c r="H601" s="153"/>
      <c r="I601" s="154"/>
      <c r="J601" s="65"/>
      <c r="K601" s="40"/>
      <c r="L601" s="40"/>
      <c r="M601" s="40"/>
      <c r="N601" s="40"/>
      <c r="O601" s="40"/>
    </row>
    <row r="602" spans="1:15" ht="12.75">
      <c r="A602" s="44"/>
      <c r="B602" s="147" t="s">
        <v>97</v>
      </c>
      <c r="C602" s="40" t="s">
        <v>2140</v>
      </c>
      <c r="D602" s="42" t="s">
        <v>2401</v>
      </c>
      <c r="E602" s="199"/>
      <c r="F602" s="89" t="s">
        <v>3855</v>
      </c>
      <c r="G602" s="71"/>
      <c r="H602" s="153"/>
      <c r="I602" s="154"/>
      <c r="J602" s="65"/>
      <c r="K602" s="40"/>
      <c r="L602" s="40"/>
      <c r="M602" s="40"/>
      <c r="N602" s="40"/>
      <c r="O602" s="40"/>
    </row>
    <row r="603" spans="1:15" ht="12.75">
      <c r="A603" s="44"/>
      <c r="B603" s="147" t="s">
        <v>97</v>
      </c>
      <c r="C603" s="40" t="s">
        <v>2141</v>
      </c>
      <c r="D603" s="42" t="s">
        <v>2401</v>
      </c>
      <c r="E603" s="199"/>
      <c r="F603" s="89" t="s">
        <v>2328</v>
      </c>
      <c r="G603" s="71"/>
      <c r="H603" s="153"/>
      <c r="I603" s="154"/>
      <c r="J603" s="65"/>
      <c r="K603" s="40"/>
      <c r="L603" s="40"/>
      <c r="M603" s="40"/>
      <c r="N603" s="40"/>
      <c r="O603" s="40"/>
    </row>
    <row r="604" spans="1:15" ht="12.75">
      <c r="A604" s="44"/>
      <c r="B604" s="147" t="s">
        <v>97</v>
      </c>
      <c r="C604" s="40" t="s">
        <v>2142</v>
      </c>
      <c r="D604" s="42" t="s">
        <v>2401</v>
      </c>
      <c r="E604" s="199"/>
      <c r="F604" s="89" t="s">
        <v>3856</v>
      </c>
      <c r="G604" s="71"/>
      <c r="H604" s="153"/>
      <c r="I604" s="154"/>
      <c r="J604" s="65"/>
      <c r="K604" s="40"/>
      <c r="L604" s="40"/>
      <c r="M604" s="40"/>
      <c r="N604" s="40"/>
      <c r="O604" s="40"/>
    </row>
    <row r="605" spans="1:15" ht="12.75">
      <c r="A605" s="44"/>
      <c r="B605" s="147" t="s">
        <v>97</v>
      </c>
      <c r="C605" s="40" t="s">
        <v>2143</v>
      </c>
      <c r="D605" s="42" t="s">
        <v>2401</v>
      </c>
      <c r="E605" s="199"/>
      <c r="F605" s="89" t="s">
        <v>3857</v>
      </c>
      <c r="G605" s="71"/>
      <c r="H605" s="153"/>
      <c r="I605" s="154"/>
      <c r="J605" s="65"/>
      <c r="K605" s="40"/>
      <c r="L605" s="40"/>
      <c r="M605" s="40"/>
      <c r="N605" s="40"/>
      <c r="O605" s="40"/>
    </row>
    <row r="606" spans="1:15" ht="12.75">
      <c r="A606" s="44"/>
      <c r="B606" s="147" t="s">
        <v>97</v>
      </c>
      <c r="C606" s="224" t="s">
        <v>97</v>
      </c>
      <c r="D606" s="40"/>
      <c r="E606" s="143" t="s">
        <v>2144</v>
      </c>
      <c r="F606" s="71"/>
      <c r="G606" s="71"/>
      <c r="H606" s="153"/>
      <c r="I606" s="154"/>
      <c r="J606" s="65"/>
      <c r="K606" s="40"/>
      <c r="L606" s="40"/>
      <c r="M606" s="40"/>
      <c r="N606" s="40"/>
      <c r="O606" s="40"/>
    </row>
    <row r="607" spans="1:15" ht="12.75">
      <c r="A607" s="60"/>
      <c r="B607" s="147" t="s">
        <v>97</v>
      </c>
      <c r="C607" s="63" t="s">
        <v>97</v>
      </c>
      <c r="D607" s="63"/>
      <c r="E607" s="202"/>
      <c r="F607" s="61"/>
      <c r="G607" s="61"/>
      <c r="H607" s="210"/>
      <c r="I607" s="211"/>
      <c r="J607" s="86"/>
      <c r="K607" s="87"/>
      <c r="L607" s="88"/>
      <c r="M607" s="88"/>
      <c r="N607" s="88"/>
      <c r="O607" s="88"/>
    </row>
    <row r="608" spans="1:15" ht="12.75">
      <c r="A608" s="60"/>
      <c r="B608" s="147" t="s">
        <v>97</v>
      </c>
      <c r="C608" s="63"/>
      <c r="D608" s="63"/>
      <c r="E608" s="202"/>
      <c r="F608" s="61"/>
      <c r="G608" s="61"/>
      <c r="H608" s="210"/>
      <c r="I608" s="211"/>
      <c r="J608" s="86"/>
      <c r="K608" s="87"/>
      <c r="L608" s="88"/>
      <c r="M608" s="88"/>
      <c r="N608" s="88"/>
      <c r="O608" s="88"/>
    </row>
    <row r="609" spans="1:15" ht="12.75">
      <c r="A609" s="44" t="s">
        <v>2145</v>
      </c>
      <c r="B609" s="147" t="s">
        <v>1411</v>
      </c>
      <c r="C609" s="8" t="s">
        <v>2146</v>
      </c>
      <c r="D609" s="42" t="s">
        <v>2401</v>
      </c>
      <c r="E609" s="143" t="s">
        <v>2147</v>
      </c>
      <c r="F609" s="144"/>
      <c r="G609" s="89"/>
      <c r="H609" s="148"/>
      <c r="I609" s="149"/>
      <c r="J609" s="90"/>
      <c r="K609" s="43"/>
      <c r="L609" s="39"/>
      <c r="M609" s="39"/>
      <c r="N609" s="39"/>
      <c r="O609" s="39"/>
    </row>
    <row r="610" spans="1:15" ht="12.75">
      <c r="A610" s="13"/>
      <c r="B610" s="147" t="s">
        <v>97</v>
      </c>
      <c r="C610" s="44" t="s">
        <v>2148</v>
      </c>
      <c r="D610" s="42" t="s">
        <v>2401</v>
      </c>
      <c r="E610" s="199"/>
      <c r="F610" s="68" t="s">
        <v>2616</v>
      </c>
      <c r="G610" s="71"/>
      <c r="H610" s="153"/>
      <c r="I610" s="154"/>
      <c r="J610" s="65"/>
      <c r="K610" s="40"/>
      <c r="L610" s="40"/>
      <c r="M610" s="40"/>
      <c r="N610" s="40"/>
      <c r="O610" s="40"/>
    </row>
    <row r="611" spans="1:15" ht="12.75">
      <c r="A611" s="13"/>
      <c r="B611" s="147" t="s">
        <v>97</v>
      </c>
      <c r="C611" s="40" t="s">
        <v>2149</v>
      </c>
      <c r="D611" s="42" t="s">
        <v>2401</v>
      </c>
      <c r="E611" s="199"/>
      <c r="F611" s="89" t="s">
        <v>2617</v>
      </c>
      <c r="G611" s="71"/>
      <c r="H611" s="153"/>
      <c r="I611" s="154"/>
      <c r="J611" s="65"/>
      <c r="K611" s="40"/>
      <c r="L611" s="40"/>
      <c r="M611" s="40"/>
      <c r="N611" s="40"/>
      <c r="O611" s="40"/>
    </row>
    <row r="612" spans="1:15" ht="12.75">
      <c r="A612" s="53"/>
      <c r="B612" s="147" t="s">
        <v>97</v>
      </c>
      <c r="C612" s="40" t="s">
        <v>2150</v>
      </c>
      <c r="D612" s="42" t="s">
        <v>2401</v>
      </c>
      <c r="E612" s="199"/>
      <c r="F612" s="71"/>
      <c r="G612" s="89" t="s">
        <v>2618</v>
      </c>
      <c r="H612" s="153"/>
      <c r="I612" s="154"/>
      <c r="J612" s="65"/>
      <c r="K612" s="40"/>
      <c r="L612" s="40"/>
      <c r="M612" s="40"/>
      <c r="N612" s="40"/>
      <c r="O612" s="40"/>
    </row>
    <row r="613" spans="1:15" ht="24">
      <c r="A613" s="53"/>
      <c r="B613" s="147" t="s">
        <v>97</v>
      </c>
      <c r="C613" s="42" t="s">
        <v>2151</v>
      </c>
      <c r="D613" s="42" t="s">
        <v>2401</v>
      </c>
      <c r="E613" s="199"/>
      <c r="F613" s="89"/>
      <c r="G613" s="71" t="s">
        <v>2619</v>
      </c>
      <c r="H613" s="148"/>
      <c r="I613" s="149"/>
      <c r="J613" s="90"/>
      <c r="K613" s="43"/>
      <c r="L613" s="39"/>
      <c r="M613" s="39"/>
      <c r="N613" s="39"/>
      <c r="O613" s="39"/>
    </row>
    <row r="614" spans="1:15" ht="12.75">
      <c r="A614" s="59"/>
      <c r="B614" s="147" t="s">
        <v>97</v>
      </c>
      <c r="C614" s="63" t="s">
        <v>97</v>
      </c>
      <c r="D614" s="63"/>
      <c r="E614" s="202"/>
      <c r="F614" s="61"/>
      <c r="G614" s="61"/>
      <c r="H614" s="210"/>
      <c r="I614" s="211"/>
      <c r="J614" s="86"/>
      <c r="K614" s="87"/>
      <c r="L614" s="88"/>
      <c r="M614" s="88"/>
      <c r="N614" s="88"/>
      <c r="O614" s="88"/>
    </row>
    <row r="615" spans="1:15" ht="12.75">
      <c r="A615" s="59"/>
      <c r="B615" s="147" t="s">
        <v>97</v>
      </c>
      <c r="C615" s="63" t="s">
        <v>97</v>
      </c>
      <c r="D615" s="63"/>
      <c r="E615" s="202"/>
      <c r="F615" s="61"/>
      <c r="G615" s="61"/>
      <c r="H615" s="210"/>
      <c r="I615" s="211"/>
      <c r="J615" s="86"/>
      <c r="K615" s="87"/>
      <c r="L615" s="88"/>
      <c r="M615" s="88"/>
      <c r="N615" s="88"/>
      <c r="O615" s="88"/>
    </row>
    <row r="616" spans="1:15" ht="12.75">
      <c r="A616" s="44" t="s">
        <v>2152</v>
      </c>
      <c r="B616" s="147" t="s">
        <v>1414</v>
      </c>
      <c r="C616" s="40" t="s">
        <v>2153</v>
      </c>
      <c r="D616" s="42" t="s">
        <v>2401</v>
      </c>
      <c r="E616" s="143" t="s">
        <v>2620</v>
      </c>
      <c r="F616" s="144"/>
      <c r="G616" s="71"/>
      <c r="H616" s="153"/>
      <c r="I616" s="154"/>
      <c r="J616" s="65"/>
      <c r="K616" s="40"/>
      <c r="L616" s="40"/>
      <c r="M616" s="40"/>
      <c r="N616" s="40"/>
      <c r="O616" s="40"/>
    </row>
    <row r="617" spans="1:15" ht="12.75">
      <c r="A617" s="44"/>
      <c r="B617" s="147" t="s">
        <v>97</v>
      </c>
      <c r="C617" s="40" t="s">
        <v>2154</v>
      </c>
      <c r="D617" s="42" t="s">
        <v>2401</v>
      </c>
      <c r="E617" s="199"/>
      <c r="F617" s="89" t="s">
        <v>2621</v>
      </c>
      <c r="G617" s="71"/>
      <c r="H617" s="153"/>
      <c r="I617" s="154"/>
      <c r="J617" s="65"/>
      <c r="K617" s="40"/>
      <c r="L617" s="40"/>
      <c r="M617" s="40"/>
      <c r="N617" s="40"/>
      <c r="O617" s="40"/>
    </row>
    <row r="618" spans="1:15" ht="12.75">
      <c r="A618" s="44"/>
      <c r="B618" s="147" t="s">
        <v>97</v>
      </c>
      <c r="C618" s="40" t="s">
        <v>2155</v>
      </c>
      <c r="D618" s="42" t="s">
        <v>2401</v>
      </c>
      <c r="E618" s="143" t="s">
        <v>2622</v>
      </c>
      <c r="F618" s="71"/>
      <c r="G618" s="71"/>
      <c r="H618" s="153"/>
      <c r="I618" s="154"/>
      <c r="J618" s="65"/>
      <c r="K618" s="40"/>
      <c r="L618" s="40"/>
      <c r="M618" s="40"/>
      <c r="N618" s="40"/>
      <c r="O618" s="40"/>
    </row>
    <row r="619" spans="1:15" ht="12.75">
      <c r="A619" s="44"/>
      <c r="B619" s="147" t="s">
        <v>97</v>
      </c>
      <c r="C619" s="40" t="s">
        <v>2156</v>
      </c>
      <c r="D619" s="42" t="s">
        <v>2401</v>
      </c>
      <c r="E619" s="199"/>
      <c r="F619" s="89" t="s">
        <v>2623</v>
      </c>
      <c r="G619" s="71"/>
      <c r="H619" s="153"/>
      <c r="I619" s="154"/>
      <c r="J619" s="65"/>
      <c r="K619" s="40"/>
      <c r="L619" s="40"/>
      <c r="M619" s="40"/>
      <c r="N619" s="40"/>
      <c r="O619" s="40"/>
    </row>
    <row r="620" spans="1:15" ht="12.75">
      <c r="A620" s="44"/>
      <c r="B620" s="147" t="s">
        <v>97</v>
      </c>
      <c r="C620" s="40" t="s">
        <v>2157</v>
      </c>
      <c r="D620" s="42" t="s">
        <v>2401</v>
      </c>
      <c r="E620" s="199"/>
      <c r="F620" s="89" t="s">
        <v>2624</v>
      </c>
      <c r="G620" s="71"/>
      <c r="H620" s="153"/>
      <c r="I620" s="154"/>
      <c r="J620" s="65"/>
      <c r="K620" s="40"/>
      <c r="L620" s="40"/>
      <c r="M620" s="40"/>
      <c r="N620" s="40"/>
      <c r="O620" s="40"/>
    </row>
    <row r="621" spans="1:15" ht="12.75">
      <c r="A621" s="44"/>
      <c r="B621" s="147" t="s">
        <v>97</v>
      </c>
      <c r="C621" s="40" t="s">
        <v>2158</v>
      </c>
      <c r="D621" s="42" t="s">
        <v>2401</v>
      </c>
      <c r="E621" s="143" t="s">
        <v>2625</v>
      </c>
      <c r="F621" s="71"/>
      <c r="G621" s="71"/>
      <c r="H621" s="153"/>
      <c r="I621" s="154"/>
      <c r="J621" s="65"/>
      <c r="K621" s="40"/>
      <c r="L621" s="40"/>
      <c r="M621" s="40"/>
      <c r="N621" s="40"/>
      <c r="O621" s="40"/>
    </row>
    <row r="622" spans="1:15" ht="12.75">
      <c r="A622" s="44"/>
      <c r="B622" s="147" t="s">
        <v>97</v>
      </c>
      <c r="C622" s="40" t="s">
        <v>2159</v>
      </c>
      <c r="D622" s="42" t="s">
        <v>2401</v>
      </c>
      <c r="E622" s="143" t="s">
        <v>2626</v>
      </c>
      <c r="F622" s="71"/>
      <c r="G622" s="71"/>
      <c r="H622" s="153"/>
      <c r="I622" s="154"/>
      <c r="J622" s="65"/>
      <c r="K622" s="40"/>
      <c r="L622" s="40"/>
      <c r="M622" s="40"/>
      <c r="N622" s="40"/>
      <c r="O622" s="40"/>
    </row>
    <row r="623" spans="1:15" ht="12.75">
      <c r="A623" s="44"/>
      <c r="B623" s="147" t="s">
        <v>97</v>
      </c>
      <c r="C623" s="40" t="s">
        <v>2160</v>
      </c>
      <c r="D623" s="42" t="s">
        <v>2401</v>
      </c>
      <c r="E623" s="143" t="s">
        <v>2627</v>
      </c>
      <c r="F623" s="71"/>
      <c r="G623" s="71"/>
      <c r="H623" s="153"/>
      <c r="I623" s="154"/>
      <c r="J623" s="65"/>
      <c r="K623" s="40"/>
      <c r="L623" s="40"/>
      <c r="M623" s="40"/>
      <c r="N623" s="40"/>
      <c r="O623" s="40"/>
    </row>
    <row r="624" spans="1:15" ht="12.75">
      <c r="A624" s="44"/>
      <c r="B624" s="147" t="s">
        <v>97</v>
      </c>
      <c r="C624" s="40" t="s">
        <v>2161</v>
      </c>
      <c r="D624" s="42" t="s">
        <v>2401</v>
      </c>
      <c r="E624" s="143" t="s">
        <v>2628</v>
      </c>
      <c r="F624" s="71"/>
      <c r="G624" s="71"/>
      <c r="H624" s="153"/>
      <c r="I624" s="154"/>
      <c r="J624" s="65"/>
      <c r="K624" s="40"/>
      <c r="L624" s="40"/>
      <c r="M624" s="40"/>
      <c r="N624" s="40"/>
      <c r="O624" s="40"/>
    </row>
    <row r="625" spans="1:15" ht="12.75">
      <c r="A625" s="44"/>
      <c r="B625" s="147" t="s">
        <v>97</v>
      </c>
      <c r="C625" s="40" t="s">
        <v>2162</v>
      </c>
      <c r="D625" s="42" t="s">
        <v>2401</v>
      </c>
      <c r="E625" s="143" t="s">
        <v>2629</v>
      </c>
      <c r="F625" s="71"/>
      <c r="G625" s="71"/>
      <c r="H625" s="153"/>
      <c r="I625" s="154"/>
      <c r="J625" s="65"/>
      <c r="K625" s="40"/>
      <c r="L625" s="40"/>
      <c r="M625" s="40"/>
      <c r="N625" s="40"/>
      <c r="O625" s="40"/>
    </row>
    <row r="626" spans="1:15" ht="12.75">
      <c r="A626" s="44"/>
      <c r="B626" s="147" t="s">
        <v>97</v>
      </c>
      <c r="C626" s="40" t="s">
        <v>2163</v>
      </c>
      <c r="D626" s="42" t="s">
        <v>2401</v>
      </c>
      <c r="E626" s="199"/>
      <c r="F626" s="89" t="s">
        <v>2630</v>
      </c>
      <c r="G626" s="71"/>
      <c r="H626" s="153"/>
      <c r="I626" s="154"/>
      <c r="J626" s="65"/>
      <c r="K626" s="40"/>
      <c r="L626" s="40"/>
      <c r="M626" s="40"/>
      <c r="N626" s="40"/>
      <c r="O626" s="40"/>
    </row>
    <row r="627" spans="1:15" ht="12.75">
      <c r="A627" s="44"/>
      <c r="B627" s="147" t="s">
        <v>97</v>
      </c>
      <c r="C627" s="40" t="s">
        <v>2164</v>
      </c>
      <c r="D627" s="42" t="s">
        <v>2401</v>
      </c>
      <c r="E627" s="199"/>
      <c r="F627" s="89" t="s">
        <v>2631</v>
      </c>
      <c r="G627" s="71"/>
      <c r="H627" s="153"/>
      <c r="I627" s="154"/>
      <c r="J627" s="65"/>
      <c r="K627" s="40"/>
      <c r="L627" s="40"/>
      <c r="M627" s="40"/>
      <c r="N627" s="40"/>
      <c r="O627" s="40"/>
    </row>
    <row r="628" spans="1:15" ht="12.75">
      <c r="A628" s="44"/>
      <c r="B628" s="147" t="s">
        <v>97</v>
      </c>
      <c r="C628" s="40" t="s">
        <v>2165</v>
      </c>
      <c r="D628" s="42" t="s">
        <v>2401</v>
      </c>
      <c r="E628" s="199"/>
      <c r="F628" s="71"/>
      <c r="G628" s="89" t="s">
        <v>3858</v>
      </c>
      <c r="H628" s="153"/>
      <c r="I628" s="154"/>
      <c r="J628" s="65"/>
      <c r="K628" s="40"/>
      <c r="L628" s="40"/>
      <c r="M628" s="40"/>
      <c r="N628" s="40"/>
      <c r="O628" s="40"/>
    </row>
    <row r="629" spans="1:15" ht="12.75">
      <c r="A629" s="55"/>
      <c r="B629" s="147" t="s">
        <v>97</v>
      </c>
      <c r="C629" s="40" t="s">
        <v>2166</v>
      </c>
      <c r="D629" s="42" t="s">
        <v>2401</v>
      </c>
      <c r="E629" s="199"/>
      <c r="F629" s="71"/>
      <c r="G629" s="89" t="s">
        <v>3859</v>
      </c>
      <c r="H629" s="153"/>
      <c r="I629" s="154"/>
      <c r="J629" s="65"/>
      <c r="K629" s="40"/>
      <c r="L629" s="40"/>
      <c r="M629" s="40"/>
      <c r="N629" s="40"/>
      <c r="O629" s="40"/>
    </row>
    <row r="630" spans="1:15" ht="12.75">
      <c r="A630" s="55"/>
      <c r="B630" s="147" t="s">
        <v>97</v>
      </c>
      <c r="C630" s="40" t="s">
        <v>2167</v>
      </c>
      <c r="D630" s="42" t="s">
        <v>2401</v>
      </c>
      <c r="E630" s="199"/>
      <c r="F630" s="71"/>
      <c r="G630" s="89" t="s">
        <v>3860</v>
      </c>
      <c r="H630" s="153"/>
      <c r="I630" s="154"/>
      <c r="J630" s="65"/>
      <c r="K630" s="40"/>
      <c r="L630" s="40"/>
      <c r="M630" s="40"/>
      <c r="N630" s="40"/>
      <c r="O630" s="40"/>
    </row>
    <row r="631" spans="1:15" ht="12.75">
      <c r="A631" s="44"/>
      <c r="B631" s="147" t="s">
        <v>97</v>
      </c>
      <c r="C631" s="40" t="s">
        <v>2175</v>
      </c>
      <c r="D631" s="42" t="s">
        <v>2401</v>
      </c>
      <c r="E631" s="199"/>
      <c r="F631" s="89" t="s">
        <v>2632</v>
      </c>
      <c r="G631" s="71"/>
      <c r="H631" s="153"/>
      <c r="I631" s="154"/>
      <c r="J631" s="65"/>
      <c r="K631" s="40"/>
      <c r="L631" s="40"/>
      <c r="M631" s="40"/>
      <c r="N631" s="40"/>
      <c r="O631" s="40"/>
    </row>
    <row r="632" spans="1:15" ht="12.75">
      <c r="A632" s="44"/>
      <c r="B632" s="147" t="s">
        <v>97</v>
      </c>
      <c r="C632" s="40" t="s">
        <v>2176</v>
      </c>
      <c r="D632" s="42" t="s">
        <v>2401</v>
      </c>
      <c r="E632" s="199"/>
      <c r="F632" s="89" t="s">
        <v>2633</v>
      </c>
      <c r="G632" s="71"/>
      <c r="H632" s="153"/>
      <c r="I632" s="154"/>
      <c r="J632" s="65"/>
      <c r="K632" s="40"/>
      <c r="L632" s="40"/>
      <c r="M632" s="40"/>
      <c r="N632" s="40"/>
      <c r="O632" s="40"/>
    </row>
    <row r="633" spans="1:15" ht="12.75">
      <c r="A633" s="44"/>
      <c r="B633" s="147" t="s">
        <v>97</v>
      </c>
      <c r="C633" s="224" t="s">
        <v>2168</v>
      </c>
      <c r="D633" s="42" t="s">
        <v>2401</v>
      </c>
      <c r="E633" s="199"/>
      <c r="F633" s="89" t="s">
        <v>2634</v>
      </c>
      <c r="G633" s="71"/>
      <c r="H633" s="153"/>
      <c r="I633" s="154"/>
      <c r="J633" s="65"/>
      <c r="K633" s="40"/>
      <c r="L633" s="40"/>
      <c r="M633" s="40"/>
      <c r="N633" s="40"/>
      <c r="O633" s="40"/>
    </row>
    <row r="634" spans="1:15" ht="12.75">
      <c r="A634" s="44"/>
      <c r="B634" s="147" t="s">
        <v>97</v>
      </c>
      <c r="C634" s="8" t="s">
        <v>2169</v>
      </c>
      <c r="D634" s="42" t="s">
        <v>2401</v>
      </c>
      <c r="E634" s="199"/>
      <c r="F634" s="71"/>
      <c r="G634" s="89" t="s">
        <v>2635</v>
      </c>
      <c r="H634" s="153"/>
      <c r="I634" s="154"/>
      <c r="J634" s="65"/>
      <c r="K634" s="40"/>
      <c r="L634" s="40"/>
      <c r="M634" s="40"/>
      <c r="N634" s="40"/>
      <c r="O634" s="40"/>
    </row>
    <row r="635" spans="1:15" ht="12.75">
      <c r="A635" s="44"/>
      <c r="B635" s="147" t="s">
        <v>97</v>
      </c>
      <c r="C635" s="40" t="s">
        <v>2170</v>
      </c>
      <c r="D635" s="42" t="s">
        <v>2401</v>
      </c>
      <c r="E635" s="199"/>
      <c r="F635" s="71"/>
      <c r="G635" s="89" t="s">
        <v>2636</v>
      </c>
      <c r="H635" s="153"/>
      <c r="I635" s="154"/>
      <c r="J635" s="65"/>
      <c r="K635" s="40"/>
      <c r="L635" s="40"/>
      <c r="M635" s="40"/>
      <c r="N635" s="40"/>
      <c r="O635" s="40"/>
    </row>
    <row r="636" spans="1:15" ht="12.75">
      <c r="A636" s="44"/>
      <c r="B636" s="147" t="s">
        <v>97</v>
      </c>
      <c r="C636" s="40" t="s">
        <v>2171</v>
      </c>
      <c r="D636" s="42" t="s">
        <v>2401</v>
      </c>
      <c r="E636" s="199"/>
      <c r="F636" s="71"/>
      <c r="G636" s="89" t="s">
        <v>2637</v>
      </c>
      <c r="H636" s="153"/>
      <c r="I636" s="154"/>
      <c r="J636" s="65"/>
      <c r="K636" s="40"/>
      <c r="L636" s="40"/>
      <c r="M636" s="40"/>
      <c r="N636" s="40"/>
      <c r="O636" s="40"/>
    </row>
    <row r="637" spans="1:15" ht="12.75">
      <c r="A637" s="44"/>
      <c r="B637" s="147" t="s">
        <v>97</v>
      </c>
      <c r="C637" s="40" t="s">
        <v>2172</v>
      </c>
      <c r="D637" s="42" t="s">
        <v>2401</v>
      </c>
      <c r="E637" s="199"/>
      <c r="F637" s="71"/>
      <c r="G637" s="89" t="s">
        <v>2638</v>
      </c>
      <c r="H637" s="153"/>
      <c r="I637" s="154"/>
      <c r="J637" s="65"/>
      <c r="K637" s="40"/>
      <c r="L637" s="40"/>
      <c r="M637" s="40"/>
      <c r="N637" s="40"/>
      <c r="O637" s="40"/>
    </row>
    <row r="638" spans="1:15" ht="12.75">
      <c r="A638" s="44"/>
      <c r="B638" s="147" t="s">
        <v>97</v>
      </c>
      <c r="C638" s="40" t="s">
        <v>2173</v>
      </c>
      <c r="D638" s="42" t="s">
        <v>2401</v>
      </c>
      <c r="E638" s="199"/>
      <c r="F638" s="71"/>
      <c r="G638" s="89" t="s">
        <v>2639</v>
      </c>
      <c r="H638" s="153"/>
      <c r="I638" s="154"/>
      <c r="J638" s="65"/>
      <c r="K638" s="40"/>
      <c r="L638" s="40"/>
      <c r="M638" s="40"/>
      <c r="N638" s="40"/>
      <c r="O638" s="40"/>
    </row>
    <row r="639" spans="1:15" ht="12.75">
      <c r="A639" s="44"/>
      <c r="B639" s="147" t="s">
        <v>97</v>
      </c>
      <c r="C639" s="40" t="s">
        <v>2174</v>
      </c>
      <c r="D639" s="42" t="s">
        <v>2401</v>
      </c>
      <c r="E639" s="199"/>
      <c r="F639" s="71"/>
      <c r="G639" s="89" t="s">
        <v>2640</v>
      </c>
      <c r="H639" s="153"/>
      <c r="I639" s="154"/>
      <c r="J639" s="65"/>
      <c r="K639" s="40"/>
      <c r="L639" s="40"/>
      <c r="M639" s="40"/>
      <c r="N639" s="40"/>
      <c r="O639" s="40"/>
    </row>
    <row r="640" spans="1:15" ht="12.75">
      <c r="B640" s="147" t="s">
        <v>97</v>
      </c>
      <c r="C640" s="224" t="s">
        <v>2177</v>
      </c>
      <c r="D640" s="42" t="s">
        <v>2401</v>
      </c>
      <c r="E640" s="199"/>
      <c r="F640" s="89" t="s">
        <v>2641</v>
      </c>
      <c r="G640" s="71"/>
      <c r="H640" s="153"/>
      <c r="I640" s="154"/>
      <c r="J640" s="65"/>
      <c r="K640" s="40"/>
      <c r="L640" s="40"/>
      <c r="M640" s="40"/>
      <c r="N640" s="40"/>
      <c r="O640" s="40"/>
    </row>
    <row r="641" spans="1:15" ht="12.75">
      <c r="B641" s="147" t="s">
        <v>97</v>
      </c>
      <c r="C641" s="224" t="s">
        <v>2178</v>
      </c>
      <c r="D641" s="42" t="s">
        <v>2401</v>
      </c>
      <c r="E641" s="199"/>
      <c r="F641" s="89" t="s">
        <v>2642</v>
      </c>
      <c r="G641" s="71"/>
      <c r="H641" s="153"/>
      <c r="I641" s="154"/>
      <c r="J641" s="65"/>
      <c r="K641" s="40"/>
      <c r="L641" s="40"/>
      <c r="M641" s="40"/>
      <c r="N641" s="40"/>
      <c r="O641" s="40"/>
    </row>
    <row r="642" spans="1:15" ht="12.75">
      <c r="A642" s="44"/>
      <c r="B642" s="147" t="s">
        <v>97</v>
      </c>
      <c r="C642" s="40" t="s">
        <v>2179</v>
      </c>
      <c r="D642" s="42" t="s">
        <v>2401</v>
      </c>
      <c r="E642" s="199"/>
      <c r="F642" s="89" t="s">
        <v>2643</v>
      </c>
      <c r="G642" s="71"/>
      <c r="H642" s="153"/>
      <c r="I642" s="154"/>
      <c r="J642" s="65"/>
      <c r="K642" s="40"/>
      <c r="L642" s="40"/>
      <c r="M642" s="40"/>
      <c r="N642" s="40"/>
      <c r="O642" s="40"/>
    </row>
    <row r="643" spans="1:15" ht="12.75">
      <c r="A643" s="44"/>
      <c r="B643" s="147" t="s">
        <v>97</v>
      </c>
      <c r="C643" s="40" t="s">
        <v>2180</v>
      </c>
      <c r="D643" s="42" t="s">
        <v>2401</v>
      </c>
      <c r="E643" s="143" t="s">
        <v>2644</v>
      </c>
      <c r="F643" s="71"/>
      <c r="G643" s="71"/>
      <c r="H643" s="153"/>
      <c r="I643" s="154"/>
      <c r="J643" s="65"/>
      <c r="K643" s="40"/>
      <c r="L643" s="40"/>
      <c r="M643" s="40"/>
      <c r="N643" s="40"/>
      <c r="O643" s="40"/>
    </row>
    <row r="644" spans="1:15" ht="12.75">
      <c r="A644" s="53"/>
      <c r="B644" s="147" t="s">
        <v>97</v>
      </c>
      <c r="C644" s="39" t="s">
        <v>2181</v>
      </c>
      <c r="D644" s="42" t="s">
        <v>2401</v>
      </c>
      <c r="E644" s="199"/>
      <c r="F644" s="89" t="s">
        <v>2329</v>
      </c>
      <c r="G644" s="71"/>
      <c r="H644" s="153"/>
      <c r="I644" s="154"/>
      <c r="J644" s="65"/>
      <c r="K644" s="40"/>
      <c r="L644" s="40"/>
      <c r="M644" s="40"/>
      <c r="N644" s="40"/>
      <c r="O644" s="40"/>
    </row>
    <row r="645" spans="1:15" ht="12.75">
      <c r="A645" s="53"/>
      <c r="B645" s="147" t="s">
        <v>97</v>
      </c>
      <c r="C645" s="39" t="s">
        <v>2182</v>
      </c>
      <c r="D645" s="42" t="s">
        <v>2401</v>
      </c>
      <c r="E645" s="199"/>
      <c r="F645" s="89" t="s">
        <v>2645</v>
      </c>
      <c r="G645" s="71"/>
      <c r="H645" s="153"/>
      <c r="I645" s="154"/>
      <c r="J645" s="65"/>
      <c r="K645" s="40"/>
      <c r="L645" s="40"/>
      <c r="M645" s="40"/>
      <c r="N645" s="40"/>
      <c r="O645" s="40"/>
    </row>
    <row r="646" spans="1:15" ht="12.75">
      <c r="A646" s="53"/>
      <c r="B646" s="147" t="s">
        <v>97</v>
      </c>
      <c r="C646" s="39" t="s">
        <v>2183</v>
      </c>
      <c r="D646" s="42" t="s">
        <v>2401</v>
      </c>
      <c r="E646" s="199"/>
      <c r="F646" s="68"/>
      <c r="G646" s="89" t="s">
        <v>2646</v>
      </c>
      <c r="H646" s="153"/>
      <c r="I646" s="154"/>
      <c r="J646" s="65"/>
      <c r="K646" s="40"/>
      <c r="L646" s="40"/>
      <c r="M646" s="40"/>
      <c r="N646" s="40"/>
      <c r="O646" s="40"/>
    </row>
    <row r="647" spans="1:15" ht="12.75">
      <c r="A647" s="53"/>
      <c r="B647" s="147" t="s">
        <v>97</v>
      </c>
      <c r="C647" s="39" t="s">
        <v>2184</v>
      </c>
      <c r="D647" s="42" t="s">
        <v>2401</v>
      </c>
      <c r="E647" s="199"/>
      <c r="F647" s="68"/>
      <c r="G647" s="89" t="s">
        <v>2647</v>
      </c>
      <c r="H647" s="153"/>
      <c r="I647" s="154"/>
      <c r="J647" s="65"/>
      <c r="K647" s="40"/>
      <c r="L647" s="40"/>
      <c r="M647" s="40"/>
      <c r="N647" s="40"/>
      <c r="O647" s="40"/>
    </row>
    <row r="648" spans="1:15" ht="12.75">
      <c r="A648" s="53"/>
      <c r="B648" s="147" t="s">
        <v>97</v>
      </c>
      <c r="C648" s="39" t="s">
        <v>2185</v>
      </c>
      <c r="D648" s="42" t="s">
        <v>2401</v>
      </c>
      <c r="E648" s="199"/>
      <c r="F648" s="68"/>
      <c r="G648" s="71"/>
      <c r="H648" s="140" t="s">
        <v>2648</v>
      </c>
      <c r="I648" s="154"/>
      <c r="J648" s="65"/>
      <c r="K648" s="40"/>
      <c r="L648" s="40"/>
      <c r="M648" s="40"/>
      <c r="N648" s="40"/>
      <c r="O648" s="40"/>
    </row>
    <row r="649" spans="1:15" ht="12.75">
      <c r="A649" s="53"/>
      <c r="B649" s="147" t="s">
        <v>97</v>
      </c>
      <c r="C649" s="39" t="s">
        <v>2186</v>
      </c>
      <c r="D649" s="42" t="s">
        <v>2401</v>
      </c>
      <c r="E649" s="199"/>
      <c r="F649" s="68"/>
      <c r="G649" s="71"/>
      <c r="H649" s="140" t="s">
        <v>2649</v>
      </c>
      <c r="I649" s="154"/>
      <c r="J649" s="65"/>
      <c r="K649" s="40"/>
      <c r="L649" s="40"/>
      <c r="M649" s="40"/>
      <c r="N649" s="40"/>
      <c r="O649" s="40"/>
    </row>
    <row r="650" spans="1:15" ht="12.75">
      <c r="A650" s="53"/>
      <c r="B650" s="147" t="s">
        <v>97</v>
      </c>
      <c r="C650" s="39" t="s">
        <v>2187</v>
      </c>
      <c r="D650" s="42" t="s">
        <v>2401</v>
      </c>
      <c r="E650" s="199"/>
      <c r="F650" s="89" t="s">
        <v>2650</v>
      </c>
      <c r="G650" s="71"/>
      <c r="H650" s="153"/>
      <c r="I650" s="154"/>
      <c r="J650" s="65"/>
      <c r="K650" s="40"/>
      <c r="L650" s="40"/>
      <c r="M650" s="40"/>
      <c r="N650" s="40"/>
      <c r="O650" s="40"/>
    </row>
    <row r="651" spans="1:15" ht="12.75">
      <c r="A651" s="44"/>
      <c r="B651" s="147" t="s">
        <v>97</v>
      </c>
      <c r="C651" s="40"/>
      <c r="D651" s="40"/>
      <c r="E651" s="143" t="s">
        <v>2188</v>
      </c>
      <c r="F651" s="71"/>
      <c r="G651" s="71"/>
      <c r="H651" s="153"/>
      <c r="I651" s="154"/>
      <c r="J651" s="65"/>
      <c r="K651" s="40"/>
      <c r="L651" s="40"/>
      <c r="M651" s="40"/>
      <c r="N651" s="40"/>
      <c r="O651" s="40"/>
    </row>
    <row r="652" spans="1:15" ht="12.75">
      <c r="A652" s="60"/>
      <c r="B652" s="147" t="s">
        <v>97</v>
      </c>
      <c r="C652" s="75" t="s">
        <v>97</v>
      </c>
      <c r="D652" s="63"/>
      <c r="E652" s="202"/>
      <c r="F652" s="74"/>
      <c r="G652" s="74"/>
      <c r="H652" s="194"/>
      <c r="I652" s="203"/>
      <c r="J652" s="62"/>
      <c r="K652" s="75"/>
      <c r="L652" s="75"/>
      <c r="M652" s="75"/>
      <c r="N652" s="75"/>
      <c r="O652" s="75"/>
    </row>
    <row r="653" spans="1:15" ht="12.75">
      <c r="A653" s="60"/>
      <c r="B653" s="147" t="s">
        <v>97</v>
      </c>
      <c r="C653" s="116"/>
      <c r="D653" s="63"/>
      <c r="E653" s="219"/>
      <c r="F653" s="74"/>
      <c r="G653" s="74"/>
      <c r="H653" s="194"/>
      <c r="I653" s="203"/>
      <c r="J653" s="62"/>
      <c r="K653" s="75"/>
      <c r="L653" s="75"/>
      <c r="M653" s="75"/>
      <c r="N653" s="75"/>
      <c r="O653" s="75"/>
    </row>
    <row r="654" spans="1:15" ht="12.75">
      <c r="A654" s="44" t="s">
        <v>2189</v>
      </c>
      <c r="B654" s="147" t="s">
        <v>1418</v>
      </c>
      <c r="C654" s="129" t="s">
        <v>2190</v>
      </c>
      <c r="D654" s="42" t="s">
        <v>2401</v>
      </c>
      <c r="E654" s="143" t="s">
        <v>2651</v>
      </c>
      <c r="F654" s="144"/>
      <c r="G654" s="71"/>
      <c r="H654" s="153"/>
      <c r="I654" s="154"/>
      <c r="J654" s="65"/>
      <c r="K654" s="40"/>
      <c r="L654" s="40"/>
      <c r="M654" s="40"/>
      <c r="N654" s="40"/>
      <c r="O654" s="40"/>
    </row>
    <row r="655" spans="1:15" ht="12.75">
      <c r="A655" s="44"/>
      <c r="B655" s="147" t="s">
        <v>97</v>
      </c>
      <c r="C655" s="10" t="s">
        <v>2191</v>
      </c>
      <c r="D655" s="42" t="s">
        <v>2401</v>
      </c>
      <c r="E655" s="199"/>
      <c r="F655" s="89" t="s">
        <v>3861</v>
      </c>
      <c r="G655" s="71"/>
      <c r="H655" s="153"/>
      <c r="I655" s="154"/>
      <c r="J655" s="65"/>
      <c r="K655" s="40"/>
      <c r="L655" s="40"/>
      <c r="M655" s="40"/>
      <c r="N655" s="40"/>
      <c r="O655" s="40"/>
    </row>
    <row r="656" spans="1:15" ht="12.75">
      <c r="A656" s="44"/>
      <c r="B656" s="147" t="s">
        <v>97</v>
      </c>
      <c r="C656" s="10" t="s">
        <v>2192</v>
      </c>
      <c r="D656" s="42" t="s">
        <v>2401</v>
      </c>
      <c r="E656" s="199"/>
      <c r="F656" s="89" t="s">
        <v>2652</v>
      </c>
      <c r="G656" s="71"/>
      <c r="H656" s="153"/>
      <c r="I656" s="154"/>
      <c r="J656" s="65"/>
      <c r="K656" s="40"/>
      <c r="L656" s="40"/>
      <c r="M656" s="40"/>
      <c r="N656" s="40"/>
      <c r="O656" s="40"/>
    </row>
    <row r="657" spans="1:15" ht="12.75">
      <c r="A657" s="44"/>
      <c r="B657" s="147" t="s">
        <v>97</v>
      </c>
      <c r="C657" s="10" t="s">
        <v>2193</v>
      </c>
      <c r="D657" s="40" t="s">
        <v>2401</v>
      </c>
      <c r="E657" s="199"/>
      <c r="F657" s="89" t="s">
        <v>3862</v>
      </c>
      <c r="G657" s="71"/>
      <c r="H657" s="153"/>
      <c r="I657" s="154"/>
      <c r="J657" s="65"/>
      <c r="K657" s="40"/>
      <c r="L657" s="40"/>
      <c r="M657" s="40"/>
      <c r="N657" s="40"/>
      <c r="O657" s="40"/>
    </row>
    <row r="658" spans="1:15" ht="12.75">
      <c r="A658" s="44"/>
      <c r="B658" s="147" t="s">
        <v>97</v>
      </c>
      <c r="C658" s="10" t="s">
        <v>2194</v>
      </c>
      <c r="D658" s="42" t="s">
        <v>2401</v>
      </c>
      <c r="E658" s="199"/>
      <c r="F658" s="89" t="s">
        <v>3863</v>
      </c>
      <c r="G658" s="71"/>
      <c r="H658" s="153"/>
      <c r="I658" s="154"/>
      <c r="J658" s="65"/>
      <c r="K658" s="40"/>
      <c r="L658" s="40"/>
      <c r="M658" s="40"/>
      <c r="N658" s="40"/>
      <c r="O658" s="40"/>
    </row>
    <row r="659" spans="1:15" ht="12.75">
      <c r="A659" s="44"/>
      <c r="B659" s="147" t="s">
        <v>97</v>
      </c>
      <c r="C659" s="10" t="s">
        <v>2195</v>
      </c>
      <c r="D659" s="42" t="s">
        <v>2401</v>
      </c>
      <c r="E659" s="199"/>
      <c r="F659" s="89" t="s">
        <v>3864</v>
      </c>
      <c r="G659" s="71"/>
      <c r="H659" s="153"/>
      <c r="I659" s="154"/>
      <c r="J659" s="65"/>
      <c r="K659" s="40"/>
      <c r="L659" s="40"/>
      <c r="M659" s="40"/>
      <c r="N659" s="40"/>
      <c r="O659" s="40"/>
    </row>
    <row r="660" spans="1:15" ht="12.75">
      <c r="A660" s="44"/>
      <c r="B660" s="147" t="s">
        <v>97</v>
      </c>
      <c r="C660" s="10" t="s">
        <v>2196</v>
      </c>
      <c r="D660" s="42" t="s">
        <v>2401</v>
      </c>
      <c r="E660" s="199"/>
      <c r="F660" s="89" t="s">
        <v>2653</v>
      </c>
      <c r="G660" s="71"/>
      <c r="H660" s="153"/>
      <c r="I660" s="154"/>
      <c r="J660" s="65"/>
      <c r="K660" s="40"/>
      <c r="L660" s="40"/>
      <c r="M660" s="40"/>
      <c r="N660" s="40"/>
      <c r="O660" s="40"/>
    </row>
    <row r="661" spans="1:15" ht="12.75">
      <c r="A661" s="44"/>
      <c r="B661" s="147" t="s">
        <v>97</v>
      </c>
      <c r="C661" s="10" t="s">
        <v>2197</v>
      </c>
      <c r="D661" s="42" t="s">
        <v>2401</v>
      </c>
      <c r="E661" s="191" t="s">
        <v>2654</v>
      </c>
      <c r="F661" s="71"/>
      <c r="G661" s="71"/>
      <c r="H661" s="153"/>
      <c r="I661" s="154"/>
      <c r="J661" s="65"/>
      <c r="K661" s="40"/>
      <c r="L661" s="40"/>
      <c r="M661" s="40"/>
      <c r="N661" s="40"/>
      <c r="O661" s="40"/>
    </row>
    <row r="662" spans="1:15" ht="12.75">
      <c r="A662" s="55"/>
      <c r="B662" s="147" t="s">
        <v>97</v>
      </c>
      <c r="C662" s="10" t="s">
        <v>2198</v>
      </c>
      <c r="D662" s="42" t="s">
        <v>2401</v>
      </c>
      <c r="E662" s="199"/>
      <c r="F662" s="89" t="s">
        <v>2655</v>
      </c>
      <c r="G662" s="71"/>
      <c r="H662" s="153"/>
      <c r="I662" s="154"/>
      <c r="J662" s="65"/>
      <c r="K662" s="40"/>
      <c r="L662" s="40"/>
      <c r="M662" s="40"/>
      <c r="N662" s="40"/>
      <c r="O662" s="40"/>
    </row>
    <row r="663" spans="1:15" ht="12.75">
      <c r="A663" s="55"/>
      <c r="B663" s="147" t="s">
        <v>97</v>
      </c>
      <c r="C663" s="10" t="s">
        <v>2199</v>
      </c>
      <c r="D663" s="42" t="s">
        <v>2401</v>
      </c>
      <c r="E663" s="199"/>
      <c r="F663" s="89" t="s">
        <v>2656</v>
      </c>
      <c r="G663" s="71"/>
      <c r="H663" s="153"/>
      <c r="I663" s="154"/>
      <c r="J663" s="65"/>
      <c r="K663" s="40"/>
      <c r="L663" s="40"/>
      <c r="M663" s="40"/>
      <c r="N663" s="40"/>
      <c r="O663" s="40"/>
    </row>
    <row r="664" spans="1:15" ht="12.75">
      <c r="A664" s="55"/>
      <c r="B664" s="147" t="s">
        <v>97</v>
      </c>
      <c r="C664" s="10" t="s">
        <v>2200</v>
      </c>
      <c r="D664" s="42" t="s">
        <v>2401</v>
      </c>
      <c r="E664" s="199"/>
      <c r="F664" s="89" t="s">
        <v>2657</v>
      </c>
      <c r="G664" s="71"/>
      <c r="H664" s="153"/>
      <c r="I664" s="154"/>
      <c r="J664" s="65"/>
      <c r="K664" s="40"/>
      <c r="L664" s="40"/>
      <c r="M664" s="40"/>
      <c r="N664" s="40"/>
      <c r="O664" s="40"/>
    </row>
    <row r="665" spans="1:15" ht="12.75">
      <c r="A665" s="44"/>
      <c r="B665" s="147" t="s">
        <v>97</v>
      </c>
      <c r="C665" s="10" t="s">
        <v>2201</v>
      </c>
      <c r="D665" s="40" t="s">
        <v>2401</v>
      </c>
      <c r="E665" s="199"/>
      <c r="F665" s="68"/>
      <c r="G665" s="89" t="s">
        <v>2658</v>
      </c>
      <c r="H665" s="153"/>
      <c r="I665" s="154"/>
      <c r="J665" s="65"/>
      <c r="K665" s="40"/>
      <c r="L665" s="40"/>
      <c r="M665" s="40"/>
      <c r="N665" s="40"/>
      <c r="O665" s="40"/>
    </row>
    <row r="666" spans="1:15" ht="12.75">
      <c r="A666" s="55"/>
      <c r="B666" s="147" t="s">
        <v>97</v>
      </c>
      <c r="C666" s="10" t="s">
        <v>2202</v>
      </c>
      <c r="D666" s="42" t="s">
        <v>2401</v>
      </c>
      <c r="E666" s="199"/>
      <c r="F666" s="68"/>
      <c r="G666" s="89" t="s">
        <v>2659</v>
      </c>
      <c r="H666" s="153"/>
      <c r="I666" s="154"/>
      <c r="J666" s="65"/>
      <c r="K666" s="40"/>
      <c r="L666" s="40"/>
      <c r="M666" s="40"/>
      <c r="N666" s="40"/>
      <c r="O666" s="40"/>
    </row>
    <row r="667" spans="1:15" ht="12.75">
      <c r="A667" s="55"/>
      <c r="B667" s="147" t="s">
        <v>97</v>
      </c>
      <c r="C667" s="10" t="s">
        <v>2203</v>
      </c>
      <c r="D667" s="42" t="s">
        <v>2401</v>
      </c>
      <c r="E667" s="199"/>
      <c r="F667" s="89" t="s">
        <v>2660</v>
      </c>
      <c r="G667" s="71"/>
      <c r="H667" s="153"/>
      <c r="I667" s="154"/>
      <c r="J667" s="65"/>
      <c r="K667" s="40"/>
      <c r="L667" s="40"/>
      <c r="M667" s="40"/>
      <c r="N667" s="40"/>
      <c r="O667" s="40"/>
    </row>
    <row r="668" spans="1:15" ht="12.75">
      <c r="A668" s="55"/>
      <c r="B668" s="147" t="s">
        <v>97</v>
      </c>
      <c r="C668" s="10" t="s">
        <v>2204</v>
      </c>
      <c r="D668" s="42" t="s">
        <v>2401</v>
      </c>
      <c r="E668" s="199"/>
      <c r="F668" s="89" t="s">
        <v>2661</v>
      </c>
      <c r="G668" s="71"/>
      <c r="H668" s="153"/>
      <c r="I668" s="154"/>
      <c r="J668" s="65"/>
      <c r="K668" s="40"/>
      <c r="L668" s="40"/>
      <c r="M668" s="40"/>
      <c r="N668" s="40"/>
      <c r="O668" s="40"/>
    </row>
    <row r="669" spans="1:15" ht="12.75">
      <c r="A669" s="55"/>
      <c r="B669" s="147" t="s">
        <v>97</v>
      </c>
      <c r="C669" s="10" t="s">
        <v>2205</v>
      </c>
      <c r="D669" s="42" t="s">
        <v>2401</v>
      </c>
      <c r="E669" s="199"/>
      <c r="F669" s="89" t="s">
        <v>2662</v>
      </c>
      <c r="G669" s="71"/>
      <c r="H669" s="153"/>
      <c r="I669" s="154"/>
      <c r="J669" s="65"/>
      <c r="K669" s="40"/>
      <c r="L669" s="40"/>
      <c r="M669" s="40"/>
      <c r="N669" s="40"/>
      <c r="O669" s="40"/>
    </row>
    <row r="670" spans="1:15" ht="12.75">
      <c r="A670" s="55"/>
      <c r="B670" s="147" t="s">
        <v>97</v>
      </c>
      <c r="C670" s="10" t="s">
        <v>2206</v>
      </c>
      <c r="D670" s="42" t="s">
        <v>2401</v>
      </c>
      <c r="E670" s="199"/>
      <c r="F670" s="89" t="s">
        <v>2663</v>
      </c>
      <c r="G670" s="71"/>
      <c r="H670" s="153"/>
      <c r="I670" s="154"/>
      <c r="J670" s="65"/>
      <c r="K670" s="40"/>
      <c r="L670" s="40"/>
      <c r="M670" s="40"/>
      <c r="N670" s="40"/>
      <c r="O670" s="40"/>
    </row>
    <row r="671" spans="1:15" ht="12.75">
      <c r="A671" s="55"/>
      <c r="B671" s="147" t="s">
        <v>97</v>
      </c>
      <c r="C671" s="10" t="s">
        <v>2207</v>
      </c>
      <c r="D671" s="42" t="s">
        <v>2401</v>
      </c>
      <c r="E671" s="199"/>
      <c r="F671" s="89" t="s">
        <v>2664</v>
      </c>
      <c r="G671" s="71"/>
      <c r="H671" s="153"/>
      <c r="I671" s="154"/>
      <c r="J671" s="65"/>
      <c r="K671" s="40"/>
      <c r="L671" s="40"/>
      <c r="M671" s="40"/>
      <c r="N671" s="40"/>
      <c r="O671" s="40"/>
    </row>
    <row r="672" spans="1:15" ht="12.75">
      <c r="A672" s="55"/>
      <c r="B672" s="147" t="s">
        <v>97</v>
      </c>
      <c r="C672" s="10" t="s">
        <v>2208</v>
      </c>
      <c r="D672" s="42" t="s">
        <v>2401</v>
      </c>
      <c r="E672" s="199"/>
      <c r="F672" s="89" t="s">
        <v>2665</v>
      </c>
      <c r="G672" s="71"/>
      <c r="H672" s="153"/>
      <c r="I672" s="154"/>
      <c r="J672" s="65"/>
      <c r="K672" s="40"/>
      <c r="L672" s="40"/>
      <c r="M672" s="40"/>
      <c r="N672" s="40"/>
      <c r="O672" s="40"/>
    </row>
    <row r="673" spans="1:15" ht="12.75">
      <c r="A673" s="55"/>
      <c r="B673" s="147" t="s">
        <v>97</v>
      </c>
      <c r="C673" s="10" t="s">
        <v>2209</v>
      </c>
      <c r="D673" s="40" t="s">
        <v>2401</v>
      </c>
      <c r="E673" s="199"/>
      <c r="F673" s="89" t="s">
        <v>2666</v>
      </c>
      <c r="G673" s="71"/>
      <c r="H673" s="153"/>
      <c r="I673" s="154"/>
      <c r="J673" s="65"/>
      <c r="K673" s="40"/>
      <c r="L673" s="40"/>
      <c r="M673" s="40"/>
      <c r="N673" s="40"/>
      <c r="O673" s="40"/>
    </row>
    <row r="674" spans="1:15" ht="12.75">
      <c r="A674" s="55"/>
      <c r="B674" s="147" t="s">
        <v>97</v>
      </c>
      <c r="C674" s="10" t="s">
        <v>2210</v>
      </c>
      <c r="D674" s="40" t="s">
        <v>2401</v>
      </c>
      <c r="E674" s="199"/>
      <c r="F674" s="89" t="s">
        <v>2330</v>
      </c>
      <c r="G674" s="71"/>
      <c r="H674" s="153"/>
      <c r="I674" s="154"/>
      <c r="J674" s="65"/>
      <c r="K674" s="40"/>
      <c r="L674" s="40"/>
      <c r="M674" s="40"/>
      <c r="N674" s="40"/>
      <c r="O674" s="40"/>
    </row>
    <row r="675" spans="1:15" ht="12.75">
      <c r="A675" s="55"/>
      <c r="B675" s="147" t="s">
        <v>97</v>
      </c>
      <c r="C675" s="10" t="s">
        <v>2211</v>
      </c>
      <c r="D675" s="40" t="s">
        <v>2401</v>
      </c>
      <c r="E675" s="199"/>
      <c r="F675" s="71"/>
      <c r="G675" s="89" t="s">
        <v>2667</v>
      </c>
      <c r="H675" s="153"/>
      <c r="I675" s="154"/>
      <c r="J675" s="65"/>
      <c r="K675" s="40"/>
      <c r="L675" s="40"/>
      <c r="M675" s="40"/>
      <c r="N675" s="40"/>
      <c r="O675" s="40"/>
    </row>
    <row r="676" spans="1:15" ht="12.75">
      <c r="A676" s="55"/>
      <c r="B676" s="147" t="s">
        <v>97</v>
      </c>
      <c r="C676" s="10" t="s">
        <v>2212</v>
      </c>
      <c r="D676" s="42" t="s">
        <v>2401</v>
      </c>
      <c r="E676" s="199"/>
      <c r="F676" s="71"/>
      <c r="G676" s="89" t="s">
        <v>2668</v>
      </c>
      <c r="H676" s="153"/>
      <c r="I676" s="154"/>
      <c r="J676" s="65"/>
      <c r="K676" s="40"/>
      <c r="L676" s="40"/>
      <c r="M676" s="40"/>
      <c r="N676" s="40"/>
      <c r="O676" s="40"/>
    </row>
    <row r="677" spans="1:15" ht="12.75">
      <c r="A677" s="55"/>
      <c r="B677" s="147" t="s">
        <v>97</v>
      </c>
      <c r="C677" s="10" t="s">
        <v>2213</v>
      </c>
      <c r="D677" s="42" t="s">
        <v>2401</v>
      </c>
      <c r="E677" s="199"/>
      <c r="F677" s="71"/>
      <c r="G677" s="89" t="s">
        <v>2669</v>
      </c>
      <c r="H677" s="153"/>
      <c r="I677" s="154"/>
      <c r="J677" s="65"/>
      <c r="K677" s="40"/>
      <c r="L677" s="40"/>
      <c r="M677" s="40"/>
      <c r="N677" s="40"/>
      <c r="O677" s="40"/>
    </row>
    <row r="678" spans="1:15" ht="12.75">
      <c r="A678" s="55"/>
      <c r="B678" s="147" t="s">
        <v>97</v>
      </c>
      <c r="C678" s="8" t="s">
        <v>2214</v>
      </c>
      <c r="D678" s="42" t="s">
        <v>2401</v>
      </c>
      <c r="E678" s="199"/>
      <c r="F678" s="71"/>
      <c r="G678" s="89" t="s">
        <v>2670</v>
      </c>
      <c r="H678" s="153"/>
      <c r="I678" s="154"/>
      <c r="J678" s="65"/>
      <c r="K678" s="40"/>
      <c r="L678" s="40"/>
      <c r="M678" s="40"/>
      <c r="N678" s="40"/>
      <c r="O678" s="40"/>
    </row>
    <row r="679" spans="1:15" ht="12.75">
      <c r="A679" s="55"/>
      <c r="B679" s="147" t="s">
        <v>97</v>
      </c>
      <c r="C679" s="10" t="s">
        <v>2215</v>
      </c>
      <c r="D679" s="42" t="s">
        <v>2401</v>
      </c>
      <c r="E679" s="199"/>
      <c r="F679" s="71"/>
      <c r="G679" s="89" t="s">
        <v>2671</v>
      </c>
      <c r="H679" s="153"/>
      <c r="I679" s="154"/>
      <c r="J679" s="65"/>
      <c r="K679" s="40"/>
      <c r="L679" s="40"/>
      <c r="M679" s="40"/>
      <c r="N679" s="40"/>
      <c r="O679" s="40"/>
    </row>
    <row r="680" spans="1:15" ht="12.75">
      <c r="A680" s="55"/>
      <c r="B680" s="147" t="s">
        <v>97</v>
      </c>
      <c r="C680" s="10" t="s">
        <v>2216</v>
      </c>
      <c r="D680" s="42" t="s">
        <v>2401</v>
      </c>
      <c r="E680" s="199"/>
      <c r="F680" s="71"/>
      <c r="G680" s="89" t="s">
        <v>2672</v>
      </c>
      <c r="H680" s="153"/>
      <c r="I680" s="154"/>
      <c r="J680" s="65"/>
      <c r="K680" s="40"/>
      <c r="L680" s="40"/>
      <c r="M680" s="40"/>
      <c r="N680" s="40"/>
      <c r="O680" s="40"/>
    </row>
    <row r="681" spans="1:15" ht="12.75">
      <c r="A681" s="44"/>
      <c r="B681" s="147" t="s">
        <v>97</v>
      </c>
      <c r="C681" s="10" t="s">
        <v>2217</v>
      </c>
      <c r="D681" s="42" t="s">
        <v>2401</v>
      </c>
      <c r="E681" s="199"/>
      <c r="F681" s="71"/>
      <c r="G681" s="71"/>
      <c r="H681" s="140" t="s">
        <v>2673</v>
      </c>
      <c r="I681" s="154"/>
      <c r="J681" s="65"/>
      <c r="K681" s="40"/>
      <c r="L681" s="40"/>
      <c r="M681" s="40"/>
      <c r="N681" s="40"/>
      <c r="O681" s="40"/>
    </row>
    <row r="682" spans="1:15" ht="12.75">
      <c r="A682" s="44"/>
      <c r="B682" s="147" t="s">
        <v>97</v>
      </c>
      <c r="C682" s="10" t="s">
        <v>2218</v>
      </c>
      <c r="D682" s="42" t="s">
        <v>2401</v>
      </c>
      <c r="E682" s="199"/>
      <c r="F682" s="71"/>
      <c r="G682" s="71"/>
      <c r="H682" s="140" t="s">
        <v>2674</v>
      </c>
      <c r="I682" s="154"/>
      <c r="J682" s="65"/>
      <c r="K682" s="40"/>
      <c r="L682" s="40"/>
      <c r="M682" s="40"/>
      <c r="N682" s="40"/>
      <c r="O682" s="40"/>
    </row>
    <row r="683" spans="1:15" ht="12.75">
      <c r="A683" s="44"/>
      <c r="B683" s="147" t="s">
        <v>97</v>
      </c>
      <c r="C683" s="10" t="s">
        <v>2219</v>
      </c>
      <c r="D683" s="42" t="s">
        <v>2401</v>
      </c>
      <c r="E683" s="199"/>
      <c r="F683" s="71"/>
      <c r="G683" s="71"/>
      <c r="H683" s="140" t="s">
        <v>2675</v>
      </c>
      <c r="I683" s="154"/>
      <c r="J683" s="65"/>
      <c r="K683" s="40"/>
      <c r="L683" s="40"/>
      <c r="M683" s="40"/>
      <c r="N683" s="40"/>
      <c r="O683" s="40"/>
    </row>
    <row r="684" spans="1:15" ht="12.75">
      <c r="A684" s="55"/>
      <c r="B684" s="147" t="s">
        <v>97</v>
      </c>
      <c r="C684" s="10" t="s">
        <v>2220</v>
      </c>
      <c r="D684" s="42" t="s">
        <v>2401</v>
      </c>
      <c r="E684" s="199"/>
      <c r="F684" s="71"/>
      <c r="G684" s="89" t="s">
        <v>2676</v>
      </c>
      <c r="H684" s="153"/>
      <c r="I684" s="154"/>
      <c r="J684" s="65"/>
      <c r="K684" s="40"/>
      <c r="L684" s="40"/>
      <c r="M684" s="40"/>
      <c r="N684" s="40"/>
      <c r="O684" s="40"/>
    </row>
    <row r="685" spans="1:15" ht="12.75">
      <c r="A685" s="55"/>
      <c r="B685" s="147" t="s">
        <v>97</v>
      </c>
      <c r="C685" s="10" t="s">
        <v>2221</v>
      </c>
      <c r="D685" s="42" t="s">
        <v>2401</v>
      </c>
      <c r="E685" s="199"/>
      <c r="F685" s="71"/>
      <c r="G685" s="89" t="s">
        <v>2677</v>
      </c>
      <c r="H685" s="153"/>
      <c r="I685" s="154"/>
      <c r="J685" s="65"/>
      <c r="K685" s="40"/>
      <c r="L685" s="40"/>
      <c r="M685" s="40"/>
      <c r="N685" s="40"/>
      <c r="O685" s="40"/>
    </row>
    <row r="686" spans="1:15" ht="12.75">
      <c r="A686" s="55"/>
      <c r="B686" s="147" t="s">
        <v>97</v>
      </c>
      <c r="C686" s="10" t="s">
        <v>2222</v>
      </c>
      <c r="D686" s="42" t="s">
        <v>2401</v>
      </c>
      <c r="E686" s="199"/>
      <c r="F686" s="71"/>
      <c r="G686" s="89" t="s">
        <v>2678</v>
      </c>
      <c r="H686" s="153"/>
      <c r="I686" s="154"/>
      <c r="J686" s="65"/>
      <c r="K686" s="40"/>
      <c r="L686" s="40"/>
      <c r="M686" s="40"/>
      <c r="N686" s="40"/>
      <c r="O686" s="40"/>
    </row>
    <row r="687" spans="1:15" ht="12.75">
      <c r="A687" s="55"/>
      <c r="B687" s="147" t="s">
        <v>97</v>
      </c>
      <c r="C687" s="10" t="s">
        <v>2223</v>
      </c>
      <c r="D687" s="42" t="s">
        <v>2401</v>
      </c>
      <c r="E687" s="199"/>
      <c r="F687" s="71"/>
      <c r="G687" s="89" t="s">
        <v>2679</v>
      </c>
      <c r="H687" s="153"/>
      <c r="I687" s="154"/>
      <c r="J687" s="65"/>
      <c r="K687" s="40"/>
      <c r="L687" s="40"/>
      <c r="M687" s="40"/>
      <c r="N687" s="40"/>
      <c r="O687" s="40"/>
    </row>
    <row r="688" spans="1:15" ht="12.75">
      <c r="A688" s="55"/>
      <c r="B688" s="147" t="s">
        <v>97</v>
      </c>
      <c r="C688" s="10" t="s">
        <v>2224</v>
      </c>
      <c r="D688" s="42" t="s">
        <v>2401</v>
      </c>
      <c r="E688" s="199"/>
      <c r="F688" s="89" t="s">
        <v>2680</v>
      </c>
      <c r="G688" s="71"/>
      <c r="H688" s="153"/>
      <c r="I688" s="154"/>
      <c r="J688" s="65"/>
      <c r="K688" s="40"/>
      <c r="L688" s="40"/>
      <c r="M688" s="40"/>
      <c r="N688" s="40"/>
      <c r="O688" s="40"/>
    </row>
    <row r="689" spans="1:15" ht="12.75">
      <c r="A689" s="55"/>
      <c r="B689" s="147" t="s">
        <v>97</v>
      </c>
      <c r="C689" s="10" t="s">
        <v>2225</v>
      </c>
      <c r="D689" s="42" t="s">
        <v>2401</v>
      </c>
      <c r="E689" s="199"/>
      <c r="F689" s="119" t="s">
        <v>2681</v>
      </c>
      <c r="G689" s="71"/>
      <c r="H689" s="153"/>
      <c r="I689" s="154"/>
      <c r="J689" s="65"/>
      <c r="K689" s="40"/>
      <c r="L689" s="40"/>
      <c r="M689" s="40"/>
      <c r="N689" s="40"/>
      <c r="O689" s="40"/>
    </row>
    <row r="690" spans="1:15" ht="12.75">
      <c r="A690" s="55"/>
      <c r="B690" s="147" t="s">
        <v>97</v>
      </c>
      <c r="C690" s="10" t="s">
        <v>2226</v>
      </c>
      <c r="D690" s="42" t="s">
        <v>2401</v>
      </c>
      <c r="E690" s="199"/>
      <c r="F690" s="89" t="s">
        <v>2682</v>
      </c>
      <c r="G690" s="71"/>
      <c r="H690" s="153"/>
      <c r="I690" s="154"/>
      <c r="J690" s="65"/>
      <c r="K690" s="40"/>
      <c r="L690" s="40"/>
      <c r="M690" s="40"/>
      <c r="N690" s="40"/>
      <c r="O690" s="40"/>
    </row>
    <row r="691" spans="1:15" ht="12.75">
      <c r="A691" s="6"/>
      <c r="B691" s="147" t="s">
        <v>97</v>
      </c>
      <c r="C691" s="10" t="s">
        <v>2227</v>
      </c>
      <c r="D691" s="42" t="s">
        <v>2401</v>
      </c>
      <c r="E691" s="199"/>
      <c r="F691" s="71"/>
      <c r="G691" s="89" t="s">
        <v>2683</v>
      </c>
      <c r="H691" s="153"/>
      <c r="I691" s="154"/>
      <c r="J691" s="65"/>
      <c r="K691" s="40"/>
      <c r="L691" s="40"/>
      <c r="M691" s="40"/>
      <c r="N691" s="40"/>
      <c r="O691" s="40"/>
    </row>
    <row r="692" spans="1:15" ht="12.75">
      <c r="A692" s="6"/>
      <c r="B692" s="147" t="s">
        <v>97</v>
      </c>
      <c r="C692" s="10" t="s">
        <v>2228</v>
      </c>
      <c r="D692" s="42" t="s">
        <v>2401</v>
      </c>
      <c r="E692" s="199"/>
      <c r="F692" s="71"/>
      <c r="G692" s="71"/>
      <c r="H692" s="140" t="s">
        <v>2684</v>
      </c>
      <c r="I692" s="154"/>
      <c r="J692" s="65"/>
      <c r="K692" s="40"/>
      <c r="L692" s="40"/>
      <c r="M692" s="40"/>
      <c r="N692" s="40"/>
      <c r="O692" s="40"/>
    </row>
    <row r="693" spans="1:15" ht="12.75">
      <c r="A693" s="55"/>
      <c r="B693" s="147" t="s">
        <v>97</v>
      </c>
      <c r="C693" s="10" t="s">
        <v>2229</v>
      </c>
      <c r="D693" s="42" t="s">
        <v>2401</v>
      </c>
      <c r="E693" s="199"/>
      <c r="F693" s="89" t="s">
        <v>2685</v>
      </c>
      <c r="G693" s="71"/>
      <c r="H693" s="153"/>
      <c r="I693" s="154"/>
      <c r="J693" s="65"/>
      <c r="K693" s="40"/>
      <c r="L693" s="40"/>
      <c r="M693" s="40"/>
      <c r="N693" s="40"/>
      <c r="O693" s="40"/>
    </row>
    <row r="694" spans="1:15" ht="12.75">
      <c r="A694" s="55"/>
      <c r="B694" s="147" t="s">
        <v>97</v>
      </c>
      <c r="C694" s="129" t="s">
        <v>2230</v>
      </c>
      <c r="D694" s="42" t="s">
        <v>2401</v>
      </c>
      <c r="E694" s="199"/>
      <c r="F694" s="71"/>
      <c r="G694" s="89" t="s">
        <v>2686</v>
      </c>
      <c r="H694" s="153"/>
      <c r="I694" s="154"/>
      <c r="J694" s="65"/>
      <c r="K694" s="40"/>
      <c r="L694" s="40"/>
      <c r="M694" s="40"/>
      <c r="N694" s="40"/>
      <c r="O694" s="40"/>
    </row>
    <row r="695" spans="1:15" ht="12.75">
      <c r="A695" s="55"/>
      <c r="B695" s="147" t="s">
        <v>97</v>
      </c>
      <c r="C695" s="10" t="s">
        <v>2231</v>
      </c>
      <c r="D695" s="42" t="s">
        <v>2401</v>
      </c>
      <c r="E695" s="199"/>
      <c r="F695" s="71"/>
      <c r="G695" s="89" t="s">
        <v>2687</v>
      </c>
      <c r="H695" s="153"/>
      <c r="I695" s="154"/>
      <c r="J695" s="65"/>
      <c r="K695" s="40"/>
      <c r="L695" s="40"/>
      <c r="M695" s="40"/>
      <c r="N695" s="40"/>
      <c r="O695" s="40"/>
    </row>
    <row r="696" spans="1:15" ht="12.75">
      <c r="A696" s="55"/>
      <c r="B696" s="147" t="s">
        <v>97</v>
      </c>
      <c r="C696" s="129" t="s">
        <v>2232</v>
      </c>
      <c r="D696" s="42" t="s">
        <v>2401</v>
      </c>
      <c r="E696" s="199"/>
      <c r="F696" s="71"/>
      <c r="G696" s="89" t="s">
        <v>2688</v>
      </c>
      <c r="H696" s="153"/>
      <c r="I696" s="154"/>
      <c r="J696" s="65"/>
      <c r="K696" s="40"/>
      <c r="L696" s="40"/>
      <c r="M696" s="40"/>
      <c r="N696" s="40"/>
      <c r="O696" s="40"/>
    </row>
    <row r="697" spans="1:15" ht="12.75">
      <c r="A697" s="55"/>
      <c r="B697" s="147" t="s">
        <v>97</v>
      </c>
      <c r="C697" s="10" t="s">
        <v>2233</v>
      </c>
      <c r="D697" s="42" t="s">
        <v>2401</v>
      </c>
      <c r="E697" s="199"/>
      <c r="F697" s="71"/>
      <c r="G697" s="89" t="s">
        <v>2689</v>
      </c>
      <c r="H697" s="153"/>
      <c r="I697" s="154"/>
      <c r="J697" s="65"/>
      <c r="K697" s="40"/>
      <c r="L697" s="40"/>
      <c r="M697" s="40"/>
      <c r="N697" s="40"/>
      <c r="O697" s="40"/>
    </row>
    <row r="698" spans="1:15" ht="12.75">
      <c r="A698" s="55"/>
      <c r="B698" s="147" t="s">
        <v>97</v>
      </c>
      <c r="C698" s="129" t="s">
        <v>2234</v>
      </c>
      <c r="D698" s="42" t="s">
        <v>2401</v>
      </c>
      <c r="E698" s="199"/>
      <c r="F698" s="89" t="s">
        <v>2690</v>
      </c>
      <c r="G698" s="71"/>
      <c r="H698" s="153"/>
      <c r="I698" s="154"/>
      <c r="J698" s="65"/>
      <c r="K698" s="40"/>
      <c r="L698" s="40"/>
      <c r="M698" s="40"/>
      <c r="N698" s="40"/>
      <c r="O698" s="40"/>
    </row>
    <row r="699" spans="1:15" ht="12.75">
      <c r="A699" s="55"/>
      <c r="B699" s="147" t="s">
        <v>97</v>
      </c>
      <c r="C699" s="10" t="s">
        <v>2235</v>
      </c>
      <c r="D699" s="42" t="s">
        <v>2401</v>
      </c>
      <c r="E699" s="199"/>
      <c r="F699" s="89" t="s">
        <v>2691</v>
      </c>
      <c r="G699" s="71"/>
      <c r="H699" s="153"/>
      <c r="I699" s="154"/>
      <c r="J699" s="65"/>
      <c r="K699" s="40"/>
      <c r="L699" s="40"/>
      <c r="M699" s="40"/>
      <c r="N699" s="40"/>
      <c r="O699" s="40"/>
    </row>
    <row r="700" spans="1:15" ht="12.75">
      <c r="A700" s="53"/>
      <c r="B700" s="147" t="s">
        <v>97</v>
      </c>
      <c r="C700" s="10" t="s">
        <v>2236</v>
      </c>
      <c r="D700" s="42" t="s">
        <v>2401</v>
      </c>
      <c r="E700" s="199"/>
      <c r="F700" s="71"/>
      <c r="G700" s="89" t="s">
        <v>2692</v>
      </c>
      <c r="H700" s="153"/>
      <c r="I700" s="154"/>
      <c r="J700" s="65"/>
      <c r="K700" s="40"/>
      <c r="L700" s="40"/>
      <c r="M700" s="40"/>
      <c r="N700" s="40"/>
      <c r="O700" s="40"/>
    </row>
    <row r="701" spans="1:15" ht="12.75">
      <c r="A701" s="53"/>
      <c r="B701" s="147" t="s">
        <v>97</v>
      </c>
      <c r="C701" s="10" t="s">
        <v>2237</v>
      </c>
      <c r="D701" s="42" t="s">
        <v>2401</v>
      </c>
      <c r="E701" s="199"/>
      <c r="F701" s="71"/>
      <c r="G701" s="89" t="s">
        <v>2693</v>
      </c>
      <c r="H701" s="153"/>
      <c r="I701" s="154"/>
      <c r="J701" s="65"/>
      <c r="K701" s="40"/>
      <c r="L701" s="40"/>
      <c r="M701" s="40"/>
      <c r="N701" s="40"/>
      <c r="O701" s="40"/>
    </row>
    <row r="702" spans="1:15" ht="12.75">
      <c r="A702" s="53"/>
      <c r="B702" s="147" t="s">
        <v>97</v>
      </c>
      <c r="C702" s="10" t="s">
        <v>2238</v>
      </c>
      <c r="D702" s="42" t="s">
        <v>2401</v>
      </c>
      <c r="E702" s="199"/>
      <c r="F702" s="71"/>
      <c r="G702" s="89" t="s">
        <v>2694</v>
      </c>
      <c r="H702" s="153"/>
      <c r="I702" s="154"/>
      <c r="J702" s="65"/>
      <c r="K702" s="40"/>
      <c r="L702" s="40"/>
      <c r="M702" s="40"/>
      <c r="N702" s="40"/>
      <c r="O702" s="40"/>
    </row>
    <row r="703" spans="1:15" ht="12.75">
      <c r="A703" s="55"/>
      <c r="B703" s="147" t="s">
        <v>97</v>
      </c>
      <c r="C703" s="129" t="s">
        <v>2239</v>
      </c>
      <c r="D703" s="40" t="s">
        <v>2401</v>
      </c>
      <c r="E703" s="199"/>
      <c r="F703" s="89" t="s">
        <v>2695</v>
      </c>
      <c r="G703" s="71"/>
      <c r="H703" s="153"/>
      <c r="I703" s="154"/>
      <c r="J703" s="65"/>
      <c r="K703" s="40"/>
      <c r="L703" s="40"/>
      <c r="M703" s="40"/>
      <c r="N703" s="40"/>
      <c r="O703" s="40"/>
    </row>
    <row r="704" spans="1:15" ht="12.75">
      <c r="A704" s="55"/>
      <c r="B704" s="147" t="s">
        <v>97</v>
      </c>
      <c r="C704" s="225" t="s">
        <v>2240</v>
      </c>
      <c r="D704" s="42" t="s">
        <v>2401</v>
      </c>
      <c r="E704" s="199"/>
      <c r="F704" s="89" t="s">
        <v>2696</v>
      </c>
      <c r="G704" s="71"/>
      <c r="H704" s="153"/>
      <c r="I704" s="154"/>
      <c r="J704" s="65"/>
      <c r="K704" s="40"/>
      <c r="L704" s="40"/>
      <c r="M704" s="40"/>
      <c r="N704" s="40"/>
      <c r="O704" s="40"/>
    </row>
    <row r="705" spans="1:15" ht="12.75">
      <c r="A705" s="55"/>
      <c r="B705" s="147" t="s">
        <v>97</v>
      </c>
      <c r="C705" s="10" t="s">
        <v>2241</v>
      </c>
      <c r="D705" s="42" t="s">
        <v>2401</v>
      </c>
      <c r="E705" s="199"/>
      <c r="F705" s="89" t="s">
        <v>2697</v>
      </c>
      <c r="G705" s="71"/>
      <c r="H705" s="153"/>
      <c r="I705" s="154"/>
      <c r="J705" s="65"/>
      <c r="K705" s="40"/>
      <c r="L705" s="40"/>
      <c r="M705" s="40"/>
      <c r="N705" s="40"/>
      <c r="O705" s="40"/>
    </row>
    <row r="706" spans="1:15" ht="12.75">
      <c r="A706" s="55"/>
      <c r="B706" s="147" t="s">
        <v>97</v>
      </c>
      <c r="C706" s="10" t="s">
        <v>2242</v>
      </c>
      <c r="D706" s="40" t="s">
        <v>2401</v>
      </c>
      <c r="E706" s="199"/>
      <c r="F706" s="89" t="s">
        <v>2698</v>
      </c>
      <c r="G706" s="71"/>
      <c r="H706" s="153"/>
      <c r="I706" s="154"/>
      <c r="J706" s="65"/>
      <c r="K706" s="40"/>
      <c r="L706" s="40"/>
      <c r="M706" s="40"/>
      <c r="N706" s="40"/>
      <c r="O706" s="40"/>
    </row>
    <row r="707" spans="1:15" ht="12.75">
      <c r="A707" s="55"/>
      <c r="B707" s="147" t="s">
        <v>97</v>
      </c>
      <c r="C707" s="10" t="s">
        <v>2243</v>
      </c>
      <c r="D707" s="40" t="s">
        <v>2401</v>
      </c>
      <c r="E707" s="199"/>
      <c r="F707" s="71"/>
      <c r="G707" s="89" t="s">
        <v>2699</v>
      </c>
      <c r="H707" s="153"/>
      <c r="I707" s="154"/>
      <c r="J707" s="65"/>
      <c r="K707" s="40"/>
      <c r="L707" s="40"/>
      <c r="M707" s="40"/>
      <c r="N707" s="40"/>
      <c r="O707" s="40"/>
    </row>
    <row r="708" spans="1:15" ht="12.75">
      <c r="A708" s="44"/>
      <c r="B708" s="147" t="s">
        <v>97</v>
      </c>
      <c r="C708" s="10" t="s">
        <v>2244</v>
      </c>
      <c r="D708" s="40" t="s">
        <v>2401</v>
      </c>
      <c r="E708" s="199"/>
      <c r="F708" s="71"/>
      <c r="G708" s="89" t="s">
        <v>2700</v>
      </c>
      <c r="H708" s="153"/>
      <c r="I708" s="154"/>
      <c r="J708" s="65"/>
      <c r="K708" s="40"/>
      <c r="L708" s="40"/>
      <c r="M708" s="40"/>
      <c r="N708" s="40"/>
      <c r="O708" s="40"/>
    </row>
    <row r="709" spans="1:15" ht="12.75">
      <c r="A709" s="55"/>
      <c r="B709" s="147" t="s">
        <v>97</v>
      </c>
      <c r="C709" s="10" t="s">
        <v>2245</v>
      </c>
      <c r="D709" s="40" t="s">
        <v>2401</v>
      </c>
      <c r="E709" s="199"/>
      <c r="F709" s="89" t="s">
        <v>2701</v>
      </c>
      <c r="G709" s="71"/>
      <c r="H709" s="153"/>
      <c r="I709" s="154"/>
      <c r="J709" s="65"/>
      <c r="K709" s="40"/>
      <c r="L709" s="40"/>
      <c r="M709" s="40"/>
      <c r="N709" s="40"/>
      <c r="O709" s="40"/>
    </row>
    <row r="710" spans="1:15" ht="12.75">
      <c r="A710" s="44"/>
      <c r="B710" s="147" t="s">
        <v>97</v>
      </c>
      <c r="C710" s="10" t="s">
        <v>2246</v>
      </c>
      <c r="D710" s="40" t="s">
        <v>2401</v>
      </c>
      <c r="E710" s="143" t="s">
        <v>2702</v>
      </c>
      <c r="F710" s="71"/>
      <c r="G710" s="71"/>
      <c r="H710" s="153"/>
      <c r="I710" s="154"/>
      <c r="J710" s="65"/>
      <c r="K710" s="40"/>
      <c r="L710" s="40"/>
      <c r="M710" s="40"/>
      <c r="N710" s="40"/>
      <c r="O710" s="40"/>
    </row>
    <row r="711" spans="1:15" ht="12.75">
      <c r="A711" s="31"/>
      <c r="B711" s="147" t="s">
        <v>97</v>
      </c>
      <c r="C711" s="10" t="s">
        <v>2247</v>
      </c>
      <c r="D711" s="40" t="s">
        <v>2401</v>
      </c>
      <c r="E711" s="199"/>
      <c r="F711" s="89" t="s">
        <v>2703</v>
      </c>
      <c r="G711" s="71"/>
      <c r="H711" s="153"/>
      <c r="I711" s="154"/>
      <c r="J711" s="65"/>
      <c r="K711" s="40"/>
      <c r="L711" s="40"/>
      <c r="M711" s="40"/>
      <c r="N711" s="40"/>
      <c r="O711" s="40"/>
    </row>
    <row r="712" spans="1:15" ht="12.75">
      <c r="A712" s="31"/>
      <c r="B712" s="147" t="s">
        <v>97</v>
      </c>
      <c r="C712" s="10" t="s">
        <v>2248</v>
      </c>
      <c r="D712" s="40" t="s">
        <v>2401</v>
      </c>
      <c r="E712" s="199"/>
      <c r="F712" s="89" t="s">
        <v>2704</v>
      </c>
      <c r="G712" s="71"/>
      <c r="H712" s="153"/>
      <c r="I712" s="154"/>
      <c r="J712" s="65"/>
      <c r="K712" s="40"/>
      <c r="L712" s="40"/>
      <c r="M712" s="40"/>
      <c r="N712" s="40"/>
      <c r="O712" s="40"/>
    </row>
    <row r="713" spans="1:15" ht="12.75">
      <c r="A713" s="31"/>
      <c r="B713" s="147" t="s">
        <v>97</v>
      </c>
      <c r="C713" s="10" t="s">
        <v>2249</v>
      </c>
      <c r="D713" s="42" t="s">
        <v>2401</v>
      </c>
      <c r="E713" s="199"/>
      <c r="F713" s="89" t="s">
        <v>2705</v>
      </c>
      <c r="G713" s="71"/>
      <c r="H713" s="153"/>
      <c r="I713" s="154"/>
      <c r="J713" s="65"/>
      <c r="K713" s="40"/>
      <c r="L713" s="40"/>
      <c r="M713" s="40"/>
      <c r="N713" s="40"/>
      <c r="O713" s="40"/>
    </row>
    <row r="714" spans="1:15" ht="12.75">
      <c r="A714" s="31"/>
      <c r="B714" s="147" t="s">
        <v>97</v>
      </c>
      <c r="C714" s="10" t="s">
        <v>2250</v>
      </c>
      <c r="D714" s="42" t="s">
        <v>2401</v>
      </c>
      <c r="E714" s="199"/>
      <c r="F714" s="89" t="s">
        <v>3865</v>
      </c>
      <c r="G714" s="71"/>
      <c r="H714" s="153"/>
      <c r="I714" s="154"/>
      <c r="J714" s="65"/>
      <c r="K714" s="40"/>
      <c r="L714" s="40"/>
      <c r="M714" s="40"/>
      <c r="N714" s="40"/>
      <c r="O714" s="40"/>
    </row>
    <row r="715" spans="1:15" ht="12.75">
      <c r="A715" s="31"/>
      <c r="B715" s="147" t="s">
        <v>97</v>
      </c>
      <c r="C715" s="10" t="s">
        <v>2251</v>
      </c>
      <c r="D715" s="42" t="s">
        <v>2401</v>
      </c>
      <c r="E715" s="199"/>
      <c r="F715" s="89" t="s">
        <v>3866</v>
      </c>
      <c r="G715" s="71"/>
      <c r="H715" s="153"/>
      <c r="I715" s="154"/>
      <c r="J715" s="65"/>
      <c r="K715" s="40"/>
      <c r="L715" s="40"/>
      <c r="M715" s="40"/>
      <c r="N715" s="40"/>
      <c r="O715" s="40"/>
    </row>
    <row r="716" spans="1:15" ht="12.75">
      <c r="A716" s="44"/>
      <c r="B716" s="147" t="s">
        <v>97</v>
      </c>
      <c r="C716" s="10" t="s">
        <v>2252</v>
      </c>
      <c r="D716" s="42" t="s">
        <v>2401</v>
      </c>
      <c r="E716" s="143" t="s">
        <v>2706</v>
      </c>
      <c r="F716" s="71"/>
      <c r="G716" s="71"/>
      <c r="H716" s="153"/>
      <c r="I716" s="154"/>
      <c r="J716" s="65"/>
      <c r="K716" s="40"/>
      <c r="L716" s="40"/>
      <c r="M716" s="40"/>
      <c r="N716" s="40"/>
      <c r="O716" s="40"/>
    </row>
    <row r="717" spans="1:15" ht="12.75">
      <c r="A717" s="59"/>
      <c r="B717" s="147" t="s">
        <v>97</v>
      </c>
      <c r="C717" s="63" t="s">
        <v>97</v>
      </c>
      <c r="D717" s="63"/>
      <c r="E717" s="202"/>
      <c r="F717" s="61"/>
      <c r="G717" s="61"/>
      <c r="H717" s="210"/>
      <c r="I717" s="211"/>
      <c r="J717" s="86"/>
      <c r="K717" s="87"/>
      <c r="L717" s="88"/>
      <c r="M717" s="88"/>
      <c r="N717" s="88"/>
      <c r="O717" s="88"/>
    </row>
    <row r="718" spans="1:15" ht="12.75">
      <c r="A718" s="59"/>
      <c r="B718" s="147" t="s">
        <v>97</v>
      </c>
      <c r="C718" s="63"/>
      <c r="D718" s="63"/>
      <c r="E718" s="202"/>
      <c r="F718" s="61"/>
      <c r="G718" s="61"/>
      <c r="H718" s="210"/>
      <c r="I718" s="211"/>
      <c r="J718" s="86"/>
      <c r="K718" s="87"/>
      <c r="L718" s="88"/>
      <c r="M718" s="88"/>
      <c r="N718" s="88"/>
      <c r="O718" s="88"/>
    </row>
    <row r="719" spans="1:15" ht="24">
      <c r="A719" s="44" t="s">
        <v>1738</v>
      </c>
      <c r="B719" s="147" t="s">
        <v>1439</v>
      </c>
      <c r="C719" s="42" t="s">
        <v>1739</v>
      </c>
      <c r="D719" s="42" t="s">
        <v>2401</v>
      </c>
      <c r="E719" s="143" t="s">
        <v>2331</v>
      </c>
      <c r="F719" s="144"/>
      <c r="G719" s="89"/>
      <c r="H719" s="148"/>
      <c r="I719" s="149"/>
      <c r="J719" s="90"/>
      <c r="K719" s="43"/>
      <c r="L719" s="39"/>
      <c r="M719" s="39"/>
      <c r="N719" s="39"/>
      <c r="O719" s="39"/>
    </row>
    <row r="720" spans="1:15" ht="12.75">
      <c r="A720" s="31"/>
      <c r="B720" s="147" t="s">
        <v>97</v>
      </c>
      <c r="C720" s="6" t="s">
        <v>1740</v>
      </c>
      <c r="D720" s="42" t="s">
        <v>2401</v>
      </c>
      <c r="E720" s="143" t="s">
        <v>2707</v>
      </c>
      <c r="F720" s="89"/>
      <c r="G720" s="89"/>
      <c r="H720" s="148"/>
      <c r="I720" s="149"/>
      <c r="J720" s="90"/>
      <c r="K720" s="43"/>
      <c r="L720" s="39"/>
      <c r="M720" s="39"/>
      <c r="N720" s="39"/>
      <c r="O720" s="39"/>
    </row>
    <row r="721" spans="1:15" ht="12.75">
      <c r="A721" s="59"/>
      <c r="B721" s="147" t="s">
        <v>97</v>
      </c>
      <c r="C721" s="63" t="s">
        <v>97</v>
      </c>
      <c r="D721" s="63"/>
      <c r="E721" s="202"/>
      <c r="F721" s="61"/>
      <c r="G721" s="61"/>
      <c r="H721" s="210"/>
      <c r="I721" s="211"/>
      <c r="J721" s="86"/>
      <c r="K721" s="87"/>
      <c r="L721" s="88"/>
      <c r="M721" s="88"/>
      <c r="N721" s="88"/>
      <c r="O721" s="88"/>
    </row>
    <row r="722" spans="1:15" ht="12.75">
      <c r="A722" s="59"/>
      <c r="B722" s="147" t="s">
        <v>97</v>
      </c>
      <c r="C722" s="63" t="s">
        <v>97</v>
      </c>
      <c r="D722" s="63"/>
      <c r="E722" s="202"/>
      <c r="F722" s="61"/>
      <c r="G722" s="61"/>
      <c r="H722" s="210"/>
      <c r="I722" s="211"/>
      <c r="J722" s="86"/>
      <c r="K722" s="87"/>
      <c r="L722" s="88"/>
      <c r="M722" s="88"/>
      <c r="N722" s="88"/>
      <c r="O722" s="88"/>
    </row>
    <row r="723" spans="1:15" ht="24">
      <c r="A723" s="13" t="s">
        <v>2049</v>
      </c>
      <c r="B723" s="147" t="s">
        <v>1428</v>
      </c>
      <c r="C723" s="42" t="s">
        <v>3867</v>
      </c>
      <c r="D723" s="42" t="s">
        <v>2401</v>
      </c>
      <c r="E723" s="143" t="s">
        <v>3868</v>
      </c>
      <c r="F723" s="89"/>
      <c r="G723" s="89"/>
      <c r="H723" s="148"/>
      <c r="I723" s="149"/>
      <c r="J723" s="90"/>
      <c r="K723" s="43"/>
      <c r="L723" s="39"/>
      <c r="M723" s="39"/>
      <c r="N723" s="39"/>
      <c r="O723" s="39"/>
    </row>
    <row r="724" spans="1:15" ht="24">
      <c r="A724" s="13"/>
      <c r="B724" s="147" t="s">
        <v>97</v>
      </c>
      <c r="C724" s="42" t="s">
        <v>3869</v>
      </c>
      <c r="D724" s="42" t="s">
        <v>2401</v>
      </c>
      <c r="E724" s="134" t="s">
        <v>3870</v>
      </c>
      <c r="F724" s="89"/>
      <c r="G724" s="89"/>
      <c r="H724" s="148"/>
      <c r="I724" s="149"/>
      <c r="J724" s="90"/>
      <c r="K724" s="43"/>
      <c r="L724" s="39"/>
      <c r="M724" s="39"/>
      <c r="N724" s="39"/>
      <c r="O724" s="39"/>
    </row>
    <row r="725" spans="1:15" ht="12.75">
      <c r="A725" s="59"/>
      <c r="B725" s="147" t="s">
        <v>97</v>
      </c>
      <c r="C725" s="63"/>
      <c r="D725" s="63"/>
      <c r="E725" s="202"/>
      <c r="F725" s="61"/>
      <c r="G725" s="61"/>
      <c r="H725" s="210"/>
      <c r="I725" s="211"/>
      <c r="J725" s="86"/>
      <c r="K725" s="87"/>
      <c r="L725" s="88"/>
      <c r="M725" s="88"/>
      <c r="N725" s="88"/>
      <c r="O725" s="88"/>
    </row>
    <row r="726" spans="1:15" ht="12.75">
      <c r="A726" s="59"/>
      <c r="B726" s="147" t="s">
        <v>97</v>
      </c>
      <c r="C726" s="63"/>
      <c r="D726" s="63"/>
      <c r="E726" s="202"/>
      <c r="F726" s="61"/>
      <c r="G726" s="61"/>
      <c r="H726" s="210"/>
      <c r="I726" s="211"/>
      <c r="J726" s="86"/>
      <c r="K726" s="87"/>
      <c r="L726" s="88"/>
      <c r="M726" s="88"/>
      <c r="N726" s="88"/>
      <c r="O726" s="88"/>
    </row>
    <row r="727" spans="1:15" ht="12.75">
      <c r="A727" s="44" t="s">
        <v>672</v>
      </c>
      <c r="B727" s="147" t="s">
        <v>230</v>
      </c>
      <c r="C727" s="10" t="s">
        <v>673</v>
      </c>
      <c r="D727" s="40" t="s">
        <v>2401</v>
      </c>
      <c r="E727" s="143" t="s">
        <v>3871</v>
      </c>
      <c r="F727" s="144"/>
      <c r="G727" s="72"/>
      <c r="H727" s="151"/>
      <c r="I727" s="152"/>
      <c r="J727" s="84"/>
      <c r="K727" s="81"/>
      <c r="L727" s="81"/>
      <c r="M727" s="81" t="s">
        <v>3872</v>
      </c>
      <c r="N727" s="81"/>
      <c r="O727" s="81"/>
    </row>
    <row r="728" spans="1:15" ht="12.75">
      <c r="A728" s="226"/>
      <c r="B728" s="147" t="s">
        <v>97</v>
      </c>
      <c r="C728" s="10" t="s">
        <v>674</v>
      </c>
      <c r="D728" s="40" t="s">
        <v>2401</v>
      </c>
      <c r="E728" s="199"/>
      <c r="F728" s="89" t="s">
        <v>3873</v>
      </c>
      <c r="G728" s="72"/>
      <c r="H728" s="151"/>
      <c r="I728" s="152"/>
      <c r="J728" s="84"/>
      <c r="K728" s="81"/>
      <c r="L728" s="81"/>
      <c r="M728" s="81" t="s">
        <v>3874</v>
      </c>
      <c r="N728" s="81"/>
      <c r="O728" s="81"/>
    </row>
    <row r="729" spans="1:15" ht="12.75">
      <c r="A729" s="53"/>
      <c r="B729" s="147" t="s">
        <v>97</v>
      </c>
      <c r="C729" s="10" t="s">
        <v>675</v>
      </c>
      <c r="D729" s="40" t="s">
        <v>2401</v>
      </c>
      <c r="E729" s="199"/>
      <c r="F729" s="68"/>
      <c r="G729" s="89" t="s">
        <v>3875</v>
      </c>
      <c r="H729" s="151"/>
      <c r="I729" s="152"/>
      <c r="J729" s="84"/>
      <c r="K729" s="81"/>
      <c r="L729" s="81"/>
      <c r="M729" s="81" t="s">
        <v>3876</v>
      </c>
      <c r="N729" s="81"/>
      <c r="O729" s="81"/>
    </row>
    <row r="730" spans="1:15" ht="12.75">
      <c r="A730" s="53"/>
      <c r="B730" s="147" t="s">
        <v>97</v>
      </c>
      <c r="C730" s="10" t="s">
        <v>676</v>
      </c>
      <c r="D730" s="40" t="s">
        <v>2401</v>
      </c>
      <c r="E730" s="199"/>
      <c r="F730" s="68"/>
      <c r="G730" s="89" t="s">
        <v>3877</v>
      </c>
      <c r="H730" s="148"/>
      <c r="I730" s="149"/>
      <c r="J730" s="90"/>
      <c r="K730" s="39"/>
      <c r="L730" s="39"/>
      <c r="M730" s="81" t="s">
        <v>3878</v>
      </c>
      <c r="N730" s="39"/>
      <c r="O730" s="39"/>
    </row>
    <row r="731" spans="1:15" ht="12.75">
      <c r="A731" s="226"/>
      <c r="B731" s="147" t="s">
        <v>97</v>
      </c>
      <c r="C731" s="10" t="s">
        <v>677</v>
      </c>
      <c r="D731" s="40" t="s">
        <v>2401</v>
      </c>
      <c r="E731" s="199"/>
      <c r="F731" s="89" t="s">
        <v>2743</v>
      </c>
      <c r="G731" s="89"/>
      <c r="H731" s="148"/>
      <c r="I731" s="149"/>
      <c r="J731" s="90"/>
      <c r="K731" s="39"/>
      <c r="L731" s="39"/>
      <c r="M731" s="81" t="s">
        <v>3879</v>
      </c>
      <c r="N731" s="39"/>
      <c r="O731" s="39"/>
    </row>
    <row r="732" spans="1:15" ht="12.75">
      <c r="A732" s="226"/>
      <c r="B732" s="147" t="s">
        <v>97</v>
      </c>
      <c r="C732" s="10" t="s">
        <v>678</v>
      </c>
      <c r="D732" s="40" t="s">
        <v>2401</v>
      </c>
      <c r="E732" s="199"/>
      <c r="F732" s="89" t="s">
        <v>2744</v>
      </c>
      <c r="G732" s="72"/>
      <c r="H732" s="151"/>
      <c r="I732" s="152"/>
      <c r="J732" s="84"/>
      <c r="K732" s="81"/>
      <c r="L732" s="81"/>
      <c r="M732" s="81" t="s">
        <v>3872</v>
      </c>
      <c r="N732" s="81"/>
      <c r="O732" s="81"/>
    </row>
    <row r="733" spans="1:15" ht="12.75">
      <c r="A733" s="226"/>
      <c r="B733" s="147" t="s">
        <v>97</v>
      </c>
      <c r="C733" s="10" t="s">
        <v>679</v>
      </c>
      <c r="D733" s="40" t="s">
        <v>2401</v>
      </c>
      <c r="E733" s="199"/>
      <c r="F733" s="72"/>
      <c r="G733" s="89" t="s">
        <v>2745</v>
      </c>
      <c r="H733" s="151"/>
      <c r="I733" s="152"/>
      <c r="J733" s="84"/>
      <c r="K733" s="81"/>
      <c r="L733" s="81"/>
      <c r="M733" s="81" t="s">
        <v>3872</v>
      </c>
      <c r="N733" s="81"/>
      <c r="O733" s="81"/>
    </row>
    <row r="734" spans="1:15" ht="12.75">
      <c r="A734" s="55"/>
      <c r="B734" s="147" t="s">
        <v>97</v>
      </c>
      <c r="C734" s="10" t="s">
        <v>680</v>
      </c>
      <c r="D734" s="40" t="s">
        <v>2401</v>
      </c>
      <c r="E734" s="199"/>
      <c r="F734" s="72"/>
      <c r="G734" s="68"/>
      <c r="H734" s="140" t="s">
        <v>2746</v>
      </c>
      <c r="I734" s="152"/>
      <c r="J734" s="84"/>
      <c r="K734" s="81"/>
      <c r="L734" s="81"/>
      <c r="M734" s="81" t="s">
        <v>3880</v>
      </c>
      <c r="N734" s="81"/>
      <c r="O734" s="81"/>
    </row>
    <row r="735" spans="1:15" ht="12.75">
      <c r="A735" s="55"/>
      <c r="B735" s="147" t="s">
        <v>97</v>
      </c>
      <c r="C735" s="10" t="s">
        <v>681</v>
      </c>
      <c r="D735" s="40" t="s">
        <v>2401</v>
      </c>
      <c r="E735" s="199"/>
      <c r="F735" s="72"/>
      <c r="G735" s="68"/>
      <c r="H735" s="140" t="s">
        <v>3881</v>
      </c>
      <c r="I735" s="227"/>
      <c r="J735" s="101"/>
      <c r="K735" s="102"/>
      <c r="L735" s="102"/>
      <c r="M735" s="81" t="s">
        <v>3882</v>
      </c>
      <c r="N735" s="6"/>
      <c r="O735" s="102"/>
    </row>
    <row r="736" spans="1:15" ht="12.75">
      <c r="A736" s="226"/>
      <c r="B736" s="147" t="s">
        <v>97</v>
      </c>
      <c r="C736" s="10" t="s">
        <v>682</v>
      </c>
      <c r="D736" s="40" t="s">
        <v>2401</v>
      </c>
      <c r="E736" s="199"/>
      <c r="F736" s="72"/>
      <c r="G736" s="89" t="s">
        <v>3883</v>
      </c>
      <c r="H736" s="151"/>
      <c r="I736" s="152"/>
      <c r="J736" s="84"/>
      <c r="K736" s="81"/>
      <c r="L736" s="81"/>
      <c r="M736" s="81" t="s">
        <v>3884</v>
      </c>
      <c r="N736" s="81"/>
      <c r="O736" s="81"/>
    </row>
    <row r="737" spans="1:15" ht="12.75">
      <c r="A737" s="226"/>
      <c r="B737" s="147" t="s">
        <v>97</v>
      </c>
      <c r="C737" s="10" t="s">
        <v>683</v>
      </c>
      <c r="D737" s="40" t="s">
        <v>2401</v>
      </c>
      <c r="E737" s="199"/>
      <c r="F737" s="89"/>
      <c r="G737" s="89" t="s">
        <v>3885</v>
      </c>
      <c r="H737" s="148"/>
      <c r="I737" s="149"/>
      <c r="J737" s="90"/>
      <c r="K737" s="39"/>
      <c r="L737" s="39"/>
      <c r="M737" s="81" t="s">
        <v>3872</v>
      </c>
      <c r="N737" s="39"/>
      <c r="O737" s="39"/>
    </row>
    <row r="738" spans="1:15" ht="12.75">
      <c r="A738" s="226"/>
      <c r="B738" s="147" t="s">
        <v>97</v>
      </c>
      <c r="C738" s="10" t="s">
        <v>684</v>
      </c>
      <c r="D738" s="40" t="s">
        <v>2401</v>
      </c>
      <c r="E738" s="199"/>
      <c r="F738" s="72"/>
      <c r="G738" s="89" t="s">
        <v>3886</v>
      </c>
      <c r="H738" s="151"/>
      <c r="I738" s="152"/>
      <c r="J738" s="84"/>
      <c r="K738" s="81"/>
      <c r="L738" s="81"/>
      <c r="M738" s="81" t="s">
        <v>3887</v>
      </c>
      <c r="N738" s="81"/>
      <c r="O738" s="81"/>
    </row>
    <row r="739" spans="1:15" ht="12.75">
      <c r="A739" s="226"/>
      <c r="B739" s="147" t="s">
        <v>97</v>
      </c>
      <c r="C739" s="10" t="s">
        <v>685</v>
      </c>
      <c r="D739" s="40" t="s">
        <v>2401</v>
      </c>
      <c r="E739" s="199"/>
      <c r="F739" s="72"/>
      <c r="G739" s="89" t="s">
        <v>3888</v>
      </c>
      <c r="H739" s="151"/>
      <c r="I739" s="152"/>
      <c r="J739" s="84"/>
      <c r="K739" s="81"/>
      <c r="L739" s="81"/>
      <c r="M739" s="81" t="s">
        <v>3889</v>
      </c>
      <c r="N739" s="81"/>
      <c r="O739" s="81"/>
    </row>
    <row r="740" spans="1:15" ht="12.75">
      <c r="A740" s="226"/>
      <c r="B740" s="147" t="s">
        <v>97</v>
      </c>
      <c r="C740" s="10" t="s">
        <v>686</v>
      </c>
      <c r="D740" s="40" t="s">
        <v>2401</v>
      </c>
      <c r="E740" s="199"/>
      <c r="F740" s="72"/>
      <c r="G740" s="89" t="s">
        <v>3890</v>
      </c>
      <c r="H740" s="151"/>
      <c r="I740" s="152"/>
      <c r="J740" s="84"/>
      <c r="K740" s="81"/>
      <c r="L740" s="81"/>
      <c r="M740" s="81" t="s">
        <v>3872</v>
      </c>
      <c r="N740" s="81"/>
      <c r="O740" s="81"/>
    </row>
    <row r="741" spans="1:15" ht="12.75">
      <c r="A741" s="226"/>
      <c r="B741" s="147" t="s">
        <v>97</v>
      </c>
      <c r="C741" s="10" t="s">
        <v>687</v>
      </c>
      <c r="D741" s="40" t="s">
        <v>2401</v>
      </c>
      <c r="E741" s="199"/>
      <c r="F741" s="72"/>
      <c r="G741" s="89" t="s">
        <v>3891</v>
      </c>
      <c r="H741" s="151"/>
      <c r="I741" s="152"/>
      <c r="J741" s="84"/>
      <c r="K741" s="81"/>
      <c r="L741" s="81"/>
      <c r="M741" s="81" t="s">
        <v>3872</v>
      </c>
      <c r="N741" s="81"/>
      <c r="O741" s="81"/>
    </row>
    <row r="742" spans="1:15" ht="12.75">
      <c r="A742" s="226"/>
      <c r="B742" s="147" t="s">
        <v>97</v>
      </c>
      <c r="C742" s="10" t="s">
        <v>688</v>
      </c>
      <c r="D742" s="40" t="s">
        <v>2401</v>
      </c>
      <c r="E742" s="199"/>
      <c r="F742" s="89" t="s">
        <v>2747</v>
      </c>
      <c r="G742" s="89"/>
      <c r="H742" s="148"/>
      <c r="I742" s="149"/>
      <c r="J742" s="90"/>
      <c r="K742" s="39"/>
      <c r="L742" s="39"/>
      <c r="M742" s="81" t="s">
        <v>3872</v>
      </c>
      <c r="N742" s="39"/>
      <c r="O742" s="39"/>
    </row>
    <row r="743" spans="1:15" ht="12.75">
      <c r="A743" s="53"/>
      <c r="B743" s="147" t="s">
        <v>97</v>
      </c>
      <c r="C743" s="10" t="s">
        <v>689</v>
      </c>
      <c r="D743" s="40" t="s">
        <v>2401</v>
      </c>
      <c r="E743" s="199"/>
      <c r="F743" s="68"/>
      <c r="G743" s="89" t="s">
        <v>2748</v>
      </c>
      <c r="H743" s="148"/>
      <c r="I743" s="149"/>
      <c r="J743" s="90"/>
      <c r="K743" s="39"/>
      <c r="L743" s="39"/>
      <c r="M743" s="81" t="s">
        <v>3872</v>
      </c>
      <c r="N743" s="39"/>
      <c r="O743" s="39"/>
    </row>
    <row r="744" spans="1:15" ht="12.75">
      <c r="A744" s="226"/>
      <c r="B744" s="147" t="s">
        <v>97</v>
      </c>
      <c r="C744" s="10" t="s">
        <v>690</v>
      </c>
      <c r="D744" s="40" t="s">
        <v>2401</v>
      </c>
      <c r="E744" s="199"/>
      <c r="F744" s="89" t="s">
        <v>2749</v>
      </c>
      <c r="G744" s="72"/>
      <c r="H744" s="151"/>
      <c r="I744" s="152"/>
      <c r="J744" s="84"/>
      <c r="K744" s="81"/>
      <c r="L744" s="81"/>
      <c r="M744" s="81" t="s">
        <v>3872</v>
      </c>
      <c r="N744" s="81"/>
      <c r="O744" s="81"/>
    </row>
    <row r="745" spans="1:15" ht="12.75">
      <c r="A745" s="53"/>
      <c r="B745" s="147" t="s">
        <v>97</v>
      </c>
      <c r="C745" s="41" t="s">
        <v>691</v>
      </c>
      <c r="D745" s="40" t="s">
        <v>2401</v>
      </c>
      <c r="E745" s="199"/>
      <c r="F745" s="68"/>
      <c r="G745" s="89" t="s">
        <v>3892</v>
      </c>
      <c r="H745" s="151"/>
      <c r="I745" s="152"/>
      <c r="J745" s="84"/>
      <c r="K745" s="81"/>
      <c r="L745" s="81"/>
      <c r="M745" s="81" t="s">
        <v>3872</v>
      </c>
      <c r="N745" s="81"/>
      <c r="O745" s="81"/>
    </row>
    <row r="746" spans="1:15" ht="12.75">
      <c r="A746" s="226"/>
      <c r="B746" s="147" t="s">
        <v>97</v>
      </c>
      <c r="C746" s="40" t="s">
        <v>692</v>
      </c>
      <c r="D746" s="40" t="s">
        <v>2401</v>
      </c>
      <c r="E746" s="199"/>
      <c r="F746" s="89" t="s">
        <v>3893</v>
      </c>
      <c r="G746" s="89"/>
      <c r="H746" s="148"/>
      <c r="I746" s="149"/>
      <c r="J746" s="90"/>
      <c r="K746" s="39"/>
      <c r="L746" s="39"/>
      <c r="M746" s="81" t="s">
        <v>3872</v>
      </c>
      <c r="N746" s="39"/>
      <c r="O746" s="39"/>
    </row>
    <row r="747" spans="1:15" ht="12.75">
      <c r="A747" s="226"/>
      <c r="B747" s="147" t="s">
        <v>97</v>
      </c>
      <c r="C747" s="40" t="s">
        <v>693</v>
      </c>
      <c r="D747" s="40" t="s">
        <v>2401</v>
      </c>
      <c r="E747" s="199"/>
      <c r="F747" s="89" t="s">
        <v>3894</v>
      </c>
      <c r="G747" s="71"/>
      <c r="H747" s="153"/>
      <c r="I747" s="154"/>
      <c r="J747" s="65"/>
      <c r="K747" s="40"/>
      <c r="L747" s="40"/>
      <c r="M747" s="81" t="s">
        <v>3895</v>
      </c>
      <c r="N747" s="40"/>
      <c r="O747" s="40"/>
    </row>
    <row r="748" spans="1:15" ht="12.75">
      <c r="A748" s="226"/>
      <c r="B748" s="147" t="s">
        <v>97</v>
      </c>
      <c r="C748" s="41" t="s">
        <v>694</v>
      </c>
      <c r="D748" s="40" t="s">
        <v>2401</v>
      </c>
      <c r="E748" s="199"/>
      <c r="F748" s="89" t="s">
        <v>2750</v>
      </c>
      <c r="G748" s="72"/>
      <c r="H748" s="151"/>
      <c r="I748" s="152"/>
      <c r="J748" s="84"/>
      <c r="K748" s="81"/>
      <c r="L748" s="81"/>
      <c r="M748" s="81" t="s">
        <v>3872</v>
      </c>
      <c r="N748" s="81"/>
      <c r="O748" s="81"/>
    </row>
    <row r="749" spans="1:15" ht="12.75">
      <c r="A749" s="6"/>
      <c r="B749" s="147" t="s">
        <v>97</v>
      </c>
      <c r="C749" s="41" t="s">
        <v>695</v>
      </c>
      <c r="D749" s="40" t="s">
        <v>2401</v>
      </c>
      <c r="E749" s="199"/>
      <c r="F749" s="72"/>
      <c r="G749" s="89" t="s">
        <v>3896</v>
      </c>
      <c r="H749" s="151"/>
      <c r="I749" s="152"/>
      <c r="J749" s="84"/>
      <c r="K749" s="81"/>
      <c r="L749" s="81"/>
      <c r="M749" s="81" t="s">
        <v>3897</v>
      </c>
      <c r="N749" s="81"/>
      <c r="O749" s="81"/>
    </row>
    <row r="750" spans="1:15" ht="12.75">
      <c r="A750" s="6"/>
      <c r="B750" s="147" t="s">
        <v>97</v>
      </c>
      <c r="C750" s="40" t="s">
        <v>696</v>
      </c>
      <c r="D750" s="40" t="s">
        <v>2401</v>
      </c>
      <c r="E750" s="199"/>
      <c r="F750" s="89"/>
      <c r="G750" s="89" t="s">
        <v>2751</v>
      </c>
      <c r="H750" s="148"/>
      <c r="I750" s="149"/>
      <c r="J750" s="90"/>
      <c r="K750" s="39"/>
      <c r="L750" s="39"/>
      <c r="M750" s="81" t="s">
        <v>3872</v>
      </c>
      <c r="N750" s="39"/>
      <c r="O750" s="39"/>
    </row>
    <row r="751" spans="1:15" ht="12.75">
      <c r="A751" s="226"/>
      <c r="B751" s="147" t="s">
        <v>97</v>
      </c>
      <c r="C751" s="40" t="s">
        <v>697</v>
      </c>
      <c r="D751" s="40" t="s">
        <v>2401</v>
      </c>
      <c r="E751" s="199"/>
      <c r="F751" s="89"/>
      <c r="G751" s="89" t="s">
        <v>2752</v>
      </c>
      <c r="H751" s="148"/>
      <c r="I751" s="149"/>
      <c r="J751" s="90"/>
      <c r="K751" s="39"/>
      <c r="L751" s="39"/>
      <c r="M751" s="81"/>
      <c r="N751" s="39"/>
      <c r="O751" s="39"/>
    </row>
    <row r="752" spans="1:15" ht="12.75">
      <c r="A752" s="44"/>
      <c r="B752" s="147" t="s">
        <v>97</v>
      </c>
      <c r="C752" s="41" t="s">
        <v>698</v>
      </c>
      <c r="D752" s="40" t="s">
        <v>2401</v>
      </c>
      <c r="E752" s="143" t="s">
        <v>3898</v>
      </c>
      <c r="F752" s="72"/>
      <c r="G752" s="72"/>
      <c r="H752" s="151"/>
      <c r="I752" s="152"/>
      <c r="J752" s="84"/>
      <c r="K752" s="81"/>
      <c r="L752" s="81"/>
      <c r="M752" s="81" t="s">
        <v>3899</v>
      </c>
      <c r="N752" s="81"/>
      <c r="O752" s="81"/>
    </row>
    <row r="753" spans="1:15" ht="12.75">
      <c r="A753" s="53"/>
      <c r="B753" s="147" t="s">
        <v>97</v>
      </c>
      <c r="C753" s="40" t="s">
        <v>699</v>
      </c>
      <c r="D753" s="40" t="s">
        <v>2401</v>
      </c>
      <c r="E753" s="199"/>
      <c r="F753" s="89" t="s">
        <v>2753</v>
      </c>
      <c r="G753" s="89"/>
      <c r="H753" s="148"/>
      <c r="I753" s="149"/>
      <c r="J753" s="90"/>
      <c r="K753" s="39"/>
      <c r="L753" s="39"/>
      <c r="M753" s="81" t="s">
        <v>3900</v>
      </c>
      <c r="N753" s="39"/>
      <c r="O753" s="39"/>
    </row>
    <row r="754" spans="1:15" ht="12.75">
      <c r="A754" s="53"/>
      <c r="B754" s="147" t="s">
        <v>97</v>
      </c>
      <c r="C754" s="41" t="s">
        <v>700</v>
      </c>
      <c r="D754" s="40" t="s">
        <v>2401</v>
      </c>
      <c r="E754" s="199"/>
      <c r="F754" s="89" t="s">
        <v>3901</v>
      </c>
      <c r="G754" s="72"/>
      <c r="H754" s="151"/>
      <c r="I754" s="152"/>
      <c r="J754" s="84"/>
      <c r="K754" s="81"/>
      <c r="L754" s="81"/>
      <c r="M754" s="81" t="s">
        <v>3902</v>
      </c>
      <c r="N754" s="81"/>
      <c r="O754" s="81"/>
    </row>
    <row r="755" spans="1:15" ht="12.75">
      <c r="A755" s="53"/>
      <c r="B755" s="147" t="s">
        <v>97</v>
      </c>
      <c r="C755" s="41" t="s">
        <v>701</v>
      </c>
      <c r="D755" s="40" t="s">
        <v>2401</v>
      </c>
      <c r="E755" s="199"/>
      <c r="F755" s="89" t="s">
        <v>3903</v>
      </c>
      <c r="G755" s="72"/>
      <c r="H755" s="151"/>
      <c r="I755" s="152"/>
      <c r="J755" s="84"/>
      <c r="K755" s="81"/>
      <c r="L755" s="81"/>
      <c r="M755" s="81" t="s">
        <v>3899</v>
      </c>
      <c r="N755" s="81"/>
      <c r="O755" s="81"/>
    </row>
    <row r="756" spans="1:15" ht="12.75">
      <c r="A756" s="53"/>
      <c r="B756" s="147" t="s">
        <v>97</v>
      </c>
      <c r="C756" s="41" t="s">
        <v>702</v>
      </c>
      <c r="D756" s="40" t="s">
        <v>2401</v>
      </c>
      <c r="E756" s="199"/>
      <c r="F756" s="89" t="s">
        <v>3904</v>
      </c>
      <c r="G756" s="72"/>
      <c r="H756" s="151"/>
      <c r="I756" s="152"/>
      <c r="J756" s="84"/>
      <c r="K756" s="81"/>
      <c r="L756" s="81"/>
      <c r="M756" s="81" t="s">
        <v>3899</v>
      </c>
      <c r="N756" s="81"/>
      <c r="O756" s="81"/>
    </row>
    <row r="757" spans="1:15" ht="12.75">
      <c r="A757" s="44"/>
      <c r="B757" s="147" t="s">
        <v>97</v>
      </c>
      <c r="C757" s="40" t="s">
        <v>703</v>
      </c>
      <c r="D757" s="40" t="s">
        <v>2401</v>
      </c>
      <c r="E757" s="143" t="s">
        <v>3905</v>
      </c>
      <c r="F757" s="89"/>
      <c r="G757" s="89"/>
      <c r="H757" s="148"/>
      <c r="I757" s="149"/>
      <c r="J757" s="90"/>
      <c r="K757" s="39"/>
      <c r="L757" s="39"/>
      <c r="M757" s="81" t="s">
        <v>3906</v>
      </c>
      <c r="N757" s="39"/>
      <c r="O757" s="39"/>
    </row>
    <row r="758" spans="1:15" ht="12.75">
      <c r="A758" s="53"/>
      <c r="B758" s="147" t="s">
        <v>97</v>
      </c>
      <c r="C758" s="41" t="s">
        <v>704</v>
      </c>
      <c r="D758" s="40" t="s">
        <v>2401</v>
      </c>
      <c r="E758" s="199"/>
      <c r="F758" s="89" t="s">
        <v>2754</v>
      </c>
      <c r="G758" s="72"/>
      <c r="H758" s="151"/>
      <c r="I758" s="152"/>
      <c r="J758" s="84"/>
      <c r="K758" s="81"/>
      <c r="L758" s="81"/>
      <c r="M758" s="81" t="s">
        <v>3907</v>
      </c>
      <c r="N758" s="81"/>
      <c r="O758" s="81"/>
    </row>
    <row r="759" spans="1:15" ht="12.75">
      <c r="A759" s="53"/>
      <c r="B759" s="147" t="s">
        <v>97</v>
      </c>
      <c r="C759" s="40" t="s">
        <v>705</v>
      </c>
      <c r="D759" s="40" t="s">
        <v>2401</v>
      </c>
      <c r="E759" s="199"/>
      <c r="F759" s="89" t="s">
        <v>2755</v>
      </c>
      <c r="G759" s="89"/>
      <c r="H759" s="148"/>
      <c r="I759" s="149"/>
      <c r="J759" s="90"/>
      <c r="K759" s="39"/>
      <c r="L759" s="39"/>
      <c r="M759" s="81" t="s">
        <v>3908</v>
      </c>
      <c r="N759" s="39"/>
      <c r="O759" s="39"/>
    </row>
    <row r="760" spans="1:15" ht="12.75">
      <c r="A760" s="53"/>
      <c r="B760" s="147" t="s">
        <v>97</v>
      </c>
      <c r="C760" s="40" t="s">
        <v>706</v>
      </c>
      <c r="D760" s="40" t="s">
        <v>2401</v>
      </c>
      <c r="E760" s="199"/>
      <c r="F760" s="89" t="s">
        <v>2756</v>
      </c>
      <c r="G760" s="89"/>
      <c r="H760" s="148"/>
      <c r="I760" s="149"/>
      <c r="J760" s="90"/>
      <c r="K760" s="39"/>
      <c r="L760" s="39"/>
      <c r="M760" s="81" t="s">
        <v>3906</v>
      </c>
      <c r="N760" s="39"/>
      <c r="O760" s="39"/>
    </row>
    <row r="761" spans="1:15" ht="12.75">
      <c r="A761" s="53"/>
      <c r="B761" s="147" t="s">
        <v>97</v>
      </c>
      <c r="C761" s="40" t="s">
        <v>707</v>
      </c>
      <c r="D761" s="40" t="s">
        <v>2401</v>
      </c>
      <c r="E761" s="199"/>
      <c r="F761" s="89" t="s">
        <v>2757</v>
      </c>
      <c r="G761" s="89"/>
      <c r="H761" s="148"/>
      <c r="I761" s="149"/>
      <c r="J761" s="90"/>
      <c r="K761" s="39"/>
      <c r="L761" s="39"/>
      <c r="M761" s="81" t="s">
        <v>3906</v>
      </c>
      <c r="N761" s="39"/>
      <c r="O761" s="39"/>
    </row>
    <row r="762" spans="1:15" ht="12.75">
      <c r="A762" s="44"/>
      <c r="B762" s="147" t="s">
        <v>97</v>
      </c>
      <c r="C762" s="40" t="s">
        <v>708</v>
      </c>
      <c r="D762" s="40" t="s">
        <v>2401</v>
      </c>
      <c r="E762" s="120" t="s">
        <v>3909</v>
      </c>
      <c r="F762" s="89"/>
      <c r="G762" s="89"/>
      <c r="H762" s="148"/>
      <c r="I762" s="149"/>
      <c r="J762" s="90"/>
      <c r="K762" s="39"/>
      <c r="L762" s="39"/>
      <c r="M762" s="39" t="s">
        <v>3910</v>
      </c>
      <c r="N762" s="39"/>
      <c r="O762" s="39"/>
    </row>
    <row r="763" spans="1:15" ht="12.75">
      <c r="A763" s="6"/>
      <c r="B763" s="147" t="s">
        <v>97</v>
      </c>
      <c r="C763" s="40" t="s">
        <v>709</v>
      </c>
      <c r="D763" s="40" t="s">
        <v>2401</v>
      </c>
      <c r="E763" s="199"/>
      <c r="F763" s="89" t="s">
        <v>2758</v>
      </c>
      <c r="G763" s="89"/>
      <c r="H763" s="148"/>
      <c r="I763" s="149"/>
      <c r="J763" s="90"/>
      <c r="K763" s="39"/>
      <c r="L763" s="39"/>
      <c r="M763" s="39" t="s">
        <v>3911</v>
      </c>
      <c r="N763" s="39"/>
      <c r="O763" s="39"/>
    </row>
    <row r="764" spans="1:15" ht="12.75">
      <c r="A764" s="6"/>
      <c r="B764" s="147" t="s">
        <v>97</v>
      </c>
      <c r="C764" s="40" t="s">
        <v>710</v>
      </c>
      <c r="D764" s="40" t="s">
        <v>2401</v>
      </c>
      <c r="E764" s="199"/>
      <c r="F764" s="89" t="s">
        <v>2335</v>
      </c>
      <c r="G764" s="89"/>
      <c r="H764" s="148"/>
      <c r="I764" s="149"/>
      <c r="J764" s="90"/>
      <c r="K764" s="39"/>
      <c r="L764" s="39"/>
      <c r="M764" s="39" t="s">
        <v>3912</v>
      </c>
      <c r="N764" s="39"/>
      <c r="O764" s="39"/>
    </row>
    <row r="765" spans="1:15" ht="12.75">
      <c r="A765" s="6"/>
      <c r="B765" s="147" t="s">
        <v>97</v>
      </c>
      <c r="C765" s="40" t="s">
        <v>711</v>
      </c>
      <c r="D765" s="40" t="s">
        <v>2401</v>
      </c>
      <c r="E765" s="199"/>
      <c r="F765" s="89" t="s">
        <v>3913</v>
      </c>
      <c r="G765" s="89"/>
      <c r="H765" s="148"/>
      <c r="I765" s="149"/>
      <c r="J765" s="90"/>
      <c r="K765" s="39"/>
      <c r="L765" s="39"/>
      <c r="M765" s="39" t="s">
        <v>3910</v>
      </c>
      <c r="N765" s="39"/>
      <c r="O765" s="39"/>
    </row>
    <row r="766" spans="1:15" ht="12.75">
      <c r="A766" s="44"/>
      <c r="B766" s="147" t="s">
        <v>97</v>
      </c>
      <c r="C766" s="40" t="s">
        <v>712</v>
      </c>
      <c r="D766" s="40" t="s">
        <v>2401</v>
      </c>
      <c r="E766" s="120" t="s">
        <v>3914</v>
      </c>
      <c r="F766" s="89"/>
      <c r="G766" s="89"/>
      <c r="H766" s="148"/>
      <c r="I766" s="149"/>
      <c r="J766" s="90"/>
      <c r="K766" s="39"/>
      <c r="L766" s="39"/>
      <c r="M766" s="39"/>
      <c r="N766" s="39"/>
      <c r="O766" s="39"/>
    </row>
    <row r="767" spans="1:15" ht="12.75">
      <c r="A767" s="6"/>
      <c r="B767" s="147" t="s">
        <v>97</v>
      </c>
      <c r="C767" s="40" t="s">
        <v>713</v>
      </c>
      <c r="D767" s="40" t="s">
        <v>2401</v>
      </c>
      <c r="E767" s="199"/>
      <c r="F767" s="89" t="s">
        <v>2759</v>
      </c>
      <c r="G767" s="89"/>
      <c r="H767" s="148"/>
      <c r="I767" s="149"/>
      <c r="J767" s="90"/>
      <c r="K767" s="39"/>
      <c r="L767" s="39"/>
      <c r="M767" s="39"/>
      <c r="N767" s="39"/>
      <c r="O767" s="39"/>
    </row>
    <row r="768" spans="1:15" ht="12.75">
      <c r="A768" s="44"/>
      <c r="B768" s="147" t="s">
        <v>97</v>
      </c>
      <c r="C768" s="40" t="s">
        <v>714</v>
      </c>
      <c r="D768" s="40" t="s">
        <v>2401</v>
      </c>
      <c r="E768" s="120" t="s">
        <v>3915</v>
      </c>
      <c r="F768" s="89"/>
      <c r="G768" s="89"/>
      <c r="H768" s="148"/>
      <c r="I768" s="149"/>
      <c r="J768" s="90"/>
      <c r="K768" s="39"/>
      <c r="L768" s="39"/>
      <c r="M768" s="39"/>
      <c r="N768" s="39"/>
      <c r="O768" s="39"/>
    </row>
    <row r="769" spans="1:15" ht="12.75">
      <c r="A769" s="6"/>
      <c r="B769" s="147" t="s">
        <v>97</v>
      </c>
      <c r="C769" s="40" t="s">
        <v>715</v>
      </c>
      <c r="D769" s="40" t="s">
        <v>2401</v>
      </c>
      <c r="E769" s="199"/>
      <c r="F769" s="89" t="s">
        <v>2760</v>
      </c>
      <c r="G769" s="89"/>
      <c r="H769" s="148"/>
      <c r="I769" s="149"/>
      <c r="J769" s="90"/>
      <c r="K769" s="39"/>
      <c r="L769" s="39"/>
      <c r="M769" s="39"/>
      <c r="N769" s="39"/>
      <c r="O769" s="39"/>
    </row>
    <row r="770" spans="1:15" ht="12.75">
      <c r="A770" s="6"/>
      <c r="B770" s="147" t="s">
        <v>97</v>
      </c>
      <c r="C770" s="40" t="s">
        <v>716</v>
      </c>
      <c r="D770" s="40" t="s">
        <v>2401</v>
      </c>
      <c r="E770" s="199"/>
      <c r="F770" s="89" t="s">
        <v>2761</v>
      </c>
      <c r="G770" s="89"/>
      <c r="H770" s="148"/>
      <c r="I770" s="149"/>
      <c r="J770" s="90"/>
      <c r="K770" s="39"/>
      <c r="L770" s="39"/>
      <c r="M770" s="39"/>
      <c r="N770" s="39"/>
      <c r="O770" s="39"/>
    </row>
    <row r="771" spans="1:15" ht="12.75">
      <c r="A771" s="6"/>
      <c r="B771" s="147" t="s">
        <v>97</v>
      </c>
      <c r="C771" s="40" t="s">
        <v>717</v>
      </c>
      <c r="D771" s="40" t="s">
        <v>2401</v>
      </c>
      <c r="E771" s="199"/>
      <c r="F771" s="89" t="s">
        <v>3916</v>
      </c>
      <c r="G771" s="89"/>
      <c r="H771" s="148"/>
      <c r="I771" s="149"/>
      <c r="J771" s="90"/>
      <c r="K771" s="39"/>
      <c r="L771" s="39"/>
      <c r="M771" s="39"/>
      <c r="N771" s="39"/>
      <c r="O771" s="39"/>
    </row>
    <row r="772" spans="1:15" ht="12.75">
      <c r="A772" s="6"/>
      <c r="B772" s="147" t="s">
        <v>97</v>
      </c>
      <c r="C772" s="40" t="s">
        <v>718</v>
      </c>
      <c r="D772" s="40" t="s">
        <v>2401</v>
      </c>
      <c r="E772" s="199"/>
      <c r="F772" s="89" t="s">
        <v>2762</v>
      </c>
      <c r="G772" s="89"/>
      <c r="H772" s="148"/>
      <c r="I772" s="149"/>
      <c r="J772" s="90"/>
      <c r="K772" s="39"/>
      <c r="L772" s="39"/>
      <c r="M772" s="39"/>
      <c r="N772" s="39"/>
      <c r="O772" s="39"/>
    </row>
    <row r="773" spans="1:15" ht="12.75">
      <c r="A773" s="60"/>
      <c r="B773" s="147" t="s">
        <v>97</v>
      </c>
      <c r="C773" s="75" t="s">
        <v>97</v>
      </c>
      <c r="D773" s="60"/>
      <c r="E773" s="202"/>
      <c r="F773" s="61"/>
      <c r="G773" s="61"/>
      <c r="H773" s="210"/>
      <c r="I773" s="211"/>
      <c r="J773" s="86"/>
      <c r="K773" s="87"/>
      <c r="L773" s="88"/>
      <c r="M773" s="88"/>
      <c r="N773" s="88"/>
      <c r="O773" s="88"/>
    </row>
    <row r="774" spans="1:15" ht="12.75">
      <c r="A774" s="60"/>
      <c r="B774" s="147" t="s">
        <v>97</v>
      </c>
      <c r="C774" s="63" t="s">
        <v>97</v>
      </c>
      <c r="D774" s="60"/>
      <c r="E774" s="202"/>
      <c r="F774" s="61"/>
      <c r="G774" s="61"/>
      <c r="H774" s="210"/>
      <c r="I774" s="211"/>
      <c r="J774" s="86"/>
      <c r="K774" s="87"/>
      <c r="L774" s="88"/>
      <c r="M774" s="88"/>
      <c r="N774" s="88"/>
      <c r="O774" s="88"/>
    </row>
    <row r="775" spans="1:15" ht="12.75">
      <c r="A775" s="44" t="s">
        <v>2253</v>
      </c>
      <c r="B775" s="147" t="s">
        <v>1540</v>
      </c>
      <c r="C775" s="131" t="s">
        <v>2254</v>
      </c>
      <c r="D775" s="42" t="s">
        <v>2401</v>
      </c>
      <c r="E775" s="143" t="s">
        <v>3448</v>
      </c>
      <c r="F775" s="144"/>
      <c r="G775" s="71"/>
      <c r="H775" s="153"/>
      <c r="I775" s="154"/>
      <c r="J775" s="65"/>
      <c r="K775" s="40"/>
      <c r="L775" s="40"/>
      <c r="M775" s="40"/>
      <c r="N775" s="40"/>
      <c r="O775" s="40"/>
    </row>
    <row r="776" spans="1:15" ht="12.75">
      <c r="A776" s="44"/>
      <c r="B776" s="147" t="s">
        <v>97</v>
      </c>
      <c r="C776" s="131" t="s">
        <v>2255</v>
      </c>
      <c r="D776" s="42" t="s">
        <v>2401</v>
      </c>
      <c r="E776" s="134" t="s">
        <v>3917</v>
      </c>
      <c r="F776" s="71"/>
      <c r="G776" s="71"/>
      <c r="H776" s="153"/>
      <c r="I776" s="154"/>
      <c r="J776" s="65"/>
      <c r="K776" s="40"/>
      <c r="L776" s="40"/>
      <c r="M776" s="40"/>
      <c r="N776" s="40"/>
      <c r="O776" s="40"/>
    </row>
    <row r="777" spans="1:15" ht="12.75">
      <c r="A777" s="44"/>
      <c r="B777" s="147" t="s">
        <v>97</v>
      </c>
      <c r="C777" s="131" t="s">
        <v>2256</v>
      </c>
      <c r="D777" s="42" t="s">
        <v>2401</v>
      </c>
      <c r="E777" s="134" t="s">
        <v>3918</v>
      </c>
      <c r="F777" s="71"/>
      <c r="G777" s="71"/>
      <c r="H777" s="153"/>
      <c r="I777" s="154"/>
      <c r="J777" s="65"/>
      <c r="K777" s="40"/>
      <c r="L777" s="40"/>
      <c r="M777" s="40"/>
      <c r="N777" s="40"/>
      <c r="O777" s="40"/>
    </row>
    <row r="778" spans="1:15" ht="12.75">
      <c r="A778" s="44"/>
      <c r="B778" s="147" t="s">
        <v>97</v>
      </c>
      <c r="C778" s="131" t="s">
        <v>2257</v>
      </c>
      <c r="D778" s="42" t="s">
        <v>2401</v>
      </c>
      <c r="E778" s="134" t="s">
        <v>3919</v>
      </c>
      <c r="F778" s="71"/>
      <c r="G778" s="71"/>
      <c r="H778" s="153"/>
      <c r="I778" s="154"/>
      <c r="J778" s="65"/>
      <c r="K778" s="40"/>
      <c r="L778" s="40"/>
      <c r="M778" s="40"/>
      <c r="N778" s="40"/>
      <c r="O778" s="40"/>
    </row>
    <row r="779" spans="1:15" ht="12.75">
      <c r="A779" s="44"/>
      <c r="B779" s="147" t="s">
        <v>97</v>
      </c>
      <c r="C779" s="10" t="s">
        <v>2258</v>
      </c>
      <c r="D779" s="42" t="s">
        <v>2401</v>
      </c>
      <c r="E779" s="134" t="s">
        <v>3920</v>
      </c>
      <c r="F779" s="71"/>
      <c r="G779" s="71"/>
      <c r="H779" s="153"/>
      <c r="I779" s="154"/>
      <c r="J779" s="65"/>
      <c r="K779" s="40"/>
      <c r="L779" s="40"/>
      <c r="M779" s="40"/>
      <c r="N779" s="40"/>
      <c r="O779" s="40"/>
    </row>
    <row r="780" spans="1:15" ht="12.75">
      <c r="A780" s="55"/>
      <c r="B780" s="147" t="s">
        <v>97</v>
      </c>
      <c r="C780" s="10" t="s">
        <v>2259</v>
      </c>
      <c r="D780" s="42" t="s">
        <v>2401</v>
      </c>
      <c r="E780" s="199"/>
      <c r="F780" s="71" t="s">
        <v>3921</v>
      </c>
      <c r="G780" s="71"/>
      <c r="H780" s="153"/>
      <c r="I780" s="154"/>
      <c r="J780" s="65"/>
      <c r="K780" s="40"/>
      <c r="L780" s="40"/>
      <c r="M780" s="40"/>
      <c r="N780" s="40"/>
      <c r="O780" s="40"/>
    </row>
    <row r="781" spans="1:15" ht="12.75">
      <c r="A781" s="55"/>
      <c r="B781" s="147" t="s">
        <v>97</v>
      </c>
      <c r="C781" s="10" t="s">
        <v>2260</v>
      </c>
      <c r="D781" s="42" t="s">
        <v>2401</v>
      </c>
      <c r="E781" s="199"/>
      <c r="F781" s="68"/>
      <c r="G781" s="71" t="s">
        <v>3922</v>
      </c>
      <c r="H781" s="153"/>
      <c r="I781" s="154"/>
      <c r="J781" s="65"/>
      <c r="K781" s="40"/>
      <c r="L781" s="40"/>
      <c r="M781" s="40"/>
      <c r="N781" s="40"/>
      <c r="O781" s="40"/>
    </row>
    <row r="782" spans="1:15" ht="12.75">
      <c r="A782" s="55"/>
      <c r="B782" s="147" t="s">
        <v>97</v>
      </c>
      <c r="C782" s="131" t="s">
        <v>2261</v>
      </c>
      <c r="D782" s="42" t="s">
        <v>2401</v>
      </c>
      <c r="E782" s="199"/>
      <c r="F782" s="71" t="s">
        <v>3923</v>
      </c>
      <c r="G782" s="71"/>
      <c r="H782" s="153"/>
      <c r="I782" s="154"/>
      <c r="J782" s="65"/>
      <c r="K782" s="40"/>
      <c r="L782" s="40"/>
      <c r="M782" s="40"/>
      <c r="N782" s="40"/>
      <c r="O782" s="40"/>
    </row>
    <row r="783" spans="1:15" ht="12.75">
      <c r="A783" s="55"/>
      <c r="B783" s="147" t="s">
        <v>97</v>
      </c>
      <c r="C783" s="131" t="s">
        <v>2262</v>
      </c>
      <c r="D783" s="42" t="s">
        <v>2401</v>
      </c>
      <c r="E783" s="199"/>
      <c r="F783" s="71" t="s">
        <v>3924</v>
      </c>
      <c r="G783" s="71"/>
      <c r="H783" s="153"/>
      <c r="I783" s="154"/>
      <c r="J783" s="65"/>
      <c r="K783" s="40"/>
      <c r="L783" s="40"/>
      <c r="M783" s="40"/>
      <c r="N783" s="40"/>
      <c r="O783" s="40"/>
    </row>
    <row r="784" spans="1:15" ht="12.75">
      <c r="A784" s="55"/>
      <c r="B784" s="147" t="s">
        <v>97</v>
      </c>
      <c r="C784" s="131" t="s">
        <v>2263</v>
      </c>
      <c r="D784" s="42" t="s">
        <v>2401</v>
      </c>
      <c r="E784" s="199"/>
      <c r="F784" s="89" t="s">
        <v>3925</v>
      </c>
      <c r="G784" s="71"/>
      <c r="H784" s="153"/>
      <c r="I784" s="154"/>
      <c r="J784" s="65"/>
      <c r="K784" s="40"/>
      <c r="L784" s="40"/>
      <c r="M784" s="40"/>
      <c r="N784" s="40"/>
      <c r="O784" s="40"/>
    </row>
    <row r="785" spans="1:15" ht="12.75">
      <c r="A785" s="55"/>
      <c r="B785" s="147" t="s">
        <v>97</v>
      </c>
      <c r="C785" s="131" t="s">
        <v>2264</v>
      </c>
      <c r="D785" s="42" t="s">
        <v>2401</v>
      </c>
      <c r="E785" s="199"/>
      <c r="F785" s="89" t="s">
        <v>3926</v>
      </c>
      <c r="G785" s="71"/>
      <c r="H785" s="153"/>
      <c r="I785" s="154"/>
      <c r="J785" s="65"/>
      <c r="K785" s="40"/>
      <c r="L785" s="40"/>
      <c r="M785" s="40"/>
      <c r="N785" s="40"/>
      <c r="O785" s="40"/>
    </row>
    <row r="786" spans="1:15" ht="12.75">
      <c r="A786" s="55"/>
      <c r="B786" s="147" t="s">
        <v>97</v>
      </c>
      <c r="C786" s="131" t="s">
        <v>2265</v>
      </c>
      <c r="D786" s="42" t="s">
        <v>2401</v>
      </c>
      <c r="E786" s="199"/>
      <c r="F786" s="71" t="s">
        <v>3927</v>
      </c>
      <c r="G786" s="71"/>
      <c r="H786" s="153"/>
      <c r="I786" s="154"/>
      <c r="J786" s="65"/>
      <c r="K786" s="40"/>
      <c r="L786" s="40"/>
      <c r="M786" s="40"/>
      <c r="N786" s="40"/>
      <c r="O786" s="40"/>
    </row>
    <row r="787" spans="1:15" ht="12.75">
      <c r="A787" s="55"/>
      <c r="B787" s="147" t="s">
        <v>97</v>
      </c>
      <c r="C787" s="131" t="s">
        <v>2266</v>
      </c>
      <c r="D787" s="42" t="s">
        <v>2401</v>
      </c>
      <c r="E787" s="199"/>
      <c r="F787" s="71" t="s">
        <v>3928</v>
      </c>
      <c r="G787" s="71"/>
      <c r="H787" s="153"/>
      <c r="I787" s="154"/>
      <c r="J787" s="65"/>
      <c r="K787" s="40"/>
      <c r="L787" s="40"/>
      <c r="M787" s="40"/>
      <c r="N787" s="40"/>
      <c r="O787" s="40"/>
    </row>
    <row r="788" spans="1:15" ht="12.75">
      <c r="A788" s="55"/>
      <c r="B788" s="147" t="s">
        <v>97</v>
      </c>
      <c r="C788" s="131" t="s">
        <v>2267</v>
      </c>
      <c r="D788" s="42" t="s">
        <v>2401</v>
      </c>
      <c r="E788" s="199"/>
      <c r="F788" s="89" t="s">
        <v>3929</v>
      </c>
      <c r="G788" s="71"/>
      <c r="H788" s="153"/>
      <c r="I788" s="154"/>
      <c r="J788" s="65"/>
      <c r="K788" s="40"/>
      <c r="L788" s="40"/>
      <c r="M788" s="40"/>
      <c r="N788" s="40"/>
      <c r="O788" s="40"/>
    </row>
    <row r="789" spans="1:15" ht="12.75">
      <c r="A789" s="55"/>
      <c r="B789" s="147" t="s">
        <v>97</v>
      </c>
      <c r="C789" s="131" t="s">
        <v>2268</v>
      </c>
      <c r="D789" s="42" t="s">
        <v>2401</v>
      </c>
      <c r="E789" s="199"/>
      <c r="F789" s="71" t="s">
        <v>3930</v>
      </c>
      <c r="G789" s="71"/>
      <c r="H789" s="153"/>
      <c r="I789" s="154"/>
      <c r="J789" s="65"/>
      <c r="K789" s="40"/>
      <c r="L789" s="40"/>
      <c r="M789" s="40"/>
      <c r="N789" s="40"/>
      <c r="O789" s="40"/>
    </row>
    <row r="790" spans="1:15" ht="12.75">
      <c r="A790" s="55"/>
      <c r="B790" s="147" t="s">
        <v>97</v>
      </c>
      <c r="C790" s="131" t="s">
        <v>2269</v>
      </c>
      <c r="D790" s="42" t="s">
        <v>2401</v>
      </c>
      <c r="E790" s="199"/>
      <c r="F790" s="71" t="s">
        <v>3931</v>
      </c>
      <c r="G790" s="71"/>
      <c r="H790" s="153"/>
      <c r="I790" s="154"/>
      <c r="J790" s="65"/>
      <c r="K790" s="40"/>
      <c r="L790" s="40"/>
      <c r="M790" s="40"/>
      <c r="N790" s="40"/>
      <c r="O790" s="40"/>
    </row>
    <row r="791" spans="1:15" ht="12.75">
      <c r="A791" s="55"/>
      <c r="B791" s="147" t="s">
        <v>97</v>
      </c>
      <c r="C791" s="131" t="s">
        <v>2270</v>
      </c>
      <c r="D791" s="42" t="s">
        <v>2401</v>
      </c>
      <c r="E791" s="199"/>
      <c r="F791" s="71" t="s">
        <v>3932</v>
      </c>
      <c r="G791" s="71"/>
      <c r="H791" s="153"/>
      <c r="I791" s="154"/>
      <c r="J791" s="65"/>
      <c r="K791" s="40"/>
      <c r="L791" s="40"/>
      <c r="M791" s="40"/>
      <c r="N791" s="40"/>
      <c r="O791" s="40"/>
    </row>
    <row r="792" spans="1:15" ht="12.75">
      <c r="A792" s="55"/>
      <c r="B792" s="147" t="s">
        <v>97</v>
      </c>
      <c r="C792" s="131" t="s">
        <v>2271</v>
      </c>
      <c r="D792" s="42" t="s">
        <v>2401</v>
      </c>
      <c r="E792" s="199"/>
      <c r="F792" s="71" t="s">
        <v>3454</v>
      </c>
      <c r="G792" s="71"/>
      <c r="H792" s="153"/>
      <c r="I792" s="154"/>
      <c r="J792" s="65"/>
      <c r="K792" s="40"/>
      <c r="L792" s="40"/>
      <c r="M792" s="40"/>
      <c r="N792" s="40"/>
      <c r="O792" s="40"/>
    </row>
    <row r="793" spans="1:15" ht="12.75">
      <c r="A793" s="55"/>
      <c r="B793" s="147" t="s">
        <v>97</v>
      </c>
      <c r="C793" s="131" t="s">
        <v>2272</v>
      </c>
      <c r="D793" s="42" t="s">
        <v>2401</v>
      </c>
      <c r="E793" s="199"/>
      <c r="F793" s="71" t="s">
        <v>3933</v>
      </c>
      <c r="G793" s="71"/>
      <c r="H793" s="153"/>
      <c r="I793" s="154"/>
      <c r="J793" s="65"/>
      <c r="K793" s="40"/>
      <c r="L793" s="40"/>
      <c r="M793" s="40"/>
      <c r="N793" s="40"/>
      <c r="O793" s="40"/>
    </row>
    <row r="794" spans="1:15" ht="12.75">
      <c r="A794" s="55"/>
      <c r="B794" s="147" t="s">
        <v>97</v>
      </c>
      <c r="C794" s="131" t="s">
        <v>2273</v>
      </c>
      <c r="D794" s="42" t="s">
        <v>2401</v>
      </c>
      <c r="E794" s="199"/>
      <c r="F794" s="71" t="s">
        <v>3934</v>
      </c>
      <c r="G794" s="71"/>
      <c r="H794" s="153"/>
      <c r="I794" s="154"/>
      <c r="J794" s="65"/>
      <c r="K794" s="40"/>
      <c r="L794" s="40"/>
      <c r="M794" s="40"/>
      <c r="N794" s="40"/>
      <c r="O794" s="40"/>
    </row>
    <row r="795" spans="1:15" ht="12.75">
      <c r="A795" s="55"/>
      <c r="B795" s="147" t="s">
        <v>97</v>
      </c>
      <c r="C795" s="131" t="s">
        <v>2274</v>
      </c>
      <c r="D795" s="42" t="s">
        <v>2401</v>
      </c>
      <c r="E795" s="199"/>
      <c r="F795" s="71" t="s">
        <v>3935</v>
      </c>
      <c r="G795" s="71"/>
      <c r="H795" s="153"/>
      <c r="I795" s="154"/>
      <c r="J795" s="65"/>
      <c r="K795" s="40"/>
      <c r="L795" s="40"/>
      <c r="M795" s="40"/>
      <c r="N795" s="40"/>
      <c r="O795" s="40"/>
    </row>
    <row r="796" spans="1:15" ht="12.75">
      <c r="A796" s="55"/>
      <c r="B796" s="147" t="s">
        <v>97</v>
      </c>
      <c r="C796" s="131" t="s">
        <v>2275</v>
      </c>
      <c r="D796" s="42" t="s">
        <v>2401</v>
      </c>
      <c r="E796" s="199"/>
      <c r="F796" s="71" t="s">
        <v>3936</v>
      </c>
      <c r="G796" s="71"/>
      <c r="H796" s="153"/>
      <c r="I796" s="154"/>
      <c r="J796" s="65"/>
      <c r="K796" s="40"/>
      <c r="L796" s="40"/>
      <c r="M796" s="40"/>
      <c r="N796" s="40"/>
      <c r="O796" s="40"/>
    </row>
    <row r="797" spans="1:15" ht="12.75">
      <c r="A797" s="44"/>
      <c r="B797" s="147" t="s">
        <v>97</v>
      </c>
      <c r="C797" s="131" t="s">
        <v>2276</v>
      </c>
      <c r="D797" s="42" t="s">
        <v>2401</v>
      </c>
      <c r="E797" s="134" t="s">
        <v>3937</v>
      </c>
      <c r="F797" s="71"/>
      <c r="G797" s="71"/>
      <c r="H797" s="153"/>
      <c r="I797" s="154"/>
      <c r="J797" s="65"/>
      <c r="K797" s="40"/>
      <c r="L797" s="40"/>
      <c r="M797" s="40"/>
      <c r="N797" s="40"/>
      <c r="O797" s="40"/>
    </row>
    <row r="798" spans="1:15" ht="12.75">
      <c r="A798" s="44"/>
      <c r="B798" s="147" t="s">
        <v>97</v>
      </c>
      <c r="C798" s="10" t="s">
        <v>2277</v>
      </c>
      <c r="D798" s="42" t="s">
        <v>2401</v>
      </c>
      <c r="E798" s="134" t="s">
        <v>3938</v>
      </c>
      <c r="F798" s="71"/>
      <c r="G798" s="71"/>
      <c r="H798" s="153"/>
      <c r="I798" s="154"/>
      <c r="J798" s="65"/>
      <c r="K798" s="40"/>
      <c r="L798" s="40"/>
      <c r="M798" s="40"/>
      <c r="N798" s="40"/>
      <c r="O798" s="40"/>
    </row>
    <row r="799" spans="1:15" ht="12.75">
      <c r="A799" s="44"/>
      <c r="B799" s="147" t="s">
        <v>97</v>
      </c>
      <c r="C799" s="131" t="s">
        <v>2278</v>
      </c>
      <c r="D799" s="42" t="s">
        <v>2401</v>
      </c>
      <c r="E799" s="134" t="s">
        <v>3939</v>
      </c>
      <c r="F799" s="71"/>
      <c r="G799" s="71"/>
      <c r="H799" s="153"/>
      <c r="I799" s="154"/>
      <c r="J799" s="65"/>
      <c r="K799" s="40"/>
      <c r="L799" s="40"/>
      <c r="M799" s="40"/>
      <c r="N799" s="40"/>
      <c r="O799" s="40"/>
    </row>
    <row r="800" spans="1:15" ht="12.75">
      <c r="A800" s="44"/>
      <c r="B800" s="147" t="s">
        <v>97</v>
      </c>
      <c r="C800" s="131" t="s">
        <v>2279</v>
      </c>
      <c r="D800" s="42" t="s">
        <v>2401</v>
      </c>
      <c r="E800" s="134" t="s">
        <v>3940</v>
      </c>
      <c r="F800" s="71"/>
      <c r="G800" s="71"/>
      <c r="H800" s="153"/>
      <c r="I800" s="154"/>
      <c r="J800" s="65"/>
      <c r="K800" s="40"/>
      <c r="L800" s="40"/>
      <c r="M800" s="40"/>
      <c r="N800" s="40"/>
      <c r="O800" s="40"/>
    </row>
    <row r="801" spans="1:15" ht="12.75">
      <c r="A801" s="44"/>
      <c r="B801" s="147" t="s">
        <v>97</v>
      </c>
      <c r="C801" s="131" t="s">
        <v>2280</v>
      </c>
      <c r="D801" s="42" t="s">
        <v>2401</v>
      </c>
      <c r="E801" s="134" t="s">
        <v>3941</v>
      </c>
      <c r="F801" s="71"/>
      <c r="G801" s="71"/>
      <c r="H801" s="153"/>
      <c r="I801" s="154"/>
      <c r="J801" s="65"/>
      <c r="K801" s="40"/>
      <c r="L801" s="40"/>
      <c r="M801" s="40"/>
      <c r="N801" s="40"/>
      <c r="O801" s="40"/>
    </row>
    <row r="802" spans="1:15" ht="12.75">
      <c r="A802" s="44"/>
      <c r="B802" s="147" t="s">
        <v>97</v>
      </c>
      <c r="C802" s="131" t="s">
        <v>2281</v>
      </c>
      <c r="D802" s="42" t="s">
        <v>2401</v>
      </c>
      <c r="E802" s="134" t="s">
        <v>3942</v>
      </c>
      <c r="F802" s="71"/>
      <c r="G802" s="71"/>
      <c r="H802" s="153"/>
      <c r="I802" s="154"/>
      <c r="J802" s="65"/>
      <c r="K802" s="40"/>
      <c r="L802" s="40"/>
      <c r="M802" s="40"/>
      <c r="N802" s="40"/>
      <c r="O802" s="40"/>
    </row>
    <row r="803" spans="1:15" ht="12.75">
      <c r="A803" s="44"/>
      <c r="B803" s="147" t="s">
        <v>97</v>
      </c>
      <c r="C803" s="131" t="s">
        <v>2282</v>
      </c>
      <c r="D803" s="42" t="s">
        <v>2401</v>
      </c>
      <c r="E803" s="134" t="s">
        <v>3943</v>
      </c>
      <c r="F803" s="71"/>
      <c r="G803" s="71"/>
      <c r="H803" s="153"/>
      <c r="I803" s="154"/>
      <c r="J803" s="65"/>
      <c r="K803" s="40"/>
      <c r="L803" s="40"/>
      <c r="M803" s="40"/>
      <c r="N803" s="40"/>
      <c r="O803" s="40"/>
    </row>
    <row r="804" spans="1:15" ht="12.75">
      <c r="A804" s="44"/>
      <c r="B804" s="147" t="s">
        <v>97</v>
      </c>
      <c r="C804" s="10" t="s">
        <v>2283</v>
      </c>
      <c r="D804" s="42" t="s">
        <v>2401</v>
      </c>
      <c r="E804" s="134" t="s">
        <v>3944</v>
      </c>
      <c r="F804" s="71"/>
      <c r="G804" s="71"/>
      <c r="H804" s="153"/>
      <c r="I804" s="154"/>
      <c r="J804" s="65"/>
      <c r="K804" s="40"/>
      <c r="L804" s="40"/>
      <c r="M804" s="40"/>
      <c r="N804" s="40"/>
      <c r="O804" s="40"/>
    </row>
    <row r="805" spans="1:15" ht="12.75">
      <c r="A805" s="44"/>
      <c r="B805" s="147" t="s">
        <v>97</v>
      </c>
      <c r="C805" s="131" t="s">
        <v>2284</v>
      </c>
      <c r="D805" s="42" t="s">
        <v>2401</v>
      </c>
      <c r="E805" s="134" t="s">
        <v>3945</v>
      </c>
      <c r="F805" s="71"/>
      <c r="G805" s="71"/>
      <c r="H805" s="153"/>
      <c r="I805" s="154"/>
      <c r="J805" s="65"/>
      <c r="K805" s="40"/>
      <c r="L805" s="40"/>
      <c r="M805" s="40"/>
      <c r="N805" s="40"/>
      <c r="O805" s="40"/>
    </row>
    <row r="806" spans="1:15" ht="12.75">
      <c r="A806" s="44"/>
      <c r="B806" s="147" t="s">
        <v>97</v>
      </c>
      <c r="C806" s="10" t="s">
        <v>2285</v>
      </c>
      <c r="D806" s="42" t="s">
        <v>2401</v>
      </c>
      <c r="E806" s="134" t="s">
        <v>3946</v>
      </c>
      <c r="F806" s="71"/>
      <c r="G806" s="71"/>
      <c r="H806" s="153"/>
      <c r="I806" s="154"/>
      <c r="J806" s="65"/>
      <c r="K806" s="40"/>
      <c r="L806" s="40"/>
      <c r="M806" s="40"/>
      <c r="N806" s="40"/>
      <c r="O806" s="40"/>
    </row>
    <row r="807" spans="1:15" ht="12.75">
      <c r="A807" s="44"/>
      <c r="B807" s="147" t="s">
        <v>97</v>
      </c>
      <c r="C807" s="10" t="s">
        <v>2286</v>
      </c>
      <c r="D807" s="42" t="s">
        <v>2401</v>
      </c>
      <c r="E807" s="134" t="s">
        <v>3947</v>
      </c>
      <c r="F807" s="89"/>
      <c r="G807" s="89"/>
      <c r="H807" s="148"/>
      <c r="I807" s="149"/>
      <c r="J807" s="90"/>
      <c r="K807" s="43"/>
      <c r="L807" s="39"/>
      <c r="M807" s="39"/>
      <c r="N807" s="39"/>
      <c r="O807" s="39"/>
    </row>
    <row r="808" spans="1:15" ht="12.75">
      <c r="A808" s="60"/>
      <c r="B808" s="147" t="s">
        <v>97</v>
      </c>
      <c r="C808" s="63" t="s">
        <v>97</v>
      </c>
      <c r="D808" s="63"/>
      <c r="E808" s="202"/>
      <c r="F808" s="61"/>
      <c r="G808" s="61"/>
      <c r="H808" s="210"/>
      <c r="I808" s="211"/>
      <c r="J808" s="86"/>
      <c r="K808" s="87"/>
      <c r="L808" s="88"/>
      <c r="M808" s="88"/>
      <c r="N808" s="88"/>
      <c r="O808" s="88"/>
    </row>
    <row r="809" spans="1:15" ht="12.75">
      <c r="A809" s="60"/>
      <c r="B809" s="147" t="s">
        <v>97</v>
      </c>
      <c r="C809" s="63" t="s">
        <v>97</v>
      </c>
      <c r="D809" s="63"/>
      <c r="E809" s="202"/>
      <c r="F809" s="61"/>
      <c r="G809" s="61"/>
      <c r="H809" s="210"/>
      <c r="I809" s="211"/>
      <c r="J809" s="86"/>
      <c r="K809" s="87"/>
      <c r="L809" s="88"/>
      <c r="M809" s="88"/>
      <c r="N809" s="88"/>
      <c r="O809" s="88"/>
    </row>
    <row r="810" spans="1:15" ht="12.75">
      <c r="A810" s="13" t="s">
        <v>744</v>
      </c>
      <c r="B810" s="147" t="s">
        <v>131</v>
      </c>
      <c r="C810" s="10" t="s">
        <v>746</v>
      </c>
      <c r="D810" s="42" t="s">
        <v>2401</v>
      </c>
      <c r="E810" s="143" t="s">
        <v>3031</v>
      </c>
      <c r="F810" s="144"/>
      <c r="G810" s="83"/>
      <c r="H810" s="145"/>
      <c r="I810" s="146"/>
      <c r="J810" s="93"/>
      <c r="K810" s="104"/>
      <c r="L810" s="94"/>
      <c r="M810" s="94"/>
      <c r="N810" s="94"/>
      <c r="O810" s="94"/>
    </row>
    <row r="811" spans="1:15" ht="12.75">
      <c r="A811" s="13"/>
      <c r="B811" s="147" t="s">
        <v>97</v>
      </c>
      <c r="C811" s="10" t="s">
        <v>748</v>
      </c>
      <c r="D811" s="42" t="s">
        <v>2401</v>
      </c>
      <c r="E811" s="134" t="s">
        <v>3032</v>
      </c>
      <c r="F811" s="72"/>
      <c r="G811" s="72"/>
      <c r="H811" s="151"/>
      <c r="I811" s="152"/>
      <c r="J811" s="84"/>
      <c r="K811" s="100"/>
      <c r="L811" s="81"/>
      <c r="M811" s="81"/>
      <c r="N811" s="81"/>
      <c r="O811" s="81"/>
    </row>
    <row r="812" spans="1:15" ht="12.75">
      <c r="A812" s="13"/>
      <c r="B812" s="147" t="s">
        <v>97</v>
      </c>
      <c r="C812" s="10" t="s">
        <v>750</v>
      </c>
      <c r="D812" s="42" t="s">
        <v>2401</v>
      </c>
      <c r="E812" s="134" t="s">
        <v>3033</v>
      </c>
      <c r="F812" s="72"/>
      <c r="G812" s="72"/>
      <c r="H812" s="151"/>
      <c r="I812" s="152"/>
      <c r="J812" s="84"/>
      <c r="K812" s="100"/>
      <c r="L812" s="81"/>
      <c r="M812" s="81"/>
      <c r="N812" s="81"/>
      <c r="O812" s="81"/>
    </row>
    <row r="813" spans="1:15" ht="12.75">
      <c r="A813" s="13"/>
      <c r="B813" s="147" t="s">
        <v>97</v>
      </c>
      <c r="C813" s="10" t="s">
        <v>752</v>
      </c>
      <c r="D813" s="42" t="s">
        <v>2401</v>
      </c>
      <c r="E813" s="134" t="s">
        <v>3034</v>
      </c>
      <c r="F813" s="72"/>
      <c r="G813" s="72"/>
      <c r="H813" s="151"/>
      <c r="I813" s="152"/>
      <c r="J813" s="84"/>
      <c r="K813" s="100"/>
      <c r="L813" s="81"/>
      <c r="M813" s="81"/>
      <c r="N813" s="81"/>
      <c r="O813" s="81"/>
    </row>
    <row r="814" spans="1:15" ht="12.75">
      <c r="A814" s="13"/>
      <c r="B814" s="147" t="s">
        <v>97</v>
      </c>
      <c r="C814" s="10" t="s">
        <v>754</v>
      </c>
      <c r="D814" s="42" t="s">
        <v>2401</v>
      </c>
      <c r="E814" s="134" t="s">
        <v>3035</v>
      </c>
      <c r="F814" s="72"/>
      <c r="G814" s="72"/>
      <c r="H814" s="151"/>
      <c r="I814" s="152"/>
      <c r="J814" s="84"/>
      <c r="K814" s="100"/>
      <c r="L814" s="81"/>
      <c r="M814" s="81"/>
      <c r="N814" s="81"/>
      <c r="O814" s="81"/>
    </row>
    <row r="815" spans="1:15" ht="12.75">
      <c r="A815" s="13"/>
      <c r="B815" s="147" t="s">
        <v>97</v>
      </c>
      <c r="C815" s="10" t="s">
        <v>756</v>
      </c>
      <c r="D815" s="42" t="s">
        <v>2401</v>
      </c>
      <c r="E815" s="134" t="s">
        <v>3036</v>
      </c>
      <c r="F815" s="72"/>
      <c r="G815" s="72"/>
      <c r="H815" s="151"/>
      <c r="I815" s="152"/>
      <c r="J815" s="84"/>
      <c r="K815" s="100"/>
      <c r="L815" s="81"/>
      <c r="M815" s="81"/>
      <c r="N815" s="81"/>
      <c r="O815" s="81"/>
    </row>
    <row r="816" spans="1:15" ht="12.75">
      <c r="A816" s="13"/>
      <c r="B816" s="147" t="s">
        <v>97</v>
      </c>
      <c r="C816" s="10" t="s">
        <v>758</v>
      </c>
      <c r="D816" s="42" t="s">
        <v>2401</v>
      </c>
      <c r="E816" s="134" t="s">
        <v>3037</v>
      </c>
      <c r="F816" s="72"/>
      <c r="G816" s="72"/>
      <c r="H816" s="151"/>
      <c r="I816" s="152"/>
      <c r="J816" s="84"/>
      <c r="K816" s="100"/>
      <c r="L816" s="81"/>
      <c r="M816" s="81"/>
      <c r="N816" s="81"/>
      <c r="O816" s="81"/>
    </row>
    <row r="817" spans="1:15" ht="12.75">
      <c r="A817" s="13"/>
      <c r="B817" s="147" t="s">
        <v>97</v>
      </c>
      <c r="C817" s="10" t="s">
        <v>760</v>
      </c>
      <c r="D817" s="42" t="s">
        <v>2401</v>
      </c>
      <c r="E817" s="134" t="s">
        <v>3038</v>
      </c>
      <c r="F817" s="72"/>
      <c r="G817" s="72"/>
      <c r="H817" s="151"/>
      <c r="I817" s="152"/>
      <c r="J817" s="84"/>
      <c r="K817" s="100"/>
      <c r="L817" s="81"/>
      <c r="M817" s="81"/>
      <c r="N817" s="81"/>
      <c r="O817" s="81"/>
    </row>
    <row r="818" spans="1:15" ht="12.75">
      <c r="A818" s="13"/>
      <c r="B818" s="147" t="s">
        <v>97</v>
      </c>
      <c r="C818" s="10" t="s">
        <v>762</v>
      </c>
      <c r="D818" s="42" t="s">
        <v>2401</v>
      </c>
      <c r="E818" s="134" t="s">
        <v>3039</v>
      </c>
      <c r="F818" s="72"/>
      <c r="G818" s="72"/>
      <c r="H818" s="151"/>
      <c r="I818" s="152"/>
      <c r="J818" s="84"/>
      <c r="K818" s="100"/>
      <c r="L818" s="81"/>
      <c r="M818" s="81"/>
      <c r="N818" s="81"/>
      <c r="O818" s="81"/>
    </row>
    <row r="819" spans="1:15" ht="12.75">
      <c r="A819" s="13"/>
      <c r="B819" s="147" t="s">
        <v>97</v>
      </c>
      <c r="C819" s="10" t="s">
        <v>764</v>
      </c>
      <c r="D819" s="42" t="s">
        <v>2401</v>
      </c>
      <c r="E819" s="134" t="s">
        <v>3040</v>
      </c>
      <c r="F819" s="72"/>
      <c r="G819" s="72"/>
      <c r="H819" s="151"/>
      <c r="I819" s="152"/>
      <c r="J819" s="84"/>
      <c r="K819" s="100"/>
      <c r="L819" s="81"/>
      <c r="M819" s="81"/>
      <c r="N819" s="81"/>
      <c r="O819" s="81"/>
    </row>
    <row r="820" spans="1:15" ht="12.75">
      <c r="A820" s="13"/>
      <c r="B820" s="147" t="s">
        <v>97</v>
      </c>
      <c r="C820" s="10" t="s">
        <v>766</v>
      </c>
      <c r="D820" s="42" t="s">
        <v>2401</v>
      </c>
      <c r="E820" s="134" t="s">
        <v>3041</v>
      </c>
      <c r="F820" s="72"/>
      <c r="G820" s="72"/>
      <c r="H820" s="151"/>
      <c r="I820" s="152"/>
      <c r="J820" s="84"/>
      <c r="K820" s="100"/>
      <c r="L820" s="81"/>
      <c r="M820" s="81"/>
      <c r="N820" s="81"/>
      <c r="O820" s="81"/>
    </row>
    <row r="821" spans="1:15" ht="12.75">
      <c r="A821" s="13"/>
      <c r="B821" s="147" t="s">
        <v>97</v>
      </c>
      <c r="C821" s="10" t="s">
        <v>768</v>
      </c>
      <c r="D821" s="42" t="s">
        <v>2401</v>
      </c>
      <c r="E821" s="134" t="s">
        <v>3042</v>
      </c>
      <c r="F821" s="72"/>
      <c r="G821" s="72"/>
      <c r="H821" s="151"/>
      <c r="I821" s="152"/>
      <c r="J821" s="84"/>
      <c r="K821" s="100"/>
      <c r="L821" s="81"/>
      <c r="M821" s="81"/>
      <c r="N821" s="81"/>
      <c r="O821" s="81"/>
    </row>
    <row r="822" spans="1:15" ht="12.75">
      <c r="A822" s="13"/>
      <c r="B822" s="147" t="s">
        <v>97</v>
      </c>
      <c r="C822" s="10" t="s">
        <v>770</v>
      </c>
      <c r="D822" s="42" t="s">
        <v>2401</v>
      </c>
      <c r="E822" s="134" t="s">
        <v>3043</v>
      </c>
      <c r="F822" s="188"/>
      <c r="G822" s="71"/>
      <c r="H822" s="153"/>
      <c r="I822" s="189"/>
      <c r="J822" s="118"/>
      <c r="K822" s="42"/>
      <c r="L822" s="42"/>
      <c r="M822" s="42"/>
      <c r="N822" s="42"/>
      <c r="O822" s="42"/>
    </row>
    <row r="823" spans="1:15" ht="12.75">
      <c r="A823" s="13"/>
      <c r="B823" s="147" t="s">
        <v>97</v>
      </c>
      <c r="C823" s="10" t="s">
        <v>772</v>
      </c>
      <c r="D823" s="42" t="s">
        <v>2401</v>
      </c>
      <c r="E823" s="134" t="s">
        <v>3044</v>
      </c>
      <c r="F823" s="72"/>
      <c r="G823" s="72"/>
      <c r="H823" s="151"/>
      <c r="I823" s="152"/>
      <c r="J823" s="84"/>
      <c r="K823" s="100"/>
      <c r="L823" s="81"/>
      <c r="M823" s="81"/>
      <c r="N823" s="81"/>
      <c r="O823" s="81"/>
    </row>
    <row r="824" spans="1:15" ht="12.75">
      <c r="A824" s="13"/>
      <c r="B824" s="147" t="s">
        <v>97</v>
      </c>
      <c r="C824" s="10" t="s">
        <v>774</v>
      </c>
      <c r="D824" s="42" t="s">
        <v>2401</v>
      </c>
      <c r="E824" s="134" t="s">
        <v>3045</v>
      </c>
      <c r="F824" s="72"/>
      <c r="G824" s="72"/>
      <c r="H824" s="151"/>
      <c r="I824" s="152"/>
      <c r="J824" s="84"/>
      <c r="K824" s="100"/>
      <c r="L824" s="81"/>
      <c r="M824" s="81"/>
      <c r="N824" s="81"/>
      <c r="O824" s="81"/>
    </row>
    <row r="825" spans="1:15" ht="12.75">
      <c r="A825" s="13"/>
      <c r="B825" s="147" t="s">
        <v>97</v>
      </c>
      <c r="C825" s="10" t="s">
        <v>776</v>
      </c>
      <c r="D825" s="42" t="s">
        <v>2401</v>
      </c>
      <c r="E825" s="134" t="s">
        <v>3046</v>
      </c>
      <c r="F825" s="72"/>
      <c r="G825" s="72"/>
      <c r="H825" s="151"/>
      <c r="I825" s="152"/>
      <c r="J825" s="84"/>
      <c r="K825" s="100"/>
      <c r="L825" s="81"/>
      <c r="M825" s="81"/>
      <c r="N825" s="81"/>
      <c r="O825" s="81"/>
    </row>
    <row r="826" spans="1:15" ht="12.75">
      <c r="A826" s="13"/>
      <c r="B826" s="147" t="s">
        <v>97</v>
      </c>
      <c r="C826" s="10" t="s">
        <v>778</v>
      </c>
      <c r="D826" s="42" t="s">
        <v>2401</v>
      </c>
      <c r="E826" s="134" t="s">
        <v>3047</v>
      </c>
      <c r="F826" s="89"/>
      <c r="G826" s="89"/>
      <c r="H826" s="148"/>
      <c r="I826" s="149"/>
      <c r="J826" s="90"/>
      <c r="K826" s="43"/>
      <c r="L826" s="39"/>
      <c r="M826" s="39"/>
      <c r="N826" s="39"/>
      <c r="O826" s="39"/>
    </row>
    <row r="827" spans="1:15" ht="12.75">
      <c r="A827" s="13"/>
      <c r="B827" s="147" t="s">
        <v>97</v>
      </c>
      <c r="C827" s="10" t="s">
        <v>780</v>
      </c>
      <c r="D827" s="42" t="s">
        <v>2401</v>
      </c>
      <c r="E827" s="134" t="s">
        <v>3048</v>
      </c>
      <c r="F827" s="72"/>
      <c r="G827" s="72"/>
      <c r="H827" s="151"/>
      <c r="I827" s="152"/>
      <c r="J827" s="84"/>
      <c r="K827" s="100"/>
      <c r="L827" s="81"/>
      <c r="M827" s="81"/>
      <c r="N827" s="81"/>
      <c r="O827" s="81"/>
    </row>
    <row r="828" spans="1:15" ht="12.75">
      <c r="A828" s="13"/>
      <c r="B828" s="147" t="s">
        <v>97</v>
      </c>
      <c r="C828" s="10" t="s">
        <v>782</v>
      </c>
      <c r="D828" s="42" t="s">
        <v>2401</v>
      </c>
      <c r="E828" s="134" t="s">
        <v>3049</v>
      </c>
      <c r="F828" s="89"/>
      <c r="G828" s="89"/>
      <c r="H828" s="148"/>
      <c r="I828" s="149"/>
      <c r="J828" s="90"/>
      <c r="K828" s="43"/>
      <c r="L828" s="39"/>
      <c r="M828" s="39"/>
      <c r="N828" s="39"/>
      <c r="O828" s="39"/>
    </row>
    <row r="829" spans="1:15" ht="12.75">
      <c r="A829" s="13"/>
      <c r="B829" s="147" t="s">
        <v>97</v>
      </c>
      <c r="C829" s="10" t="s">
        <v>784</v>
      </c>
      <c r="D829" s="42" t="s">
        <v>2401</v>
      </c>
      <c r="E829" s="134" t="s">
        <v>3050</v>
      </c>
      <c r="F829" s="72"/>
      <c r="G829" s="72"/>
      <c r="H829" s="151"/>
      <c r="I829" s="152"/>
      <c r="J829" s="84"/>
      <c r="K829" s="100"/>
      <c r="L829" s="81"/>
      <c r="M829" s="81"/>
      <c r="N829" s="81"/>
      <c r="O829" s="81"/>
    </row>
    <row r="830" spans="1:15" ht="12.75">
      <c r="A830" s="13"/>
      <c r="B830" s="147" t="s">
        <v>97</v>
      </c>
      <c r="C830" s="10" t="s">
        <v>786</v>
      </c>
      <c r="D830" s="42" t="s">
        <v>2401</v>
      </c>
      <c r="E830" s="134" t="s">
        <v>3051</v>
      </c>
      <c r="F830" s="72"/>
      <c r="G830" s="72"/>
      <c r="H830" s="151"/>
      <c r="I830" s="152"/>
      <c r="J830" s="84"/>
      <c r="K830" s="100"/>
      <c r="L830" s="81"/>
      <c r="M830" s="81"/>
      <c r="N830" s="81"/>
      <c r="O830" s="81"/>
    </row>
    <row r="831" spans="1:15" ht="12.75">
      <c r="A831" s="13"/>
      <c r="B831" s="147" t="s">
        <v>97</v>
      </c>
      <c r="C831" s="10" t="s">
        <v>788</v>
      </c>
      <c r="D831" s="42" t="s">
        <v>2401</v>
      </c>
      <c r="E831" s="134" t="s">
        <v>3052</v>
      </c>
      <c r="F831" s="89"/>
      <c r="G831" s="89"/>
      <c r="H831" s="148"/>
      <c r="I831" s="149"/>
      <c r="J831" s="90"/>
      <c r="K831" s="43"/>
      <c r="L831" s="39"/>
      <c r="M831" s="39"/>
      <c r="N831" s="39"/>
      <c r="O831" s="39"/>
    </row>
    <row r="832" spans="1:15" ht="12.75">
      <c r="A832" s="13"/>
      <c r="B832" s="147" t="s">
        <v>97</v>
      </c>
      <c r="C832" s="10" t="s">
        <v>790</v>
      </c>
      <c r="D832" s="42" t="s">
        <v>2401</v>
      </c>
      <c r="E832" s="134" t="s">
        <v>3053</v>
      </c>
      <c r="F832" s="72"/>
      <c r="G832" s="72"/>
      <c r="H832" s="151"/>
      <c r="I832" s="152"/>
      <c r="J832" s="84"/>
      <c r="K832" s="100"/>
      <c r="L832" s="81"/>
      <c r="M832" s="81"/>
      <c r="N832" s="81"/>
      <c r="O832" s="81"/>
    </row>
    <row r="833" spans="1:15" ht="12.75">
      <c r="A833" s="13"/>
      <c r="B833" s="147" t="s">
        <v>97</v>
      </c>
      <c r="C833" s="10" t="s">
        <v>792</v>
      </c>
      <c r="D833" s="42" t="s">
        <v>2401</v>
      </c>
      <c r="E833" s="134" t="s">
        <v>3054</v>
      </c>
      <c r="F833" s="72"/>
      <c r="G833" s="72"/>
      <c r="H833" s="151"/>
      <c r="I833" s="152"/>
      <c r="J833" s="84"/>
      <c r="K833" s="100"/>
      <c r="L833" s="81"/>
      <c r="M833" s="81"/>
      <c r="N833" s="81"/>
      <c r="O833" s="81"/>
    </row>
    <row r="834" spans="1:15" ht="12.75">
      <c r="A834" s="13"/>
      <c r="B834" s="147" t="s">
        <v>97</v>
      </c>
      <c r="C834" s="10" t="s">
        <v>794</v>
      </c>
      <c r="D834" s="42" t="s">
        <v>2401</v>
      </c>
      <c r="E834" s="134" t="s">
        <v>3055</v>
      </c>
      <c r="F834" s="72"/>
      <c r="G834" s="72"/>
      <c r="H834" s="151"/>
      <c r="I834" s="152"/>
      <c r="J834" s="84"/>
      <c r="K834" s="100"/>
      <c r="L834" s="81"/>
      <c r="M834" s="81"/>
      <c r="N834" s="81"/>
      <c r="O834" s="81"/>
    </row>
    <row r="835" spans="1:15" ht="12.75">
      <c r="A835" s="13"/>
      <c r="B835" s="147" t="s">
        <v>97</v>
      </c>
      <c r="C835" s="10" t="s">
        <v>796</v>
      </c>
      <c r="D835" s="42" t="s">
        <v>2401</v>
      </c>
      <c r="E835" s="134" t="s">
        <v>3056</v>
      </c>
      <c r="F835" s="72"/>
      <c r="G835" s="72"/>
      <c r="H835" s="151"/>
      <c r="I835" s="152"/>
      <c r="J835" s="84"/>
      <c r="K835" s="100"/>
      <c r="L835" s="81"/>
      <c r="M835" s="81"/>
      <c r="N835" s="81"/>
      <c r="O835" s="81"/>
    </row>
    <row r="836" spans="1:15" ht="12.75">
      <c r="A836" s="13"/>
      <c r="B836" s="147" t="s">
        <v>97</v>
      </c>
      <c r="C836" s="10" t="s">
        <v>798</v>
      </c>
      <c r="D836" s="42" t="s">
        <v>2401</v>
      </c>
      <c r="E836" s="134" t="s">
        <v>3057</v>
      </c>
      <c r="F836" s="72"/>
      <c r="G836" s="72"/>
      <c r="H836" s="151"/>
      <c r="I836" s="152"/>
      <c r="J836" s="84"/>
      <c r="K836" s="100"/>
      <c r="L836" s="81"/>
      <c r="M836" s="81"/>
      <c r="N836" s="81"/>
      <c r="O836" s="81"/>
    </row>
    <row r="837" spans="1:15" ht="12.75">
      <c r="A837" s="13"/>
      <c r="B837" s="147" t="s">
        <v>97</v>
      </c>
      <c r="C837" s="10" t="s">
        <v>800</v>
      </c>
      <c r="D837" s="42" t="s">
        <v>2401</v>
      </c>
      <c r="E837" s="134" t="s">
        <v>3058</v>
      </c>
      <c r="F837" s="72"/>
      <c r="G837" s="72"/>
      <c r="H837" s="151"/>
      <c r="I837" s="152"/>
      <c r="J837" s="84"/>
      <c r="K837" s="100"/>
      <c r="L837" s="81"/>
      <c r="M837" s="81"/>
      <c r="N837" s="81"/>
      <c r="O837" s="81"/>
    </row>
    <row r="838" spans="1:15" ht="12.75">
      <c r="A838" s="13"/>
      <c r="B838" s="147" t="s">
        <v>97</v>
      </c>
      <c r="C838" s="10" t="s">
        <v>802</v>
      </c>
      <c r="D838" s="42" t="s">
        <v>2401</v>
      </c>
      <c r="E838" s="134" t="s">
        <v>3059</v>
      </c>
      <c r="F838" s="72"/>
      <c r="G838" s="72"/>
      <c r="H838" s="151"/>
      <c r="I838" s="152"/>
      <c r="J838" s="84"/>
      <c r="K838" s="100"/>
      <c r="L838" s="81"/>
      <c r="M838" s="81"/>
      <c r="N838" s="81"/>
      <c r="O838" s="81"/>
    </row>
    <row r="839" spans="1:15" ht="12.75">
      <c r="A839" s="13"/>
      <c r="B839" s="147" t="s">
        <v>97</v>
      </c>
      <c r="C839" s="10" t="s">
        <v>804</v>
      </c>
      <c r="D839" s="42" t="s">
        <v>2401</v>
      </c>
      <c r="E839" s="134" t="s">
        <v>3060</v>
      </c>
      <c r="F839" s="72"/>
      <c r="G839" s="72"/>
      <c r="H839" s="151"/>
      <c r="I839" s="152"/>
      <c r="J839" s="84"/>
      <c r="K839" s="100"/>
      <c r="L839" s="81"/>
      <c r="M839" s="81"/>
      <c r="N839" s="81"/>
      <c r="O839" s="81"/>
    </row>
    <row r="840" spans="1:15" ht="12.75">
      <c r="A840" s="13"/>
      <c r="B840" s="147" t="s">
        <v>97</v>
      </c>
      <c r="C840" s="10" t="s">
        <v>806</v>
      </c>
      <c r="D840" s="42" t="s">
        <v>2401</v>
      </c>
      <c r="E840" s="134" t="s">
        <v>3061</v>
      </c>
      <c r="F840" s="72"/>
      <c r="G840" s="72"/>
      <c r="H840" s="151"/>
      <c r="I840" s="152"/>
      <c r="J840" s="84"/>
      <c r="K840" s="100"/>
      <c r="L840" s="81"/>
      <c r="M840" s="81"/>
      <c r="N840" s="81"/>
      <c r="O840" s="81"/>
    </row>
    <row r="841" spans="1:15" ht="12.75">
      <c r="A841" s="13"/>
      <c r="B841" s="147" t="s">
        <v>97</v>
      </c>
      <c r="C841" s="10" t="s">
        <v>808</v>
      </c>
      <c r="D841" s="42" t="s">
        <v>2401</v>
      </c>
      <c r="E841" s="134" t="s">
        <v>3062</v>
      </c>
      <c r="F841" s="72"/>
      <c r="G841" s="72"/>
      <c r="H841" s="151"/>
      <c r="I841" s="152"/>
      <c r="J841" s="84"/>
      <c r="K841" s="100"/>
      <c r="L841" s="81"/>
      <c r="M841" s="81"/>
      <c r="N841" s="81"/>
      <c r="O841" s="81"/>
    </row>
    <row r="842" spans="1:15" ht="12.75">
      <c r="A842" s="13"/>
      <c r="B842" s="147" t="s">
        <v>97</v>
      </c>
      <c r="C842" s="10" t="s">
        <v>810</v>
      </c>
      <c r="D842" s="42" t="s">
        <v>2401</v>
      </c>
      <c r="E842" s="134" t="s">
        <v>3063</v>
      </c>
      <c r="F842" s="72"/>
      <c r="G842" s="72"/>
      <c r="H842" s="151"/>
      <c r="I842" s="152"/>
      <c r="J842" s="84"/>
      <c r="K842" s="100"/>
      <c r="L842" s="81"/>
      <c r="M842" s="81"/>
      <c r="N842" s="81"/>
      <c r="O842" s="81"/>
    </row>
    <row r="843" spans="1:15" ht="12.75">
      <c r="A843" s="13"/>
      <c r="B843" s="147" t="s">
        <v>97</v>
      </c>
      <c r="C843" s="10" t="s">
        <v>812</v>
      </c>
      <c r="D843" s="42" t="s">
        <v>2401</v>
      </c>
      <c r="E843" s="134" t="s">
        <v>3064</v>
      </c>
      <c r="F843" s="72"/>
      <c r="G843" s="72"/>
      <c r="H843" s="151"/>
      <c r="I843" s="152"/>
      <c r="J843" s="84"/>
      <c r="K843" s="100"/>
      <c r="L843" s="81"/>
      <c r="M843" s="81"/>
      <c r="N843" s="81"/>
      <c r="O843" s="81"/>
    </row>
    <row r="844" spans="1:15" ht="12.75">
      <c r="A844" s="13"/>
      <c r="B844" s="147" t="s">
        <v>97</v>
      </c>
      <c r="C844" s="10" t="s">
        <v>814</v>
      </c>
      <c r="D844" s="42" t="s">
        <v>2401</v>
      </c>
      <c r="E844" s="134" t="s">
        <v>3065</v>
      </c>
      <c r="F844" s="72"/>
      <c r="G844" s="72"/>
      <c r="H844" s="151"/>
      <c r="I844" s="152"/>
      <c r="J844" s="84"/>
      <c r="K844" s="100"/>
      <c r="L844" s="81"/>
      <c r="M844" s="81"/>
      <c r="N844" s="81"/>
      <c r="O844" s="81"/>
    </row>
    <row r="845" spans="1:15" ht="12.75">
      <c r="A845" s="13"/>
      <c r="B845" s="147" t="s">
        <v>97</v>
      </c>
      <c r="C845" s="10" t="s">
        <v>816</v>
      </c>
      <c r="D845" s="42" t="s">
        <v>2401</v>
      </c>
      <c r="E845" s="134" t="s">
        <v>3066</v>
      </c>
      <c r="F845" s="89"/>
      <c r="G845" s="89"/>
      <c r="H845" s="148"/>
      <c r="I845" s="149"/>
      <c r="J845" s="90"/>
      <c r="K845" s="43"/>
      <c r="L845" s="39"/>
      <c r="M845" s="39"/>
      <c r="N845" s="39"/>
      <c r="O845" s="39"/>
    </row>
    <row r="846" spans="1:15" ht="12.75">
      <c r="A846" s="13"/>
      <c r="B846" s="147" t="s">
        <v>97</v>
      </c>
      <c r="C846" s="10" t="s">
        <v>818</v>
      </c>
      <c r="D846" s="42" t="s">
        <v>2401</v>
      </c>
      <c r="E846" s="134" t="s">
        <v>3067</v>
      </c>
      <c r="F846" s="72"/>
      <c r="G846" s="72"/>
      <c r="H846" s="151"/>
      <c r="I846" s="152"/>
      <c r="J846" s="84"/>
      <c r="K846" s="100"/>
      <c r="L846" s="81"/>
      <c r="M846" s="81"/>
      <c r="N846" s="81"/>
      <c r="O846" s="81"/>
    </row>
    <row r="847" spans="1:15" ht="12.75">
      <c r="A847" s="13"/>
      <c r="B847" s="147" t="s">
        <v>97</v>
      </c>
      <c r="C847" s="10" t="s">
        <v>820</v>
      </c>
      <c r="D847" s="42" t="s">
        <v>2401</v>
      </c>
      <c r="E847" s="134" t="s">
        <v>3068</v>
      </c>
      <c r="F847" s="72"/>
      <c r="G847" s="72"/>
      <c r="H847" s="151"/>
      <c r="I847" s="152"/>
      <c r="J847" s="84"/>
      <c r="K847" s="100"/>
      <c r="L847" s="81"/>
      <c r="M847" s="81"/>
      <c r="N847" s="81"/>
      <c r="O847" s="81"/>
    </row>
    <row r="848" spans="1:15" ht="12.75">
      <c r="A848" s="13"/>
      <c r="B848" s="147" t="s">
        <v>97</v>
      </c>
      <c r="C848" s="10" t="s">
        <v>822</v>
      </c>
      <c r="D848" s="42" t="s">
        <v>2401</v>
      </c>
      <c r="E848" s="134" t="s">
        <v>3069</v>
      </c>
      <c r="F848" s="72"/>
      <c r="G848" s="72"/>
      <c r="H848" s="151"/>
      <c r="I848" s="152"/>
      <c r="J848" s="84"/>
      <c r="K848" s="100"/>
      <c r="L848" s="81"/>
      <c r="M848" s="81"/>
      <c r="N848" s="81"/>
      <c r="O848" s="81"/>
    </row>
    <row r="849" spans="1:15" ht="12.75">
      <c r="A849" s="13"/>
      <c r="B849" s="147" t="s">
        <v>97</v>
      </c>
      <c r="C849" s="10" t="s">
        <v>824</v>
      </c>
      <c r="D849" s="42" t="s">
        <v>2401</v>
      </c>
      <c r="E849" s="134" t="s">
        <v>3070</v>
      </c>
      <c r="F849" s="72"/>
      <c r="G849" s="72"/>
      <c r="H849" s="151"/>
      <c r="I849" s="152"/>
      <c r="J849" s="84"/>
      <c r="K849" s="100"/>
      <c r="L849" s="81"/>
      <c r="M849" s="81"/>
      <c r="N849" s="81"/>
      <c r="O849" s="81"/>
    </row>
    <row r="850" spans="1:15" ht="12.75">
      <c r="A850" s="13"/>
      <c r="B850" s="147" t="s">
        <v>97</v>
      </c>
      <c r="C850" s="10" t="s">
        <v>826</v>
      </c>
      <c r="D850" s="42" t="s">
        <v>2401</v>
      </c>
      <c r="E850" s="134" t="s">
        <v>3071</v>
      </c>
      <c r="F850" s="72"/>
      <c r="G850" s="72"/>
      <c r="H850" s="151"/>
      <c r="I850" s="152"/>
      <c r="J850" s="84"/>
      <c r="K850" s="100"/>
      <c r="L850" s="81"/>
      <c r="M850" s="81"/>
      <c r="N850" s="81"/>
      <c r="O850" s="81"/>
    </row>
    <row r="851" spans="1:15" ht="12.75">
      <c r="A851" s="13"/>
      <c r="B851" s="147" t="s">
        <v>97</v>
      </c>
      <c r="C851" s="10" t="s">
        <v>827</v>
      </c>
      <c r="D851" s="42" t="s">
        <v>2401</v>
      </c>
      <c r="E851" s="134" t="s">
        <v>2323</v>
      </c>
      <c r="F851" s="72"/>
      <c r="G851" s="72"/>
      <c r="H851" s="151"/>
      <c r="I851" s="152"/>
      <c r="J851" s="84"/>
      <c r="K851" s="100"/>
      <c r="L851" s="81"/>
      <c r="M851" s="81"/>
      <c r="N851" s="81"/>
      <c r="O851" s="81"/>
    </row>
    <row r="852" spans="1:15" ht="12.75">
      <c r="A852" s="13"/>
      <c r="B852" s="147" t="s">
        <v>97</v>
      </c>
      <c r="C852" s="10" t="s">
        <v>829</v>
      </c>
      <c r="D852" s="42" t="s">
        <v>2401</v>
      </c>
      <c r="E852" s="134" t="s">
        <v>3072</v>
      </c>
      <c r="F852" s="72"/>
      <c r="G852" s="72"/>
      <c r="H852" s="151"/>
      <c r="I852" s="152"/>
      <c r="J852" s="84"/>
      <c r="K852" s="100"/>
      <c r="L852" s="81"/>
      <c r="M852" s="81"/>
      <c r="N852" s="81"/>
      <c r="O852" s="81"/>
    </row>
    <row r="853" spans="1:15" ht="12.75">
      <c r="A853" s="13"/>
      <c r="B853" s="147" t="s">
        <v>97</v>
      </c>
      <c r="C853" s="10" t="s">
        <v>831</v>
      </c>
      <c r="D853" s="42" t="s">
        <v>2401</v>
      </c>
      <c r="E853" s="134" t="s">
        <v>3073</v>
      </c>
      <c r="F853" s="72"/>
      <c r="G853" s="72"/>
      <c r="H853" s="151"/>
      <c r="I853" s="152"/>
      <c r="J853" s="84"/>
      <c r="K853" s="100"/>
      <c r="L853" s="81"/>
      <c r="M853" s="81"/>
      <c r="N853" s="81"/>
      <c r="O853" s="81"/>
    </row>
    <row r="854" spans="1:15" ht="12.75">
      <c r="A854" s="13"/>
      <c r="B854" s="147" t="s">
        <v>97</v>
      </c>
      <c r="C854" s="10" t="s">
        <v>833</v>
      </c>
      <c r="D854" s="42" t="s">
        <v>2401</v>
      </c>
      <c r="E854" s="134" t="s">
        <v>3074</v>
      </c>
      <c r="F854" s="72"/>
      <c r="G854" s="72"/>
      <c r="H854" s="151"/>
      <c r="I854" s="152"/>
      <c r="J854" s="84"/>
      <c r="K854" s="100"/>
      <c r="L854" s="81"/>
      <c r="M854" s="81"/>
      <c r="N854" s="81"/>
      <c r="O854" s="81"/>
    </row>
    <row r="855" spans="1:15" ht="12.75">
      <c r="A855" s="13"/>
      <c r="B855" s="147" t="s">
        <v>97</v>
      </c>
      <c r="C855" s="10" t="s">
        <v>835</v>
      </c>
      <c r="D855" s="42" t="s">
        <v>2401</v>
      </c>
      <c r="E855" s="134" t="s">
        <v>3075</v>
      </c>
      <c r="F855" s="72"/>
      <c r="G855" s="72"/>
      <c r="H855" s="151"/>
      <c r="I855" s="152"/>
      <c r="J855" s="84"/>
      <c r="K855" s="100"/>
      <c r="L855" s="81"/>
      <c r="M855" s="81"/>
      <c r="N855" s="81"/>
      <c r="O855" s="81"/>
    </row>
    <row r="856" spans="1:15" ht="12.75">
      <c r="A856" s="13"/>
      <c r="B856" s="147" t="s">
        <v>97</v>
      </c>
      <c r="C856" s="10" t="s">
        <v>837</v>
      </c>
      <c r="D856" s="42" t="s">
        <v>2401</v>
      </c>
      <c r="E856" s="134" t="s">
        <v>3076</v>
      </c>
      <c r="F856" s="72"/>
      <c r="G856" s="72"/>
      <c r="H856" s="151"/>
      <c r="I856" s="152"/>
      <c r="J856" s="84"/>
      <c r="K856" s="100"/>
      <c r="L856" s="81"/>
      <c r="M856" s="81"/>
      <c r="N856" s="81"/>
      <c r="O856" s="81"/>
    </row>
    <row r="857" spans="1:15" ht="12.75">
      <c r="A857" s="13"/>
      <c r="B857" s="147" t="s">
        <v>97</v>
      </c>
      <c r="C857" s="10" t="s">
        <v>839</v>
      </c>
      <c r="D857" s="42" t="s">
        <v>2401</v>
      </c>
      <c r="E857" s="134" t="s">
        <v>3077</v>
      </c>
      <c r="F857" s="72"/>
      <c r="G857" s="72"/>
      <c r="H857" s="151"/>
      <c r="I857" s="152"/>
      <c r="J857" s="84"/>
      <c r="K857" s="100"/>
      <c r="L857" s="81"/>
      <c r="M857" s="81"/>
      <c r="N857" s="81"/>
      <c r="O857" s="81"/>
    </row>
    <row r="858" spans="1:15" ht="12.75">
      <c r="A858" s="13"/>
      <c r="B858" s="147" t="s">
        <v>97</v>
      </c>
      <c r="C858" s="10" t="s">
        <v>841</v>
      </c>
      <c r="D858" s="42" t="s">
        <v>2401</v>
      </c>
      <c r="E858" s="134" t="s">
        <v>3078</v>
      </c>
      <c r="F858" s="72"/>
      <c r="G858" s="72"/>
      <c r="H858" s="151"/>
      <c r="I858" s="152"/>
      <c r="J858" s="84"/>
      <c r="K858" s="100"/>
      <c r="L858" s="81"/>
      <c r="M858" s="81"/>
      <c r="N858" s="81"/>
      <c r="O858" s="81"/>
    </row>
    <row r="859" spans="1:15" ht="12.75">
      <c r="A859" s="13"/>
      <c r="B859" s="147" t="s">
        <v>97</v>
      </c>
      <c r="C859" s="10" t="s">
        <v>843</v>
      </c>
      <c r="D859" s="42" t="s">
        <v>2401</v>
      </c>
      <c r="E859" s="134" t="s">
        <v>3079</v>
      </c>
      <c r="F859" s="89"/>
      <c r="G859" s="89"/>
      <c r="H859" s="148"/>
      <c r="I859" s="149"/>
      <c r="J859" s="90"/>
      <c r="K859" s="43"/>
      <c r="L859" s="39"/>
      <c r="M859" s="39"/>
      <c r="N859" s="39"/>
      <c r="O859" s="39"/>
    </row>
    <row r="860" spans="1:15" ht="12.75">
      <c r="A860" s="13"/>
      <c r="B860" s="147" t="s">
        <v>97</v>
      </c>
      <c r="C860" s="10" t="s">
        <v>845</v>
      </c>
      <c r="D860" s="42" t="s">
        <v>2401</v>
      </c>
      <c r="E860" s="134" t="s">
        <v>3080</v>
      </c>
      <c r="F860" s="89"/>
      <c r="G860" s="89"/>
      <c r="H860" s="148"/>
      <c r="I860" s="149"/>
      <c r="J860" s="90"/>
      <c r="K860" s="43"/>
      <c r="L860" s="39"/>
      <c r="M860" s="39"/>
      <c r="N860" s="39"/>
      <c r="O860" s="39"/>
    </row>
    <row r="861" spans="1:15" ht="12.75">
      <c r="A861" s="13"/>
      <c r="B861" s="147" t="s">
        <v>97</v>
      </c>
      <c r="C861" s="10" t="s">
        <v>847</v>
      </c>
      <c r="D861" s="42" t="s">
        <v>2401</v>
      </c>
      <c r="E861" s="134" t="s">
        <v>3081</v>
      </c>
      <c r="F861" s="72"/>
      <c r="G861" s="72"/>
      <c r="H861" s="151"/>
      <c r="I861" s="152"/>
      <c r="J861" s="84"/>
      <c r="K861" s="100"/>
      <c r="L861" s="81"/>
      <c r="M861" s="81"/>
      <c r="N861" s="81"/>
      <c r="O861" s="81"/>
    </row>
    <row r="862" spans="1:15" ht="12.75">
      <c r="A862" s="13"/>
      <c r="B862" s="147" t="s">
        <v>97</v>
      </c>
      <c r="C862" s="10" t="s">
        <v>849</v>
      </c>
      <c r="D862" s="42" t="s">
        <v>2401</v>
      </c>
      <c r="E862" s="134" t="s">
        <v>3082</v>
      </c>
      <c r="F862" s="72"/>
      <c r="G862" s="72"/>
      <c r="H862" s="151"/>
      <c r="I862" s="152"/>
      <c r="J862" s="84"/>
      <c r="K862" s="100"/>
      <c r="L862" s="81"/>
      <c r="M862" s="81"/>
      <c r="N862" s="81"/>
      <c r="O862" s="81"/>
    </row>
    <row r="863" spans="1:15" ht="12.75">
      <c r="A863" s="13"/>
      <c r="B863" s="147" t="s">
        <v>97</v>
      </c>
      <c r="C863" s="10" t="s">
        <v>851</v>
      </c>
      <c r="D863" s="42" t="s">
        <v>2401</v>
      </c>
      <c r="E863" s="134" t="s">
        <v>3083</v>
      </c>
      <c r="F863" s="72"/>
      <c r="G863" s="72"/>
      <c r="H863" s="151"/>
      <c r="I863" s="152"/>
      <c r="J863" s="84"/>
      <c r="K863" s="100"/>
      <c r="L863" s="81"/>
      <c r="M863" s="81"/>
      <c r="N863" s="81"/>
      <c r="O863" s="81"/>
    </row>
    <row r="864" spans="1:15" ht="12.75">
      <c r="A864" s="13"/>
      <c r="B864" s="147" t="s">
        <v>97</v>
      </c>
      <c r="C864" s="10" t="s">
        <v>853</v>
      </c>
      <c r="D864" s="42" t="s">
        <v>2401</v>
      </c>
      <c r="E864" s="134" t="s">
        <v>3084</v>
      </c>
      <c r="F864" s="89"/>
      <c r="G864" s="89"/>
      <c r="H864" s="148"/>
      <c r="I864" s="149"/>
      <c r="J864" s="90"/>
      <c r="K864" s="43"/>
      <c r="L864" s="39"/>
      <c r="M864" s="39"/>
      <c r="N864" s="39"/>
      <c r="O864" s="39"/>
    </row>
    <row r="865" spans="1:15" ht="12.75">
      <c r="A865" s="13"/>
      <c r="B865" s="147" t="s">
        <v>97</v>
      </c>
      <c r="C865" s="10" t="s">
        <v>855</v>
      </c>
      <c r="D865" s="42" t="s">
        <v>2401</v>
      </c>
      <c r="E865" s="134" t="s">
        <v>3085</v>
      </c>
      <c r="F865" s="72"/>
      <c r="G865" s="72"/>
      <c r="H865" s="151"/>
      <c r="I865" s="152"/>
      <c r="J865" s="84"/>
      <c r="K865" s="100"/>
      <c r="L865" s="81"/>
      <c r="M865" s="81"/>
      <c r="N865" s="81"/>
      <c r="O865" s="81"/>
    </row>
    <row r="866" spans="1:15" ht="12.75">
      <c r="A866" s="13"/>
      <c r="B866" s="147" t="s">
        <v>97</v>
      </c>
      <c r="C866" s="10" t="s">
        <v>857</v>
      </c>
      <c r="D866" s="42" t="s">
        <v>2401</v>
      </c>
      <c r="E866" s="134" t="s">
        <v>3086</v>
      </c>
      <c r="F866" s="72"/>
      <c r="G866" s="72"/>
      <c r="H866" s="151"/>
      <c r="I866" s="152"/>
      <c r="J866" s="84"/>
      <c r="K866" s="100"/>
      <c r="L866" s="81"/>
      <c r="M866" s="81"/>
      <c r="N866" s="81"/>
      <c r="O866" s="81"/>
    </row>
    <row r="867" spans="1:15" ht="12.75">
      <c r="A867" s="13"/>
      <c r="B867" s="147" t="s">
        <v>97</v>
      </c>
      <c r="C867" s="10" t="s">
        <v>859</v>
      </c>
      <c r="D867" s="42" t="s">
        <v>2401</v>
      </c>
      <c r="E867" s="134" t="s">
        <v>3087</v>
      </c>
      <c r="F867" s="72"/>
      <c r="G867" s="72"/>
      <c r="H867" s="151"/>
      <c r="I867" s="152"/>
      <c r="J867" s="84"/>
      <c r="K867" s="100"/>
      <c r="L867" s="81"/>
      <c r="M867" s="81"/>
      <c r="N867" s="81"/>
      <c r="O867" s="81"/>
    </row>
    <row r="868" spans="1:15" ht="12.75">
      <c r="A868" s="13"/>
      <c r="B868" s="147" t="s">
        <v>97</v>
      </c>
      <c r="C868" s="10" t="s">
        <v>861</v>
      </c>
      <c r="D868" s="42" t="s">
        <v>2401</v>
      </c>
      <c r="E868" s="134" t="s">
        <v>3088</v>
      </c>
      <c r="F868" s="72"/>
      <c r="G868" s="72"/>
      <c r="H868" s="151"/>
      <c r="I868" s="152"/>
      <c r="J868" s="84"/>
      <c r="K868" s="100"/>
      <c r="L868" s="81"/>
      <c r="M868" s="81"/>
      <c r="N868" s="81"/>
      <c r="O868" s="81"/>
    </row>
    <row r="869" spans="1:15" ht="12.75">
      <c r="A869" s="44"/>
      <c r="B869" s="147" t="s">
        <v>97</v>
      </c>
      <c r="C869" s="10" t="s">
        <v>863</v>
      </c>
      <c r="D869" s="40" t="s">
        <v>2401</v>
      </c>
      <c r="E869" s="134" t="s">
        <v>3089</v>
      </c>
      <c r="F869" s="89"/>
      <c r="G869" s="89"/>
      <c r="H869" s="148"/>
      <c r="I869" s="149"/>
      <c r="J869" s="90"/>
      <c r="K869" s="39"/>
      <c r="L869" s="39"/>
      <c r="M869" s="39"/>
      <c r="N869" s="39"/>
      <c r="O869" s="39"/>
    </row>
    <row r="870" spans="1:15" ht="12.75">
      <c r="A870" s="13"/>
      <c r="B870" s="147" t="s">
        <v>97</v>
      </c>
      <c r="C870" s="10" t="s">
        <v>865</v>
      </c>
      <c r="D870" s="42" t="s">
        <v>2401</v>
      </c>
      <c r="E870" s="134" t="s">
        <v>3090</v>
      </c>
      <c r="F870" s="89"/>
      <c r="G870" s="89"/>
      <c r="H870" s="148"/>
      <c r="I870" s="149"/>
      <c r="J870" s="90"/>
      <c r="K870" s="43"/>
      <c r="L870" s="39"/>
      <c r="M870" s="39"/>
      <c r="N870" s="39"/>
      <c r="O870" s="39"/>
    </row>
    <row r="871" spans="1:15" ht="12.75">
      <c r="A871" s="13"/>
      <c r="B871" s="147" t="s">
        <v>97</v>
      </c>
      <c r="C871" s="10" t="s">
        <v>867</v>
      </c>
      <c r="D871" s="42" t="s">
        <v>2401</v>
      </c>
      <c r="E871" s="134" t="s">
        <v>3091</v>
      </c>
      <c r="F871" s="72"/>
      <c r="G871" s="72"/>
      <c r="H871" s="151"/>
      <c r="I871" s="152"/>
      <c r="J871" s="84"/>
      <c r="K871" s="100"/>
      <c r="L871" s="81"/>
      <c r="M871" s="81"/>
      <c r="N871" s="81"/>
      <c r="O871" s="81"/>
    </row>
    <row r="872" spans="1:15" ht="12.75">
      <c r="A872" s="13"/>
      <c r="B872" s="147" t="s">
        <v>97</v>
      </c>
      <c r="C872" s="10" t="s">
        <v>869</v>
      </c>
      <c r="D872" s="42" t="s">
        <v>2401</v>
      </c>
      <c r="E872" s="134" t="s">
        <v>3092</v>
      </c>
      <c r="F872" s="72"/>
      <c r="G872" s="72"/>
      <c r="H872" s="151"/>
      <c r="I872" s="152"/>
      <c r="J872" s="84"/>
      <c r="K872" s="100"/>
      <c r="L872" s="81"/>
      <c r="M872" s="81"/>
      <c r="N872" s="81"/>
      <c r="O872" s="81"/>
    </row>
    <row r="873" spans="1:15" ht="12.75">
      <c r="A873" s="13"/>
      <c r="B873" s="147" t="s">
        <v>97</v>
      </c>
      <c r="C873" s="10" t="s">
        <v>871</v>
      </c>
      <c r="D873" s="42" t="s">
        <v>2401</v>
      </c>
      <c r="E873" s="134" t="s">
        <v>3093</v>
      </c>
      <c r="F873" s="72"/>
      <c r="G873" s="72"/>
      <c r="H873" s="151"/>
      <c r="I873" s="152"/>
      <c r="J873" s="84"/>
      <c r="K873" s="100"/>
      <c r="L873" s="81"/>
      <c r="M873" s="81"/>
      <c r="N873" s="81"/>
      <c r="O873" s="81"/>
    </row>
    <row r="874" spans="1:15" ht="12.75">
      <c r="A874" s="13"/>
      <c r="B874" s="147" t="s">
        <v>97</v>
      </c>
      <c r="C874" s="10" t="s">
        <v>873</v>
      </c>
      <c r="D874" s="42" t="s">
        <v>2401</v>
      </c>
      <c r="E874" s="134" t="s">
        <v>3094</v>
      </c>
      <c r="F874" s="72"/>
      <c r="G874" s="72"/>
      <c r="H874" s="151"/>
      <c r="I874" s="152"/>
      <c r="J874" s="84"/>
      <c r="K874" s="100"/>
      <c r="L874" s="81"/>
      <c r="M874" s="81"/>
      <c r="N874" s="81"/>
      <c r="O874" s="81"/>
    </row>
    <row r="875" spans="1:15" ht="12.75">
      <c r="A875" s="13"/>
      <c r="B875" s="147" t="s">
        <v>97</v>
      </c>
      <c r="C875" s="10" t="s">
        <v>875</v>
      </c>
      <c r="D875" s="42" t="s">
        <v>2401</v>
      </c>
      <c r="E875" s="134" t="s">
        <v>3095</v>
      </c>
      <c r="F875" s="72"/>
      <c r="G875" s="72"/>
      <c r="H875" s="151"/>
      <c r="I875" s="152"/>
      <c r="J875" s="84"/>
      <c r="K875" s="100"/>
      <c r="L875" s="81"/>
      <c r="M875" s="81"/>
      <c r="N875" s="81"/>
      <c r="O875" s="81"/>
    </row>
    <row r="876" spans="1:15" ht="12.75">
      <c r="A876" s="13"/>
      <c r="B876" s="147" t="s">
        <v>97</v>
      </c>
      <c r="C876" s="10" t="s">
        <v>877</v>
      </c>
      <c r="D876" s="42" t="s">
        <v>2401</v>
      </c>
      <c r="E876" s="134" t="s">
        <v>3096</v>
      </c>
      <c r="F876" s="72"/>
      <c r="G876" s="72"/>
      <c r="H876" s="151"/>
      <c r="I876" s="152"/>
      <c r="J876" s="84"/>
      <c r="K876" s="100"/>
      <c r="L876" s="81"/>
      <c r="M876" s="81"/>
      <c r="N876" s="81"/>
      <c r="O876" s="81"/>
    </row>
    <row r="877" spans="1:15" ht="12.75">
      <c r="A877" s="13"/>
      <c r="B877" s="147" t="s">
        <v>97</v>
      </c>
      <c r="C877" s="10" t="s">
        <v>879</v>
      </c>
      <c r="D877" s="42" t="s">
        <v>2401</v>
      </c>
      <c r="E877" s="134" t="s">
        <v>3097</v>
      </c>
      <c r="F877" s="72"/>
      <c r="G877" s="72"/>
      <c r="H877" s="151"/>
      <c r="I877" s="152"/>
      <c r="J877" s="84"/>
      <c r="K877" s="100"/>
      <c r="L877" s="81"/>
      <c r="M877" s="81"/>
      <c r="N877" s="81"/>
      <c r="O877" s="81"/>
    </row>
    <row r="878" spans="1:15" ht="12.75">
      <c r="A878" s="13"/>
      <c r="B878" s="147" t="s">
        <v>97</v>
      </c>
      <c r="C878" s="10" t="s">
        <v>881</v>
      </c>
      <c r="D878" s="42" t="s">
        <v>2401</v>
      </c>
      <c r="E878" s="134" t="s">
        <v>3098</v>
      </c>
      <c r="F878" s="72"/>
      <c r="G878" s="72"/>
      <c r="H878" s="151"/>
      <c r="I878" s="152"/>
      <c r="J878" s="84"/>
      <c r="K878" s="100"/>
      <c r="L878" s="81"/>
      <c r="M878" s="81"/>
      <c r="N878" s="81"/>
      <c r="O878" s="81"/>
    </row>
    <row r="879" spans="1:15" ht="12.75">
      <c r="A879" s="13"/>
      <c r="B879" s="147" t="s">
        <v>97</v>
      </c>
      <c r="C879" s="10" t="s">
        <v>883</v>
      </c>
      <c r="D879" s="42" t="s">
        <v>2401</v>
      </c>
      <c r="E879" s="134" t="s">
        <v>3099</v>
      </c>
      <c r="F879" s="72"/>
      <c r="G879" s="72"/>
      <c r="H879" s="151"/>
      <c r="I879" s="152"/>
      <c r="J879" s="84"/>
      <c r="K879" s="100"/>
      <c r="L879" s="81"/>
      <c r="M879" s="81"/>
      <c r="N879" s="81"/>
      <c r="O879" s="81"/>
    </row>
    <row r="880" spans="1:15" ht="12.75">
      <c r="A880" s="13"/>
      <c r="B880" s="147" t="s">
        <v>97</v>
      </c>
      <c r="C880" s="10" t="s">
        <v>885</v>
      </c>
      <c r="D880" s="42" t="s">
        <v>2401</v>
      </c>
      <c r="E880" s="134" t="s">
        <v>3100</v>
      </c>
      <c r="F880" s="72"/>
      <c r="G880" s="72"/>
      <c r="H880" s="151"/>
      <c r="I880" s="152"/>
      <c r="J880" s="84"/>
      <c r="K880" s="100"/>
      <c r="L880" s="81"/>
      <c r="M880" s="81"/>
      <c r="N880" s="81"/>
      <c r="O880" s="81"/>
    </row>
    <row r="881" spans="1:15" ht="12.75">
      <c r="A881" s="13"/>
      <c r="B881" s="147" t="s">
        <v>97</v>
      </c>
      <c r="C881" s="10" t="s">
        <v>887</v>
      </c>
      <c r="D881" s="42" t="s">
        <v>2401</v>
      </c>
      <c r="E881" s="134" t="s">
        <v>3101</v>
      </c>
      <c r="F881" s="72"/>
      <c r="G881" s="72"/>
      <c r="H881" s="151"/>
      <c r="I881" s="152"/>
      <c r="J881" s="84"/>
      <c r="K881" s="100"/>
      <c r="L881" s="81"/>
      <c r="M881" s="81"/>
      <c r="N881" s="81"/>
      <c r="O881" s="81"/>
    </row>
    <row r="882" spans="1:15" ht="12.75">
      <c r="A882" s="13"/>
      <c r="B882" s="147" t="s">
        <v>97</v>
      </c>
      <c r="C882" s="10" t="s">
        <v>889</v>
      </c>
      <c r="D882" s="42" t="s">
        <v>2401</v>
      </c>
      <c r="E882" s="134" t="s">
        <v>3102</v>
      </c>
      <c r="F882" s="72"/>
      <c r="G882" s="72"/>
      <c r="H882" s="151"/>
      <c r="I882" s="152"/>
      <c r="J882" s="84"/>
      <c r="K882" s="100"/>
      <c r="L882" s="81"/>
      <c r="M882" s="81"/>
      <c r="N882" s="81"/>
      <c r="O882" s="81"/>
    </row>
    <row r="883" spans="1:15" ht="12.75">
      <c r="A883" s="13"/>
      <c r="B883" s="147" t="s">
        <v>97</v>
      </c>
      <c r="C883" s="10" t="s">
        <v>891</v>
      </c>
      <c r="D883" s="42" t="s">
        <v>2401</v>
      </c>
      <c r="E883" s="134" t="s">
        <v>3103</v>
      </c>
      <c r="F883" s="89"/>
      <c r="G883" s="89"/>
      <c r="H883" s="148"/>
      <c r="I883" s="149"/>
      <c r="J883" s="90"/>
      <c r="K883" s="43"/>
      <c r="L883" s="39"/>
      <c r="M883" s="39"/>
      <c r="N883" s="39"/>
      <c r="O883" s="39"/>
    </row>
    <row r="884" spans="1:15" ht="12.75">
      <c r="A884" s="13"/>
      <c r="B884" s="147" t="s">
        <v>97</v>
      </c>
      <c r="C884" s="10" t="s">
        <v>893</v>
      </c>
      <c r="D884" s="42" t="s">
        <v>2401</v>
      </c>
      <c r="E884" s="134" t="s">
        <v>3104</v>
      </c>
      <c r="F884" s="72"/>
      <c r="G884" s="72"/>
      <c r="H884" s="151"/>
      <c r="I884" s="152"/>
      <c r="J884" s="84"/>
      <c r="K884" s="100"/>
      <c r="L884" s="81"/>
      <c r="M884" s="81"/>
      <c r="N884" s="81"/>
      <c r="O884" s="81"/>
    </row>
    <row r="885" spans="1:15" ht="12.75">
      <c r="A885" s="44"/>
      <c r="B885" s="147" t="s">
        <v>97</v>
      </c>
      <c r="C885" s="10" t="s">
        <v>895</v>
      </c>
      <c r="D885" s="40" t="s">
        <v>2401</v>
      </c>
      <c r="E885" s="134" t="s">
        <v>3105</v>
      </c>
      <c r="F885" s="89"/>
      <c r="G885" s="89"/>
      <c r="H885" s="148"/>
      <c r="I885" s="149"/>
      <c r="J885" s="90"/>
      <c r="K885" s="40"/>
      <c r="L885" s="40"/>
      <c r="M885" s="40"/>
      <c r="N885" s="40"/>
      <c r="O885" s="40"/>
    </row>
    <row r="886" spans="1:15" ht="12.75">
      <c r="A886" s="13"/>
      <c r="B886" s="147" t="s">
        <v>97</v>
      </c>
      <c r="C886" s="10" t="s">
        <v>897</v>
      </c>
      <c r="D886" s="42" t="s">
        <v>2401</v>
      </c>
      <c r="E886" s="134" t="s">
        <v>3106</v>
      </c>
      <c r="F886" s="85"/>
      <c r="G886" s="85"/>
      <c r="H886" s="214"/>
      <c r="I886" s="215"/>
      <c r="J886" s="95"/>
      <c r="K886" s="105"/>
      <c r="L886" s="49"/>
      <c r="M886" s="49"/>
      <c r="N886" s="49"/>
      <c r="O886" s="49"/>
    </row>
    <row r="887" spans="1:15" ht="12.75">
      <c r="A887" s="13"/>
      <c r="B887" s="147" t="s">
        <v>97</v>
      </c>
      <c r="C887" s="10" t="s">
        <v>899</v>
      </c>
      <c r="D887" s="42" t="s">
        <v>2401</v>
      </c>
      <c r="E887" s="134" t="s">
        <v>3107</v>
      </c>
      <c r="F887" s="72"/>
      <c r="G887" s="72"/>
      <c r="H887" s="151"/>
      <c r="I887" s="152"/>
      <c r="J887" s="84"/>
      <c r="K887" s="100"/>
      <c r="L887" s="81"/>
      <c r="M887" s="81"/>
      <c r="N887" s="81"/>
      <c r="O887" s="81"/>
    </row>
    <row r="888" spans="1:15" ht="12.75">
      <c r="A888" s="13"/>
      <c r="B888" s="147" t="s">
        <v>97</v>
      </c>
      <c r="C888" s="10" t="s">
        <v>901</v>
      </c>
      <c r="D888" s="42" t="s">
        <v>2401</v>
      </c>
      <c r="E888" s="134" t="s">
        <v>3108</v>
      </c>
      <c r="F888" s="72"/>
      <c r="G888" s="72"/>
      <c r="H888" s="151"/>
      <c r="I888" s="152"/>
      <c r="J888" s="84"/>
      <c r="K888" s="100"/>
      <c r="L888" s="81"/>
      <c r="M888" s="81"/>
      <c r="N888" s="81"/>
      <c r="O888" s="81"/>
    </row>
    <row r="889" spans="1:15" ht="12.75">
      <c r="A889" s="13"/>
      <c r="B889" s="147" t="s">
        <v>97</v>
      </c>
      <c r="C889" s="10" t="s">
        <v>903</v>
      </c>
      <c r="D889" s="42" t="s">
        <v>2401</v>
      </c>
      <c r="E889" s="134" t="s">
        <v>3109</v>
      </c>
      <c r="F889" s="72"/>
      <c r="G889" s="72"/>
      <c r="H889" s="151"/>
      <c r="I889" s="152"/>
      <c r="J889" s="84"/>
      <c r="K889" s="100"/>
      <c r="L889" s="81"/>
      <c r="M889" s="81"/>
      <c r="N889" s="81"/>
      <c r="O889" s="81"/>
    </row>
    <row r="890" spans="1:15" ht="12.75">
      <c r="A890" s="44"/>
      <c r="B890" s="147" t="s">
        <v>97</v>
      </c>
      <c r="C890" s="10" t="s">
        <v>905</v>
      </c>
      <c r="D890" s="40" t="s">
        <v>2401</v>
      </c>
      <c r="E890" s="134" t="s">
        <v>3110</v>
      </c>
      <c r="F890" s="71"/>
      <c r="G890" s="71"/>
      <c r="H890" s="153"/>
      <c r="I890" s="154"/>
      <c r="J890" s="65"/>
      <c r="K890" s="40"/>
      <c r="L890" s="40"/>
      <c r="M890" s="40"/>
      <c r="N890" s="40"/>
      <c r="O890" s="40"/>
    </row>
    <row r="891" spans="1:15" ht="12.75">
      <c r="A891" s="13"/>
      <c r="B891" s="147" t="s">
        <v>97</v>
      </c>
      <c r="C891" s="10" t="s">
        <v>907</v>
      </c>
      <c r="D891" s="42" t="s">
        <v>2401</v>
      </c>
      <c r="E891" s="134" t="s">
        <v>3111</v>
      </c>
      <c r="F891" s="89"/>
      <c r="G891" s="89"/>
      <c r="H891" s="148"/>
      <c r="I891" s="149"/>
      <c r="J891" s="90"/>
      <c r="K891" s="43"/>
      <c r="L891" s="39"/>
      <c r="M891" s="39"/>
      <c r="N891" s="39"/>
      <c r="O891" s="39"/>
    </row>
    <row r="892" spans="1:15" ht="12.75">
      <c r="A892" s="13"/>
      <c r="B892" s="147" t="s">
        <v>97</v>
      </c>
      <c r="C892" s="10" t="s">
        <v>909</v>
      </c>
      <c r="D892" s="42" t="s">
        <v>2401</v>
      </c>
      <c r="E892" s="134" t="s">
        <v>3112</v>
      </c>
      <c r="F892" s="72"/>
      <c r="G892" s="72"/>
      <c r="H892" s="151"/>
      <c r="I892" s="152"/>
      <c r="J892" s="84"/>
      <c r="K892" s="100"/>
      <c r="L892" s="81"/>
      <c r="M892" s="81"/>
      <c r="N892" s="81"/>
      <c r="O892" s="81"/>
    </row>
    <row r="893" spans="1:15" ht="12.75">
      <c r="A893" s="13"/>
      <c r="B893" s="147" t="s">
        <v>97</v>
      </c>
      <c r="C893" s="10" t="s">
        <v>911</v>
      </c>
      <c r="D893" s="42" t="s">
        <v>2401</v>
      </c>
      <c r="E893" s="134" t="s">
        <v>3113</v>
      </c>
      <c r="F893" s="89"/>
      <c r="G893" s="89"/>
      <c r="H893" s="148"/>
      <c r="I893" s="149"/>
      <c r="J893" s="90"/>
      <c r="K893" s="43"/>
      <c r="L893" s="39"/>
      <c r="M893" s="39"/>
      <c r="N893" s="39"/>
      <c r="O893" s="39"/>
    </row>
    <row r="894" spans="1:15" ht="12.75">
      <c r="A894" s="13"/>
      <c r="B894" s="147" t="s">
        <v>97</v>
      </c>
      <c r="C894" s="10" t="s">
        <v>913</v>
      </c>
      <c r="D894" s="42" t="s">
        <v>2401</v>
      </c>
      <c r="E894" s="134" t="s">
        <v>3114</v>
      </c>
      <c r="F894" s="72"/>
      <c r="G894" s="72"/>
      <c r="H894" s="151"/>
      <c r="I894" s="152"/>
      <c r="J894" s="84"/>
      <c r="K894" s="100"/>
      <c r="L894" s="81"/>
      <c r="M894" s="81"/>
      <c r="N894" s="81"/>
      <c r="O894" s="81"/>
    </row>
    <row r="895" spans="1:15" ht="12.75">
      <c r="A895" s="13"/>
      <c r="B895" s="147" t="s">
        <v>97</v>
      </c>
      <c r="C895" s="10" t="s">
        <v>915</v>
      </c>
      <c r="D895" s="42" t="s">
        <v>2401</v>
      </c>
      <c r="E895" s="134" t="s">
        <v>3115</v>
      </c>
      <c r="F895" s="72"/>
      <c r="G895" s="72"/>
      <c r="H895" s="151"/>
      <c r="I895" s="152"/>
      <c r="J895" s="84"/>
      <c r="K895" s="100"/>
      <c r="L895" s="81"/>
      <c r="M895" s="81"/>
      <c r="N895" s="81"/>
      <c r="O895" s="81"/>
    </row>
    <row r="896" spans="1:15" ht="12.75">
      <c r="A896" s="13"/>
      <c r="B896" s="147" t="s">
        <v>97</v>
      </c>
      <c r="C896" s="10" t="s">
        <v>917</v>
      </c>
      <c r="D896" s="42" t="s">
        <v>2401</v>
      </c>
      <c r="E896" s="134" t="s">
        <v>3116</v>
      </c>
      <c r="F896" s="72"/>
      <c r="G896" s="72"/>
      <c r="H896" s="151"/>
      <c r="I896" s="152"/>
      <c r="J896" s="84"/>
      <c r="K896" s="100"/>
      <c r="L896" s="81"/>
      <c r="M896" s="81"/>
      <c r="N896" s="81"/>
      <c r="O896" s="81"/>
    </row>
    <row r="897" spans="1:15" ht="12.75">
      <c r="A897" s="13"/>
      <c r="B897" s="147" t="s">
        <v>97</v>
      </c>
      <c r="C897" s="10" t="s">
        <v>919</v>
      </c>
      <c r="D897" s="42" t="s">
        <v>2401</v>
      </c>
      <c r="E897" s="134" t="s">
        <v>3117</v>
      </c>
      <c r="F897" s="72"/>
      <c r="G897" s="72"/>
      <c r="H897" s="151"/>
      <c r="I897" s="152"/>
      <c r="J897" s="84"/>
      <c r="K897" s="100"/>
      <c r="L897" s="81"/>
      <c r="M897" s="81"/>
      <c r="N897" s="81"/>
      <c r="O897" s="81"/>
    </row>
    <row r="898" spans="1:15" ht="12.75">
      <c r="A898" s="13"/>
      <c r="B898" s="147" t="s">
        <v>97</v>
      </c>
      <c r="C898" s="10" t="s">
        <v>921</v>
      </c>
      <c r="D898" s="42" t="s">
        <v>2401</v>
      </c>
      <c r="E898" s="134" t="s">
        <v>3118</v>
      </c>
      <c r="F898" s="72"/>
      <c r="G898" s="72"/>
      <c r="H898" s="151"/>
      <c r="I898" s="152"/>
      <c r="J898" s="84"/>
      <c r="K898" s="100"/>
      <c r="L898" s="81"/>
      <c r="M898" s="81"/>
      <c r="N898" s="81"/>
      <c r="O898" s="81"/>
    </row>
    <row r="899" spans="1:15" ht="12.75">
      <c r="A899" s="13"/>
      <c r="B899" s="147" t="s">
        <v>97</v>
      </c>
      <c r="C899" s="10" t="s">
        <v>923</v>
      </c>
      <c r="D899" s="42" t="s">
        <v>2401</v>
      </c>
      <c r="E899" s="134" t="s">
        <v>3119</v>
      </c>
      <c r="F899" s="72"/>
      <c r="G899" s="72"/>
      <c r="H899" s="151"/>
      <c r="I899" s="152"/>
      <c r="J899" s="84"/>
      <c r="K899" s="100"/>
      <c r="L899" s="81"/>
      <c r="M899" s="81"/>
      <c r="N899" s="81"/>
      <c r="O899" s="81"/>
    </row>
    <row r="900" spans="1:15" ht="12.75">
      <c r="A900" s="13"/>
      <c r="B900" s="147" t="s">
        <v>97</v>
      </c>
      <c r="C900" s="10" t="s">
        <v>925</v>
      </c>
      <c r="D900" s="42" t="s">
        <v>2401</v>
      </c>
      <c r="E900" s="134" t="s">
        <v>3120</v>
      </c>
      <c r="F900" s="72"/>
      <c r="G900" s="72"/>
      <c r="H900" s="151"/>
      <c r="I900" s="152"/>
      <c r="J900" s="84"/>
      <c r="K900" s="100"/>
      <c r="L900" s="81"/>
      <c r="M900" s="81"/>
      <c r="N900" s="81"/>
      <c r="O900" s="81"/>
    </row>
    <row r="901" spans="1:15" ht="12.75">
      <c r="A901" s="13"/>
      <c r="B901" s="147" t="s">
        <v>97</v>
      </c>
      <c r="C901" s="10" t="s">
        <v>927</v>
      </c>
      <c r="D901" s="42" t="s">
        <v>2401</v>
      </c>
      <c r="E901" s="134" t="s">
        <v>3121</v>
      </c>
      <c r="F901" s="89"/>
      <c r="G901" s="89"/>
      <c r="H901" s="148"/>
      <c r="I901" s="149"/>
      <c r="J901" s="90"/>
      <c r="K901" s="43"/>
      <c r="L901" s="39"/>
      <c r="M901" s="39"/>
      <c r="N901" s="39"/>
      <c r="O901" s="39"/>
    </row>
    <row r="902" spans="1:15" ht="12.75">
      <c r="A902" s="13"/>
      <c r="B902" s="147" t="s">
        <v>97</v>
      </c>
      <c r="C902" s="10" t="s">
        <v>929</v>
      </c>
      <c r="D902" s="42" t="s">
        <v>2401</v>
      </c>
      <c r="E902" s="134" t="s">
        <v>3122</v>
      </c>
      <c r="F902" s="72"/>
      <c r="G902" s="72"/>
      <c r="H902" s="151"/>
      <c r="I902" s="152"/>
      <c r="J902" s="84"/>
      <c r="K902" s="100"/>
      <c r="L902" s="81"/>
      <c r="M902" s="81"/>
      <c r="N902" s="81"/>
      <c r="O902" s="81"/>
    </row>
    <row r="903" spans="1:15" ht="12.75">
      <c r="A903" s="13"/>
      <c r="B903" s="147" t="s">
        <v>97</v>
      </c>
      <c r="C903" s="10" t="s">
        <v>931</v>
      </c>
      <c r="D903" s="42" t="s">
        <v>2401</v>
      </c>
      <c r="E903" s="134" t="s">
        <v>3123</v>
      </c>
      <c r="F903" s="72"/>
      <c r="G903" s="72"/>
      <c r="H903" s="151"/>
      <c r="I903" s="152"/>
      <c r="J903" s="84"/>
      <c r="K903" s="100"/>
      <c r="L903" s="81"/>
      <c r="M903" s="81"/>
      <c r="N903" s="81"/>
      <c r="O903" s="81"/>
    </row>
    <row r="904" spans="1:15" ht="12.75">
      <c r="A904" s="13"/>
      <c r="B904" s="147" t="s">
        <v>97</v>
      </c>
      <c r="C904" s="10" t="s">
        <v>933</v>
      </c>
      <c r="D904" s="42" t="s">
        <v>2401</v>
      </c>
      <c r="E904" s="134" t="s">
        <v>3124</v>
      </c>
      <c r="F904" s="89"/>
      <c r="G904" s="89"/>
      <c r="H904" s="148"/>
      <c r="I904" s="149"/>
      <c r="J904" s="90"/>
      <c r="K904" s="43"/>
      <c r="L904" s="39"/>
      <c r="M904" s="39"/>
      <c r="N904" s="39"/>
      <c r="O904" s="39"/>
    </row>
    <row r="905" spans="1:15" ht="12.75">
      <c r="A905" s="13"/>
      <c r="B905" s="147" t="s">
        <v>97</v>
      </c>
      <c r="C905" s="10" t="s">
        <v>935</v>
      </c>
      <c r="D905" s="42" t="s">
        <v>2401</v>
      </c>
      <c r="E905" s="134" t="s">
        <v>3125</v>
      </c>
      <c r="F905" s="89"/>
      <c r="G905" s="89"/>
      <c r="H905" s="148"/>
      <c r="I905" s="149"/>
      <c r="J905" s="90"/>
      <c r="K905" s="43"/>
      <c r="L905" s="39"/>
      <c r="M905" s="39"/>
      <c r="N905" s="39"/>
      <c r="O905" s="39"/>
    </row>
    <row r="906" spans="1:15" ht="12.75">
      <c r="A906" s="13"/>
      <c r="B906" s="147" t="s">
        <v>97</v>
      </c>
      <c r="C906" s="10" t="s">
        <v>937</v>
      </c>
      <c r="D906" s="42" t="s">
        <v>2401</v>
      </c>
      <c r="E906" s="134" t="s">
        <v>3126</v>
      </c>
      <c r="F906" s="89"/>
      <c r="G906" s="89"/>
      <c r="H906" s="148"/>
      <c r="I906" s="149"/>
      <c r="J906" s="90"/>
      <c r="K906" s="43"/>
      <c r="L906" s="39"/>
      <c r="M906" s="39"/>
      <c r="N906" s="39"/>
      <c r="O906" s="39"/>
    </row>
    <row r="907" spans="1:15" ht="12.75">
      <c r="A907" s="13"/>
      <c r="B907" s="147" t="s">
        <v>97</v>
      </c>
      <c r="C907" s="10" t="s">
        <v>939</v>
      </c>
      <c r="D907" s="42" t="s">
        <v>2401</v>
      </c>
      <c r="E907" s="134" t="s">
        <v>3127</v>
      </c>
      <c r="F907" s="72"/>
      <c r="G907" s="72"/>
      <c r="H907" s="151"/>
      <c r="I907" s="152"/>
      <c r="J907" s="84"/>
      <c r="K907" s="100"/>
      <c r="L907" s="81"/>
      <c r="M907" s="81"/>
      <c r="N907" s="81"/>
      <c r="O907" s="81"/>
    </row>
    <row r="908" spans="1:15" ht="12.75">
      <c r="A908" s="13"/>
      <c r="B908" s="147" t="s">
        <v>97</v>
      </c>
      <c r="C908" s="10" t="s">
        <v>941</v>
      </c>
      <c r="D908" s="42" t="s">
        <v>2401</v>
      </c>
      <c r="E908" s="134" t="s">
        <v>3128</v>
      </c>
      <c r="F908" s="89"/>
      <c r="G908" s="89"/>
      <c r="H908" s="148"/>
      <c r="I908" s="149"/>
      <c r="J908" s="90"/>
      <c r="K908" s="43"/>
      <c r="L908" s="39"/>
      <c r="M908" s="39"/>
      <c r="N908" s="39"/>
      <c r="O908" s="39"/>
    </row>
    <row r="909" spans="1:15" ht="12.75">
      <c r="A909" s="13"/>
      <c r="B909" s="147" t="s">
        <v>97</v>
      </c>
      <c r="C909" s="10" t="s">
        <v>943</v>
      </c>
      <c r="D909" s="42" t="s">
        <v>2401</v>
      </c>
      <c r="E909" s="134" t="s">
        <v>3129</v>
      </c>
      <c r="F909" s="72"/>
      <c r="G909" s="72"/>
      <c r="H909" s="151"/>
      <c r="I909" s="152"/>
      <c r="J909" s="84"/>
      <c r="K909" s="100"/>
      <c r="L909" s="81"/>
      <c r="M909" s="81"/>
      <c r="N909" s="81"/>
      <c r="O909" s="81"/>
    </row>
    <row r="910" spans="1:15" ht="12.75">
      <c r="A910" s="13"/>
      <c r="B910" s="147" t="s">
        <v>97</v>
      </c>
      <c r="C910" s="10" t="s">
        <v>945</v>
      </c>
      <c r="D910" s="42" t="s">
        <v>2401</v>
      </c>
      <c r="E910" s="134" t="s">
        <v>3130</v>
      </c>
      <c r="F910" s="72"/>
      <c r="G910" s="72"/>
      <c r="H910" s="151"/>
      <c r="I910" s="152"/>
      <c r="J910" s="84"/>
      <c r="K910" s="100"/>
      <c r="L910" s="81"/>
      <c r="M910" s="81"/>
      <c r="N910" s="81"/>
      <c r="O910" s="81"/>
    </row>
    <row r="911" spans="1:15" ht="12.75">
      <c r="A911" s="13"/>
      <c r="B911" s="147" t="s">
        <v>97</v>
      </c>
      <c r="C911" s="10" t="s">
        <v>947</v>
      </c>
      <c r="D911" s="42" t="s">
        <v>2401</v>
      </c>
      <c r="E911" s="134" t="s">
        <v>3131</v>
      </c>
      <c r="F911" s="72"/>
      <c r="G911" s="72"/>
      <c r="H911" s="151"/>
      <c r="I911" s="152"/>
      <c r="J911" s="84"/>
      <c r="K911" s="100"/>
      <c r="L911" s="81"/>
      <c r="M911" s="81"/>
      <c r="N911" s="81"/>
      <c r="O911" s="81"/>
    </row>
    <row r="912" spans="1:15" ht="12.75">
      <c r="A912" s="13"/>
      <c r="B912" s="147" t="s">
        <v>97</v>
      </c>
      <c r="C912" s="10" t="s">
        <v>949</v>
      </c>
      <c r="D912" s="42" t="s">
        <v>2401</v>
      </c>
      <c r="E912" s="134" t="s">
        <v>3132</v>
      </c>
      <c r="F912" s="72"/>
      <c r="G912" s="72"/>
      <c r="H912" s="151"/>
      <c r="I912" s="152"/>
      <c r="J912" s="84"/>
      <c r="K912" s="100"/>
      <c r="L912" s="81"/>
      <c r="M912" s="81"/>
      <c r="N912" s="81"/>
      <c r="O912" s="81"/>
    </row>
    <row r="913" spans="1:15" ht="12.75">
      <c r="A913" s="13"/>
      <c r="B913" s="147" t="s">
        <v>97</v>
      </c>
      <c r="C913" s="10" t="s">
        <v>951</v>
      </c>
      <c r="D913" s="42" t="s">
        <v>2401</v>
      </c>
      <c r="E913" s="134" t="s">
        <v>3133</v>
      </c>
      <c r="F913" s="89"/>
      <c r="G913" s="89"/>
      <c r="H913" s="148"/>
      <c r="I913" s="149"/>
      <c r="J913" s="90"/>
      <c r="K913" s="43"/>
      <c r="L913" s="39"/>
      <c r="M913" s="39"/>
      <c r="N913" s="39"/>
      <c r="O913" s="39"/>
    </row>
    <row r="914" spans="1:15" ht="12.75">
      <c r="A914" s="13"/>
      <c r="B914" s="147" t="s">
        <v>97</v>
      </c>
      <c r="C914" s="10" t="s">
        <v>953</v>
      </c>
      <c r="D914" s="42" t="s">
        <v>2401</v>
      </c>
      <c r="E914" s="134" t="s">
        <v>3134</v>
      </c>
      <c r="F914" s="72"/>
      <c r="G914" s="72"/>
      <c r="H914" s="151"/>
      <c r="I914" s="152"/>
      <c r="J914" s="84"/>
      <c r="K914" s="100"/>
      <c r="L914" s="81"/>
      <c r="M914" s="81"/>
      <c r="N914" s="81"/>
      <c r="O914" s="81"/>
    </row>
    <row r="915" spans="1:15" ht="12.75">
      <c r="A915" s="13"/>
      <c r="B915" s="147" t="s">
        <v>97</v>
      </c>
      <c r="C915" s="10" t="s">
        <v>955</v>
      </c>
      <c r="D915" s="42" t="s">
        <v>2401</v>
      </c>
      <c r="E915" s="134" t="s">
        <v>3135</v>
      </c>
      <c r="F915" s="72"/>
      <c r="G915" s="72"/>
      <c r="H915" s="151"/>
      <c r="I915" s="152"/>
      <c r="J915" s="84"/>
      <c r="K915" s="100"/>
      <c r="L915" s="81"/>
      <c r="M915" s="81"/>
      <c r="N915" s="81"/>
      <c r="O915" s="81"/>
    </row>
    <row r="916" spans="1:15" ht="12.75">
      <c r="A916" s="13"/>
      <c r="B916" s="147" t="s">
        <v>97</v>
      </c>
      <c r="C916" s="10" t="s">
        <v>957</v>
      </c>
      <c r="D916" s="42" t="s">
        <v>2401</v>
      </c>
      <c r="E916" s="134" t="s">
        <v>3136</v>
      </c>
      <c r="F916" s="89"/>
      <c r="G916" s="89"/>
      <c r="H916" s="148"/>
      <c r="I916" s="149"/>
      <c r="J916" s="90"/>
      <c r="K916" s="43"/>
      <c r="L916" s="39"/>
      <c r="M916" s="39"/>
      <c r="N916" s="39"/>
      <c r="O916" s="39"/>
    </row>
    <row r="917" spans="1:15" ht="12.75">
      <c r="A917" s="13"/>
      <c r="B917" s="147" t="s">
        <v>97</v>
      </c>
      <c r="C917" s="10" t="s">
        <v>959</v>
      </c>
      <c r="D917" s="42" t="s">
        <v>2401</v>
      </c>
      <c r="E917" s="134" t="s">
        <v>3137</v>
      </c>
      <c r="F917" s="72"/>
      <c r="G917" s="72"/>
      <c r="H917" s="151"/>
      <c r="I917" s="152"/>
      <c r="J917" s="84"/>
      <c r="K917" s="100"/>
      <c r="L917" s="81"/>
      <c r="M917" s="81"/>
      <c r="N917" s="81"/>
      <c r="O917" s="81"/>
    </row>
    <row r="918" spans="1:15" ht="12.75">
      <c r="A918" s="13"/>
      <c r="B918" s="147" t="s">
        <v>97</v>
      </c>
      <c r="C918" s="10" t="s">
        <v>961</v>
      </c>
      <c r="D918" s="42" t="s">
        <v>2401</v>
      </c>
      <c r="E918" s="134" t="s">
        <v>3138</v>
      </c>
      <c r="F918" s="72"/>
      <c r="G918" s="72"/>
      <c r="H918" s="151"/>
      <c r="I918" s="152"/>
      <c r="J918" s="84"/>
      <c r="K918" s="100"/>
      <c r="L918" s="81"/>
      <c r="M918" s="81"/>
      <c r="N918" s="81"/>
      <c r="O918" s="81"/>
    </row>
    <row r="919" spans="1:15" ht="12.75">
      <c r="A919" s="13"/>
      <c r="B919" s="147" t="s">
        <v>97</v>
      </c>
      <c r="C919" s="10" t="s">
        <v>963</v>
      </c>
      <c r="D919" s="42" t="s">
        <v>2401</v>
      </c>
      <c r="E919" s="134" t="s">
        <v>3139</v>
      </c>
      <c r="F919" s="72"/>
      <c r="G919" s="72"/>
      <c r="H919" s="151"/>
      <c r="I919" s="152"/>
      <c r="J919" s="84"/>
      <c r="K919" s="100"/>
      <c r="L919" s="81"/>
      <c r="M919" s="81"/>
      <c r="N919" s="81"/>
      <c r="O919" s="81"/>
    </row>
    <row r="920" spans="1:15" ht="12.75">
      <c r="A920" s="13"/>
      <c r="B920" s="147" t="s">
        <v>97</v>
      </c>
      <c r="C920" s="10" t="s">
        <v>965</v>
      </c>
      <c r="D920" s="42" t="s">
        <v>2401</v>
      </c>
      <c r="E920" s="134" t="s">
        <v>3140</v>
      </c>
      <c r="F920" s="72"/>
      <c r="G920" s="72"/>
      <c r="H920" s="151"/>
      <c r="I920" s="152"/>
      <c r="J920" s="84"/>
      <c r="K920" s="100"/>
      <c r="L920" s="81"/>
      <c r="M920" s="81"/>
      <c r="N920" s="81"/>
      <c r="O920" s="81"/>
    </row>
    <row r="921" spans="1:15" ht="12.75">
      <c r="A921" s="13"/>
      <c r="B921" s="147" t="s">
        <v>97</v>
      </c>
      <c r="C921" s="10" t="s">
        <v>967</v>
      </c>
      <c r="D921" s="42" t="s">
        <v>2401</v>
      </c>
      <c r="E921" s="134" t="s">
        <v>3141</v>
      </c>
      <c r="F921" s="72"/>
      <c r="G921" s="72"/>
      <c r="H921" s="151"/>
      <c r="I921" s="152"/>
      <c r="J921" s="84"/>
      <c r="K921" s="100"/>
      <c r="L921" s="81"/>
      <c r="M921" s="81"/>
      <c r="N921" s="81"/>
      <c r="O921" s="81"/>
    </row>
    <row r="922" spans="1:15" ht="12.75">
      <c r="A922" s="13"/>
      <c r="B922" s="147" t="s">
        <v>97</v>
      </c>
      <c r="C922" s="10" t="s">
        <v>969</v>
      </c>
      <c r="D922" s="42" t="s">
        <v>2401</v>
      </c>
      <c r="E922" s="134" t="s">
        <v>3142</v>
      </c>
      <c r="F922" s="72"/>
      <c r="G922" s="72"/>
      <c r="H922" s="151"/>
      <c r="I922" s="152"/>
      <c r="J922" s="84"/>
      <c r="K922" s="100"/>
      <c r="L922" s="81"/>
      <c r="M922" s="81"/>
      <c r="N922" s="81"/>
      <c r="O922" s="81"/>
    </row>
    <row r="923" spans="1:15" ht="12.75">
      <c r="A923" s="44"/>
      <c r="B923" s="147" t="s">
        <v>97</v>
      </c>
      <c r="C923" s="10" t="s">
        <v>971</v>
      </c>
      <c r="D923" s="40" t="s">
        <v>2401</v>
      </c>
      <c r="E923" s="134" t="s">
        <v>3143</v>
      </c>
      <c r="F923" s="89"/>
      <c r="G923" s="89"/>
      <c r="H923" s="148"/>
      <c r="I923" s="149"/>
      <c r="J923" s="90"/>
      <c r="K923" s="39"/>
      <c r="L923" s="39"/>
      <c r="M923" s="39"/>
      <c r="N923" s="39"/>
      <c r="O923" s="39"/>
    </row>
    <row r="924" spans="1:15" ht="12.75">
      <c r="A924" s="13"/>
      <c r="B924" s="147" t="s">
        <v>97</v>
      </c>
      <c r="C924" s="10" t="s">
        <v>973</v>
      </c>
      <c r="D924" s="42" t="s">
        <v>2401</v>
      </c>
      <c r="E924" s="134" t="s">
        <v>3144</v>
      </c>
      <c r="F924" s="72"/>
      <c r="G924" s="72"/>
      <c r="H924" s="151"/>
      <c r="I924" s="152"/>
      <c r="J924" s="84"/>
      <c r="K924" s="100"/>
      <c r="L924" s="81"/>
      <c r="M924" s="81"/>
      <c r="N924" s="81"/>
      <c r="O924" s="81"/>
    </row>
    <row r="925" spans="1:15" ht="12.75">
      <c r="A925" s="13"/>
      <c r="B925" s="147" t="s">
        <v>97</v>
      </c>
      <c r="C925" s="10" t="s">
        <v>975</v>
      </c>
      <c r="D925" s="42" t="s">
        <v>2401</v>
      </c>
      <c r="E925" s="134" t="s">
        <v>3145</v>
      </c>
      <c r="F925" s="72"/>
      <c r="G925" s="72"/>
      <c r="H925" s="151"/>
      <c r="I925" s="152"/>
      <c r="J925" s="84"/>
      <c r="K925" s="100"/>
      <c r="L925" s="81"/>
      <c r="M925" s="81"/>
      <c r="N925" s="81"/>
      <c r="O925" s="81"/>
    </row>
    <row r="926" spans="1:15" ht="12.75">
      <c r="A926" s="13"/>
      <c r="B926" s="147" t="s">
        <v>97</v>
      </c>
      <c r="C926" s="10" t="s">
        <v>977</v>
      </c>
      <c r="D926" s="42" t="s">
        <v>2401</v>
      </c>
      <c r="E926" s="134" t="s">
        <v>3146</v>
      </c>
      <c r="F926" s="72"/>
      <c r="G926" s="72"/>
      <c r="H926" s="151"/>
      <c r="I926" s="152"/>
      <c r="J926" s="84"/>
      <c r="K926" s="100"/>
      <c r="L926" s="81"/>
      <c r="M926" s="81"/>
      <c r="N926" s="81"/>
      <c r="O926" s="81"/>
    </row>
    <row r="927" spans="1:15" ht="12.75">
      <c r="A927" s="13"/>
      <c r="B927" s="147" t="s">
        <v>97</v>
      </c>
      <c r="C927" s="10" t="s">
        <v>979</v>
      </c>
      <c r="D927" s="42" t="s">
        <v>2401</v>
      </c>
      <c r="E927" s="134" t="s">
        <v>3147</v>
      </c>
      <c r="F927" s="72"/>
      <c r="G927" s="72"/>
      <c r="H927" s="151"/>
      <c r="I927" s="152"/>
      <c r="J927" s="84"/>
      <c r="K927" s="100"/>
      <c r="L927" s="81"/>
      <c r="M927" s="81"/>
      <c r="N927" s="81"/>
      <c r="O927" s="81"/>
    </row>
    <row r="928" spans="1:15" ht="12.75">
      <c r="A928" s="13"/>
      <c r="B928" s="147" t="s">
        <v>97</v>
      </c>
      <c r="C928" s="10" t="s">
        <v>981</v>
      </c>
      <c r="D928" s="42" t="s">
        <v>2401</v>
      </c>
      <c r="E928" s="134" t="s">
        <v>3148</v>
      </c>
      <c r="F928" s="89"/>
      <c r="G928" s="89"/>
      <c r="H928" s="148"/>
      <c r="I928" s="149"/>
      <c r="J928" s="90"/>
      <c r="K928" s="43"/>
      <c r="L928" s="39"/>
      <c r="M928" s="39"/>
      <c r="N928" s="39"/>
      <c r="O928" s="39"/>
    </row>
    <row r="929" spans="1:15" ht="12.75">
      <c r="A929" s="13"/>
      <c r="B929" s="147" t="s">
        <v>97</v>
      </c>
      <c r="C929" s="10" t="s">
        <v>983</v>
      </c>
      <c r="D929" s="42" t="s">
        <v>2401</v>
      </c>
      <c r="E929" s="134" t="s">
        <v>3149</v>
      </c>
      <c r="F929" s="72"/>
      <c r="G929" s="72"/>
      <c r="H929" s="151"/>
      <c r="I929" s="152"/>
      <c r="J929" s="84"/>
      <c r="K929" s="100"/>
      <c r="L929" s="81"/>
      <c r="M929" s="81"/>
      <c r="N929" s="81"/>
      <c r="O929" s="81"/>
    </row>
    <row r="930" spans="1:15" ht="12.75">
      <c r="A930" s="13"/>
      <c r="B930" s="147" t="s">
        <v>97</v>
      </c>
      <c r="C930" s="10" t="s">
        <v>985</v>
      </c>
      <c r="D930" s="42" t="s">
        <v>2401</v>
      </c>
      <c r="E930" s="134" t="s">
        <v>3150</v>
      </c>
      <c r="F930" s="89"/>
      <c r="G930" s="89"/>
      <c r="H930" s="148"/>
      <c r="I930" s="149"/>
      <c r="J930" s="90"/>
      <c r="K930" s="43"/>
      <c r="L930" s="39"/>
      <c r="M930" s="39"/>
      <c r="N930" s="39"/>
      <c r="O930" s="39"/>
    </row>
    <row r="931" spans="1:15" ht="12.75">
      <c r="A931" s="13"/>
      <c r="B931" s="147" t="s">
        <v>97</v>
      </c>
      <c r="C931" s="10" t="s">
        <v>987</v>
      </c>
      <c r="D931" s="42" t="s">
        <v>2401</v>
      </c>
      <c r="E931" s="134" t="s">
        <v>3151</v>
      </c>
      <c r="F931" s="89"/>
      <c r="G931" s="89"/>
      <c r="H931" s="148"/>
      <c r="I931" s="149"/>
      <c r="J931" s="90"/>
      <c r="K931" s="43"/>
      <c r="L931" s="39"/>
      <c r="M931" s="39"/>
      <c r="N931" s="39"/>
      <c r="O931" s="39"/>
    </row>
    <row r="932" spans="1:15" ht="12.75">
      <c r="A932" s="13"/>
      <c r="B932" s="147" t="s">
        <v>97</v>
      </c>
      <c r="C932" s="10" t="s">
        <v>989</v>
      </c>
      <c r="D932" s="42" t="s">
        <v>2401</v>
      </c>
      <c r="E932" s="134" t="s">
        <v>3152</v>
      </c>
      <c r="F932" s="89"/>
      <c r="G932" s="89"/>
      <c r="H932" s="148"/>
      <c r="I932" s="149"/>
      <c r="J932" s="90"/>
      <c r="K932" s="43"/>
      <c r="L932" s="39"/>
      <c r="M932" s="39"/>
      <c r="N932" s="39"/>
      <c r="O932" s="39"/>
    </row>
    <row r="933" spans="1:15" ht="12.75">
      <c r="A933" s="13"/>
      <c r="B933" s="147" t="s">
        <v>97</v>
      </c>
      <c r="C933" s="10" t="s">
        <v>991</v>
      </c>
      <c r="D933" s="42" t="s">
        <v>2401</v>
      </c>
      <c r="E933" s="134" t="s">
        <v>3153</v>
      </c>
      <c r="F933" s="72"/>
      <c r="G933" s="72"/>
      <c r="H933" s="151"/>
      <c r="I933" s="152"/>
      <c r="J933" s="84"/>
      <c r="K933" s="100"/>
      <c r="L933" s="81"/>
      <c r="M933" s="81"/>
      <c r="N933" s="81"/>
      <c r="O933" s="81"/>
    </row>
    <row r="934" spans="1:15" ht="12.75">
      <c r="A934" s="13"/>
      <c r="B934" s="147" t="s">
        <v>97</v>
      </c>
      <c r="C934" s="10" t="s">
        <v>993</v>
      </c>
      <c r="D934" s="42" t="s">
        <v>2401</v>
      </c>
      <c r="E934" s="134" t="s">
        <v>3154</v>
      </c>
      <c r="F934" s="89"/>
      <c r="G934" s="89"/>
      <c r="H934" s="148"/>
      <c r="I934" s="149"/>
      <c r="J934" s="90"/>
      <c r="K934" s="43"/>
      <c r="L934" s="39"/>
      <c r="M934" s="39"/>
      <c r="N934" s="39"/>
      <c r="O934" s="39"/>
    </row>
    <row r="935" spans="1:15" ht="12.75">
      <c r="A935" s="13"/>
      <c r="B935" s="147" t="s">
        <v>97</v>
      </c>
      <c r="C935" s="10" t="s">
        <v>995</v>
      </c>
      <c r="D935" s="42" t="s">
        <v>2401</v>
      </c>
      <c r="E935" s="134" t="s">
        <v>3155</v>
      </c>
      <c r="F935" s="72"/>
      <c r="G935" s="72"/>
      <c r="H935" s="151"/>
      <c r="I935" s="152"/>
      <c r="J935" s="84"/>
      <c r="K935" s="100"/>
      <c r="L935" s="81"/>
      <c r="M935" s="81"/>
      <c r="N935" s="81"/>
      <c r="O935" s="81"/>
    </row>
    <row r="936" spans="1:15" ht="12.75">
      <c r="A936" s="13"/>
      <c r="B936" s="147" t="s">
        <v>97</v>
      </c>
      <c r="C936" s="10" t="s">
        <v>997</v>
      </c>
      <c r="D936" s="42" t="s">
        <v>2401</v>
      </c>
      <c r="E936" s="134" t="s">
        <v>3156</v>
      </c>
      <c r="F936" s="72"/>
      <c r="G936" s="72"/>
      <c r="H936" s="151"/>
      <c r="I936" s="152"/>
      <c r="J936" s="84"/>
      <c r="K936" s="100"/>
      <c r="L936" s="81"/>
      <c r="M936" s="81"/>
      <c r="N936" s="81"/>
      <c r="O936" s="81"/>
    </row>
    <row r="937" spans="1:15" ht="12.75">
      <c r="A937" s="13"/>
      <c r="B937" s="147" t="s">
        <v>97</v>
      </c>
      <c r="C937" s="10" t="s">
        <v>999</v>
      </c>
      <c r="D937" s="42" t="s">
        <v>2401</v>
      </c>
      <c r="E937" s="134" t="s">
        <v>3157</v>
      </c>
      <c r="F937" s="89"/>
      <c r="G937" s="89"/>
      <c r="H937" s="148"/>
      <c r="I937" s="149"/>
      <c r="J937" s="90"/>
      <c r="K937" s="43"/>
      <c r="L937" s="39"/>
      <c r="M937" s="39"/>
      <c r="N937" s="39"/>
      <c r="O937" s="39"/>
    </row>
    <row r="938" spans="1:15" ht="12.75">
      <c r="A938" s="13"/>
      <c r="B938" s="147" t="s">
        <v>97</v>
      </c>
      <c r="C938" s="10" t="s">
        <v>1001</v>
      </c>
      <c r="D938" s="42" t="s">
        <v>2401</v>
      </c>
      <c r="E938" s="134" t="s">
        <v>3158</v>
      </c>
      <c r="F938" s="89"/>
      <c r="G938" s="89"/>
      <c r="H938" s="148"/>
      <c r="I938" s="149"/>
      <c r="J938" s="90"/>
      <c r="K938" s="43"/>
      <c r="L938" s="39"/>
      <c r="M938" s="39"/>
      <c r="N938" s="39"/>
      <c r="O938" s="39"/>
    </row>
    <row r="939" spans="1:15" ht="12.75">
      <c r="A939" s="13"/>
      <c r="B939" s="147" t="s">
        <v>97</v>
      </c>
      <c r="C939" s="10" t="s">
        <v>1003</v>
      </c>
      <c r="D939" s="42" t="s">
        <v>2401</v>
      </c>
      <c r="E939" s="134" t="s">
        <v>3159</v>
      </c>
      <c r="F939" s="72"/>
      <c r="G939" s="72"/>
      <c r="H939" s="151"/>
      <c r="I939" s="152"/>
      <c r="J939" s="84"/>
      <c r="K939" s="100"/>
      <c r="L939" s="81"/>
      <c r="M939" s="81"/>
      <c r="N939" s="81"/>
      <c r="O939" s="81"/>
    </row>
    <row r="940" spans="1:15" ht="12.75">
      <c r="A940" s="13"/>
      <c r="B940" s="147" t="s">
        <v>97</v>
      </c>
      <c r="C940" s="10" t="s">
        <v>1005</v>
      </c>
      <c r="D940" s="42" t="s">
        <v>2401</v>
      </c>
      <c r="E940" s="134" t="s">
        <v>3160</v>
      </c>
      <c r="F940" s="72"/>
      <c r="G940" s="72"/>
      <c r="H940" s="151"/>
      <c r="I940" s="152"/>
      <c r="J940" s="84"/>
      <c r="K940" s="100"/>
      <c r="L940" s="81"/>
      <c r="M940" s="81"/>
      <c r="N940" s="81"/>
      <c r="O940" s="81"/>
    </row>
    <row r="941" spans="1:15" ht="12.75">
      <c r="A941" s="13"/>
      <c r="B941" s="147" t="s">
        <v>97</v>
      </c>
      <c r="C941" s="10" t="s">
        <v>1007</v>
      </c>
      <c r="D941" s="42" t="s">
        <v>2401</v>
      </c>
      <c r="E941" s="134" t="s">
        <v>3161</v>
      </c>
      <c r="F941" s="72"/>
      <c r="G941" s="72"/>
      <c r="H941" s="151"/>
      <c r="I941" s="152"/>
      <c r="J941" s="84"/>
      <c r="K941" s="100"/>
      <c r="L941" s="81"/>
      <c r="M941" s="81"/>
      <c r="N941" s="81"/>
      <c r="O941" s="81"/>
    </row>
    <row r="942" spans="1:15" ht="12.75">
      <c r="A942" s="13"/>
      <c r="B942" s="147" t="s">
        <v>97</v>
      </c>
      <c r="C942" s="10" t="s">
        <v>1009</v>
      </c>
      <c r="D942" s="42" t="s">
        <v>2401</v>
      </c>
      <c r="E942" s="134" t="s">
        <v>3162</v>
      </c>
      <c r="F942" s="72"/>
      <c r="G942" s="72"/>
      <c r="H942" s="151"/>
      <c r="I942" s="152"/>
      <c r="J942" s="84"/>
      <c r="K942" s="100"/>
      <c r="L942" s="81"/>
      <c r="M942" s="81"/>
      <c r="N942" s="81"/>
      <c r="O942" s="81"/>
    </row>
    <row r="943" spans="1:15" ht="12.75">
      <c r="A943" s="13"/>
      <c r="B943" s="147" t="s">
        <v>97</v>
      </c>
      <c r="C943" s="10" t="s">
        <v>1011</v>
      </c>
      <c r="D943" s="42" t="s">
        <v>2401</v>
      </c>
      <c r="E943" s="134" t="s">
        <v>3163</v>
      </c>
      <c r="F943" s="72"/>
      <c r="G943" s="72"/>
      <c r="H943" s="151"/>
      <c r="I943" s="152"/>
      <c r="J943" s="84"/>
      <c r="K943" s="100"/>
      <c r="L943" s="81"/>
      <c r="M943" s="81"/>
      <c r="N943" s="81"/>
      <c r="O943" s="81"/>
    </row>
    <row r="944" spans="1:15" ht="12.75">
      <c r="A944" s="13"/>
      <c r="B944" s="147" t="s">
        <v>97</v>
      </c>
      <c r="C944" s="10" t="s">
        <v>1013</v>
      </c>
      <c r="D944" s="42" t="s">
        <v>2401</v>
      </c>
      <c r="E944" s="134" t="s">
        <v>3164</v>
      </c>
      <c r="F944" s="72"/>
      <c r="G944" s="72"/>
      <c r="H944" s="151"/>
      <c r="I944" s="152"/>
      <c r="J944" s="84"/>
      <c r="K944" s="100"/>
      <c r="L944" s="81"/>
      <c r="M944" s="81"/>
      <c r="N944" s="81"/>
      <c r="O944" s="81"/>
    </row>
    <row r="945" spans="1:15" ht="12.75">
      <c r="A945" s="13"/>
      <c r="B945" s="147" t="s">
        <v>97</v>
      </c>
      <c r="C945" s="10" t="s">
        <v>1015</v>
      </c>
      <c r="D945" s="42" t="s">
        <v>2401</v>
      </c>
      <c r="E945" s="134" t="s">
        <v>3165</v>
      </c>
      <c r="F945" s="72"/>
      <c r="G945" s="72"/>
      <c r="H945" s="151"/>
      <c r="I945" s="152"/>
      <c r="J945" s="84"/>
      <c r="K945" s="100"/>
      <c r="L945" s="81"/>
      <c r="M945" s="81"/>
      <c r="N945" s="81"/>
      <c r="O945" s="81"/>
    </row>
    <row r="946" spans="1:15" ht="12.75">
      <c r="A946" s="13"/>
      <c r="B946" s="147" t="s">
        <v>97</v>
      </c>
      <c r="C946" s="10" t="s">
        <v>1017</v>
      </c>
      <c r="D946" s="42" t="s">
        <v>2401</v>
      </c>
      <c r="E946" s="134" t="s">
        <v>3166</v>
      </c>
      <c r="F946" s="72"/>
      <c r="G946" s="72"/>
      <c r="H946" s="151"/>
      <c r="I946" s="152"/>
      <c r="J946" s="84"/>
      <c r="K946" s="100"/>
      <c r="L946" s="81"/>
      <c r="M946" s="81"/>
      <c r="N946" s="81"/>
      <c r="O946" s="81"/>
    </row>
    <row r="947" spans="1:15" ht="12.75">
      <c r="A947" s="13"/>
      <c r="B947" s="147" t="s">
        <v>97</v>
      </c>
      <c r="C947" s="10" t="s">
        <v>1019</v>
      </c>
      <c r="D947" s="42" t="s">
        <v>2401</v>
      </c>
      <c r="E947" s="134" t="s">
        <v>3167</v>
      </c>
      <c r="F947" s="72"/>
      <c r="G947" s="72"/>
      <c r="H947" s="151"/>
      <c r="I947" s="152"/>
      <c r="J947" s="84"/>
      <c r="K947" s="100"/>
      <c r="L947" s="81"/>
      <c r="M947" s="81"/>
      <c r="N947" s="81"/>
      <c r="O947" s="81"/>
    </row>
    <row r="948" spans="1:15" ht="12.75">
      <c r="A948" s="13"/>
      <c r="B948" s="147" t="s">
        <v>97</v>
      </c>
      <c r="C948" s="10" t="s">
        <v>1021</v>
      </c>
      <c r="D948" s="42" t="s">
        <v>2401</v>
      </c>
      <c r="E948" s="134" t="s">
        <v>3168</v>
      </c>
      <c r="F948" s="72"/>
      <c r="G948" s="72"/>
      <c r="H948" s="151"/>
      <c r="I948" s="152"/>
      <c r="J948" s="84"/>
      <c r="K948" s="100"/>
      <c r="L948" s="81"/>
      <c r="M948" s="81"/>
      <c r="N948" s="81"/>
      <c r="O948" s="81"/>
    </row>
    <row r="949" spans="1:15" ht="12.75">
      <c r="A949" s="13"/>
      <c r="B949" s="147" t="s">
        <v>97</v>
      </c>
      <c r="C949" s="10" t="s">
        <v>1023</v>
      </c>
      <c r="D949" s="42" t="s">
        <v>2401</v>
      </c>
      <c r="E949" s="134" t="s">
        <v>3169</v>
      </c>
      <c r="F949" s="72"/>
      <c r="G949" s="72"/>
      <c r="H949" s="151"/>
      <c r="I949" s="152"/>
      <c r="J949" s="84"/>
      <c r="K949" s="100"/>
      <c r="L949" s="81"/>
      <c r="M949" s="81"/>
      <c r="N949" s="81"/>
      <c r="O949" s="81"/>
    </row>
    <row r="950" spans="1:15" ht="12.75">
      <c r="A950" s="13"/>
      <c r="B950" s="147" t="s">
        <v>97</v>
      </c>
      <c r="C950" s="10" t="s">
        <v>1025</v>
      </c>
      <c r="D950" s="42" t="s">
        <v>2401</v>
      </c>
      <c r="E950" s="134" t="s">
        <v>3170</v>
      </c>
      <c r="F950" s="89"/>
      <c r="G950" s="89"/>
      <c r="H950" s="148"/>
      <c r="I950" s="149"/>
      <c r="J950" s="90"/>
      <c r="K950" s="43"/>
      <c r="L950" s="39"/>
      <c r="M950" s="39"/>
      <c r="N950" s="39"/>
      <c r="O950" s="39"/>
    </row>
    <row r="951" spans="1:15" ht="12.75">
      <c r="A951" s="13"/>
      <c r="B951" s="147" t="s">
        <v>97</v>
      </c>
      <c r="C951" s="10" t="s">
        <v>1027</v>
      </c>
      <c r="D951" s="42" t="s">
        <v>2401</v>
      </c>
      <c r="E951" s="134" t="s">
        <v>3171</v>
      </c>
      <c r="F951" s="72"/>
      <c r="G951" s="72"/>
      <c r="H951" s="151"/>
      <c r="I951" s="152"/>
      <c r="J951" s="84"/>
      <c r="K951" s="100"/>
      <c r="L951" s="81"/>
      <c r="M951" s="81"/>
      <c r="N951" s="81"/>
      <c r="O951" s="81"/>
    </row>
    <row r="952" spans="1:15" ht="12.75">
      <c r="A952" s="13"/>
      <c r="B952" s="147" t="s">
        <v>97</v>
      </c>
      <c r="C952" s="10" t="s">
        <v>1029</v>
      </c>
      <c r="D952" s="42" t="s">
        <v>2401</v>
      </c>
      <c r="E952" s="134" t="s">
        <v>3172</v>
      </c>
      <c r="F952" s="72"/>
      <c r="G952" s="72"/>
      <c r="H952" s="151"/>
      <c r="I952" s="152"/>
      <c r="J952" s="84"/>
      <c r="K952" s="100"/>
      <c r="L952" s="81"/>
      <c r="M952" s="81"/>
      <c r="N952" s="81"/>
      <c r="O952" s="81"/>
    </row>
    <row r="953" spans="1:15" ht="12.75">
      <c r="A953" s="13"/>
      <c r="B953" s="147" t="s">
        <v>97</v>
      </c>
      <c r="C953" s="10" t="s">
        <v>1031</v>
      </c>
      <c r="D953" s="42" t="s">
        <v>2401</v>
      </c>
      <c r="E953" s="134" t="s">
        <v>3173</v>
      </c>
      <c r="F953" s="72"/>
      <c r="G953" s="72"/>
      <c r="H953" s="151"/>
      <c r="I953" s="152"/>
      <c r="J953" s="84"/>
      <c r="K953" s="100"/>
      <c r="L953" s="81"/>
      <c r="M953" s="81"/>
      <c r="N953" s="81"/>
      <c r="O953" s="81"/>
    </row>
    <row r="954" spans="1:15" ht="12.75">
      <c r="A954" s="13"/>
      <c r="B954" s="147" t="s">
        <v>97</v>
      </c>
      <c r="C954" s="10" t="s">
        <v>1033</v>
      </c>
      <c r="D954" s="42" t="s">
        <v>2401</v>
      </c>
      <c r="E954" s="134" t="s">
        <v>3174</v>
      </c>
      <c r="F954" s="89"/>
      <c r="G954" s="89"/>
      <c r="H954" s="148"/>
      <c r="I954" s="149"/>
      <c r="J954" s="90"/>
      <c r="K954" s="43"/>
      <c r="L954" s="39"/>
      <c r="M954" s="39"/>
      <c r="N954" s="39"/>
      <c r="O954" s="39"/>
    </row>
    <row r="955" spans="1:15" ht="12.75">
      <c r="A955" s="13"/>
      <c r="B955" s="147" t="s">
        <v>97</v>
      </c>
      <c r="C955" s="10" t="s">
        <v>1035</v>
      </c>
      <c r="D955" s="42" t="s">
        <v>2401</v>
      </c>
      <c r="E955" s="134" t="s">
        <v>3175</v>
      </c>
      <c r="F955" s="72"/>
      <c r="G955" s="72"/>
      <c r="H955" s="151"/>
      <c r="I955" s="152"/>
      <c r="J955" s="84"/>
      <c r="K955" s="100"/>
      <c r="L955" s="81"/>
      <c r="M955" s="81"/>
      <c r="N955" s="81"/>
      <c r="O955" s="81"/>
    </row>
    <row r="956" spans="1:15" ht="12.75">
      <c r="A956" s="13"/>
      <c r="B956" s="147" t="s">
        <v>97</v>
      </c>
      <c r="C956" s="10" t="s">
        <v>1037</v>
      </c>
      <c r="D956" s="42" t="s">
        <v>2401</v>
      </c>
      <c r="E956" s="134" t="s">
        <v>3176</v>
      </c>
      <c r="F956" s="72"/>
      <c r="G956" s="72"/>
      <c r="H956" s="151"/>
      <c r="I956" s="152"/>
      <c r="J956" s="84"/>
      <c r="K956" s="100"/>
      <c r="L956" s="81"/>
      <c r="M956" s="81"/>
      <c r="N956" s="81"/>
      <c r="O956" s="81"/>
    </row>
    <row r="957" spans="1:15" ht="12.75">
      <c r="A957" s="44"/>
      <c r="B957" s="147" t="s">
        <v>97</v>
      </c>
      <c r="C957" s="10" t="s">
        <v>1039</v>
      </c>
      <c r="D957" s="40" t="s">
        <v>2401</v>
      </c>
      <c r="E957" s="134" t="s">
        <v>3177</v>
      </c>
      <c r="F957" s="71"/>
      <c r="G957" s="71"/>
      <c r="H957" s="153"/>
      <c r="I957" s="154"/>
      <c r="J957" s="65"/>
      <c r="K957" s="40"/>
      <c r="L957" s="40"/>
      <c r="M957" s="40"/>
      <c r="N957" s="40"/>
      <c r="O957" s="40"/>
    </row>
    <row r="958" spans="1:15" ht="12.75">
      <c r="A958" s="13"/>
      <c r="B958" s="147" t="s">
        <v>97</v>
      </c>
      <c r="C958" s="10" t="s">
        <v>1041</v>
      </c>
      <c r="D958" s="42" t="s">
        <v>2401</v>
      </c>
      <c r="E958" s="134" t="s">
        <v>3178</v>
      </c>
      <c r="F958" s="72"/>
      <c r="G958" s="72"/>
      <c r="H958" s="151"/>
      <c r="I958" s="152"/>
      <c r="J958" s="84"/>
      <c r="K958" s="100"/>
      <c r="L958" s="81"/>
      <c r="M958" s="81"/>
      <c r="N958" s="81"/>
      <c r="O958" s="81"/>
    </row>
    <row r="959" spans="1:15" ht="12.75">
      <c r="A959" s="13"/>
      <c r="B959" s="147" t="s">
        <v>97</v>
      </c>
      <c r="C959" s="10" t="s">
        <v>1043</v>
      </c>
      <c r="D959" s="42" t="s">
        <v>2401</v>
      </c>
      <c r="E959" s="134" t="s">
        <v>3179</v>
      </c>
      <c r="F959" s="89"/>
      <c r="G959" s="89"/>
      <c r="H959" s="148"/>
      <c r="I959" s="149"/>
      <c r="J959" s="90"/>
      <c r="K959" s="43"/>
      <c r="L959" s="39"/>
      <c r="M959" s="39"/>
      <c r="N959" s="39"/>
      <c r="O959" s="39"/>
    </row>
    <row r="960" spans="1:15" ht="12.75">
      <c r="A960" s="13"/>
      <c r="B960" s="147" t="s">
        <v>97</v>
      </c>
      <c r="C960" s="10" t="s">
        <v>1045</v>
      </c>
      <c r="D960" s="42" t="s">
        <v>2401</v>
      </c>
      <c r="E960" s="134" t="s">
        <v>3180</v>
      </c>
      <c r="F960" s="72"/>
      <c r="G960" s="72"/>
      <c r="H960" s="151"/>
      <c r="I960" s="152"/>
      <c r="J960" s="84"/>
      <c r="K960" s="100"/>
      <c r="L960" s="81"/>
      <c r="M960" s="81"/>
      <c r="N960" s="81"/>
      <c r="O960" s="81"/>
    </row>
    <row r="961" spans="1:15" ht="12.75">
      <c r="A961" s="13"/>
      <c r="B961" s="147" t="s">
        <v>97</v>
      </c>
      <c r="C961" s="10" t="s">
        <v>1047</v>
      </c>
      <c r="D961" s="42" t="s">
        <v>2401</v>
      </c>
      <c r="E961" s="134" t="s">
        <v>3181</v>
      </c>
      <c r="F961" s="89"/>
      <c r="G961" s="89"/>
      <c r="H961" s="148"/>
      <c r="I961" s="149"/>
      <c r="J961" s="90"/>
      <c r="K961" s="43"/>
      <c r="L961" s="39"/>
      <c r="M961" s="39"/>
      <c r="N961" s="39"/>
      <c r="O961" s="39"/>
    </row>
    <row r="962" spans="1:15" ht="12.75">
      <c r="A962" s="13"/>
      <c r="B962" s="147" t="s">
        <v>97</v>
      </c>
      <c r="C962" s="10" t="s">
        <v>1049</v>
      </c>
      <c r="D962" s="42" t="s">
        <v>2401</v>
      </c>
      <c r="E962" s="134" t="s">
        <v>3182</v>
      </c>
      <c r="F962" s="72"/>
      <c r="G962" s="72"/>
      <c r="H962" s="151"/>
      <c r="I962" s="152"/>
      <c r="J962" s="84"/>
      <c r="K962" s="100"/>
      <c r="L962" s="81"/>
      <c r="M962" s="81"/>
      <c r="N962" s="81"/>
      <c r="O962" s="81"/>
    </row>
    <row r="963" spans="1:15" ht="12.75">
      <c r="A963" s="13"/>
      <c r="B963" s="147" t="s">
        <v>97</v>
      </c>
      <c r="C963" s="10" t="s">
        <v>1051</v>
      </c>
      <c r="D963" s="42" t="s">
        <v>2401</v>
      </c>
      <c r="E963" s="134" t="s">
        <v>3183</v>
      </c>
      <c r="F963" s="89"/>
      <c r="G963" s="89"/>
      <c r="H963" s="148"/>
      <c r="I963" s="149"/>
      <c r="J963" s="90"/>
      <c r="K963" s="43"/>
      <c r="L963" s="39"/>
      <c r="M963" s="39"/>
      <c r="N963" s="39"/>
      <c r="O963" s="39"/>
    </row>
    <row r="964" spans="1:15" ht="12.75">
      <c r="A964" s="13"/>
      <c r="B964" s="147" t="s">
        <v>97</v>
      </c>
      <c r="C964" s="10" t="s">
        <v>1053</v>
      </c>
      <c r="D964" s="42" t="s">
        <v>2401</v>
      </c>
      <c r="E964" s="134" t="s">
        <v>3184</v>
      </c>
      <c r="F964" s="72"/>
      <c r="G964" s="72"/>
      <c r="H964" s="151"/>
      <c r="I964" s="152"/>
      <c r="J964" s="84"/>
      <c r="K964" s="100"/>
      <c r="L964" s="81"/>
      <c r="M964" s="81"/>
      <c r="N964" s="81"/>
      <c r="O964" s="81"/>
    </row>
    <row r="965" spans="1:15" ht="12.75">
      <c r="A965" s="13"/>
      <c r="B965" s="147" t="s">
        <v>97</v>
      </c>
      <c r="C965" s="10" t="s">
        <v>1055</v>
      </c>
      <c r="D965" s="42" t="s">
        <v>2401</v>
      </c>
      <c r="E965" s="134" t="s">
        <v>3185</v>
      </c>
      <c r="F965" s="72"/>
      <c r="G965" s="72"/>
      <c r="H965" s="151"/>
      <c r="I965" s="152"/>
      <c r="J965" s="84"/>
      <c r="K965" s="100"/>
      <c r="L965" s="81"/>
      <c r="M965" s="81"/>
      <c r="N965" s="81"/>
      <c r="O965" s="81"/>
    </row>
    <row r="966" spans="1:15" ht="12.75">
      <c r="A966" s="13"/>
      <c r="B966" s="147" t="s">
        <v>97</v>
      </c>
      <c r="C966" s="10" t="s">
        <v>1057</v>
      </c>
      <c r="D966" s="42" t="s">
        <v>2401</v>
      </c>
      <c r="E966" s="134" t="s">
        <v>3186</v>
      </c>
      <c r="F966" s="72"/>
      <c r="G966" s="72"/>
      <c r="H966" s="151"/>
      <c r="I966" s="152"/>
      <c r="J966" s="84"/>
      <c r="K966" s="100"/>
      <c r="L966" s="81"/>
      <c r="M966" s="81"/>
      <c r="N966" s="81"/>
      <c r="O966" s="81"/>
    </row>
    <row r="967" spans="1:15" ht="12.75">
      <c r="A967" s="13"/>
      <c r="B967" s="147" t="s">
        <v>97</v>
      </c>
      <c r="C967" s="10" t="s">
        <v>1059</v>
      </c>
      <c r="D967" s="42" t="s">
        <v>2401</v>
      </c>
      <c r="E967" s="134" t="s">
        <v>3187</v>
      </c>
      <c r="F967" s="89"/>
      <c r="G967" s="89"/>
      <c r="H967" s="148"/>
      <c r="I967" s="149"/>
      <c r="J967" s="90"/>
      <c r="K967" s="43"/>
      <c r="L967" s="39"/>
      <c r="M967" s="39"/>
      <c r="N967" s="39"/>
      <c r="O967" s="39"/>
    </row>
    <row r="968" spans="1:15" ht="12.75">
      <c r="A968" s="13"/>
      <c r="B968" s="147" t="s">
        <v>97</v>
      </c>
      <c r="C968" s="10" t="s">
        <v>1061</v>
      </c>
      <c r="D968" s="42" t="s">
        <v>2401</v>
      </c>
      <c r="E968" s="134" t="s">
        <v>3188</v>
      </c>
      <c r="F968" s="72"/>
      <c r="G968" s="72"/>
      <c r="H968" s="151"/>
      <c r="I968" s="152"/>
      <c r="J968" s="84"/>
      <c r="K968" s="100"/>
      <c r="L968" s="81"/>
      <c r="M968" s="81"/>
      <c r="N968" s="81"/>
      <c r="O968" s="81"/>
    </row>
    <row r="969" spans="1:15" ht="12.75">
      <c r="A969" s="13"/>
      <c r="B969" s="147" t="s">
        <v>97</v>
      </c>
      <c r="C969" s="10" t="s">
        <v>1063</v>
      </c>
      <c r="D969" s="42" t="s">
        <v>2401</v>
      </c>
      <c r="E969" s="134" t="s">
        <v>3189</v>
      </c>
      <c r="F969" s="72"/>
      <c r="G969" s="72"/>
      <c r="H969" s="151"/>
      <c r="I969" s="152"/>
      <c r="J969" s="84"/>
      <c r="K969" s="100"/>
      <c r="L969" s="81"/>
      <c r="M969" s="81"/>
      <c r="N969" s="81"/>
      <c r="O969" s="81"/>
    </row>
    <row r="970" spans="1:15" ht="12.75">
      <c r="A970" s="13"/>
      <c r="B970" s="147" t="s">
        <v>97</v>
      </c>
      <c r="C970" s="10" t="s">
        <v>1065</v>
      </c>
      <c r="D970" s="42" t="s">
        <v>2401</v>
      </c>
      <c r="E970" s="134" t="s">
        <v>3190</v>
      </c>
      <c r="F970" s="72"/>
      <c r="G970" s="72"/>
      <c r="H970" s="151"/>
      <c r="I970" s="152"/>
      <c r="J970" s="84"/>
      <c r="K970" s="100"/>
      <c r="L970" s="81"/>
      <c r="M970" s="81"/>
      <c r="N970" s="81"/>
      <c r="O970" s="81"/>
    </row>
    <row r="971" spans="1:15" ht="12.75">
      <c r="A971" s="13"/>
      <c r="B971" s="147" t="s">
        <v>97</v>
      </c>
      <c r="C971" s="10" t="s">
        <v>1067</v>
      </c>
      <c r="D971" s="42" t="s">
        <v>2401</v>
      </c>
      <c r="E971" s="134" t="s">
        <v>3191</v>
      </c>
      <c r="F971" s="72"/>
      <c r="G971" s="72"/>
      <c r="H971" s="151"/>
      <c r="I971" s="152"/>
      <c r="J971" s="84"/>
      <c r="K971" s="100"/>
      <c r="L971" s="81"/>
      <c r="M971" s="81"/>
      <c r="N971" s="81"/>
      <c r="O971" s="81"/>
    </row>
    <row r="972" spans="1:15" ht="12.75">
      <c r="A972" s="13"/>
      <c r="B972" s="147" t="s">
        <v>97</v>
      </c>
      <c r="C972" s="10" t="s">
        <v>1069</v>
      </c>
      <c r="D972" s="42" t="s">
        <v>2401</v>
      </c>
      <c r="E972" s="134" t="s">
        <v>3192</v>
      </c>
      <c r="F972" s="72"/>
      <c r="G972" s="72"/>
      <c r="H972" s="151"/>
      <c r="I972" s="152"/>
      <c r="J972" s="84"/>
      <c r="K972" s="100"/>
      <c r="L972" s="81"/>
      <c r="M972" s="81"/>
      <c r="N972" s="81"/>
      <c r="O972" s="81"/>
    </row>
    <row r="973" spans="1:15" ht="12.75">
      <c r="A973" s="13"/>
      <c r="B973" s="147" t="s">
        <v>97</v>
      </c>
      <c r="C973" s="10" t="s">
        <v>1071</v>
      </c>
      <c r="D973" s="42" t="s">
        <v>2401</v>
      </c>
      <c r="E973" s="134" t="s">
        <v>3193</v>
      </c>
      <c r="F973" s="72"/>
      <c r="G973" s="72"/>
      <c r="H973" s="151"/>
      <c r="I973" s="152"/>
      <c r="J973" s="84"/>
      <c r="K973" s="100"/>
      <c r="L973" s="81"/>
      <c r="M973" s="81"/>
      <c r="N973" s="81"/>
      <c r="O973" s="81"/>
    </row>
    <row r="974" spans="1:15" ht="12.75">
      <c r="A974" s="13"/>
      <c r="B974" s="147" t="s">
        <v>97</v>
      </c>
      <c r="C974" s="10" t="s">
        <v>1073</v>
      </c>
      <c r="D974" s="42" t="s">
        <v>2401</v>
      </c>
      <c r="E974" s="134" t="s">
        <v>3194</v>
      </c>
      <c r="F974" s="72"/>
      <c r="G974" s="72"/>
      <c r="H974" s="151"/>
      <c r="I974" s="152"/>
      <c r="J974" s="84"/>
      <c r="K974" s="100"/>
      <c r="L974" s="81"/>
      <c r="M974" s="81"/>
      <c r="N974" s="81"/>
      <c r="O974" s="81"/>
    </row>
    <row r="975" spans="1:15" ht="12.75">
      <c r="A975" s="13"/>
      <c r="B975" s="147" t="s">
        <v>97</v>
      </c>
      <c r="C975" s="10" t="s">
        <v>1075</v>
      </c>
      <c r="D975" s="42" t="s">
        <v>2401</v>
      </c>
      <c r="E975" s="134" t="s">
        <v>3195</v>
      </c>
      <c r="F975" s="72"/>
      <c r="G975" s="72"/>
      <c r="H975" s="151"/>
      <c r="I975" s="152"/>
      <c r="J975" s="84"/>
      <c r="K975" s="100"/>
      <c r="L975" s="81"/>
      <c r="M975" s="81"/>
      <c r="N975" s="81"/>
      <c r="O975" s="81"/>
    </row>
    <row r="976" spans="1:15" ht="12.75">
      <c r="A976" s="13"/>
      <c r="B976" s="147" t="s">
        <v>97</v>
      </c>
      <c r="C976" s="10" t="s">
        <v>1077</v>
      </c>
      <c r="D976" s="42" t="s">
        <v>2401</v>
      </c>
      <c r="E976" s="134" t="s">
        <v>3196</v>
      </c>
      <c r="F976" s="72"/>
      <c r="G976" s="72"/>
      <c r="H976" s="151"/>
      <c r="I976" s="152"/>
      <c r="J976" s="84"/>
      <c r="K976" s="100"/>
      <c r="L976" s="81"/>
      <c r="M976" s="81"/>
      <c r="N976" s="81"/>
      <c r="O976" s="81"/>
    </row>
    <row r="977" spans="1:15" ht="12.75">
      <c r="A977" s="13"/>
      <c r="B977" s="147" t="s">
        <v>97</v>
      </c>
      <c r="C977" s="10" t="s">
        <v>1079</v>
      </c>
      <c r="D977" s="42" t="s">
        <v>2401</v>
      </c>
      <c r="E977" s="134" t="s">
        <v>3197</v>
      </c>
      <c r="F977" s="72"/>
      <c r="G977" s="72"/>
      <c r="H977" s="151"/>
      <c r="I977" s="152"/>
      <c r="J977" s="84"/>
      <c r="K977" s="100"/>
      <c r="L977" s="81"/>
      <c r="M977" s="81"/>
      <c r="N977" s="81"/>
      <c r="O977" s="81"/>
    </row>
    <row r="978" spans="1:15" ht="12.75">
      <c r="A978" s="13"/>
      <c r="B978" s="147" t="s">
        <v>97</v>
      </c>
      <c r="C978" s="10" t="s">
        <v>1081</v>
      </c>
      <c r="D978" s="42" t="s">
        <v>2401</v>
      </c>
      <c r="E978" s="134" t="s">
        <v>3198</v>
      </c>
      <c r="F978" s="89"/>
      <c r="G978" s="89"/>
      <c r="H978" s="148"/>
      <c r="I978" s="149"/>
      <c r="J978" s="90"/>
      <c r="K978" s="43"/>
      <c r="L978" s="39"/>
      <c r="M978" s="39"/>
      <c r="N978" s="39"/>
      <c r="O978" s="39"/>
    </row>
    <row r="979" spans="1:15" ht="12.75">
      <c r="A979" s="13"/>
      <c r="B979" s="147" t="s">
        <v>97</v>
      </c>
      <c r="C979" s="10" t="s">
        <v>1083</v>
      </c>
      <c r="D979" s="42" t="s">
        <v>2401</v>
      </c>
      <c r="E979" s="134" t="s">
        <v>3199</v>
      </c>
      <c r="F979" s="72"/>
      <c r="G979" s="72"/>
      <c r="H979" s="151"/>
      <c r="I979" s="152"/>
      <c r="J979" s="84"/>
      <c r="K979" s="100"/>
      <c r="L979" s="81"/>
      <c r="M979" s="81"/>
      <c r="N979" s="81"/>
      <c r="O979" s="81"/>
    </row>
    <row r="980" spans="1:15" ht="12.75">
      <c r="A980" s="44"/>
      <c r="B980" s="147" t="s">
        <v>97</v>
      </c>
      <c r="C980" s="10" t="s">
        <v>1085</v>
      </c>
      <c r="D980" s="40" t="s">
        <v>2401</v>
      </c>
      <c r="E980" s="134" t="s">
        <v>3200</v>
      </c>
      <c r="F980" s="71"/>
      <c r="G980" s="183"/>
      <c r="H980" s="184"/>
      <c r="I980" s="228"/>
      <c r="J980" s="106"/>
      <c r="K980" s="229"/>
      <c r="L980" s="229"/>
      <c r="M980" s="229"/>
      <c r="N980" s="229"/>
      <c r="O980" s="229"/>
    </row>
    <row r="981" spans="1:15" ht="12.75">
      <c r="A981" s="13"/>
      <c r="B981" s="147" t="s">
        <v>97</v>
      </c>
      <c r="C981" s="10" t="s">
        <v>1087</v>
      </c>
      <c r="D981" s="42" t="s">
        <v>2401</v>
      </c>
      <c r="E981" s="134" t="s">
        <v>3201</v>
      </c>
      <c r="F981" s="72"/>
      <c r="G981" s="72"/>
      <c r="H981" s="151"/>
      <c r="I981" s="152"/>
      <c r="J981" s="84"/>
      <c r="K981" s="100"/>
      <c r="L981" s="81"/>
      <c r="M981" s="81"/>
      <c r="N981" s="81"/>
      <c r="O981" s="81"/>
    </row>
    <row r="982" spans="1:15" ht="12.75">
      <c r="A982" s="13"/>
      <c r="B982" s="147" t="s">
        <v>97</v>
      </c>
      <c r="C982" s="10" t="s">
        <v>1089</v>
      </c>
      <c r="D982" s="42" t="s">
        <v>2401</v>
      </c>
      <c r="E982" s="134" t="s">
        <v>3202</v>
      </c>
      <c r="F982" s="72"/>
      <c r="G982" s="72"/>
      <c r="H982" s="151"/>
      <c r="I982" s="152"/>
      <c r="J982" s="84"/>
      <c r="K982" s="100"/>
      <c r="L982" s="81"/>
      <c r="M982" s="81"/>
      <c r="N982" s="81"/>
      <c r="O982" s="81"/>
    </row>
    <row r="983" spans="1:15" ht="12.75">
      <c r="A983" s="13"/>
      <c r="B983" s="147" t="s">
        <v>97</v>
      </c>
      <c r="C983" s="10" t="s">
        <v>1091</v>
      </c>
      <c r="D983" s="42" t="s">
        <v>2401</v>
      </c>
      <c r="E983" s="134" t="s">
        <v>3203</v>
      </c>
      <c r="F983" s="72"/>
      <c r="G983" s="72"/>
      <c r="H983" s="151"/>
      <c r="I983" s="152"/>
      <c r="J983" s="84"/>
      <c r="K983" s="100"/>
      <c r="L983" s="81"/>
      <c r="M983" s="81"/>
      <c r="N983" s="81"/>
      <c r="O983" s="81"/>
    </row>
    <row r="984" spans="1:15" ht="12.75">
      <c r="A984" s="13"/>
      <c r="B984" s="147" t="s">
        <v>97</v>
      </c>
      <c r="C984" s="10" t="s">
        <v>1093</v>
      </c>
      <c r="D984" s="42" t="s">
        <v>2401</v>
      </c>
      <c r="E984" s="134" t="s">
        <v>3204</v>
      </c>
      <c r="F984" s="72"/>
      <c r="G984" s="72"/>
      <c r="H984" s="151"/>
      <c r="I984" s="152"/>
      <c r="J984" s="84"/>
      <c r="K984" s="100"/>
      <c r="L984" s="81"/>
      <c r="M984" s="81"/>
      <c r="N984" s="81"/>
      <c r="O984" s="81"/>
    </row>
    <row r="985" spans="1:15" ht="12.75">
      <c r="A985" s="13"/>
      <c r="B985" s="147" t="s">
        <v>97</v>
      </c>
      <c r="C985" s="10" t="s">
        <v>1095</v>
      </c>
      <c r="D985" s="42" t="s">
        <v>2401</v>
      </c>
      <c r="E985" s="134" t="s">
        <v>3205</v>
      </c>
      <c r="F985" s="72"/>
      <c r="G985" s="72"/>
      <c r="H985" s="151"/>
      <c r="I985" s="152"/>
      <c r="J985" s="84"/>
      <c r="K985" s="100"/>
      <c r="L985" s="81"/>
      <c r="M985" s="81"/>
      <c r="N985" s="81"/>
      <c r="O985" s="81"/>
    </row>
    <row r="986" spans="1:15" ht="12.75">
      <c r="A986" s="13"/>
      <c r="B986" s="147" t="s">
        <v>97</v>
      </c>
      <c r="C986" s="10" t="s">
        <v>1097</v>
      </c>
      <c r="D986" s="42" t="s">
        <v>2401</v>
      </c>
      <c r="E986" s="134" t="s">
        <v>3206</v>
      </c>
      <c r="F986" s="89"/>
      <c r="G986" s="89"/>
      <c r="H986" s="148"/>
      <c r="I986" s="149"/>
      <c r="J986" s="90"/>
      <c r="K986" s="43"/>
      <c r="L986" s="39"/>
      <c r="M986" s="39"/>
      <c r="N986" s="39"/>
      <c r="O986" s="39"/>
    </row>
    <row r="987" spans="1:15" ht="12.75">
      <c r="A987" s="13"/>
      <c r="B987" s="147" t="s">
        <v>97</v>
      </c>
      <c r="C987" s="10" t="s">
        <v>1099</v>
      </c>
      <c r="D987" s="42" t="s">
        <v>2401</v>
      </c>
      <c r="E987" s="134" t="s">
        <v>3207</v>
      </c>
      <c r="F987" s="89"/>
      <c r="G987" s="89"/>
      <c r="H987" s="148"/>
      <c r="I987" s="149"/>
      <c r="J987" s="90"/>
      <c r="K987" s="43"/>
      <c r="L987" s="39"/>
      <c r="M987" s="39"/>
      <c r="N987" s="39"/>
      <c r="O987" s="39"/>
    </row>
    <row r="988" spans="1:15" ht="12.75">
      <c r="A988" s="13"/>
      <c r="B988" s="147" t="s">
        <v>97</v>
      </c>
      <c r="C988" s="10" t="s">
        <v>1101</v>
      </c>
      <c r="D988" s="42" t="s">
        <v>2401</v>
      </c>
      <c r="E988" s="134" t="s">
        <v>3208</v>
      </c>
      <c r="F988" s="72"/>
      <c r="G988" s="72"/>
      <c r="H988" s="151"/>
      <c r="I988" s="152"/>
      <c r="J988" s="84"/>
      <c r="K988" s="100"/>
      <c r="L988" s="81"/>
      <c r="M988" s="81"/>
      <c r="N988" s="81"/>
      <c r="O988" s="81"/>
    </row>
    <row r="989" spans="1:15" ht="12.75">
      <c r="A989" s="13"/>
      <c r="B989" s="147" t="s">
        <v>97</v>
      </c>
      <c r="C989" s="10" t="s">
        <v>1103</v>
      </c>
      <c r="D989" s="42" t="s">
        <v>2401</v>
      </c>
      <c r="E989" s="134" t="s">
        <v>3209</v>
      </c>
      <c r="F989" s="85"/>
      <c r="G989" s="230"/>
      <c r="H989" s="231"/>
      <c r="I989" s="232"/>
      <c r="J989" s="107"/>
      <c r="K989" s="108"/>
      <c r="L989" s="109"/>
      <c r="M989" s="109"/>
      <c r="N989" s="109"/>
      <c r="O989" s="109"/>
    </row>
    <row r="990" spans="1:15" ht="12.75">
      <c r="A990" s="13"/>
      <c r="B990" s="147" t="s">
        <v>97</v>
      </c>
      <c r="C990" s="10" t="s">
        <v>1105</v>
      </c>
      <c r="D990" s="42" t="s">
        <v>2401</v>
      </c>
      <c r="E990" s="134" t="s">
        <v>3210</v>
      </c>
      <c r="F990" s="89"/>
      <c r="G990" s="89"/>
      <c r="H990" s="148"/>
      <c r="I990" s="149"/>
      <c r="J990" s="90"/>
      <c r="K990" s="43"/>
      <c r="L990" s="39"/>
      <c r="M990" s="39"/>
      <c r="N990" s="39"/>
      <c r="O990" s="39"/>
    </row>
    <row r="991" spans="1:15" ht="12.75">
      <c r="A991" s="13"/>
      <c r="B991" s="147" t="s">
        <v>97</v>
      </c>
      <c r="C991" s="10" t="s">
        <v>1107</v>
      </c>
      <c r="D991" s="42" t="s">
        <v>2401</v>
      </c>
      <c r="E991" s="134" t="s">
        <v>3211</v>
      </c>
      <c r="F991" s="72"/>
      <c r="G991" s="72"/>
      <c r="H991" s="151"/>
      <c r="I991" s="152"/>
      <c r="J991" s="84"/>
      <c r="K991" s="100"/>
      <c r="L991" s="81"/>
      <c r="M991" s="81"/>
      <c r="N991" s="81"/>
      <c r="O991" s="81"/>
    </row>
    <row r="992" spans="1:15" ht="12.75">
      <c r="A992" s="13"/>
      <c r="B992" s="147" t="s">
        <v>97</v>
      </c>
      <c r="C992" s="10" t="s">
        <v>1109</v>
      </c>
      <c r="D992" s="42" t="s">
        <v>2401</v>
      </c>
      <c r="E992" s="134" t="s">
        <v>3212</v>
      </c>
      <c r="F992" s="72"/>
      <c r="G992" s="72"/>
      <c r="H992" s="151"/>
      <c r="I992" s="152"/>
      <c r="J992" s="84"/>
      <c r="K992" s="100"/>
      <c r="L992" s="81"/>
      <c r="M992" s="81"/>
      <c r="N992" s="81"/>
      <c r="O992" s="81"/>
    </row>
    <row r="993" spans="1:15" ht="12.75">
      <c r="A993" s="13"/>
      <c r="B993" s="147" t="s">
        <v>97</v>
      </c>
      <c r="C993" s="10" t="s">
        <v>1111</v>
      </c>
      <c r="D993" s="42" t="s">
        <v>2401</v>
      </c>
      <c r="E993" s="134" t="s">
        <v>3213</v>
      </c>
      <c r="F993" s="72"/>
      <c r="G993" s="72"/>
      <c r="H993" s="151"/>
      <c r="I993" s="152"/>
      <c r="J993" s="84"/>
      <c r="K993" s="100"/>
      <c r="L993" s="81"/>
      <c r="M993" s="81"/>
      <c r="N993" s="81"/>
      <c r="O993" s="81"/>
    </row>
    <row r="994" spans="1:15" ht="12.75">
      <c r="A994" s="13"/>
      <c r="B994" s="147" t="s">
        <v>97</v>
      </c>
      <c r="C994" s="10" t="s">
        <v>1113</v>
      </c>
      <c r="D994" s="42" t="s">
        <v>2401</v>
      </c>
      <c r="E994" s="134" t="s">
        <v>3214</v>
      </c>
      <c r="F994" s="72"/>
      <c r="G994" s="72"/>
      <c r="H994" s="151"/>
      <c r="I994" s="152"/>
      <c r="J994" s="84"/>
      <c r="K994" s="100"/>
      <c r="L994" s="81"/>
      <c r="M994" s="81"/>
      <c r="N994" s="81"/>
      <c r="O994" s="81"/>
    </row>
    <row r="995" spans="1:15" ht="12.75">
      <c r="A995" s="13"/>
      <c r="B995" s="147" t="s">
        <v>97</v>
      </c>
      <c r="C995" s="10" t="s">
        <v>1115</v>
      </c>
      <c r="D995" s="42" t="s">
        <v>2401</v>
      </c>
      <c r="E995" s="134" t="s">
        <v>3215</v>
      </c>
      <c r="F995" s="72"/>
      <c r="G995" s="72"/>
      <c r="H995" s="151"/>
      <c r="I995" s="152"/>
      <c r="J995" s="84"/>
      <c r="K995" s="100"/>
      <c r="L995" s="81"/>
      <c r="M995" s="81"/>
      <c r="N995" s="81"/>
      <c r="O995" s="81"/>
    </row>
    <row r="996" spans="1:15" ht="12.75">
      <c r="A996" s="13"/>
      <c r="B996" s="147" t="s">
        <v>97</v>
      </c>
      <c r="C996" s="10" t="s">
        <v>1117</v>
      </c>
      <c r="D996" s="42" t="s">
        <v>2401</v>
      </c>
      <c r="E996" s="134" t="s">
        <v>3216</v>
      </c>
      <c r="F996" s="72"/>
      <c r="G996" s="72"/>
      <c r="H996" s="151"/>
      <c r="I996" s="152"/>
      <c r="J996" s="84"/>
      <c r="K996" s="100"/>
      <c r="L996" s="81"/>
      <c r="M996" s="81"/>
      <c r="N996" s="81"/>
      <c r="O996" s="81"/>
    </row>
    <row r="997" spans="1:15" ht="12.75">
      <c r="A997" s="13"/>
      <c r="B997" s="147" t="s">
        <v>97</v>
      </c>
      <c r="C997" s="10" t="s">
        <v>1119</v>
      </c>
      <c r="D997" s="42" t="s">
        <v>2401</v>
      </c>
      <c r="E997" s="134" t="s">
        <v>3217</v>
      </c>
      <c r="F997" s="72"/>
      <c r="G997" s="72"/>
      <c r="H997" s="151"/>
      <c r="I997" s="152"/>
      <c r="J997" s="84"/>
      <c r="K997" s="100"/>
      <c r="L997" s="81"/>
      <c r="M997" s="81"/>
      <c r="N997" s="81"/>
      <c r="O997" s="81"/>
    </row>
    <row r="998" spans="1:15" ht="12.75">
      <c r="A998" s="13"/>
      <c r="B998" s="147" t="s">
        <v>97</v>
      </c>
      <c r="C998" s="10" t="s">
        <v>1121</v>
      </c>
      <c r="D998" s="42" t="s">
        <v>2401</v>
      </c>
      <c r="E998" s="134" t="s">
        <v>3218</v>
      </c>
      <c r="F998" s="89"/>
      <c r="G998" s="89"/>
      <c r="H998" s="148"/>
      <c r="I998" s="149"/>
      <c r="J998" s="90"/>
      <c r="K998" s="43"/>
      <c r="L998" s="39"/>
      <c r="M998" s="39"/>
      <c r="N998" s="39"/>
      <c r="O998" s="39"/>
    </row>
    <row r="999" spans="1:15" ht="12.75">
      <c r="A999" s="13"/>
      <c r="B999" s="147" t="s">
        <v>97</v>
      </c>
      <c r="C999" s="10" t="s">
        <v>1123</v>
      </c>
      <c r="D999" s="42" t="s">
        <v>2401</v>
      </c>
      <c r="E999" s="134" t="s">
        <v>3219</v>
      </c>
      <c r="F999" s="72"/>
      <c r="G999" s="72"/>
      <c r="H999" s="151"/>
      <c r="I999" s="152"/>
      <c r="J999" s="84"/>
      <c r="K999" s="100"/>
      <c r="L999" s="81"/>
      <c r="M999" s="81"/>
      <c r="N999" s="81"/>
      <c r="O999" s="81"/>
    </row>
    <row r="1000" spans="1:15" ht="12.75">
      <c r="A1000" s="13"/>
      <c r="B1000" s="147" t="s">
        <v>97</v>
      </c>
      <c r="C1000" s="10" t="s">
        <v>1125</v>
      </c>
      <c r="D1000" s="42" t="s">
        <v>2401</v>
      </c>
      <c r="E1000" s="134" t="s">
        <v>3220</v>
      </c>
      <c r="F1000" s="72"/>
      <c r="G1000" s="72"/>
      <c r="H1000" s="151"/>
      <c r="I1000" s="152"/>
      <c r="J1000" s="84"/>
      <c r="K1000" s="100"/>
      <c r="L1000" s="81"/>
      <c r="M1000" s="81"/>
      <c r="N1000" s="81"/>
      <c r="O1000" s="81"/>
    </row>
    <row r="1001" spans="1:15" ht="12.75">
      <c r="A1001" s="13"/>
      <c r="B1001" s="147" t="s">
        <v>97</v>
      </c>
      <c r="C1001" s="10" t="s">
        <v>1127</v>
      </c>
      <c r="D1001" s="42" t="s">
        <v>2401</v>
      </c>
      <c r="E1001" s="134" t="s">
        <v>3221</v>
      </c>
      <c r="F1001" s="89"/>
      <c r="G1001" s="89"/>
      <c r="H1001" s="148"/>
      <c r="I1001" s="149"/>
      <c r="J1001" s="90"/>
      <c r="K1001" s="43"/>
      <c r="L1001" s="39"/>
      <c r="M1001" s="39"/>
      <c r="N1001" s="39"/>
      <c r="O1001" s="39"/>
    </row>
    <row r="1002" spans="1:15" ht="12.75">
      <c r="A1002" s="13"/>
      <c r="B1002" s="147" t="s">
        <v>97</v>
      </c>
      <c r="C1002" s="10" t="s">
        <v>1129</v>
      </c>
      <c r="D1002" s="42" t="s">
        <v>2401</v>
      </c>
      <c r="E1002" s="134" t="s">
        <v>3222</v>
      </c>
      <c r="F1002" s="89"/>
      <c r="G1002" s="89"/>
      <c r="H1002" s="148"/>
      <c r="I1002" s="149"/>
      <c r="J1002" s="90"/>
      <c r="K1002" s="43"/>
      <c r="L1002" s="39"/>
      <c r="M1002" s="39"/>
      <c r="N1002" s="39"/>
      <c r="O1002" s="39"/>
    </row>
    <row r="1003" spans="1:15" ht="12.75">
      <c r="A1003" s="13"/>
      <c r="B1003" s="147" t="s">
        <v>97</v>
      </c>
      <c r="C1003" s="10" t="s">
        <v>1131</v>
      </c>
      <c r="D1003" s="42" t="s">
        <v>2401</v>
      </c>
      <c r="E1003" s="134" t="s">
        <v>3223</v>
      </c>
      <c r="F1003" s="72"/>
      <c r="G1003" s="72"/>
      <c r="H1003" s="151"/>
      <c r="I1003" s="152"/>
      <c r="J1003" s="84"/>
      <c r="K1003" s="100"/>
      <c r="L1003" s="81"/>
      <c r="M1003" s="81"/>
      <c r="N1003" s="81"/>
      <c r="O1003" s="81"/>
    </row>
    <row r="1004" spans="1:15" ht="12.75">
      <c r="A1004" s="44"/>
      <c r="B1004" s="147" t="s">
        <v>97</v>
      </c>
      <c r="C1004" s="10" t="s">
        <v>1133</v>
      </c>
      <c r="D1004" s="40" t="s">
        <v>2401</v>
      </c>
      <c r="E1004" s="134" t="s">
        <v>3224</v>
      </c>
      <c r="F1004" s="71"/>
      <c r="G1004" s="71"/>
      <c r="H1004" s="153"/>
      <c r="I1004" s="154"/>
      <c r="J1004" s="65"/>
      <c r="K1004" s="40"/>
      <c r="L1004" s="40"/>
      <c r="M1004" s="40"/>
      <c r="N1004" s="40"/>
      <c r="O1004" s="40"/>
    </row>
    <row r="1005" spans="1:15" ht="12.75">
      <c r="A1005" s="13"/>
      <c r="B1005" s="147" t="s">
        <v>97</v>
      </c>
      <c r="C1005" s="10" t="s">
        <v>1135</v>
      </c>
      <c r="D1005" s="42" t="s">
        <v>2401</v>
      </c>
      <c r="E1005" s="134" t="s">
        <v>3225</v>
      </c>
      <c r="F1005" s="89"/>
      <c r="G1005" s="89"/>
      <c r="H1005" s="148"/>
      <c r="I1005" s="149"/>
      <c r="J1005" s="90"/>
      <c r="K1005" s="43"/>
      <c r="L1005" s="39"/>
      <c r="M1005" s="39"/>
      <c r="N1005" s="39"/>
      <c r="O1005" s="39"/>
    </row>
    <row r="1006" spans="1:15" ht="12.75">
      <c r="A1006" s="13"/>
      <c r="B1006" s="147" t="s">
        <v>97</v>
      </c>
      <c r="C1006" s="10" t="s">
        <v>1137</v>
      </c>
      <c r="D1006" s="42" t="s">
        <v>2401</v>
      </c>
      <c r="E1006" s="134" t="s">
        <v>3226</v>
      </c>
      <c r="F1006" s="72"/>
      <c r="G1006" s="72"/>
      <c r="H1006" s="151"/>
      <c r="I1006" s="152"/>
      <c r="J1006" s="84"/>
      <c r="K1006" s="100"/>
      <c r="L1006" s="81"/>
      <c r="M1006" s="81"/>
      <c r="N1006" s="81"/>
      <c r="O1006" s="81"/>
    </row>
    <row r="1007" spans="1:15" ht="12.75">
      <c r="A1007" s="13"/>
      <c r="B1007" s="147" t="s">
        <v>97</v>
      </c>
      <c r="C1007" s="10" t="s">
        <v>1139</v>
      </c>
      <c r="D1007" s="42" t="s">
        <v>2401</v>
      </c>
      <c r="E1007" s="134" t="s">
        <v>3227</v>
      </c>
      <c r="F1007" s="89"/>
      <c r="G1007" s="89"/>
      <c r="H1007" s="148"/>
      <c r="I1007" s="149"/>
      <c r="J1007" s="90"/>
      <c r="K1007" s="43"/>
      <c r="L1007" s="39"/>
      <c r="M1007" s="39"/>
      <c r="N1007" s="39"/>
      <c r="O1007" s="39"/>
    </row>
    <row r="1008" spans="1:15" ht="12.75">
      <c r="A1008" s="13"/>
      <c r="B1008" s="147" t="s">
        <v>97</v>
      </c>
      <c r="C1008" s="10" t="s">
        <v>1141</v>
      </c>
      <c r="D1008" s="42" t="s">
        <v>2401</v>
      </c>
      <c r="E1008" s="134" t="s">
        <v>3228</v>
      </c>
      <c r="F1008" s="89"/>
      <c r="G1008" s="89"/>
      <c r="H1008" s="148"/>
      <c r="I1008" s="149"/>
      <c r="J1008" s="90"/>
      <c r="K1008" s="43"/>
      <c r="L1008" s="39"/>
      <c r="M1008" s="39"/>
      <c r="N1008" s="39"/>
      <c r="O1008" s="39"/>
    </row>
    <row r="1009" spans="1:15" ht="12.75">
      <c r="A1009" s="13"/>
      <c r="B1009" s="147" t="s">
        <v>97</v>
      </c>
      <c r="C1009" s="10" t="s">
        <v>1143</v>
      </c>
      <c r="D1009" s="42" t="s">
        <v>2401</v>
      </c>
      <c r="E1009" s="134" t="s">
        <v>3229</v>
      </c>
      <c r="F1009" s="72"/>
      <c r="G1009" s="72"/>
      <c r="H1009" s="151"/>
      <c r="I1009" s="152"/>
      <c r="J1009" s="84"/>
      <c r="K1009" s="100"/>
      <c r="L1009" s="81"/>
      <c r="M1009" s="81"/>
      <c r="N1009" s="81"/>
      <c r="O1009" s="81"/>
    </row>
    <row r="1010" spans="1:15" ht="12.75">
      <c r="A1010" s="13"/>
      <c r="B1010" s="147" t="s">
        <v>97</v>
      </c>
      <c r="C1010" s="10" t="s">
        <v>1145</v>
      </c>
      <c r="D1010" s="42" t="s">
        <v>2401</v>
      </c>
      <c r="E1010" s="134" t="s">
        <v>3230</v>
      </c>
      <c r="F1010" s="89"/>
      <c r="G1010" s="89"/>
      <c r="H1010" s="148"/>
      <c r="I1010" s="149"/>
      <c r="J1010" s="90"/>
      <c r="K1010" s="43"/>
      <c r="L1010" s="39"/>
      <c r="M1010" s="39"/>
      <c r="N1010" s="39"/>
      <c r="O1010" s="39"/>
    </row>
    <row r="1011" spans="1:15" ht="12.75">
      <c r="A1011" s="13"/>
      <c r="B1011" s="147" t="s">
        <v>97</v>
      </c>
      <c r="C1011" s="10" t="s">
        <v>1147</v>
      </c>
      <c r="D1011" s="42" t="s">
        <v>2401</v>
      </c>
      <c r="E1011" s="134" t="s">
        <v>3231</v>
      </c>
      <c r="F1011" s="72"/>
      <c r="G1011" s="72"/>
      <c r="H1011" s="151"/>
      <c r="I1011" s="152"/>
      <c r="J1011" s="84"/>
      <c r="K1011" s="100"/>
      <c r="L1011" s="81"/>
      <c r="M1011" s="81"/>
      <c r="N1011" s="81"/>
      <c r="O1011" s="81"/>
    </row>
    <row r="1012" spans="1:15" ht="12.75">
      <c r="A1012" s="13"/>
      <c r="B1012" s="147" t="s">
        <v>97</v>
      </c>
      <c r="C1012" s="10" t="s">
        <v>1149</v>
      </c>
      <c r="D1012" s="42" t="s">
        <v>2401</v>
      </c>
      <c r="E1012" s="134" t="s">
        <v>3232</v>
      </c>
      <c r="F1012" s="72"/>
      <c r="G1012" s="72"/>
      <c r="H1012" s="151"/>
      <c r="I1012" s="152"/>
      <c r="J1012" s="84"/>
      <c r="K1012" s="100"/>
      <c r="L1012" s="81"/>
      <c r="M1012" s="81"/>
      <c r="N1012" s="81"/>
      <c r="O1012" s="81"/>
    </row>
    <row r="1013" spans="1:15" ht="12.75">
      <c r="A1013" s="13"/>
      <c r="B1013" s="147" t="s">
        <v>97</v>
      </c>
      <c r="C1013" s="10" t="s">
        <v>1151</v>
      </c>
      <c r="D1013" s="42" t="s">
        <v>2401</v>
      </c>
      <c r="E1013" s="134" t="s">
        <v>3233</v>
      </c>
      <c r="F1013" s="89"/>
      <c r="G1013" s="89"/>
      <c r="H1013" s="148"/>
      <c r="I1013" s="149"/>
      <c r="J1013" s="90"/>
      <c r="K1013" s="43"/>
      <c r="L1013" s="39"/>
      <c r="M1013" s="39"/>
      <c r="N1013" s="39"/>
      <c r="O1013" s="39"/>
    </row>
    <row r="1014" spans="1:15" ht="12.75">
      <c r="A1014" s="13"/>
      <c r="B1014" s="147" t="s">
        <v>97</v>
      </c>
      <c r="C1014" s="10" t="s">
        <v>1153</v>
      </c>
      <c r="D1014" s="42" t="s">
        <v>2401</v>
      </c>
      <c r="E1014" s="134" t="s">
        <v>3234</v>
      </c>
      <c r="F1014" s="72"/>
      <c r="G1014" s="72"/>
      <c r="H1014" s="151"/>
      <c r="I1014" s="152"/>
      <c r="J1014" s="84"/>
      <c r="K1014" s="100"/>
      <c r="L1014" s="81"/>
      <c r="M1014" s="81"/>
      <c r="N1014" s="81"/>
      <c r="O1014" s="81"/>
    </row>
    <row r="1015" spans="1:15" ht="12.75">
      <c r="A1015" s="13"/>
      <c r="B1015" s="147" t="s">
        <v>97</v>
      </c>
      <c r="C1015" s="10" t="s">
        <v>1155</v>
      </c>
      <c r="D1015" s="42" t="s">
        <v>2401</v>
      </c>
      <c r="E1015" s="134" t="s">
        <v>3235</v>
      </c>
      <c r="F1015" s="72"/>
      <c r="G1015" s="72"/>
      <c r="H1015" s="151"/>
      <c r="I1015" s="152"/>
      <c r="J1015" s="84"/>
      <c r="K1015" s="100"/>
      <c r="L1015" s="81"/>
      <c r="M1015" s="81"/>
      <c r="N1015" s="81"/>
      <c r="O1015" s="81"/>
    </row>
    <row r="1016" spans="1:15" ht="12.75">
      <c r="A1016" s="13"/>
      <c r="B1016" s="147" t="s">
        <v>97</v>
      </c>
      <c r="C1016" s="10" t="s">
        <v>1157</v>
      </c>
      <c r="D1016" s="42" t="s">
        <v>2401</v>
      </c>
      <c r="E1016" s="134" t="s">
        <v>3236</v>
      </c>
      <c r="F1016" s="72"/>
      <c r="G1016" s="72"/>
      <c r="H1016" s="151"/>
      <c r="I1016" s="152"/>
      <c r="J1016" s="84"/>
      <c r="K1016" s="100"/>
      <c r="L1016" s="81"/>
      <c r="M1016" s="81"/>
      <c r="N1016" s="81"/>
      <c r="O1016" s="81"/>
    </row>
    <row r="1017" spans="1:15" ht="12.75">
      <c r="A1017" s="13"/>
      <c r="B1017" s="147" t="s">
        <v>97</v>
      </c>
      <c r="C1017" s="10" t="s">
        <v>1159</v>
      </c>
      <c r="D1017" s="42" t="s">
        <v>2401</v>
      </c>
      <c r="E1017" s="134" t="s">
        <v>3237</v>
      </c>
      <c r="F1017" s="72"/>
      <c r="G1017" s="72"/>
      <c r="H1017" s="151"/>
      <c r="I1017" s="152"/>
      <c r="J1017" s="84"/>
      <c r="K1017" s="100"/>
      <c r="L1017" s="81"/>
      <c r="M1017" s="81"/>
      <c r="N1017" s="81"/>
      <c r="O1017" s="81"/>
    </row>
    <row r="1018" spans="1:15" ht="12.75">
      <c r="A1018" s="13"/>
      <c r="B1018" s="147" t="s">
        <v>97</v>
      </c>
      <c r="C1018" s="10" t="s">
        <v>1161</v>
      </c>
      <c r="D1018" s="42" t="s">
        <v>2401</v>
      </c>
      <c r="E1018" s="134" t="s">
        <v>3238</v>
      </c>
      <c r="F1018" s="72"/>
      <c r="G1018" s="72"/>
      <c r="H1018" s="151"/>
      <c r="I1018" s="152"/>
      <c r="J1018" s="84"/>
      <c r="K1018" s="100"/>
      <c r="L1018" s="81"/>
      <c r="M1018" s="81"/>
      <c r="N1018" s="81"/>
      <c r="O1018" s="81"/>
    </row>
    <row r="1019" spans="1:15" ht="12.75">
      <c r="A1019" s="13"/>
      <c r="B1019" s="147" t="s">
        <v>97</v>
      </c>
      <c r="C1019" s="10" t="s">
        <v>1163</v>
      </c>
      <c r="D1019" s="42" t="s">
        <v>2401</v>
      </c>
      <c r="E1019" s="134" t="s">
        <v>3239</v>
      </c>
      <c r="F1019" s="72"/>
      <c r="G1019" s="72"/>
      <c r="H1019" s="151"/>
      <c r="I1019" s="152"/>
      <c r="J1019" s="84"/>
      <c r="K1019" s="100"/>
      <c r="L1019" s="81"/>
      <c r="M1019" s="81"/>
      <c r="N1019" s="81"/>
      <c r="O1019" s="81"/>
    </row>
    <row r="1020" spans="1:15" ht="12.75">
      <c r="A1020" s="13"/>
      <c r="B1020" s="147" t="s">
        <v>97</v>
      </c>
      <c r="C1020" s="10" t="s">
        <v>1165</v>
      </c>
      <c r="D1020" s="42" t="s">
        <v>2401</v>
      </c>
      <c r="E1020" s="134" t="s">
        <v>3240</v>
      </c>
      <c r="F1020" s="72"/>
      <c r="G1020" s="72"/>
      <c r="H1020" s="151"/>
      <c r="I1020" s="152"/>
      <c r="J1020" s="84"/>
      <c r="K1020" s="100"/>
      <c r="L1020" s="81"/>
      <c r="M1020" s="81"/>
      <c r="N1020" s="81"/>
      <c r="O1020" s="81"/>
    </row>
    <row r="1021" spans="1:15" ht="12.75">
      <c r="A1021" s="13"/>
      <c r="B1021" s="147" t="s">
        <v>97</v>
      </c>
      <c r="C1021" s="10" t="s">
        <v>1167</v>
      </c>
      <c r="D1021" s="42" t="s">
        <v>2401</v>
      </c>
      <c r="E1021" s="134" t="s">
        <v>3241</v>
      </c>
      <c r="F1021" s="72"/>
      <c r="G1021" s="72"/>
      <c r="H1021" s="151"/>
      <c r="I1021" s="152"/>
      <c r="J1021" s="84"/>
      <c r="K1021" s="100"/>
      <c r="L1021" s="81"/>
      <c r="M1021" s="81"/>
      <c r="N1021" s="81"/>
      <c r="O1021" s="81"/>
    </row>
    <row r="1022" spans="1:15" ht="12.75">
      <c r="A1022" s="13"/>
      <c r="B1022" s="147" t="s">
        <v>97</v>
      </c>
      <c r="C1022" s="10" t="s">
        <v>1169</v>
      </c>
      <c r="D1022" s="42" t="s">
        <v>2401</v>
      </c>
      <c r="E1022" s="134" t="s">
        <v>3242</v>
      </c>
      <c r="F1022" s="72"/>
      <c r="G1022" s="72"/>
      <c r="H1022" s="151"/>
      <c r="I1022" s="152"/>
      <c r="J1022" s="84"/>
      <c r="K1022" s="100"/>
      <c r="L1022" s="81"/>
      <c r="M1022" s="81"/>
      <c r="N1022" s="81"/>
      <c r="O1022" s="81"/>
    </row>
    <row r="1023" spans="1:15" ht="12.75">
      <c r="A1023" s="13"/>
      <c r="B1023" s="147" t="s">
        <v>97</v>
      </c>
      <c r="C1023" s="10" t="s">
        <v>1171</v>
      </c>
      <c r="D1023" s="42" t="s">
        <v>2401</v>
      </c>
      <c r="E1023" s="134" t="s">
        <v>3243</v>
      </c>
      <c r="F1023" s="72"/>
      <c r="G1023" s="72"/>
      <c r="H1023" s="151"/>
      <c r="I1023" s="152"/>
      <c r="J1023" s="84"/>
      <c r="K1023" s="100"/>
      <c r="L1023" s="81"/>
      <c r="M1023" s="81"/>
      <c r="N1023" s="81"/>
      <c r="O1023" s="81"/>
    </row>
    <row r="1024" spans="1:15" ht="12.75">
      <c r="A1024" s="13"/>
      <c r="B1024" s="147" t="s">
        <v>97</v>
      </c>
      <c r="C1024" s="10" t="s">
        <v>1173</v>
      </c>
      <c r="D1024" s="42" t="s">
        <v>2401</v>
      </c>
      <c r="E1024" s="134" t="s">
        <v>3244</v>
      </c>
      <c r="F1024" s="72"/>
      <c r="G1024" s="72"/>
      <c r="H1024" s="151"/>
      <c r="I1024" s="152"/>
      <c r="J1024" s="84"/>
      <c r="K1024" s="100"/>
      <c r="L1024" s="81"/>
      <c r="M1024" s="81"/>
      <c r="N1024" s="81"/>
      <c r="O1024" s="81"/>
    </row>
    <row r="1025" spans="1:15" ht="12.75">
      <c r="A1025" s="13"/>
      <c r="B1025" s="147" t="s">
        <v>97</v>
      </c>
      <c r="C1025" s="10" t="s">
        <v>1175</v>
      </c>
      <c r="D1025" s="42" t="s">
        <v>2401</v>
      </c>
      <c r="E1025" s="134" t="s">
        <v>3245</v>
      </c>
      <c r="F1025" s="89"/>
      <c r="G1025" s="89"/>
      <c r="H1025" s="148"/>
      <c r="I1025" s="149"/>
      <c r="J1025" s="90"/>
      <c r="K1025" s="43"/>
      <c r="L1025" s="39"/>
      <c r="M1025" s="39"/>
      <c r="N1025" s="39"/>
      <c r="O1025" s="39"/>
    </row>
    <row r="1026" spans="1:15" ht="12.75">
      <c r="A1026" s="13"/>
      <c r="B1026" s="147" t="s">
        <v>97</v>
      </c>
      <c r="C1026" s="10" t="s">
        <v>1177</v>
      </c>
      <c r="D1026" s="42" t="s">
        <v>2401</v>
      </c>
      <c r="E1026" s="134" t="s">
        <v>3246</v>
      </c>
      <c r="F1026" s="72"/>
      <c r="G1026" s="72"/>
      <c r="H1026" s="151"/>
      <c r="I1026" s="152"/>
      <c r="J1026" s="84"/>
      <c r="K1026" s="100"/>
      <c r="L1026" s="81"/>
      <c r="M1026" s="81"/>
      <c r="N1026" s="81"/>
      <c r="O1026" s="81"/>
    </row>
    <row r="1027" spans="1:15" ht="12.75">
      <c r="A1027" s="13"/>
      <c r="B1027" s="147" t="s">
        <v>97</v>
      </c>
      <c r="C1027" s="10" t="s">
        <v>1179</v>
      </c>
      <c r="D1027" s="42" t="s">
        <v>2401</v>
      </c>
      <c r="E1027" s="134" t="s">
        <v>3247</v>
      </c>
      <c r="F1027" s="72"/>
      <c r="G1027" s="72"/>
      <c r="H1027" s="151"/>
      <c r="I1027" s="152"/>
      <c r="J1027" s="84"/>
      <c r="K1027" s="100"/>
      <c r="L1027" s="81"/>
      <c r="M1027" s="81"/>
      <c r="N1027" s="81"/>
      <c r="O1027" s="81"/>
    </row>
    <row r="1028" spans="1:15" ht="12.75">
      <c r="A1028" s="13"/>
      <c r="B1028" s="147" t="s">
        <v>97</v>
      </c>
      <c r="C1028" s="10" t="s">
        <v>1181</v>
      </c>
      <c r="D1028" s="42" t="s">
        <v>2401</v>
      </c>
      <c r="E1028" s="134" t="s">
        <v>3248</v>
      </c>
      <c r="F1028" s="72"/>
      <c r="G1028" s="72"/>
      <c r="H1028" s="151"/>
      <c r="I1028" s="152"/>
      <c r="J1028" s="84"/>
      <c r="K1028" s="100"/>
      <c r="L1028" s="81"/>
      <c r="M1028" s="81"/>
      <c r="N1028" s="81"/>
      <c r="O1028" s="81"/>
    </row>
    <row r="1029" spans="1:15" ht="12.75">
      <c r="A1029" s="13"/>
      <c r="B1029" s="147" t="s">
        <v>97</v>
      </c>
      <c r="C1029" s="10" t="s">
        <v>1183</v>
      </c>
      <c r="D1029" s="42" t="s">
        <v>2401</v>
      </c>
      <c r="E1029" s="134" t="s">
        <v>3249</v>
      </c>
      <c r="F1029" s="89"/>
      <c r="G1029" s="89"/>
      <c r="H1029" s="148"/>
      <c r="I1029" s="149"/>
      <c r="J1029" s="90"/>
      <c r="K1029" s="43"/>
      <c r="L1029" s="39"/>
      <c r="M1029" s="39"/>
      <c r="N1029" s="39"/>
      <c r="O1029" s="39"/>
    </row>
    <row r="1030" spans="1:15" ht="12.75">
      <c r="A1030" s="13"/>
      <c r="B1030" s="147" t="s">
        <v>97</v>
      </c>
      <c r="C1030" s="10" t="s">
        <v>1185</v>
      </c>
      <c r="D1030" s="42" t="s">
        <v>2401</v>
      </c>
      <c r="E1030" s="134" t="s">
        <v>3250</v>
      </c>
      <c r="F1030" s="72"/>
      <c r="G1030" s="72"/>
      <c r="H1030" s="151"/>
      <c r="I1030" s="152"/>
      <c r="J1030" s="84"/>
      <c r="K1030" s="100"/>
      <c r="L1030" s="81"/>
      <c r="M1030" s="81"/>
      <c r="N1030" s="81"/>
      <c r="O1030" s="81"/>
    </row>
    <row r="1031" spans="1:15" ht="12.75">
      <c r="A1031" s="13"/>
      <c r="B1031" s="147" t="s">
        <v>97</v>
      </c>
      <c r="C1031" s="10" t="s">
        <v>1187</v>
      </c>
      <c r="D1031" s="42" t="s">
        <v>2401</v>
      </c>
      <c r="E1031" s="134" t="s">
        <v>3251</v>
      </c>
      <c r="F1031" s="72"/>
      <c r="G1031" s="72"/>
      <c r="H1031" s="151"/>
      <c r="I1031" s="152"/>
      <c r="J1031" s="84"/>
      <c r="K1031" s="100"/>
      <c r="L1031" s="81"/>
      <c r="M1031" s="81"/>
      <c r="N1031" s="81"/>
      <c r="O1031" s="81"/>
    </row>
    <row r="1032" spans="1:15" ht="12.75">
      <c r="A1032" s="13"/>
      <c r="B1032" s="147" t="s">
        <v>97</v>
      </c>
      <c r="C1032" s="10" t="s">
        <v>1189</v>
      </c>
      <c r="D1032" s="42" t="s">
        <v>2401</v>
      </c>
      <c r="E1032" s="134" t="s">
        <v>3252</v>
      </c>
      <c r="F1032" s="72"/>
      <c r="G1032" s="72"/>
      <c r="H1032" s="151"/>
      <c r="I1032" s="152"/>
      <c r="J1032" s="84"/>
      <c r="K1032" s="100"/>
      <c r="L1032" s="81"/>
      <c r="M1032" s="81"/>
      <c r="N1032" s="81"/>
      <c r="O1032" s="81"/>
    </row>
    <row r="1033" spans="1:15" ht="12.75">
      <c r="A1033" s="44"/>
      <c r="B1033" s="147" t="s">
        <v>97</v>
      </c>
      <c r="C1033" s="10" t="s">
        <v>1191</v>
      </c>
      <c r="D1033" s="40" t="s">
        <v>2401</v>
      </c>
      <c r="E1033" s="134" t="s">
        <v>3253</v>
      </c>
      <c r="F1033" s="72"/>
      <c r="G1033" s="233"/>
      <c r="H1033" s="234"/>
      <c r="I1033" s="235"/>
      <c r="J1033" s="110"/>
      <c r="K1033" s="111"/>
      <c r="L1033" s="111"/>
      <c r="M1033" s="111"/>
      <c r="N1033" s="111"/>
      <c r="O1033" s="111"/>
    </row>
    <row r="1034" spans="1:15" ht="12.75">
      <c r="A1034" s="44"/>
      <c r="B1034" s="147" t="s">
        <v>97</v>
      </c>
      <c r="C1034" s="10" t="s">
        <v>1193</v>
      </c>
      <c r="D1034" s="40" t="s">
        <v>2401</v>
      </c>
      <c r="E1034" s="134" t="s">
        <v>3254</v>
      </c>
      <c r="F1034" s="89"/>
      <c r="G1034" s="89"/>
      <c r="H1034" s="148"/>
      <c r="I1034" s="149"/>
      <c r="J1034" s="90"/>
      <c r="K1034" s="39"/>
      <c r="L1034" s="39"/>
      <c r="M1034" s="39"/>
      <c r="N1034" s="39"/>
      <c r="O1034" s="39"/>
    </row>
    <row r="1035" spans="1:15" ht="12.75">
      <c r="A1035" s="44"/>
      <c r="B1035" s="147" t="s">
        <v>97</v>
      </c>
      <c r="C1035" s="10" t="s">
        <v>1195</v>
      </c>
      <c r="D1035" s="40" t="s">
        <v>2401</v>
      </c>
      <c r="E1035" s="134" t="s">
        <v>3255</v>
      </c>
      <c r="F1035" s="72"/>
      <c r="G1035" s="72"/>
      <c r="H1035" s="151"/>
      <c r="I1035" s="152"/>
      <c r="J1035" s="84"/>
      <c r="K1035" s="81"/>
      <c r="L1035" s="81"/>
      <c r="M1035" s="81"/>
      <c r="N1035" s="81"/>
      <c r="O1035" s="81"/>
    </row>
    <row r="1036" spans="1:15" ht="12.75">
      <c r="A1036" s="44"/>
      <c r="B1036" s="147" t="s">
        <v>97</v>
      </c>
      <c r="C1036" s="10" t="s">
        <v>1197</v>
      </c>
      <c r="D1036" s="40" t="s">
        <v>2401</v>
      </c>
      <c r="E1036" s="134" t="s">
        <v>3256</v>
      </c>
      <c r="F1036" s="72"/>
      <c r="G1036" s="72"/>
      <c r="H1036" s="151"/>
      <c r="I1036" s="152"/>
      <c r="J1036" s="84"/>
      <c r="K1036" s="81"/>
      <c r="L1036" s="81"/>
      <c r="M1036" s="81"/>
      <c r="N1036" s="81"/>
      <c r="O1036" s="81"/>
    </row>
    <row r="1037" spans="1:15" ht="12.75">
      <c r="A1037" s="44"/>
      <c r="B1037" s="147" t="s">
        <v>97</v>
      </c>
      <c r="C1037" s="10" t="s">
        <v>3257</v>
      </c>
      <c r="D1037" s="40" t="s">
        <v>2401</v>
      </c>
      <c r="E1037" s="134" t="s">
        <v>3258</v>
      </c>
      <c r="F1037" s="71"/>
      <c r="G1037" s="183"/>
      <c r="H1037" s="184"/>
      <c r="I1037" s="228"/>
      <c r="J1037" s="106"/>
      <c r="K1037" s="141"/>
      <c r="L1037" s="141"/>
      <c r="M1037" s="141"/>
      <c r="N1037" s="141"/>
      <c r="O1037" s="141"/>
    </row>
    <row r="1038" spans="1:15" ht="12.75">
      <c r="A1038" s="13"/>
      <c r="B1038" s="147" t="s">
        <v>97</v>
      </c>
      <c r="C1038" s="10" t="s">
        <v>1200</v>
      </c>
      <c r="D1038" s="42" t="s">
        <v>2401</v>
      </c>
      <c r="E1038" s="134" t="s">
        <v>3259</v>
      </c>
      <c r="F1038" s="89"/>
      <c r="G1038" s="89"/>
      <c r="H1038" s="148"/>
      <c r="I1038" s="149"/>
      <c r="J1038" s="90"/>
      <c r="K1038" s="43"/>
      <c r="L1038" s="39"/>
      <c r="M1038" s="39"/>
      <c r="N1038" s="39"/>
      <c r="O1038" s="39"/>
    </row>
    <row r="1039" spans="1:15" ht="12.75">
      <c r="A1039" s="13"/>
      <c r="B1039" s="147" t="s">
        <v>97</v>
      </c>
      <c r="C1039" s="10" t="s">
        <v>1202</v>
      </c>
      <c r="D1039" s="42" t="s">
        <v>2401</v>
      </c>
      <c r="E1039" s="134" t="s">
        <v>3260</v>
      </c>
      <c r="F1039" s="72"/>
      <c r="G1039" s="72"/>
      <c r="H1039" s="151"/>
      <c r="I1039" s="152"/>
      <c r="J1039" s="84"/>
      <c r="K1039" s="100"/>
      <c r="L1039" s="81"/>
      <c r="M1039" s="81"/>
      <c r="N1039" s="81"/>
      <c r="O1039" s="81"/>
    </row>
    <row r="1040" spans="1:15" ht="12.75">
      <c r="A1040" s="13"/>
      <c r="B1040" s="147" t="s">
        <v>97</v>
      </c>
      <c r="C1040" s="10" t="s">
        <v>1204</v>
      </c>
      <c r="D1040" s="42" t="s">
        <v>2401</v>
      </c>
      <c r="E1040" s="143" t="s">
        <v>3261</v>
      </c>
      <c r="F1040" s="89"/>
      <c r="G1040" s="89"/>
      <c r="H1040" s="148"/>
      <c r="I1040" s="149"/>
      <c r="J1040" s="90"/>
      <c r="K1040" s="43"/>
      <c r="L1040" s="39"/>
      <c r="M1040" s="39"/>
      <c r="N1040" s="39"/>
      <c r="O1040" s="39"/>
    </row>
    <row r="1041" spans="1:15" ht="12.75">
      <c r="A1041" s="13"/>
      <c r="B1041" s="147" t="s">
        <v>97</v>
      </c>
      <c r="C1041" s="10" t="s">
        <v>1206</v>
      </c>
      <c r="D1041" s="42" t="s">
        <v>2401</v>
      </c>
      <c r="E1041" s="134" t="s">
        <v>3262</v>
      </c>
      <c r="F1041" s="72"/>
      <c r="G1041" s="72"/>
      <c r="H1041" s="151"/>
      <c r="I1041" s="152"/>
      <c r="J1041" s="84"/>
      <c r="K1041" s="100"/>
      <c r="L1041" s="81"/>
      <c r="M1041" s="81"/>
      <c r="N1041" s="81"/>
      <c r="O1041" s="81"/>
    </row>
    <row r="1042" spans="1:15" ht="12.75">
      <c r="A1042" s="13"/>
      <c r="B1042" s="147" t="s">
        <v>97</v>
      </c>
      <c r="C1042" s="10" t="s">
        <v>1208</v>
      </c>
      <c r="D1042" s="42" t="s">
        <v>2401</v>
      </c>
      <c r="E1042" s="134" t="s">
        <v>3263</v>
      </c>
      <c r="F1042" s="89"/>
      <c r="G1042" s="89"/>
      <c r="H1042" s="148"/>
      <c r="I1042" s="149"/>
      <c r="J1042" s="90"/>
      <c r="K1042" s="43"/>
      <c r="L1042" s="39"/>
      <c r="M1042" s="39"/>
      <c r="N1042" s="39"/>
      <c r="O1042" s="39"/>
    </row>
    <row r="1043" spans="1:15" ht="12.75">
      <c r="A1043" s="13"/>
      <c r="B1043" s="147" t="s">
        <v>97</v>
      </c>
      <c r="C1043" s="10" t="s">
        <v>1210</v>
      </c>
      <c r="D1043" s="42" t="s">
        <v>2401</v>
      </c>
      <c r="E1043" s="134" t="s">
        <v>3264</v>
      </c>
      <c r="F1043" s="89"/>
      <c r="G1043" s="89"/>
      <c r="H1043" s="148"/>
      <c r="I1043" s="149"/>
      <c r="J1043" s="90"/>
      <c r="K1043" s="43"/>
      <c r="L1043" s="39"/>
      <c r="M1043" s="39"/>
      <c r="N1043" s="39"/>
      <c r="O1043" s="39"/>
    </row>
    <row r="1044" spans="1:15" ht="12.75">
      <c r="A1044" s="13"/>
      <c r="B1044" s="147" t="s">
        <v>97</v>
      </c>
      <c r="C1044" s="10" t="s">
        <v>891</v>
      </c>
      <c r="D1044" s="42" t="s">
        <v>2401</v>
      </c>
      <c r="E1044" s="134" t="s">
        <v>3265</v>
      </c>
      <c r="F1044" s="72"/>
      <c r="G1044" s="72"/>
      <c r="H1044" s="151"/>
      <c r="I1044" s="152"/>
      <c r="J1044" s="84"/>
      <c r="K1044" s="100"/>
      <c r="L1044" s="81"/>
      <c r="M1044" s="81"/>
      <c r="N1044" s="81"/>
      <c r="O1044" s="81"/>
    </row>
    <row r="1045" spans="1:15" ht="12.75">
      <c r="A1045" s="13"/>
      <c r="B1045" s="147" t="s">
        <v>97</v>
      </c>
      <c r="C1045" s="10" t="s">
        <v>1213</v>
      </c>
      <c r="D1045" s="42" t="s">
        <v>2401</v>
      </c>
      <c r="E1045" s="134" t="s">
        <v>3266</v>
      </c>
      <c r="F1045" s="72"/>
      <c r="G1045" s="72"/>
      <c r="H1045" s="151"/>
      <c r="I1045" s="152"/>
      <c r="J1045" s="84"/>
      <c r="K1045" s="100"/>
      <c r="L1045" s="81"/>
      <c r="M1045" s="81"/>
      <c r="N1045" s="81"/>
      <c r="O1045" s="81"/>
    </row>
    <row r="1046" spans="1:15" ht="12.75">
      <c r="A1046" s="13"/>
      <c r="B1046" s="147" t="s">
        <v>97</v>
      </c>
      <c r="C1046" s="10" t="s">
        <v>1215</v>
      </c>
      <c r="D1046" s="42" t="s">
        <v>2401</v>
      </c>
      <c r="E1046" s="134" t="s">
        <v>3267</v>
      </c>
      <c r="F1046" s="72"/>
      <c r="G1046" s="72"/>
      <c r="H1046" s="151"/>
      <c r="I1046" s="152"/>
      <c r="J1046" s="84"/>
      <c r="K1046" s="100"/>
      <c r="L1046" s="81"/>
      <c r="M1046" s="81"/>
      <c r="N1046" s="81"/>
      <c r="O1046" s="81"/>
    </row>
    <row r="1047" spans="1:15" ht="12.75">
      <c r="A1047" s="13"/>
      <c r="B1047" s="147" t="s">
        <v>97</v>
      </c>
      <c r="C1047" s="10" t="s">
        <v>1217</v>
      </c>
      <c r="D1047" s="42" t="s">
        <v>2401</v>
      </c>
      <c r="E1047" s="134" t="s">
        <v>3268</v>
      </c>
      <c r="F1047" s="72"/>
      <c r="G1047" s="72"/>
      <c r="H1047" s="151"/>
      <c r="I1047" s="152"/>
      <c r="J1047" s="84"/>
      <c r="K1047" s="100"/>
      <c r="L1047" s="81"/>
      <c r="M1047" s="81"/>
      <c r="N1047" s="81"/>
      <c r="O1047" s="81"/>
    </row>
    <row r="1048" spans="1:15" ht="12.75">
      <c r="A1048" s="13"/>
      <c r="B1048" s="147" t="s">
        <v>97</v>
      </c>
      <c r="C1048" s="10" t="s">
        <v>1219</v>
      </c>
      <c r="D1048" s="42" t="s">
        <v>2401</v>
      </c>
      <c r="E1048" s="134" t="s">
        <v>3269</v>
      </c>
      <c r="F1048" s="72"/>
      <c r="G1048" s="72"/>
      <c r="H1048" s="151"/>
      <c r="I1048" s="152"/>
      <c r="J1048" s="84"/>
      <c r="K1048" s="100"/>
      <c r="L1048" s="81"/>
      <c r="M1048" s="81"/>
      <c r="N1048" s="81"/>
      <c r="O1048" s="81"/>
    </row>
    <row r="1049" spans="1:15" ht="12.75">
      <c r="A1049" s="13"/>
      <c r="B1049" s="147" t="s">
        <v>97</v>
      </c>
      <c r="C1049" s="10" t="s">
        <v>1221</v>
      </c>
      <c r="D1049" s="42" t="s">
        <v>2401</v>
      </c>
      <c r="E1049" s="134" t="s">
        <v>3270</v>
      </c>
      <c r="F1049" s="72"/>
      <c r="G1049" s="72"/>
      <c r="H1049" s="151"/>
      <c r="I1049" s="152"/>
      <c r="J1049" s="84"/>
      <c r="K1049" s="100"/>
      <c r="L1049" s="81"/>
      <c r="M1049" s="81"/>
      <c r="N1049" s="81"/>
      <c r="O1049" s="81"/>
    </row>
    <row r="1050" spans="1:15" ht="12.75">
      <c r="A1050" s="13"/>
      <c r="B1050" s="147" t="s">
        <v>97</v>
      </c>
      <c r="C1050" s="10" t="s">
        <v>1223</v>
      </c>
      <c r="D1050" s="42" t="s">
        <v>2401</v>
      </c>
      <c r="E1050" s="134" t="s">
        <v>3271</v>
      </c>
      <c r="F1050" s="72"/>
      <c r="G1050" s="72"/>
      <c r="H1050" s="151"/>
      <c r="I1050" s="152"/>
      <c r="J1050" s="84"/>
      <c r="K1050" s="100"/>
      <c r="L1050" s="81"/>
      <c r="M1050" s="81"/>
      <c r="N1050" s="81"/>
      <c r="O1050" s="81"/>
    </row>
    <row r="1051" spans="1:15" ht="12.75">
      <c r="A1051" s="13"/>
      <c r="B1051" s="147" t="s">
        <v>97</v>
      </c>
      <c r="C1051" s="10" t="s">
        <v>1225</v>
      </c>
      <c r="D1051" s="42" t="s">
        <v>2401</v>
      </c>
      <c r="E1051" s="134" t="s">
        <v>3272</v>
      </c>
      <c r="F1051" s="72"/>
      <c r="G1051" s="72"/>
      <c r="H1051" s="151"/>
      <c r="I1051" s="152"/>
      <c r="J1051" s="84"/>
      <c r="K1051" s="100"/>
      <c r="L1051" s="81"/>
      <c r="M1051" s="81"/>
      <c r="N1051" s="81"/>
      <c r="O1051" s="81"/>
    </row>
    <row r="1052" spans="1:15" ht="12.75">
      <c r="A1052" s="13"/>
      <c r="B1052" s="147" t="s">
        <v>97</v>
      </c>
      <c r="C1052" s="10" t="s">
        <v>1227</v>
      </c>
      <c r="D1052" s="42" t="s">
        <v>2401</v>
      </c>
      <c r="E1052" s="134" t="s">
        <v>3273</v>
      </c>
      <c r="F1052" s="72"/>
      <c r="G1052" s="72"/>
      <c r="H1052" s="151"/>
      <c r="I1052" s="152"/>
      <c r="J1052" s="84"/>
      <c r="K1052" s="100"/>
      <c r="L1052" s="81"/>
      <c r="M1052" s="81"/>
      <c r="N1052" s="81"/>
      <c r="O1052" s="81"/>
    </row>
    <row r="1053" spans="1:15" ht="12.75">
      <c r="A1053" s="13"/>
      <c r="B1053" s="147" t="s">
        <v>97</v>
      </c>
      <c r="C1053" s="10" t="s">
        <v>1229</v>
      </c>
      <c r="D1053" s="42" t="s">
        <v>2401</v>
      </c>
      <c r="E1053" s="134" t="s">
        <v>3274</v>
      </c>
      <c r="F1053" s="72"/>
      <c r="G1053" s="72"/>
      <c r="H1053" s="151"/>
      <c r="I1053" s="152"/>
      <c r="J1053" s="84"/>
      <c r="K1053" s="100"/>
      <c r="L1053" s="81"/>
      <c r="M1053" s="81"/>
      <c r="N1053" s="81"/>
      <c r="O1053" s="81"/>
    </row>
    <row r="1054" spans="1:15" ht="12.75">
      <c r="A1054" s="13"/>
      <c r="B1054" s="147" t="s">
        <v>97</v>
      </c>
      <c r="C1054" s="10" t="s">
        <v>1231</v>
      </c>
      <c r="D1054" s="42" t="s">
        <v>2401</v>
      </c>
      <c r="E1054" s="134" t="s">
        <v>3275</v>
      </c>
      <c r="F1054" s="72"/>
      <c r="G1054" s="72"/>
      <c r="H1054" s="151"/>
      <c r="I1054" s="152"/>
      <c r="J1054" s="84"/>
      <c r="K1054" s="100"/>
      <c r="L1054" s="81"/>
      <c r="M1054" s="81"/>
      <c r="N1054" s="81"/>
      <c r="O1054" s="81"/>
    </row>
    <row r="1055" spans="1:15" ht="12.75">
      <c r="A1055" s="13"/>
      <c r="B1055" s="147" t="s">
        <v>97</v>
      </c>
      <c r="C1055" s="10" t="s">
        <v>1233</v>
      </c>
      <c r="D1055" s="42" t="s">
        <v>2401</v>
      </c>
      <c r="E1055" s="134" t="s">
        <v>3276</v>
      </c>
      <c r="F1055" s="72"/>
      <c r="G1055" s="72"/>
      <c r="H1055" s="151"/>
      <c r="I1055" s="152"/>
      <c r="J1055" s="84"/>
      <c r="K1055" s="100"/>
      <c r="L1055" s="81"/>
      <c r="M1055" s="81"/>
      <c r="N1055" s="81"/>
      <c r="O1055" s="81"/>
    </row>
    <row r="1056" spans="1:15" ht="12.75">
      <c r="A1056" s="13"/>
      <c r="B1056" s="147" t="s">
        <v>97</v>
      </c>
      <c r="C1056" s="10" t="s">
        <v>1235</v>
      </c>
      <c r="D1056" s="42" t="s">
        <v>2401</v>
      </c>
      <c r="E1056" s="134" t="s">
        <v>3277</v>
      </c>
      <c r="F1056" s="72"/>
      <c r="G1056" s="72"/>
      <c r="H1056" s="151"/>
      <c r="I1056" s="152"/>
      <c r="J1056" s="84"/>
      <c r="K1056" s="100"/>
      <c r="L1056" s="81"/>
      <c r="M1056" s="81"/>
      <c r="N1056" s="81"/>
      <c r="O1056" s="81"/>
    </row>
    <row r="1057" spans="1:15" ht="12.75">
      <c r="A1057" s="13"/>
      <c r="B1057" s="147" t="s">
        <v>97</v>
      </c>
      <c r="C1057" s="10" t="s">
        <v>1237</v>
      </c>
      <c r="D1057" s="42" t="s">
        <v>2401</v>
      </c>
      <c r="E1057" s="134" t="s">
        <v>3278</v>
      </c>
      <c r="F1057" s="89"/>
      <c r="G1057" s="89"/>
      <c r="H1057" s="148"/>
      <c r="I1057" s="149"/>
      <c r="J1057" s="90"/>
      <c r="K1057" s="43"/>
      <c r="L1057" s="39"/>
      <c r="M1057" s="39"/>
      <c r="N1057" s="39"/>
      <c r="O1057" s="39"/>
    </row>
    <row r="1058" spans="1:15" ht="12.75">
      <c r="A1058" s="13"/>
      <c r="B1058" s="147" t="s">
        <v>97</v>
      </c>
      <c r="C1058" s="10" t="s">
        <v>1239</v>
      </c>
      <c r="D1058" s="42" t="s">
        <v>2401</v>
      </c>
      <c r="E1058" s="134" t="s">
        <v>3279</v>
      </c>
      <c r="F1058" s="72"/>
      <c r="G1058" s="72"/>
      <c r="H1058" s="151"/>
      <c r="I1058" s="152"/>
      <c r="J1058" s="84"/>
      <c r="K1058" s="100"/>
      <c r="L1058" s="81"/>
      <c r="M1058" s="81"/>
      <c r="N1058" s="81"/>
      <c r="O1058" s="81"/>
    </row>
    <row r="1059" spans="1:15" ht="12.75">
      <c r="A1059" s="13"/>
      <c r="B1059" s="147" t="s">
        <v>97</v>
      </c>
      <c r="C1059" s="10" t="s">
        <v>1241</v>
      </c>
      <c r="D1059" s="42" t="s">
        <v>2401</v>
      </c>
      <c r="E1059" s="134" t="s">
        <v>3280</v>
      </c>
      <c r="F1059" s="72"/>
      <c r="G1059" s="72"/>
      <c r="H1059" s="151"/>
      <c r="I1059" s="152"/>
      <c r="J1059" s="84"/>
      <c r="K1059" s="100"/>
      <c r="L1059" s="81"/>
      <c r="M1059" s="81"/>
      <c r="N1059" s="81"/>
      <c r="O1059" s="81"/>
    </row>
    <row r="1060" spans="1:15" ht="12.75">
      <c r="A1060" s="13"/>
      <c r="B1060" s="147" t="s">
        <v>97</v>
      </c>
      <c r="C1060" s="10" t="s">
        <v>1243</v>
      </c>
      <c r="D1060" s="42" t="s">
        <v>2401</v>
      </c>
      <c r="E1060" s="134" t="s">
        <v>3281</v>
      </c>
      <c r="F1060" s="72"/>
      <c r="G1060" s="72"/>
      <c r="H1060" s="151"/>
      <c r="I1060" s="152"/>
      <c r="J1060" s="84"/>
      <c r="K1060" s="100"/>
      <c r="L1060" s="81"/>
      <c r="M1060" s="81"/>
      <c r="N1060" s="81"/>
      <c r="O1060" s="81"/>
    </row>
    <row r="1061" spans="1:15" ht="12.75">
      <c r="A1061" s="13"/>
      <c r="B1061" s="147" t="s">
        <v>97</v>
      </c>
      <c r="C1061" s="10" t="s">
        <v>1245</v>
      </c>
      <c r="D1061" s="42" t="s">
        <v>2401</v>
      </c>
      <c r="E1061" s="134" t="s">
        <v>3282</v>
      </c>
      <c r="F1061" s="72"/>
      <c r="G1061" s="72"/>
      <c r="H1061" s="151"/>
      <c r="I1061" s="152"/>
      <c r="J1061" s="84"/>
      <c r="K1061" s="100"/>
      <c r="L1061" s="81"/>
      <c r="M1061" s="81"/>
      <c r="N1061" s="81"/>
      <c r="O1061" s="81"/>
    </row>
    <row r="1062" spans="1:15" ht="12.75">
      <c r="A1062" s="13"/>
      <c r="B1062" s="147" t="s">
        <v>97</v>
      </c>
      <c r="C1062" s="10" t="s">
        <v>1247</v>
      </c>
      <c r="D1062" s="42" t="s">
        <v>2401</v>
      </c>
      <c r="E1062" s="134" t="s">
        <v>3283</v>
      </c>
      <c r="F1062" s="72"/>
      <c r="G1062" s="72"/>
      <c r="H1062" s="151"/>
      <c r="I1062" s="152"/>
      <c r="J1062" s="84"/>
      <c r="K1062" s="100"/>
      <c r="L1062" s="81"/>
      <c r="M1062" s="81"/>
      <c r="N1062" s="81"/>
      <c r="O1062" s="81"/>
    </row>
    <row r="1063" spans="1:15" ht="12.75">
      <c r="A1063" s="13"/>
      <c r="B1063" s="147" t="s">
        <v>97</v>
      </c>
      <c r="C1063" s="10" t="s">
        <v>1249</v>
      </c>
      <c r="D1063" s="42" t="s">
        <v>2401</v>
      </c>
      <c r="E1063" s="134" t="s">
        <v>2294</v>
      </c>
      <c r="F1063" s="72"/>
      <c r="G1063" s="72"/>
      <c r="H1063" s="151"/>
      <c r="I1063" s="152"/>
      <c r="J1063" s="84"/>
      <c r="K1063" s="100"/>
      <c r="L1063" s="81"/>
      <c r="M1063" s="81"/>
      <c r="N1063" s="81"/>
      <c r="O1063" s="81"/>
    </row>
    <row r="1064" spans="1:15" ht="12.75">
      <c r="A1064" s="13"/>
      <c r="B1064" s="147" t="s">
        <v>97</v>
      </c>
      <c r="C1064" s="10" t="s">
        <v>1251</v>
      </c>
      <c r="D1064" s="42" t="s">
        <v>2401</v>
      </c>
      <c r="E1064" s="134" t="s">
        <v>3284</v>
      </c>
      <c r="F1064" s="72"/>
      <c r="G1064" s="72"/>
      <c r="H1064" s="151"/>
      <c r="I1064" s="152"/>
      <c r="J1064" s="84"/>
      <c r="K1064" s="100"/>
      <c r="L1064" s="81"/>
      <c r="M1064" s="81"/>
      <c r="N1064" s="81"/>
      <c r="O1064" s="81"/>
    </row>
    <row r="1065" spans="1:15" ht="12.75">
      <c r="A1065" s="13"/>
      <c r="B1065" s="147" t="s">
        <v>97</v>
      </c>
      <c r="C1065" s="10" t="s">
        <v>1253</v>
      </c>
      <c r="D1065" s="42" t="s">
        <v>2401</v>
      </c>
      <c r="E1065" s="134" t="s">
        <v>3285</v>
      </c>
      <c r="F1065" s="72"/>
      <c r="G1065" s="72"/>
      <c r="H1065" s="151"/>
      <c r="I1065" s="152"/>
      <c r="J1065" s="84"/>
      <c r="K1065" s="100"/>
      <c r="L1065" s="81"/>
      <c r="M1065" s="81"/>
      <c r="N1065" s="81"/>
      <c r="O1065" s="81"/>
    </row>
    <row r="1066" spans="1:15" ht="12.75">
      <c r="A1066" s="13"/>
      <c r="B1066" s="147" t="s">
        <v>97</v>
      </c>
      <c r="C1066" s="10" t="s">
        <v>1255</v>
      </c>
      <c r="D1066" s="42" t="s">
        <v>2401</v>
      </c>
      <c r="E1066" s="134" t="s">
        <v>3286</v>
      </c>
      <c r="F1066" s="72"/>
      <c r="G1066" s="72"/>
      <c r="H1066" s="151"/>
      <c r="I1066" s="152"/>
      <c r="J1066" s="84"/>
      <c r="K1066" s="100"/>
      <c r="L1066" s="81"/>
      <c r="M1066" s="81"/>
      <c r="N1066" s="81"/>
      <c r="O1066" s="81"/>
    </row>
    <row r="1067" spans="1:15" ht="12.75">
      <c r="A1067" s="13"/>
      <c r="B1067" s="147" t="s">
        <v>97</v>
      </c>
      <c r="C1067" s="10" t="s">
        <v>1257</v>
      </c>
      <c r="D1067" s="42" t="s">
        <v>2401</v>
      </c>
      <c r="E1067" s="134" t="s">
        <v>2327</v>
      </c>
      <c r="F1067" s="72"/>
      <c r="G1067" s="72"/>
      <c r="H1067" s="151"/>
      <c r="I1067" s="152"/>
      <c r="J1067" s="84"/>
      <c r="K1067" s="100"/>
      <c r="L1067" s="81"/>
      <c r="M1067" s="81"/>
      <c r="N1067" s="81"/>
      <c r="O1067" s="81"/>
    </row>
    <row r="1068" spans="1:15" ht="12.75">
      <c r="A1068" s="13"/>
      <c r="B1068" s="147" t="s">
        <v>97</v>
      </c>
      <c r="C1068" s="10" t="s">
        <v>1259</v>
      </c>
      <c r="D1068" s="42" t="s">
        <v>2401</v>
      </c>
      <c r="E1068" s="134" t="s">
        <v>3287</v>
      </c>
      <c r="F1068" s="72"/>
      <c r="G1068" s="72"/>
      <c r="H1068" s="151"/>
      <c r="I1068" s="152"/>
      <c r="J1068" s="84"/>
      <c r="K1068" s="100"/>
      <c r="L1068" s="81"/>
      <c r="M1068" s="81"/>
      <c r="N1068" s="81"/>
      <c r="O1068" s="81"/>
    </row>
    <row r="1069" spans="1:15" ht="12.75">
      <c r="A1069" s="13"/>
      <c r="B1069" s="147" t="s">
        <v>97</v>
      </c>
      <c r="C1069" s="10" t="s">
        <v>1261</v>
      </c>
      <c r="D1069" s="42" t="s">
        <v>2401</v>
      </c>
      <c r="E1069" s="134" t="s">
        <v>3288</v>
      </c>
      <c r="F1069" s="72"/>
      <c r="G1069" s="72"/>
      <c r="H1069" s="151"/>
      <c r="I1069" s="152"/>
      <c r="J1069" s="84"/>
      <c r="K1069" s="100"/>
      <c r="L1069" s="81"/>
      <c r="M1069" s="81"/>
      <c r="N1069" s="81"/>
      <c r="O1069" s="81"/>
    </row>
    <row r="1070" spans="1:15" ht="12.75">
      <c r="A1070" s="13"/>
      <c r="B1070" s="147" t="s">
        <v>97</v>
      </c>
      <c r="C1070" s="10" t="s">
        <v>1263</v>
      </c>
      <c r="D1070" s="42" t="s">
        <v>2401</v>
      </c>
      <c r="E1070" s="134" t="s">
        <v>3289</v>
      </c>
      <c r="F1070" s="72"/>
      <c r="G1070" s="72"/>
      <c r="H1070" s="151"/>
      <c r="I1070" s="152"/>
      <c r="J1070" s="84"/>
      <c r="K1070" s="100"/>
      <c r="L1070" s="81"/>
      <c r="M1070" s="81"/>
      <c r="N1070" s="81"/>
      <c r="O1070" s="81"/>
    </row>
    <row r="1071" spans="1:15" ht="12.75">
      <c r="A1071" s="13"/>
      <c r="B1071" s="147" t="s">
        <v>97</v>
      </c>
      <c r="C1071" s="10" t="s">
        <v>1265</v>
      </c>
      <c r="D1071" s="42" t="s">
        <v>2401</v>
      </c>
      <c r="E1071" s="134" t="s">
        <v>3290</v>
      </c>
      <c r="F1071" s="72"/>
      <c r="G1071" s="72"/>
      <c r="H1071" s="151"/>
      <c r="I1071" s="152"/>
      <c r="J1071" s="84"/>
      <c r="K1071" s="100"/>
      <c r="L1071" s="81"/>
      <c r="M1071" s="81"/>
      <c r="N1071" s="81"/>
      <c r="O1071" s="81"/>
    </row>
    <row r="1072" spans="1:15" ht="12.75">
      <c r="A1072" s="13"/>
      <c r="B1072" s="147" t="s">
        <v>97</v>
      </c>
      <c r="C1072" s="10" t="s">
        <v>1267</v>
      </c>
      <c r="D1072" s="42" t="s">
        <v>2401</v>
      </c>
      <c r="E1072" s="134" t="s">
        <v>3291</v>
      </c>
      <c r="F1072" s="72"/>
      <c r="G1072" s="72"/>
      <c r="H1072" s="151"/>
      <c r="I1072" s="152"/>
      <c r="J1072" s="84"/>
      <c r="K1072" s="100"/>
      <c r="L1072" s="81"/>
      <c r="M1072" s="81"/>
      <c r="N1072" s="81"/>
      <c r="O1072" s="81"/>
    </row>
    <row r="1073" spans="1:15" ht="12.75">
      <c r="A1073" s="44"/>
      <c r="B1073" s="147" t="s">
        <v>97</v>
      </c>
      <c r="C1073" s="10" t="s">
        <v>1269</v>
      </c>
      <c r="D1073" s="40" t="s">
        <v>2401</v>
      </c>
      <c r="E1073" s="134" t="s">
        <v>3292</v>
      </c>
      <c r="F1073" s="71"/>
      <c r="G1073" s="71"/>
      <c r="H1073" s="153"/>
      <c r="I1073" s="154"/>
      <c r="J1073" s="65"/>
      <c r="K1073" s="40"/>
      <c r="L1073" s="40"/>
      <c r="M1073" s="40"/>
      <c r="N1073" s="40"/>
      <c r="O1073" s="40"/>
    </row>
    <row r="1074" spans="1:15" ht="12.75">
      <c r="A1074" s="44"/>
      <c r="B1074" s="147" t="s">
        <v>97</v>
      </c>
      <c r="C1074" s="10" t="s">
        <v>1271</v>
      </c>
      <c r="D1074" s="40" t="s">
        <v>2401</v>
      </c>
      <c r="E1074" s="134" t="s">
        <v>3293</v>
      </c>
      <c r="F1074" s="89"/>
      <c r="G1074" s="89"/>
      <c r="H1074" s="148"/>
      <c r="I1074" s="149"/>
      <c r="J1074" s="90"/>
      <c r="K1074" s="39"/>
      <c r="L1074" s="39"/>
      <c r="M1074" s="39"/>
      <c r="N1074" s="39"/>
      <c r="O1074" s="39"/>
    </row>
    <row r="1075" spans="1:15" ht="12.75">
      <c r="A1075" s="44"/>
      <c r="B1075" s="147" t="s">
        <v>97</v>
      </c>
      <c r="C1075" s="10" t="s">
        <v>1273</v>
      </c>
      <c r="D1075" s="40" t="s">
        <v>2401</v>
      </c>
      <c r="E1075" s="134" t="s">
        <v>3294</v>
      </c>
      <c r="F1075" s="89"/>
      <c r="G1075" s="89"/>
      <c r="H1075" s="148"/>
      <c r="I1075" s="149"/>
      <c r="J1075" s="90"/>
      <c r="K1075" s="39"/>
      <c r="L1075" s="39"/>
      <c r="M1075" s="39"/>
      <c r="N1075" s="39"/>
      <c r="O1075" s="39"/>
    </row>
    <row r="1076" spans="1:15" ht="12.75">
      <c r="A1076" s="13"/>
      <c r="B1076" s="147" t="s">
        <v>97</v>
      </c>
      <c r="C1076" s="10" t="s">
        <v>1275</v>
      </c>
      <c r="D1076" s="42" t="s">
        <v>2401</v>
      </c>
      <c r="E1076" s="134" t="s">
        <v>3295</v>
      </c>
      <c r="F1076" s="89"/>
      <c r="G1076" s="89"/>
      <c r="H1076" s="148"/>
      <c r="I1076" s="149"/>
      <c r="J1076" s="90"/>
      <c r="K1076" s="43"/>
      <c r="L1076" s="39"/>
      <c r="M1076" s="39"/>
      <c r="N1076" s="39"/>
      <c r="O1076" s="39"/>
    </row>
    <row r="1077" spans="1:15" ht="12.75">
      <c r="A1077" s="13"/>
      <c r="B1077" s="147" t="s">
        <v>97</v>
      </c>
      <c r="C1077" s="10" t="s">
        <v>1277</v>
      </c>
      <c r="D1077" s="42" t="s">
        <v>2401</v>
      </c>
      <c r="E1077" s="134" t="s">
        <v>3296</v>
      </c>
      <c r="F1077" s="72"/>
      <c r="G1077" s="72"/>
      <c r="H1077" s="151"/>
      <c r="I1077" s="152"/>
      <c r="J1077" s="84"/>
      <c r="K1077" s="100"/>
      <c r="L1077" s="81"/>
      <c r="M1077" s="81"/>
      <c r="N1077" s="81"/>
      <c r="O1077" s="81"/>
    </row>
    <row r="1078" spans="1:15" ht="12.75">
      <c r="A1078" s="13"/>
      <c r="B1078" s="147" t="s">
        <v>97</v>
      </c>
      <c r="C1078" s="10" t="s">
        <v>1279</v>
      </c>
      <c r="D1078" s="42" t="s">
        <v>2401</v>
      </c>
      <c r="E1078" s="134" t="s">
        <v>3297</v>
      </c>
      <c r="F1078" s="72"/>
      <c r="G1078" s="72"/>
      <c r="H1078" s="151"/>
      <c r="I1078" s="152"/>
      <c r="J1078" s="84"/>
      <c r="K1078" s="100"/>
      <c r="L1078" s="81"/>
      <c r="M1078" s="81"/>
      <c r="N1078" s="81"/>
      <c r="O1078" s="81"/>
    </row>
    <row r="1079" spans="1:15" ht="12.75">
      <c r="A1079" s="13"/>
      <c r="B1079" s="147" t="s">
        <v>97</v>
      </c>
      <c r="C1079" s="10" t="s">
        <v>1281</v>
      </c>
      <c r="D1079" s="42" t="s">
        <v>2401</v>
      </c>
      <c r="E1079" s="134" t="s">
        <v>3298</v>
      </c>
      <c r="F1079" s="72"/>
      <c r="G1079" s="72"/>
      <c r="H1079" s="151"/>
      <c r="I1079" s="152"/>
      <c r="J1079" s="84"/>
      <c r="K1079" s="100"/>
      <c r="L1079" s="81"/>
      <c r="M1079" s="81"/>
      <c r="N1079" s="81"/>
      <c r="O1079" s="81"/>
    </row>
    <row r="1080" spans="1:15" ht="12.75">
      <c r="A1080" s="13"/>
      <c r="B1080" s="147" t="s">
        <v>97</v>
      </c>
      <c r="C1080" s="10" t="s">
        <v>1283</v>
      </c>
      <c r="D1080" s="42" t="s">
        <v>2401</v>
      </c>
      <c r="E1080" s="134" t="s">
        <v>3299</v>
      </c>
      <c r="F1080" s="72"/>
      <c r="G1080" s="72"/>
      <c r="H1080" s="151"/>
      <c r="I1080" s="152"/>
      <c r="J1080" s="84"/>
      <c r="K1080" s="100"/>
      <c r="L1080" s="81"/>
      <c r="M1080" s="81"/>
      <c r="N1080" s="81"/>
      <c r="O1080" s="81"/>
    </row>
    <row r="1081" spans="1:15" ht="12.75">
      <c r="A1081" s="59"/>
      <c r="B1081" s="147" t="s">
        <v>97</v>
      </c>
      <c r="C1081" s="63" t="s">
        <v>97</v>
      </c>
      <c r="D1081" s="63"/>
      <c r="E1081" s="219"/>
      <c r="F1081" s="61"/>
      <c r="G1081" s="61"/>
      <c r="H1081" s="210"/>
      <c r="I1081" s="211"/>
      <c r="J1081" s="86"/>
      <c r="K1081" s="87"/>
      <c r="L1081" s="88"/>
      <c r="M1081" s="88"/>
      <c r="N1081" s="88"/>
      <c r="O1081" s="88"/>
    </row>
    <row r="1082" spans="1:15" ht="12.75">
      <c r="A1082" s="59"/>
      <c r="B1082" s="147" t="s">
        <v>97</v>
      </c>
      <c r="C1082" s="63"/>
      <c r="D1082" s="63"/>
      <c r="E1082" s="219"/>
      <c r="F1082" s="61"/>
      <c r="G1082" s="61"/>
      <c r="H1082" s="210"/>
      <c r="I1082" s="211"/>
      <c r="J1082" s="86"/>
      <c r="K1082" s="87"/>
      <c r="L1082" s="88"/>
      <c r="M1082" s="88"/>
      <c r="N1082" s="88"/>
      <c r="O1082" s="88"/>
    </row>
    <row r="1083" spans="1:15" ht="12.75">
      <c r="A1083" s="13" t="s">
        <v>3948</v>
      </c>
      <c r="B1083" s="147" t="s">
        <v>3949</v>
      </c>
      <c r="C1083" s="236" t="s">
        <v>97</v>
      </c>
      <c r="D1083" s="42"/>
      <c r="E1083" s="143" t="s">
        <v>3950</v>
      </c>
      <c r="F1083" s="89"/>
      <c r="G1083" s="89"/>
      <c r="H1083" s="148"/>
      <c r="I1083" s="149"/>
      <c r="J1083" s="90"/>
      <c r="K1083" s="43"/>
      <c r="L1083" s="39"/>
      <c r="M1083" s="39"/>
      <c r="N1083" s="39"/>
      <c r="O1083" s="39"/>
    </row>
    <row r="1084" spans="1:15" ht="12.75">
      <c r="A1084" s="13"/>
      <c r="B1084" s="147" t="s">
        <v>97</v>
      </c>
      <c r="C1084" s="236" t="s">
        <v>97</v>
      </c>
      <c r="D1084" s="42"/>
      <c r="E1084" s="143" t="s">
        <v>3951</v>
      </c>
      <c r="F1084" s="89"/>
      <c r="G1084" s="89"/>
      <c r="H1084" s="148"/>
      <c r="I1084" s="149"/>
      <c r="J1084" s="90"/>
      <c r="K1084" s="43"/>
      <c r="L1084" s="39"/>
      <c r="M1084" s="39"/>
      <c r="N1084" s="39"/>
      <c r="O1084" s="39"/>
    </row>
    <row r="1085" spans="1:15" ht="12.75">
      <c r="A1085" s="13"/>
      <c r="B1085" s="147" t="s">
        <v>97</v>
      </c>
      <c r="C1085" s="236" t="s">
        <v>97</v>
      </c>
      <c r="D1085" s="42"/>
      <c r="E1085" s="143" t="s">
        <v>3952</v>
      </c>
      <c r="F1085" s="89"/>
      <c r="G1085" s="89"/>
      <c r="H1085" s="148"/>
      <c r="I1085" s="149"/>
      <c r="J1085" s="90"/>
      <c r="K1085" s="43"/>
      <c r="L1085" s="39"/>
      <c r="M1085" s="39"/>
      <c r="N1085" s="39"/>
      <c r="O1085" s="39"/>
    </row>
    <row r="1086" spans="1:15" ht="12.75">
      <c r="A1086" s="13"/>
      <c r="B1086" s="147" t="s">
        <v>97</v>
      </c>
      <c r="C1086" s="236" t="s">
        <v>97</v>
      </c>
      <c r="D1086" s="42"/>
      <c r="E1086" s="143" t="s">
        <v>3953</v>
      </c>
      <c r="F1086" s="89"/>
      <c r="G1086" s="89"/>
      <c r="H1086" s="148"/>
      <c r="I1086" s="149"/>
      <c r="J1086" s="90"/>
      <c r="K1086" s="43"/>
      <c r="L1086" s="39"/>
      <c r="M1086" s="39"/>
      <c r="N1086" s="39"/>
      <c r="O1086" s="39"/>
    </row>
    <row r="1087" spans="1:15" ht="12.75">
      <c r="A1087" s="13"/>
      <c r="B1087" s="147" t="s">
        <v>97</v>
      </c>
      <c r="C1087" s="236" t="s">
        <v>97</v>
      </c>
      <c r="D1087" s="42"/>
      <c r="E1087" s="143" t="s">
        <v>3954</v>
      </c>
      <c r="F1087" s="89"/>
      <c r="G1087" s="89"/>
      <c r="H1087" s="148"/>
      <c r="I1087" s="149"/>
      <c r="J1087" s="90"/>
      <c r="K1087" s="43"/>
      <c r="L1087" s="39"/>
      <c r="M1087" s="39"/>
      <c r="N1087" s="39"/>
      <c r="O1087" s="39"/>
    </row>
    <row r="1088" spans="1:15" ht="12.75">
      <c r="A1088" s="13"/>
      <c r="B1088" s="147" t="s">
        <v>97</v>
      </c>
      <c r="C1088" s="236" t="s">
        <v>97</v>
      </c>
      <c r="D1088" s="42"/>
      <c r="E1088" s="143" t="s">
        <v>3955</v>
      </c>
      <c r="F1088" s="89"/>
      <c r="G1088" s="89"/>
      <c r="H1088" s="148"/>
      <c r="I1088" s="149"/>
      <c r="J1088" s="90"/>
      <c r="K1088" s="43"/>
      <c r="L1088" s="39"/>
      <c r="M1088" s="39"/>
      <c r="N1088" s="39"/>
      <c r="O1088" s="39"/>
    </row>
    <row r="1089" spans="1:15" ht="12.75">
      <c r="A1089" s="13"/>
      <c r="B1089" s="147" t="s">
        <v>97</v>
      </c>
      <c r="C1089" s="236" t="s">
        <v>97</v>
      </c>
      <c r="D1089" s="42"/>
      <c r="E1089" s="143" t="s">
        <v>3956</v>
      </c>
      <c r="F1089" s="89"/>
      <c r="G1089" s="89"/>
      <c r="H1089" s="148"/>
      <c r="I1089" s="149"/>
      <c r="J1089" s="90"/>
      <c r="K1089" s="43"/>
      <c r="L1089" s="39"/>
      <c r="M1089" s="39"/>
      <c r="N1089" s="39"/>
      <c r="O1089" s="39"/>
    </row>
    <row r="1090" spans="1:15" ht="12.75">
      <c r="A1090" s="13"/>
      <c r="B1090" s="147" t="s">
        <v>97</v>
      </c>
      <c r="C1090" s="236" t="s">
        <v>97</v>
      </c>
      <c r="D1090" s="42"/>
      <c r="E1090" s="143" t="s">
        <v>3957</v>
      </c>
      <c r="F1090" s="89"/>
      <c r="G1090" s="89"/>
      <c r="H1090" s="148"/>
      <c r="I1090" s="149"/>
      <c r="J1090" s="90"/>
      <c r="K1090" s="43"/>
      <c r="L1090" s="39"/>
      <c r="M1090" s="39"/>
      <c r="N1090" s="39"/>
      <c r="O1090" s="39"/>
    </row>
    <row r="1091" spans="1:15" ht="12.75">
      <c r="A1091" s="13"/>
      <c r="B1091" s="147" t="s">
        <v>97</v>
      </c>
      <c r="C1091" s="236" t="s">
        <v>97</v>
      </c>
      <c r="D1091" s="42"/>
      <c r="E1091" s="143" t="s">
        <v>3958</v>
      </c>
      <c r="F1091" s="89"/>
      <c r="G1091" s="89"/>
      <c r="H1091" s="148"/>
      <c r="I1091" s="149"/>
      <c r="J1091" s="90"/>
      <c r="K1091" s="43"/>
      <c r="L1091" s="39"/>
      <c r="M1091" s="39"/>
      <c r="N1091" s="39"/>
      <c r="O1091" s="39"/>
    </row>
    <row r="1092" spans="1:15" ht="12.75">
      <c r="A1092" s="13"/>
      <c r="B1092" s="147" t="s">
        <v>97</v>
      </c>
      <c r="C1092" s="236" t="s">
        <v>97</v>
      </c>
      <c r="D1092" s="42"/>
      <c r="E1092" s="143" t="s">
        <v>3959</v>
      </c>
      <c r="F1092" s="89"/>
      <c r="G1092" s="89"/>
      <c r="H1092" s="148"/>
      <c r="I1092" s="149"/>
      <c r="J1092" s="90"/>
      <c r="K1092" s="43"/>
      <c r="L1092" s="39"/>
      <c r="M1092" s="39"/>
      <c r="N1092" s="39"/>
      <c r="O1092" s="39"/>
    </row>
    <row r="1093" spans="1:15" ht="12.75">
      <c r="A1093" s="13"/>
      <c r="B1093" s="147" t="s">
        <v>97</v>
      </c>
      <c r="C1093" s="236" t="s">
        <v>97</v>
      </c>
      <c r="D1093" s="42"/>
      <c r="E1093" s="143" t="s">
        <v>3960</v>
      </c>
      <c r="F1093" s="89"/>
      <c r="G1093" s="89"/>
      <c r="H1093" s="148"/>
      <c r="I1093" s="149"/>
      <c r="J1093" s="90"/>
      <c r="K1093" s="43"/>
      <c r="L1093" s="39"/>
      <c r="M1093" s="39"/>
      <c r="N1093" s="39"/>
      <c r="O1093" s="39"/>
    </row>
    <row r="1094" spans="1:15" ht="12.75">
      <c r="A1094" s="13"/>
      <c r="B1094" s="147" t="s">
        <v>97</v>
      </c>
      <c r="C1094" s="236" t="s">
        <v>97</v>
      </c>
      <c r="D1094" s="42"/>
      <c r="E1094" s="143" t="s">
        <v>3961</v>
      </c>
      <c r="F1094" s="89"/>
      <c r="G1094" s="89"/>
      <c r="H1094" s="148"/>
      <c r="I1094" s="149"/>
      <c r="J1094" s="90"/>
      <c r="K1094" s="43"/>
      <c r="L1094" s="39"/>
      <c r="M1094" s="39"/>
      <c r="N1094" s="39"/>
      <c r="O1094" s="39"/>
    </row>
    <row r="1095" spans="1:15" ht="12.75">
      <c r="A1095" s="13"/>
      <c r="B1095" s="147" t="s">
        <v>97</v>
      </c>
      <c r="C1095" s="236" t="s">
        <v>97</v>
      </c>
      <c r="D1095" s="42"/>
      <c r="E1095" s="143" t="s">
        <v>3962</v>
      </c>
      <c r="F1095" s="89"/>
      <c r="G1095" s="89"/>
      <c r="H1095" s="148"/>
      <c r="I1095" s="149"/>
      <c r="J1095" s="90"/>
      <c r="K1095" s="43"/>
      <c r="L1095" s="39"/>
      <c r="M1095" s="39"/>
      <c r="N1095" s="39"/>
      <c r="O1095" s="39"/>
    </row>
    <row r="1096" spans="1:15" ht="12.75">
      <c r="A1096" s="13"/>
      <c r="B1096" s="147" t="s">
        <v>97</v>
      </c>
      <c r="C1096" s="236" t="s">
        <v>97</v>
      </c>
      <c r="D1096" s="42"/>
      <c r="E1096" s="143" t="s">
        <v>3963</v>
      </c>
      <c r="F1096" s="89"/>
      <c r="G1096" s="89"/>
      <c r="H1096" s="148"/>
      <c r="I1096" s="149"/>
      <c r="J1096" s="90"/>
      <c r="K1096" s="43"/>
      <c r="L1096" s="39"/>
      <c r="M1096" s="39"/>
      <c r="N1096" s="39"/>
      <c r="O1096" s="39"/>
    </row>
    <row r="1097" spans="1:15" ht="12.75">
      <c r="A1097" s="13"/>
      <c r="B1097" s="147" t="s">
        <v>97</v>
      </c>
      <c r="C1097" s="236" t="s">
        <v>97</v>
      </c>
      <c r="D1097" s="42"/>
      <c r="E1097" s="143" t="s">
        <v>3964</v>
      </c>
      <c r="F1097" s="89"/>
      <c r="G1097" s="89"/>
      <c r="H1097" s="148"/>
      <c r="I1097" s="149"/>
      <c r="J1097" s="90"/>
      <c r="K1097" s="43"/>
      <c r="L1097" s="39"/>
      <c r="M1097" s="39"/>
      <c r="N1097" s="39"/>
      <c r="O1097" s="39"/>
    </row>
    <row r="1098" spans="1:15" ht="12.75">
      <c r="A1098" s="13"/>
      <c r="B1098" s="147" t="s">
        <v>97</v>
      </c>
      <c r="C1098" s="236" t="s">
        <v>97</v>
      </c>
      <c r="D1098" s="42"/>
      <c r="E1098" s="143" t="s">
        <v>3965</v>
      </c>
      <c r="F1098" s="89"/>
      <c r="G1098" s="89"/>
      <c r="H1098" s="148"/>
      <c r="I1098" s="149"/>
      <c r="J1098" s="90"/>
      <c r="K1098" s="43"/>
      <c r="L1098" s="39"/>
      <c r="M1098" s="39"/>
      <c r="N1098" s="39"/>
      <c r="O1098" s="39"/>
    </row>
    <row r="1099" spans="1:15" ht="12.75">
      <c r="A1099" s="13"/>
      <c r="B1099" s="147" t="s">
        <v>97</v>
      </c>
      <c r="C1099" s="236" t="s">
        <v>97</v>
      </c>
      <c r="D1099" s="42"/>
      <c r="E1099" s="143" t="s">
        <v>3966</v>
      </c>
      <c r="F1099" s="89"/>
      <c r="G1099" s="89"/>
      <c r="H1099" s="148"/>
      <c r="I1099" s="149"/>
      <c r="J1099" s="90"/>
      <c r="K1099" s="43"/>
      <c r="L1099" s="39"/>
      <c r="M1099" s="39"/>
      <c r="N1099" s="39"/>
      <c r="O1099" s="39"/>
    </row>
    <row r="1100" spans="1:15" ht="12.75">
      <c r="A1100" s="13"/>
      <c r="B1100" s="147" t="s">
        <v>97</v>
      </c>
      <c r="C1100" s="236" t="s">
        <v>97</v>
      </c>
      <c r="D1100" s="42"/>
      <c r="E1100" s="143" t="s">
        <v>3967</v>
      </c>
      <c r="F1100" s="89"/>
      <c r="G1100" s="89"/>
      <c r="H1100" s="148"/>
      <c r="I1100" s="149"/>
      <c r="J1100" s="90"/>
      <c r="K1100" s="43"/>
      <c r="L1100" s="39"/>
      <c r="M1100" s="39"/>
      <c r="N1100" s="39"/>
      <c r="O1100" s="39"/>
    </row>
    <row r="1101" spans="1:15" ht="12.75">
      <c r="A1101" s="13"/>
      <c r="B1101" s="147" t="s">
        <v>97</v>
      </c>
      <c r="C1101" s="236" t="s">
        <v>97</v>
      </c>
      <c r="D1101" s="42"/>
      <c r="E1101" s="143" t="s">
        <v>3968</v>
      </c>
      <c r="F1101" s="89"/>
      <c r="G1101" s="89"/>
      <c r="H1101" s="148"/>
      <c r="I1101" s="149"/>
      <c r="J1101" s="90"/>
      <c r="K1101" s="43"/>
      <c r="L1101" s="39"/>
      <c r="M1101" s="39"/>
      <c r="N1101" s="39"/>
      <c r="O1101" s="39"/>
    </row>
    <row r="1102" spans="1:15" ht="12.75">
      <c r="A1102" s="13"/>
      <c r="B1102" s="147" t="s">
        <v>97</v>
      </c>
      <c r="C1102" s="236" t="s">
        <v>97</v>
      </c>
      <c r="D1102" s="42"/>
      <c r="E1102" s="143" t="s">
        <v>3969</v>
      </c>
      <c r="F1102" s="89"/>
      <c r="G1102" s="89"/>
      <c r="H1102" s="148"/>
      <c r="I1102" s="149"/>
      <c r="J1102" s="90"/>
      <c r="K1102" s="43"/>
      <c r="L1102" s="39"/>
      <c r="M1102" s="39"/>
      <c r="N1102" s="39"/>
      <c r="O1102" s="39"/>
    </row>
    <row r="1103" spans="1:15" ht="12.75">
      <c r="A1103" s="13"/>
      <c r="B1103" s="147" t="s">
        <v>97</v>
      </c>
      <c r="C1103" s="236" t="s">
        <v>97</v>
      </c>
      <c r="D1103" s="42"/>
      <c r="E1103" s="143" t="s">
        <v>3970</v>
      </c>
      <c r="F1103" s="89"/>
      <c r="G1103" s="89"/>
      <c r="H1103" s="148"/>
      <c r="I1103" s="149"/>
      <c r="J1103" s="90"/>
      <c r="K1103" s="43"/>
      <c r="L1103" s="39"/>
      <c r="M1103" s="39"/>
      <c r="N1103" s="39"/>
      <c r="O1103" s="39"/>
    </row>
    <row r="1104" spans="1:15" ht="12.75">
      <c r="A1104" s="13"/>
      <c r="B1104" s="147" t="s">
        <v>97</v>
      </c>
      <c r="C1104" s="236" t="s">
        <v>97</v>
      </c>
      <c r="D1104" s="42"/>
      <c r="E1104" s="143" t="s">
        <v>3971</v>
      </c>
      <c r="F1104" s="89"/>
      <c r="G1104" s="89"/>
      <c r="H1104" s="148"/>
      <c r="I1104" s="149"/>
      <c r="J1104" s="90"/>
      <c r="K1104" s="43"/>
      <c r="L1104" s="39"/>
      <c r="M1104" s="39"/>
      <c r="N1104" s="39"/>
      <c r="O1104" s="39"/>
    </row>
    <row r="1105" spans="1:15" ht="12.75">
      <c r="A1105" s="13"/>
      <c r="B1105" s="147" t="s">
        <v>97</v>
      </c>
      <c r="C1105" s="236" t="s">
        <v>97</v>
      </c>
      <c r="D1105" s="42"/>
      <c r="E1105" s="143" t="s">
        <v>3972</v>
      </c>
      <c r="F1105" s="89"/>
      <c r="G1105" s="89"/>
      <c r="H1105" s="148"/>
      <c r="I1105" s="149"/>
      <c r="J1105" s="90"/>
      <c r="K1105" s="43"/>
      <c r="L1105" s="39"/>
      <c r="M1105" s="39"/>
      <c r="N1105" s="39"/>
      <c r="O1105" s="39"/>
    </row>
    <row r="1106" spans="1:15" ht="12.75">
      <c r="A1106" s="59"/>
      <c r="B1106" s="147" t="s">
        <v>97</v>
      </c>
      <c r="C1106" s="63" t="s">
        <v>97</v>
      </c>
      <c r="D1106" s="63"/>
      <c r="E1106" s="219"/>
      <c r="F1106" s="61"/>
      <c r="G1106" s="61"/>
      <c r="H1106" s="210"/>
      <c r="I1106" s="211"/>
      <c r="J1106" s="86"/>
      <c r="K1106" s="87"/>
      <c r="L1106" s="88"/>
      <c r="M1106" s="88"/>
      <c r="N1106" s="88"/>
      <c r="O1106" s="88"/>
    </row>
    <row r="1107" spans="1:15" ht="12.75">
      <c r="A1107" s="59"/>
      <c r="B1107" s="147" t="s">
        <v>97</v>
      </c>
      <c r="C1107" s="63"/>
      <c r="D1107" s="63"/>
      <c r="E1107" s="219"/>
      <c r="F1107" s="61"/>
      <c r="G1107" s="61"/>
      <c r="H1107" s="210"/>
      <c r="I1107" s="211"/>
      <c r="J1107" s="86"/>
      <c r="K1107" s="87"/>
      <c r="L1107" s="88"/>
      <c r="M1107" s="88"/>
      <c r="N1107" s="88"/>
      <c r="O1107" s="88"/>
    </row>
    <row r="1108" spans="1:15" ht="12.75">
      <c r="A1108" s="13" t="s">
        <v>3973</v>
      </c>
      <c r="B1108" s="147" t="s">
        <v>3974</v>
      </c>
      <c r="C1108" s="236" t="s">
        <v>97</v>
      </c>
      <c r="D1108" s="42"/>
      <c r="E1108" s="143" t="s">
        <v>3975</v>
      </c>
      <c r="F1108" s="89"/>
      <c r="G1108" s="89"/>
      <c r="H1108" s="148"/>
      <c r="I1108" s="149"/>
      <c r="J1108" s="90"/>
      <c r="K1108" s="43"/>
      <c r="L1108" s="39"/>
      <c r="M1108" s="39"/>
      <c r="N1108" s="39"/>
      <c r="O1108" s="39"/>
    </row>
    <row r="1109" spans="1:15" ht="12.75">
      <c r="A1109" s="13"/>
      <c r="B1109" s="147" t="s">
        <v>97</v>
      </c>
      <c r="C1109" s="236" t="s">
        <v>97</v>
      </c>
      <c r="D1109" s="42"/>
      <c r="E1109" s="143" t="s">
        <v>3976</v>
      </c>
      <c r="F1109" s="89"/>
      <c r="G1109" s="89"/>
      <c r="H1109" s="148"/>
      <c r="I1109" s="149"/>
      <c r="J1109" s="90"/>
      <c r="K1109" s="43"/>
      <c r="L1109" s="39"/>
      <c r="M1109" s="39"/>
      <c r="N1109" s="39"/>
      <c r="O1109" s="39"/>
    </row>
    <row r="1110" spans="1:15" ht="12.75">
      <c r="A1110" s="13"/>
      <c r="B1110" s="147" t="s">
        <v>97</v>
      </c>
      <c r="C1110" s="236" t="s">
        <v>97</v>
      </c>
      <c r="D1110" s="42"/>
      <c r="E1110" s="143" t="s">
        <v>3977</v>
      </c>
      <c r="F1110" s="89"/>
      <c r="G1110" s="89"/>
      <c r="H1110" s="148"/>
      <c r="I1110" s="149"/>
      <c r="J1110" s="90"/>
      <c r="K1110" s="43"/>
      <c r="L1110" s="39"/>
      <c r="M1110" s="39"/>
      <c r="N1110" s="39"/>
      <c r="O1110" s="39"/>
    </row>
    <row r="1111" spans="1:15" ht="12.75">
      <c r="A1111" s="13"/>
      <c r="B1111" s="147" t="s">
        <v>97</v>
      </c>
      <c r="C1111" s="236" t="s">
        <v>97</v>
      </c>
      <c r="D1111" s="42"/>
      <c r="E1111" s="143" t="s">
        <v>3978</v>
      </c>
      <c r="F1111" s="89"/>
      <c r="G1111" s="89"/>
      <c r="H1111" s="148"/>
      <c r="I1111" s="149"/>
      <c r="J1111" s="90"/>
      <c r="K1111" s="43"/>
      <c r="L1111" s="39"/>
      <c r="M1111" s="39"/>
      <c r="N1111" s="39"/>
      <c r="O1111" s="39"/>
    </row>
    <row r="1112" spans="1:15" ht="12.75">
      <c r="A1112" s="13"/>
      <c r="B1112" s="147" t="s">
        <v>97</v>
      </c>
      <c r="C1112" s="236" t="s">
        <v>97</v>
      </c>
      <c r="D1112" s="42"/>
      <c r="E1112" s="143" t="s">
        <v>3979</v>
      </c>
      <c r="F1112" s="89"/>
      <c r="G1112" s="89"/>
      <c r="H1112" s="148"/>
      <c r="I1112" s="149"/>
      <c r="J1112" s="90"/>
      <c r="K1112" s="43"/>
      <c r="L1112" s="39"/>
      <c r="M1112" s="39"/>
      <c r="N1112" s="39"/>
      <c r="O1112" s="39"/>
    </row>
    <row r="1113" spans="1:15" ht="12.75">
      <c r="A1113" s="13"/>
      <c r="B1113" s="147" t="s">
        <v>97</v>
      </c>
      <c r="C1113" s="236" t="s">
        <v>97</v>
      </c>
      <c r="D1113" s="42"/>
      <c r="E1113" s="143" t="s">
        <v>3980</v>
      </c>
      <c r="F1113" s="89"/>
      <c r="G1113" s="89"/>
      <c r="H1113" s="148"/>
      <c r="I1113" s="149"/>
      <c r="J1113" s="90"/>
      <c r="K1113" s="43"/>
      <c r="L1113" s="39"/>
      <c r="M1113" s="39"/>
      <c r="N1113" s="39"/>
      <c r="O1113" s="39"/>
    </row>
    <row r="1114" spans="1:15" ht="12.75">
      <c r="A1114" s="13"/>
      <c r="B1114" s="147" t="s">
        <v>97</v>
      </c>
      <c r="C1114" s="236" t="s">
        <v>97</v>
      </c>
      <c r="D1114" s="42"/>
      <c r="E1114" s="143" t="s">
        <v>3972</v>
      </c>
      <c r="F1114" s="89"/>
      <c r="G1114" s="89"/>
      <c r="H1114" s="148"/>
      <c r="I1114" s="149"/>
      <c r="J1114" s="90"/>
      <c r="K1114" s="43"/>
      <c r="L1114" s="39"/>
      <c r="M1114" s="39"/>
      <c r="N1114" s="39"/>
      <c r="O1114" s="39"/>
    </row>
    <row r="1115" spans="1:15" ht="12.75">
      <c r="A1115" s="59"/>
      <c r="B1115" s="147" t="s">
        <v>97</v>
      </c>
      <c r="C1115" s="63" t="s">
        <v>97</v>
      </c>
      <c r="D1115" s="63"/>
      <c r="E1115" s="219"/>
      <c r="F1115" s="61"/>
      <c r="G1115" s="61"/>
      <c r="H1115" s="210"/>
      <c r="I1115" s="211"/>
      <c r="J1115" s="86"/>
      <c r="K1115" s="87"/>
      <c r="L1115" s="88"/>
      <c r="M1115" s="88"/>
      <c r="N1115" s="88"/>
      <c r="O1115" s="88"/>
    </row>
    <row r="1116" spans="1:15" ht="12.75">
      <c r="A1116" s="59"/>
      <c r="B1116" s="147" t="s">
        <v>97</v>
      </c>
      <c r="C1116" s="63"/>
      <c r="D1116" s="63"/>
      <c r="E1116" s="219"/>
      <c r="F1116" s="61"/>
      <c r="G1116" s="61"/>
      <c r="H1116" s="210"/>
      <c r="I1116" s="211"/>
      <c r="J1116" s="86"/>
      <c r="K1116" s="87"/>
      <c r="L1116" s="88"/>
      <c r="M1116" s="88"/>
      <c r="N1116" s="88"/>
      <c r="O1116" s="88"/>
    </row>
    <row r="1117" spans="1:15" ht="12.75">
      <c r="A1117" s="13" t="s">
        <v>3981</v>
      </c>
      <c r="B1117" s="147" t="s">
        <v>3982</v>
      </c>
      <c r="C1117" s="236" t="s">
        <v>97</v>
      </c>
      <c r="D1117" s="42"/>
      <c r="E1117" s="143" t="s">
        <v>3983</v>
      </c>
      <c r="F1117" s="89"/>
      <c r="G1117" s="89"/>
      <c r="H1117" s="148"/>
      <c r="I1117" s="149"/>
      <c r="J1117" s="90"/>
      <c r="K1117" s="43"/>
      <c r="L1117" s="39"/>
      <c r="M1117" s="39"/>
      <c r="N1117" s="39"/>
      <c r="O1117" s="39"/>
    </row>
    <row r="1118" spans="1:15" ht="12.75">
      <c r="A1118" s="13"/>
      <c r="B1118" s="147" t="s">
        <v>97</v>
      </c>
      <c r="C1118" s="236" t="s">
        <v>97</v>
      </c>
      <c r="D1118" s="42"/>
      <c r="E1118" s="143" t="s">
        <v>3984</v>
      </c>
      <c r="F1118" s="89"/>
      <c r="G1118" s="89"/>
      <c r="H1118" s="148"/>
      <c r="I1118" s="149"/>
      <c r="J1118" s="90"/>
      <c r="K1118" s="43"/>
      <c r="L1118" s="39"/>
      <c r="M1118" s="39"/>
      <c r="N1118" s="39"/>
      <c r="O1118" s="39"/>
    </row>
    <row r="1119" spans="1:15" ht="12.75">
      <c r="A1119" s="13"/>
      <c r="B1119" s="147" t="s">
        <v>97</v>
      </c>
      <c r="C1119" s="236" t="s">
        <v>97</v>
      </c>
      <c r="D1119" s="42"/>
      <c r="E1119" s="143" t="s">
        <v>3985</v>
      </c>
      <c r="F1119" s="89"/>
      <c r="G1119" s="89"/>
      <c r="H1119" s="148"/>
      <c r="I1119" s="149"/>
      <c r="J1119" s="90"/>
      <c r="K1119" s="43"/>
      <c r="L1119" s="39"/>
      <c r="M1119" s="39"/>
      <c r="N1119" s="39"/>
      <c r="O1119" s="39"/>
    </row>
    <row r="1120" spans="1:15" ht="12.75">
      <c r="A1120" s="13"/>
      <c r="B1120" s="147" t="s">
        <v>97</v>
      </c>
      <c r="C1120" s="236" t="s">
        <v>97</v>
      </c>
      <c r="D1120" s="42"/>
      <c r="E1120" s="143" t="s">
        <v>3986</v>
      </c>
      <c r="F1120" s="89"/>
      <c r="G1120" s="89"/>
      <c r="H1120" s="148"/>
      <c r="I1120" s="149"/>
      <c r="J1120" s="90"/>
      <c r="K1120" s="43"/>
      <c r="L1120" s="39"/>
      <c r="M1120" s="39"/>
      <c r="N1120" s="39"/>
      <c r="O1120" s="39"/>
    </row>
    <row r="1121" spans="1:15" ht="12.75">
      <c r="A1121" s="13"/>
      <c r="B1121" s="147" t="s">
        <v>97</v>
      </c>
      <c r="C1121" s="236" t="s">
        <v>97</v>
      </c>
      <c r="D1121" s="42"/>
      <c r="E1121" s="143" t="s">
        <v>3987</v>
      </c>
      <c r="F1121" s="89"/>
      <c r="G1121" s="89"/>
      <c r="H1121" s="148"/>
      <c r="I1121" s="149"/>
      <c r="J1121" s="90"/>
      <c r="K1121" s="43"/>
      <c r="L1121" s="39"/>
      <c r="M1121" s="39"/>
      <c r="N1121" s="39"/>
      <c r="O1121" s="39"/>
    </row>
    <row r="1122" spans="1:15" ht="12.75">
      <c r="A1122" s="13"/>
      <c r="B1122" s="147" t="s">
        <v>97</v>
      </c>
      <c r="C1122" s="236" t="s">
        <v>97</v>
      </c>
      <c r="D1122" s="42"/>
      <c r="E1122" s="143" t="s">
        <v>3988</v>
      </c>
      <c r="F1122" s="89"/>
      <c r="G1122" s="89"/>
      <c r="H1122" s="148"/>
      <c r="I1122" s="149"/>
      <c r="J1122" s="90"/>
      <c r="K1122" s="43"/>
      <c r="L1122" s="39"/>
      <c r="M1122" s="39"/>
      <c r="N1122" s="39"/>
      <c r="O1122" s="39"/>
    </row>
    <row r="1123" spans="1:15" ht="12.75">
      <c r="A1123" s="13"/>
      <c r="B1123" s="147" t="s">
        <v>97</v>
      </c>
      <c r="C1123" s="236" t="s">
        <v>97</v>
      </c>
      <c r="D1123" s="42"/>
      <c r="E1123" s="143" t="s">
        <v>3989</v>
      </c>
      <c r="F1123" s="89"/>
      <c r="G1123" s="89"/>
      <c r="H1123" s="148"/>
      <c r="I1123" s="149"/>
      <c r="J1123" s="90"/>
      <c r="K1123" s="43"/>
      <c r="L1123" s="39"/>
      <c r="M1123" s="39"/>
      <c r="N1123" s="39"/>
      <c r="O1123" s="39"/>
    </row>
    <row r="1124" spans="1:15" ht="12.75">
      <c r="A1124" s="13"/>
      <c r="B1124" s="147" t="s">
        <v>97</v>
      </c>
      <c r="C1124" s="236" t="s">
        <v>97</v>
      </c>
      <c r="D1124" s="42"/>
      <c r="E1124" s="143" t="s">
        <v>3990</v>
      </c>
      <c r="F1124" s="89"/>
      <c r="G1124" s="89"/>
      <c r="H1124" s="148"/>
      <c r="I1124" s="149"/>
      <c r="J1124" s="90"/>
      <c r="K1124" s="43"/>
      <c r="L1124" s="39"/>
      <c r="M1124" s="39"/>
      <c r="N1124" s="39"/>
      <c r="O1124" s="39"/>
    </row>
    <row r="1125" spans="1:15" ht="12.75">
      <c r="A1125" s="13"/>
      <c r="B1125" s="147" t="s">
        <v>97</v>
      </c>
      <c r="C1125" s="236" t="s">
        <v>97</v>
      </c>
      <c r="D1125" s="42"/>
      <c r="E1125" s="143" t="s">
        <v>3991</v>
      </c>
      <c r="F1125" s="89"/>
      <c r="G1125" s="89"/>
      <c r="H1125" s="148"/>
      <c r="I1125" s="149"/>
      <c r="J1125" s="90"/>
      <c r="K1125" s="43"/>
      <c r="L1125" s="39"/>
      <c r="M1125" s="39"/>
      <c r="N1125" s="39"/>
      <c r="O1125" s="39"/>
    </row>
    <row r="1126" spans="1:15" ht="12.75">
      <c r="A1126" s="13"/>
      <c r="B1126" s="147" t="s">
        <v>97</v>
      </c>
      <c r="C1126" s="236" t="s">
        <v>97</v>
      </c>
      <c r="D1126" s="42"/>
      <c r="E1126" s="143" t="s">
        <v>3992</v>
      </c>
      <c r="F1126" s="89"/>
      <c r="G1126" s="89"/>
      <c r="H1126" s="148"/>
      <c r="I1126" s="149"/>
      <c r="J1126" s="90"/>
      <c r="K1126" s="43"/>
      <c r="L1126" s="39"/>
      <c r="M1126" s="39"/>
      <c r="N1126" s="39"/>
      <c r="O1126" s="39"/>
    </row>
    <row r="1127" spans="1:15" ht="12.75">
      <c r="A1127" s="13"/>
      <c r="B1127" s="147" t="s">
        <v>97</v>
      </c>
      <c r="C1127" s="236" t="s">
        <v>97</v>
      </c>
      <c r="D1127" s="42"/>
      <c r="E1127" s="143" t="s">
        <v>3993</v>
      </c>
      <c r="F1127" s="89"/>
      <c r="G1127" s="89"/>
      <c r="H1127" s="148"/>
      <c r="I1127" s="149"/>
      <c r="J1127" s="90"/>
      <c r="K1127" s="43"/>
      <c r="L1127" s="39"/>
      <c r="M1127" s="39"/>
      <c r="N1127" s="39"/>
      <c r="O1127" s="39"/>
    </row>
    <row r="1128" spans="1:15" ht="12.75">
      <c r="A1128" s="13"/>
      <c r="B1128" s="147" t="s">
        <v>97</v>
      </c>
      <c r="C1128" s="236" t="s">
        <v>97</v>
      </c>
      <c r="D1128" s="42"/>
      <c r="E1128" s="143" t="s">
        <v>3994</v>
      </c>
      <c r="F1128" s="89"/>
      <c r="G1128" s="89"/>
      <c r="H1128" s="148"/>
      <c r="I1128" s="149"/>
      <c r="J1128" s="90"/>
      <c r="K1128" s="43"/>
      <c r="L1128" s="39"/>
      <c r="M1128" s="39"/>
      <c r="N1128" s="39"/>
      <c r="O1128" s="39"/>
    </row>
    <row r="1129" spans="1:15" ht="12.75">
      <c r="A1129" s="13"/>
      <c r="B1129" s="147" t="s">
        <v>97</v>
      </c>
      <c r="C1129" s="236" t="s">
        <v>97</v>
      </c>
      <c r="D1129" s="42"/>
      <c r="E1129" s="143" t="s">
        <v>3995</v>
      </c>
      <c r="F1129" s="89"/>
      <c r="G1129" s="89"/>
      <c r="H1129" s="148"/>
      <c r="I1129" s="149"/>
      <c r="J1129" s="90"/>
      <c r="K1129" s="43"/>
      <c r="L1129" s="39"/>
      <c r="M1129" s="39"/>
      <c r="N1129" s="39"/>
      <c r="O1129" s="39"/>
    </row>
    <row r="1130" spans="1:15" ht="12.75">
      <c r="A1130" s="13"/>
      <c r="B1130" s="147" t="s">
        <v>97</v>
      </c>
      <c r="C1130" s="236" t="s">
        <v>97</v>
      </c>
      <c r="D1130" s="42"/>
      <c r="E1130" s="143" t="s">
        <v>3996</v>
      </c>
      <c r="F1130" s="89"/>
      <c r="G1130" s="89"/>
      <c r="H1130" s="148"/>
      <c r="I1130" s="149"/>
      <c r="J1130" s="90"/>
      <c r="K1130" s="43"/>
      <c r="L1130" s="39"/>
      <c r="M1130" s="39"/>
      <c r="N1130" s="39"/>
      <c r="O1130" s="39"/>
    </row>
    <row r="1131" spans="1:15" ht="12.75">
      <c r="A1131" s="13"/>
      <c r="B1131" s="147" t="s">
        <v>97</v>
      </c>
      <c r="C1131" s="236" t="s">
        <v>97</v>
      </c>
      <c r="D1131" s="42"/>
      <c r="E1131" s="143" t="s">
        <v>3997</v>
      </c>
      <c r="F1131" s="89"/>
      <c r="G1131" s="89"/>
      <c r="H1131" s="148"/>
      <c r="I1131" s="149"/>
      <c r="J1131" s="90"/>
      <c r="K1131" s="43"/>
      <c r="L1131" s="39"/>
      <c r="M1131" s="39"/>
      <c r="N1131" s="39"/>
      <c r="O1131" s="39"/>
    </row>
    <row r="1132" spans="1:15" ht="12.75">
      <c r="A1132" s="13"/>
      <c r="B1132" s="147" t="s">
        <v>97</v>
      </c>
      <c r="C1132" s="236" t="s">
        <v>97</v>
      </c>
      <c r="D1132" s="42"/>
      <c r="E1132" s="143" t="s">
        <v>3998</v>
      </c>
      <c r="F1132" s="89"/>
      <c r="G1132" s="89"/>
      <c r="H1132" s="148"/>
      <c r="I1132" s="149"/>
      <c r="J1132" s="90"/>
      <c r="K1132" s="43"/>
      <c r="L1132" s="39"/>
      <c r="M1132" s="39"/>
      <c r="N1132" s="39"/>
      <c r="O1132" s="39"/>
    </row>
    <row r="1133" spans="1:15" ht="12.75">
      <c r="A1133" s="13"/>
      <c r="B1133" s="147" t="s">
        <v>97</v>
      </c>
      <c r="C1133" s="236" t="s">
        <v>97</v>
      </c>
      <c r="D1133" s="42"/>
      <c r="E1133" s="143" t="s">
        <v>3999</v>
      </c>
      <c r="F1133" s="89"/>
      <c r="G1133" s="89"/>
      <c r="H1133" s="148"/>
      <c r="I1133" s="149"/>
      <c r="J1133" s="90"/>
      <c r="K1133" s="43"/>
      <c r="L1133" s="39"/>
      <c r="M1133" s="39"/>
      <c r="N1133" s="39"/>
      <c r="O1133" s="39"/>
    </row>
    <row r="1134" spans="1:15" ht="12.75">
      <c r="A1134" s="13"/>
      <c r="B1134" s="147" t="s">
        <v>97</v>
      </c>
      <c r="C1134" s="236" t="s">
        <v>97</v>
      </c>
      <c r="D1134" s="42"/>
      <c r="E1134" s="143" t="s">
        <v>4000</v>
      </c>
      <c r="F1134" s="89"/>
      <c r="G1134" s="89"/>
      <c r="H1134" s="148"/>
      <c r="I1134" s="149"/>
      <c r="J1134" s="90"/>
      <c r="K1134" s="43"/>
      <c r="L1134" s="39"/>
      <c r="M1134" s="39"/>
      <c r="N1134" s="39"/>
      <c r="O1134" s="39"/>
    </row>
    <row r="1135" spans="1:15" ht="12.75">
      <c r="A1135" s="13"/>
      <c r="B1135" s="147" t="s">
        <v>97</v>
      </c>
      <c r="C1135" s="236" t="s">
        <v>97</v>
      </c>
      <c r="D1135" s="42"/>
      <c r="E1135" s="143" t="s">
        <v>4001</v>
      </c>
      <c r="F1135" s="89"/>
      <c r="G1135" s="89"/>
      <c r="H1135" s="148"/>
      <c r="I1135" s="149"/>
      <c r="J1135" s="90"/>
      <c r="K1135" s="43"/>
      <c r="L1135" s="39"/>
      <c r="M1135" s="39"/>
      <c r="N1135" s="39"/>
      <c r="O1135" s="39"/>
    </row>
    <row r="1136" spans="1:15" ht="12.75">
      <c r="A1136" s="13"/>
      <c r="B1136" s="147" t="s">
        <v>97</v>
      </c>
      <c r="C1136" s="236" t="s">
        <v>97</v>
      </c>
      <c r="D1136" s="42"/>
      <c r="E1136" s="143" t="s">
        <v>4002</v>
      </c>
      <c r="F1136" s="89"/>
      <c r="G1136" s="89"/>
      <c r="H1136" s="148"/>
      <c r="I1136" s="149"/>
      <c r="J1136" s="90"/>
      <c r="K1136" s="43"/>
      <c r="L1136" s="39"/>
      <c r="M1136" s="39"/>
      <c r="N1136" s="39"/>
      <c r="O1136" s="39"/>
    </row>
    <row r="1137" spans="1:15" ht="12.75">
      <c r="A1137" s="13"/>
      <c r="B1137" s="147" t="s">
        <v>97</v>
      </c>
      <c r="C1137" s="236" t="s">
        <v>97</v>
      </c>
      <c r="D1137" s="42"/>
      <c r="E1137" s="143" t="s">
        <v>4003</v>
      </c>
      <c r="F1137" s="89"/>
      <c r="G1137" s="89"/>
      <c r="H1137" s="148"/>
      <c r="I1137" s="149"/>
      <c r="J1137" s="90"/>
      <c r="K1137" s="43"/>
      <c r="L1137" s="39"/>
      <c r="M1137" s="39"/>
      <c r="N1137" s="39"/>
      <c r="O1137" s="39"/>
    </row>
    <row r="1138" spans="1:15" ht="12.75">
      <c r="A1138" s="13"/>
      <c r="B1138" s="147" t="s">
        <v>97</v>
      </c>
      <c r="C1138" s="236" t="s">
        <v>97</v>
      </c>
      <c r="D1138" s="42"/>
      <c r="E1138" s="143" t="s">
        <v>4004</v>
      </c>
      <c r="F1138" s="89"/>
      <c r="G1138" s="89"/>
      <c r="H1138" s="148"/>
      <c r="I1138" s="149"/>
      <c r="J1138" s="90"/>
      <c r="K1138" s="43"/>
      <c r="L1138" s="39"/>
      <c r="M1138" s="39"/>
      <c r="N1138" s="39"/>
      <c r="O1138" s="39"/>
    </row>
    <row r="1139" spans="1:15" ht="12.75">
      <c r="A1139" s="13"/>
      <c r="B1139" s="147" t="s">
        <v>97</v>
      </c>
      <c r="C1139" s="236" t="s">
        <v>97</v>
      </c>
      <c r="D1139" s="42"/>
      <c r="E1139" s="143" t="s">
        <v>4005</v>
      </c>
      <c r="F1139" s="89"/>
      <c r="G1139" s="89"/>
      <c r="H1139" s="148"/>
      <c r="I1139" s="149"/>
      <c r="J1139" s="90"/>
      <c r="K1139" s="43"/>
      <c r="L1139" s="39"/>
      <c r="M1139" s="39"/>
      <c r="N1139" s="39"/>
      <c r="O1139" s="39"/>
    </row>
    <row r="1140" spans="1:15" ht="12.75">
      <c r="A1140" s="13"/>
      <c r="B1140" s="147" t="s">
        <v>97</v>
      </c>
      <c r="C1140" s="236" t="s">
        <v>97</v>
      </c>
      <c r="D1140" s="42"/>
      <c r="E1140" s="143" t="s">
        <v>4006</v>
      </c>
      <c r="F1140" s="89"/>
      <c r="G1140" s="89"/>
      <c r="H1140" s="148"/>
      <c r="I1140" s="149"/>
      <c r="J1140" s="90"/>
      <c r="K1140" s="43"/>
      <c r="L1140" s="39"/>
      <c r="M1140" s="39"/>
      <c r="N1140" s="39"/>
      <c r="O1140" s="39"/>
    </row>
    <row r="1141" spans="1:15" ht="12.75">
      <c r="A1141" s="13"/>
      <c r="B1141" s="147" t="s">
        <v>97</v>
      </c>
      <c r="C1141" s="236" t="s">
        <v>97</v>
      </c>
      <c r="D1141" s="42"/>
      <c r="E1141" s="143" t="s">
        <v>4007</v>
      </c>
      <c r="F1141" s="89"/>
      <c r="G1141" s="89"/>
      <c r="H1141" s="148"/>
      <c r="I1141" s="149"/>
      <c r="J1141" s="90"/>
      <c r="K1141" s="43"/>
      <c r="L1141" s="39"/>
      <c r="M1141" s="39"/>
      <c r="N1141" s="39"/>
      <c r="O1141" s="39"/>
    </row>
    <row r="1142" spans="1:15" ht="12.75">
      <c r="A1142" s="13"/>
      <c r="B1142" s="147" t="s">
        <v>97</v>
      </c>
      <c r="C1142" s="236" t="s">
        <v>97</v>
      </c>
      <c r="D1142" s="42"/>
      <c r="E1142" s="143" t="s">
        <v>4008</v>
      </c>
      <c r="F1142" s="89"/>
      <c r="G1142" s="89"/>
      <c r="H1142" s="148"/>
      <c r="I1142" s="149"/>
      <c r="J1142" s="90"/>
      <c r="K1142" s="43"/>
      <c r="L1142" s="39"/>
      <c r="M1142" s="39"/>
      <c r="N1142" s="39"/>
      <c r="O1142" s="39"/>
    </row>
    <row r="1143" spans="1:15" ht="12.75">
      <c r="A1143" s="13"/>
      <c r="B1143" s="147" t="s">
        <v>97</v>
      </c>
      <c r="C1143" s="236" t="s">
        <v>97</v>
      </c>
      <c r="D1143" s="42"/>
      <c r="E1143" s="143" t="s">
        <v>4009</v>
      </c>
      <c r="F1143" s="89"/>
      <c r="G1143" s="89"/>
      <c r="H1143" s="148"/>
      <c r="I1143" s="149"/>
      <c r="J1143" s="90"/>
      <c r="K1143" s="43"/>
      <c r="L1143" s="39"/>
      <c r="M1143" s="39"/>
      <c r="N1143" s="39"/>
      <c r="O1143" s="39"/>
    </row>
    <row r="1144" spans="1:15" ht="12.75">
      <c r="A1144" s="59"/>
      <c r="B1144" s="147" t="s">
        <v>97</v>
      </c>
      <c r="C1144" s="63" t="s">
        <v>97</v>
      </c>
      <c r="D1144" s="63"/>
      <c r="E1144" s="219"/>
      <c r="F1144" s="61"/>
      <c r="G1144" s="61"/>
      <c r="H1144" s="210"/>
      <c r="I1144" s="211"/>
      <c r="J1144" s="86"/>
      <c r="K1144" s="87"/>
      <c r="L1144" s="88"/>
      <c r="M1144" s="88"/>
      <c r="N1144" s="88"/>
      <c r="O1144" s="88"/>
    </row>
    <row r="1145" spans="1:15" ht="12.75">
      <c r="A1145" s="59"/>
      <c r="B1145" s="147" t="s">
        <v>97</v>
      </c>
      <c r="C1145" s="63"/>
      <c r="D1145" s="63"/>
      <c r="E1145" s="219"/>
      <c r="F1145" s="61"/>
      <c r="G1145" s="61"/>
      <c r="H1145" s="210"/>
      <c r="I1145" s="211"/>
      <c r="J1145" s="86"/>
      <c r="K1145" s="87"/>
      <c r="L1145" s="88"/>
      <c r="M1145" s="88"/>
      <c r="N1145" s="88"/>
      <c r="O1145" s="88"/>
    </row>
    <row r="1146" spans="1:15" ht="12.75">
      <c r="A1146" s="13" t="s">
        <v>4010</v>
      </c>
      <c r="B1146" s="147" t="s">
        <v>4011</v>
      </c>
      <c r="C1146" s="236" t="s">
        <v>97</v>
      </c>
      <c r="D1146" s="42"/>
      <c r="E1146" s="143" t="s">
        <v>4012</v>
      </c>
      <c r="F1146" s="89"/>
      <c r="G1146" s="89"/>
      <c r="H1146" s="148"/>
      <c r="I1146" s="149"/>
      <c r="J1146" s="90"/>
      <c r="K1146" s="43"/>
      <c r="L1146" s="39"/>
      <c r="M1146" s="39"/>
      <c r="N1146" s="39"/>
      <c r="O1146" s="39"/>
    </row>
    <row r="1147" spans="1:15" ht="12.75">
      <c r="A1147" s="13"/>
      <c r="B1147" s="147" t="s">
        <v>97</v>
      </c>
      <c r="C1147" s="236" t="s">
        <v>97</v>
      </c>
      <c r="D1147" s="42"/>
      <c r="E1147" s="143" t="s">
        <v>4013</v>
      </c>
      <c r="F1147" s="89"/>
      <c r="G1147" s="89"/>
      <c r="H1147" s="148"/>
      <c r="I1147" s="149"/>
      <c r="J1147" s="90"/>
      <c r="K1147" s="43"/>
      <c r="L1147" s="39"/>
      <c r="M1147" s="39"/>
      <c r="N1147" s="39"/>
      <c r="O1147" s="39"/>
    </row>
    <row r="1148" spans="1:15" ht="12.75">
      <c r="A1148" s="59"/>
      <c r="B1148" s="147" t="s">
        <v>97</v>
      </c>
      <c r="C1148" s="63" t="s">
        <v>97</v>
      </c>
      <c r="D1148" s="63"/>
      <c r="E1148" s="219"/>
      <c r="F1148" s="61"/>
      <c r="G1148" s="61"/>
      <c r="H1148" s="210"/>
      <c r="I1148" s="211"/>
      <c r="J1148" s="86"/>
      <c r="K1148" s="87"/>
      <c r="L1148" s="88"/>
      <c r="M1148" s="88"/>
      <c r="N1148" s="88"/>
      <c r="O1148" s="88"/>
    </row>
    <row r="1149" spans="1:15" ht="12.75">
      <c r="A1149" s="59"/>
      <c r="B1149" s="147" t="s">
        <v>97</v>
      </c>
      <c r="C1149" s="63"/>
      <c r="D1149" s="63"/>
      <c r="E1149" s="219"/>
      <c r="F1149" s="61"/>
      <c r="G1149" s="61"/>
      <c r="H1149" s="210"/>
      <c r="I1149" s="211"/>
      <c r="J1149" s="86"/>
      <c r="K1149" s="87"/>
      <c r="L1149" s="88"/>
      <c r="M1149" s="88"/>
      <c r="N1149" s="88"/>
      <c r="O1149" s="88"/>
    </row>
    <row r="1150" spans="1:15" ht="12.75">
      <c r="A1150" s="13" t="s">
        <v>4014</v>
      </c>
      <c r="B1150" s="147" t="s">
        <v>4015</v>
      </c>
      <c r="C1150" s="236" t="s">
        <v>97</v>
      </c>
      <c r="D1150" s="42"/>
      <c r="E1150" s="143" t="s">
        <v>4016</v>
      </c>
      <c r="F1150" s="89"/>
      <c r="G1150" s="89"/>
      <c r="H1150" s="148"/>
      <c r="I1150" s="149"/>
      <c r="J1150" s="90"/>
      <c r="K1150" s="43"/>
      <c r="L1150" s="39"/>
      <c r="M1150" s="39"/>
      <c r="N1150" s="39"/>
      <c r="O1150" s="39"/>
    </row>
    <row r="1151" spans="1:15" ht="12.75">
      <c r="A1151" s="13"/>
      <c r="B1151" s="147" t="s">
        <v>97</v>
      </c>
      <c r="C1151" s="236" t="s">
        <v>97</v>
      </c>
      <c r="D1151" s="42"/>
      <c r="E1151" s="143" t="s">
        <v>4017</v>
      </c>
      <c r="F1151" s="89"/>
      <c r="G1151" s="89"/>
      <c r="H1151" s="148"/>
      <c r="I1151" s="149"/>
      <c r="J1151" s="90"/>
      <c r="K1151" s="43"/>
      <c r="L1151" s="39"/>
      <c r="M1151" s="39"/>
      <c r="N1151" s="39"/>
      <c r="O1151" s="39"/>
    </row>
    <row r="1152" spans="1:15" ht="12.75">
      <c r="A1152" s="13"/>
      <c r="B1152" s="147" t="s">
        <v>97</v>
      </c>
      <c r="C1152" s="236" t="s">
        <v>97</v>
      </c>
      <c r="D1152" s="42"/>
      <c r="E1152" s="143" t="s">
        <v>4018</v>
      </c>
      <c r="F1152" s="89"/>
      <c r="G1152" s="89"/>
      <c r="H1152" s="148"/>
      <c r="I1152" s="149"/>
      <c r="J1152" s="90"/>
      <c r="K1152" s="43"/>
      <c r="L1152" s="39"/>
      <c r="M1152" s="39"/>
      <c r="N1152" s="39"/>
      <c r="O1152" s="39"/>
    </row>
    <row r="1153" spans="1:15" ht="12.75">
      <c r="A1153" s="13"/>
      <c r="B1153" s="147" t="s">
        <v>97</v>
      </c>
      <c r="C1153" s="236" t="s">
        <v>97</v>
      </c>
      <c r="D1153" s="42"/>
      <c r="E1153" s="143" t="s">
        <v>4019</v>
      </c>
      <c r="F1153" s="89"/>
      <c r="G1153" s="89"/>
      <c r="H1153" s="148"/>
      <c r="I1153" s="149"/>
      <c r="J1153" s="90"/>
      <c r="K1153" s="43"/>
      <c r="L1153" s="39"/>
      <c r="M1153" s="39"/>
      <c r="N1153" s="39"/>
      <c r="O1153" s="39"/>
    </row>
    <row r="1154" spans="1:15" ht="12.75">
      <c r="A1154" s="13"/>
      <c r="B1154" s="147" t="s">
        <v>97</v>
      </c>
      <c r="C1154" s="236" t="s">
        <v>97</v>
      </c>
      <c r="D1154" s="42"/>
      <c r="E1154" s="143" t="s">
        <v>4020</v>
      </c>
      <c r="F1154" s="89"/>
      <c r="G1154" s="89"/>
      <c r="H1154" s="148"/>
      <c r="I1154" s="149"/>
      <c r="J1154" s="90"/>
      <c r="K1154" s="43"/>
      <c r="L1154" s="39"/>
      <c r="M1154" s="39"/>
      <c r="N1154" s="39"/>
      <c r="O1154" s="39"/>
    </row>
    <row r="1155" spans="1:15" ht="12.75">
      <c r="A1155" s="13"/>
      <c r="B1155" s="147" t="s">
        <v>97</v>
      </c>
      <c r="C1155" s="236" t="s">
        <v>97</v>
      </c>
      <c r="D1155" s="42"/>
      <c r="E1155" s="143" t="s">
        <v>4021</v>
      </c>
      <c r="F1155" s="89"/>
      <c r="G1155" s="89"/>
      <c r="H1155" s="148"/>
      <c r="I1155" s="149"/>
      <c r="J1155" s="90"/>
      <c r="K1155" s="43"/>
      <c r="L1155" s="39"/>
      <c r="M1155" s="39"/>
      <c r="N1155" s="39"/>
      <c r="O1155" s="39"/>
    </row>
    <row r="1156" spans="1:15" ht="12.75">
      <c r="A1156" s="13"/>
      <c r="B1156" s="147" t="s">
        <v>97</v>
      </c>
      <c r="C1156" s="236" t="s">
        <v>97</v>
      </c>
      <c r="D1156" s="42"/>
      <c r="E1156" s="143" t="s">
        <v>4022</v>
      </c>
      <c r="F1156" s="89"/>
      <c r="G1156" s="89"/>
      <c r="H1156" s="148"/>
      <c r="I1156" s="149"/>
      <c r="J1156" s="90"/>
      <c r="K1156" s="43"/>
      <c r="L1156" s="39"/>
      <c r="M1156" s="39"/>
      <c r="N1156" s="39"/>
      <c r="O1156" s="39"/>
    </row>
    <row r="1157" spans="1:15" ht="12.75">
      <c r="A1157" s="13"/>
      <c r="B1157" s="147" t="s">
        <v>97</v>
      </c>
      <c r="C1157" s="236" t="s">
        <v>97</v>
      </c>
      <c r="D1157" s="42"/>
      <c r="E1157" s="143" t="s">
        <v>4023</v>
      </c>
      <c r="F1157" s="89"/>
      <c r="G1157" s="89"/>
      <c r="H1157" s="148"/>
      <c r="I1157" s="149"/>
      <c r="J1157" s="90"/>
      <c r="K1157" s="43"/>
      <c r="L1157" s="39"/>
      <c r="M1157" s="39"/>
      <c r="N1157" s="39"/>
      <c r="O1157" s="39"/>
    </row>
    <row r="1158" spans="1:15" ht="12.75">
      <c r="A1158" s="13"/>
      <c r="B1158" s="147" t="s">
        <v>97</v>
      </c>
      <c r="C1158" s="236" t="s">
        <v>97</v>
      </c>
      <c r="D1158" s="42"/>
      <c r="E1158" s="143" t="s">
        <v>4024</v>
      </c>
      <c r="F1158" s="89"/>
      <c r="G1158" s="89"/>
      <c r="H1158" s="148"/>
      <c r="I1158" s="149"/>
      <c r="J1158" s="90"/>
      <c r="K1158" s="43"/>
      <c r="L1158" s="39"/>
      <c r="M1158" s="39"/>
      <c r="N1158" s="39"/>
      <c r="O1158" s="39"/>
    </row>
    <row r="1159" spans="1:15" ht="12.75">
      <c r="A1159" s="13"/>
      <c r="B1159" s="147" t="s">
        <v>97</v>
      </c>
      <c r="C1159" s="236" t="s">
        <v>97</v>
      </c>
      <c r="D1159" s="42"/>
      <c r="E1159" s="143" t="s">
        <v>4025</v>
      </c>
      <c r="F1159" s="89"/>
      <c r="G1159" s="89"/>
      <c r="H1159" s="148"/>
      <c r="I1159" s="149"/>
      <c r="J1159" s="90"/>
      <c r="K1159" s="43"/>
      <c r="L1159" s="39"/>
      <c r="M1159" s="39"/>
      <c r="N1159" s="39"/>
      <c r="O1159" s="39"/>
    </row>
    <row r="1160" spans="1:15" ht="12.75">
      <c r="A1160" s="13"/>
      <c r="B1160" s="147" t="s">
        <v>97</v>
      </c>
      <c r="C1160" s="236" t="s">
        <v>97</v>
      </c>
      <c r="D1160" s="42"/>
      <c r="E1160" s="143" t="s">
        <v>4026</v>
      </c>
      <c r="F1160" s="89"/>
      <c r="G1160" s="89"/>
      <c r="H1160" s="148"/>
      <c r="I1160" s="149"/>
      <c r="J1160" s="90"/>
      <c r="K1160" s="43"/>
      <c r="L1160" s="39"/>
      <c r="M1160" s="39"/>
      <c r="N1160" s="39"/>
      <c r="O1160" s="39"/>
    </row>
    <row r="1161" spans="1:15" ht="12.75">
      <c r="A1161" s="13"/>
      <c r="B1161" s="147" t="s">
        <v>97</v>
      </c>
      <c r="C1161" s="236" t="s">
        <v>97</v>
      </c>
      <c r="D1161" s="42"/>
      <c r="E1161" s="143" t="s">
        <v>4027</v>
      </c>
      <c r="F1161" s="89"/>
      <c r="G1161" s="89"/>
      <c r="H1161" s="148"/>
      <c r="I1161" s="149"/>
      <c r="J1161" s="90"/>
      <c r="K1161" s="43"/>
      <c r="L1161" s="39"/>
      <c r="M1161" s="39"/>
      <c r="N1161" s="39"/>
      <c r="O1161" s="39"/>
    </row>
    <row r="1162" spans="1:15" ht="12.75">
      <c r="A1162" s="13"/>
      <c r="B1162" s="42"/>
      <c r="C1162" s="42"/>
      <c r="D1162" s="42"/>
      <c r="E1162" s="143"/>
      <c r="F1162" s="89"/>
      <c r="G1162" s="89"/>
      <c r="H1162" s="148"/>
      <c r="I1162" s="149"/>
      <c r="J1162" s="90"/>
      <c r="K1162" s="43"/>
      <c r="L1162" s="39"/>
      <c r="M1162" s="39"/>
      <c r="N1162" s="39"/>
      <c r="O1162" s="39"/>
    </row>
    <row r="1163" spans="1:15" ht="12.75">
      <c r="A1163" s="13"/>
      <c r="B1163" s="42"/>
      <c r="C1163" s="42"/>
      <c r="D1163" s="42"/>
      <c r="E1163" s="143"/>
      <c r="F1163" s="89"/>
      <c r="G1163" s="89"/>
      <c r="H1163" s="148"/>
      <c r="I1163" s="149"/>
      <c r="J1163" s="90"/>
      <c r="K1163" s="43"/>
      <c r="L1163" s="39"/>
      <c r="M1163" s="39"/>
      <c r="N1163" s="39"/>
      <c r="O1163" s="39"/>
    </row>
    <row r="1164" spans="1:15" ht="12.75">
      <c r="A1164" s="13"/>
      <c r="B1164" s="42"/>
      <c r="C1164" s="42"/>
      <c r="D1164" s="42"/>
      <c r="E1164" s="143"/>
      <c r="F1164" s="89"/>
      <c r="G1164" s="89"/>
      <c r="H1164" s="148"/>
      <c r="I1164" s="149"/>
      <c r="J1164" s="90"/>
      <c r="K1164" s="43"/>
      <c r="L1164" s="39"/>
      <c r="M1164" s="39"/>
      <c r="N1164" s="39"/>
      <c r="O1164" s="39"/>
    </row>
    <row r="1165" spans="1:15" ht="12.75">
      <c r="A1165" s="13"/>
      <c r="B1165" s="42"/>
      <c r="C1165" s="42"/>
      <c r="D1165" s="42"/>
      <c r="E1165" s="143"/>
      <c r="F1165" s="89"/>
      <c r="G1165" s="89"/>
      <c r="H1165" s="148"/>
      <c r="I1165" s="149"/>
      <c r="J1165" s="90"/>
      <c r="K1165" s="43"/>
      <c r="L1165" s="39"/>
      <c r="M1165" s="39"/>
      <c r="N1165" s="39"/>
      <c r="O1165" s="39"/>
    </row>
  </sheetData>
  <hyperlinks>
    <hyperlink ref="C22" r:id="rId1" xr:uid="{00000000-0004-0000-0F00-000000000000}"/>
    <hyperlink ref="C24" r:id="rId2" xr:uid="{00000000-0004-0000-0F00-000001000000}"/>
    <hyperlink ref="C26" r:id="rId3" xr:uid="{00000000-0004-0000-0F00-000002000000}"/>
    <hyperlink ref="C30" r:id="rId4" xr:uid="{00000000-0004-0000-0F00-000003000000}"/>
    <hyperlink ref="C31" r:id="rId5" xr:uid="{00000000-0004-0000-0F00-000004000000}"/>
    <hyperlink ref="C38" r:id="rId6" xr:uid="{00000000-0004-0000-0F00-000005000000}"/>
    <hyperlink ref="C40" r:id="rId7" xr:uid="{00000000-0004-0000-0F00-000006000000}"/>
    <hyperlink ref="C41" r:id="rId8" xr:uid="{00000000-0004-0000-0F00-000007000000}"/>
    <hyperlink ref="C47" r:id="rId9" xr:uid="{00000000-0004-0000-0F00-000008000000}"/>
    <hyperlink ref="C48" r:id="rId10" xr:uid="{00000000-0004-0000-0F00-000009000000}"/>
    <hyperlink ref="C49" r:id="rId11" xr:uid="{00000000-0004-0000-0F00-00000A000000}"/>
    <hyperlink ref="C50" r:id="rId12" xr:uid="{00000000-0004-0000-0F00-00000B000000}"/>
    <hyperlink ref="C64" r:id="rId13" xr:uid="{00000000-0004-0000-0F00-00000C000000}"/>
    <hyperlink ref="C68" r:id="rId14" xr:uid="{00000000-0004-0000-0F00-00000D000000}"/>
    <hyperlink ref="C72" r:id="rId15" xr:uid="{00000000-0004-0000-0F00-00000E000000}"/>
    <hyperlink ref="C73" r:id="rId16" xr:uid="{00000000-0004-0000-0F00-00000F000000}"/>
    <hyperlink ref="C83" r:id="rId17" xr:uid="{00000000-0004-0000-0F00-000010000000}"/>
    <hyperlink ref="C91" r:id="rId18" xr:uid="{00000000-0004-0000-0F00-000011000000}"/>
    <hyperlink ref="C98" r:id="rId19" xr:uid="{00000000-0004-0000-0F00-000012000000}"/>
    <hyperlink ref="C99" r:id="rId20" xr:uid="{00000000-0004-0000-0F00-000013000000}"/>
    <hyperlink ref="C103" r:id="rId21" xr:uid="{00000000-0004-0000-0F00-000014000000}"/>
    <hyperlink ref="C135" r:id="rId22" xr:uid="{00000000-0004-0000-0F00-000015000000}"/>
    <hyperlink ref="C137" r:id="rId23" xr:uid="{00000000-0004-0000-0F00-000016000000}"/>
    <hyperlink ref="C187" r:id="rId24" xr:uid="{00000000-0004-0000-0F00-000017000000}"/>
    <hyperlink ref="C220" r:id="rId25" xr:uid="{00000000-0004-0000-0F00-000018000000}"/>
    <hyperlink ref="C227" r:id="rId26" xr:uid="{00000000-0004-0000-0F00-000019000000}"/>
    <hyperlink ref="C231" r:id="rId27" xr:uid="{00000000-0004-0000-0F00-00001A000000}"/>
    <hyperlink ref="C284" r:id="rId28" xr:uid="{00000000-0004-0000-0F00-00001B000000}"/>
    <hyperlink ref="C359" r:id="rId29" xr:uid="{00000000-0004-0000-0F00-00001C000000}"/>
    <hyperlink ref="C439" r:id="rId30" xr:uid="{00000000-0004-0000-0F00-00001D000000}"/>
    <hyperlink ref="C654" r:id="rId31" xr:uid="{00000000-0004-0000-0F00-00001E000000}"/>
    <hyperlink ref="C694" r:id="rId32" xr:uid="{00000000-0004-0000-0F00-00001F000000}"/>
    <hyperlink ref="C696" r:id="rId33" xr:uid="{00000000-0004-0000-0F00-000020000000}"/>
    <hyperlink ref="C698" r:id="rId34" xr:uid="{00000000-0004-0000-0F00-000021000000}"/>
    <hyperlink ref="C703" r:id="rId35" xr:uid="{00000000-0004-0000-0F00-000022000000}"/>
    <hyperlink ref="C704" r:id="rId36" xr:uid="{00000000-0004-0000-0F00-000023000000}"/>
    <hyperlink ref="C775" r:id="rId37" xr:uid="{00000000-0004-0000-0F00-000024000000}"/>
    <hyperlink ref="C776" r:id="rId38" xr:uid="{00000000-0004-0000-0F00-000025000000}"/>
    <hyperlink ref="C777" r:id="rId39" xr:uid="{00000000-0004-0000-0F00-000026000000}"/>
    <hyperlink ref="C778" r:id="rId40" xr:uid="{00000000-0004-0000-0F00-000027000000}"/>
    <hyperlink ref="C782" r:id="rId41" xr:uid="{00000000-0004-0000-0F00-000028000000}"/>
    <hyperlink ref="C783" r:id="rId42" xr:uid="{00000000-0004-0000-0F00-000029000000}"/>
    <hyperlink ref="C784" r:id="rId43" xr:uid="{00000000-0004-0000-0F00-00002A000000}"/>
    <hyperlink ref="C785" r:id="rId44" xr:uid="{00000000-0004-0000-0F00-00002B000000}"/>
    <hyperlink ref="C786" r:id="rId45" xr:uid="{00000000-0004-0000-0F00-00002C000000}"/>
    <hyperlink ref="C787" r:id="rId46" xr:uid="{00000000-0004-0000-0F00-00002D000000}"/>
    <hyperlink ref="C788" r:id="rId47" xr:uid="{00000000-0004-0000-0F00-00002E000000}"/>
    <hyperlink ref="C789" r:id="rId48" xr:uid="{00000000-0004-0000-0F00-00002F000000}"/>
    <hyperlink ref="C790" r:id="rId49" xr:uid="{00000000-0004-0000-0F00-000030000000}"/>
    <hyperlink ref="C791" r:id="rId50" xr:uid="{00000000-0004-0000-0F00-000031000000}"/>
    <hyperlink ref="C792" r:id="rId51" xr:uid="{00000000-0004-0000-0F00-000032000000}"/>
    <hyperlink ref="C793" r:id="rId52" xr:uid="{00000000-0004-0000-0F00-000033000000}"/>
    <hyperlink ref="C794" r:id="rId53" xr:uid="{00000000-0004-0000-0F00-000034000000}"/>
    <hyperlink ref="C795" r:id="rId54" xr:uid="{00000000-0004-0000-0F00-000035000000}"/>
    <hyperlink ref="C796" r:id="rId55" xr:uid="{00000000-0004-0000-0F00-000036000000}"/>
    <hyperlink ref="C797" r:id="rId56" xr:uid="{00000000-0004-0000-0F00-000037000000}"/>
    <hyperlink ref="C799" r:id="rId57" xr:uid="{00000000-0004-0000-0F00-000038000000}"/>
    <hyperlink ref="C800" r:id="rId58" xr:uid="{00000000-0004-0000-0F00-000039000000}"/>
    <hyperlink ref="C801" r:id="rId59" xr:uid="{00000000-0004-0000-0F00-00003A000000}"/>
    <hyperlink ref="C802" r:id="rId60" xr:uid="{00000000-0004-0000-0F00-00003B000000}"/>
    <hyperlink ref="C803" r:id="rId61" xr:uid="{00000000-0004-0000-0F00-00003C000000}"/>
    <hyperlink ref="C805" r:id="rId62" xr:uid="{00000000-0004-0000-0F00-00003D000000}"/>
  </hyperlinks>
  <pageMargins left="0.7" right="0.7" top="0.75" bottom="0.75" header="0.3" footer="0.3"/>
  <legacyDrawing r:id="rId6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outlinePr summaryBelow="0" summaryRight="0"/>
  </sheetPr>
  <dimension ref="A1:E817"/>
  <sheetViews>
    <sheetView workbookViewId="0">
      <pane ySplit="1" topLeftCell="A2" activePane="bottomLeft" state="frozen"/>
      <selection activeCell="B3" sqref="B3"/>
      <selection pane="bottomLeft" activeCell="A2" sqref="A2"/>
    </sheetView>
  </sheetViews>
  <sheetFormatPr defaultColWidth="12.5703125" defaultRowHeight="15.75" customHeight="1"/>
  <cols>
    <col min="1" max="1" width="31.7109375" customWidth="1"/>
    <col min="2" max="2" width="38.140625" customWidth="1"/>
    <col min="3" max="3" width="19.85546875" customWidth="1"/>
    <col min="4" max="4" width="31.140625" customWidth="1"/>
    <col min="5" max="5" width="48.42578125" customWidth="1"/>
  </cols>
  <sheetData>
    <row r="1" spans="1:5">
      <c r="A1" s="248" t="s">
        <v>4055</v>
      </c>
      <c r="B1" s="249" t="s">
        <v>4056</v>
      </c>
      <c r="C1" s="249" t="s">
        <v>4057</v>
      </c>
      <c r="D1" s="249" t="s">
        <v>4058</v>
      </c>
      <c r="E1" s="249" t="s">
        <v>4059</v>
      </c>
    </row>
    <row r="2" spans="1:5" ht="12.75">
      <c r="A2" s="250" t="s">
        <v>4060</v>
      </c>
      <c r="B2" s="251"/>
      <c r="C2" s="252"/>
      <c r="D2" s="253"/>
      <c r="E2" s="253"/>
    </row>
    <row r="3" spans="1:5" ht="12.75">
      <c r="A3" s="6" t="s">
        <v>4060</v>
      </c>
      <c r="B3" s="44" t="s">
        <v>268</v>
      </c>
      <c r="C3" s="115" t="s">
        <v>269</v>
      </c>
      <c r="D3" s="238" t="s">
        <v>2337</v>
      </c>
      <c r="E3" s="6"/>
    </row>
    <row r="4" spans="1:5" ht="12.75">
      <c r="A4" s="6" t="s">
        <v>4060</v>
      </c>
      <c r="B4" s="44" t="s">
        <v>270</v>
      </c>
      <c r="C4" s="53" t="s">
        <v>271</v>
      </c>
      <c r="D4" s="238" t="s">
        <v>2338</v>
      </c>
      <c r="E4" s="6"/>
    </row>
    <row r="5" spans="1:5" ht="12.75">
      <c r="A5" s="6" t="s">
        <v>4060</v>
      </c>
      <c r="B5" s="44" t="s">
        <v>272</v>
      </c>
      <c r="C5" s="53" t="s">
        <v>273</v>
      </c>
      <c r="D5" s="238" t="s">
        <v>2339</v>
      </c>
      <c r="E5" s="6"/>
    </row>
    <row r="6" spans="1:5" ht="12.75">
      <c r="A6" s="6" t="s">
        <v>4060</v>
      </c>
      <c r="B6" s="44" t="s">
        <v>274</v>
      </c>
      <c r="C6" s="53" t="s">
        <v>275</v>
      </c>
      <c r="D6" s="238" t="s">
        <v>2340</v>
      </c>
      <c r="E6" s="6"/>
    </row>
    <row r="7" spans="1:5" ht="12.75">
      <c r="A7" s="6" t="s">
        <v>4060</v>
      </c>
      <c r="B7" s="44" t="s">
        <v>276</v>
      </c>
      <c r="C7" s="53" t="s">
        <v>277</v>
      </c>
      <c r="D7" s="238" t="s">
        <v>2341</v>
      </c>
      <c r="E7" s="6"/>
    </row>
    <row r="8" spans="1:5" ht="12.75">
      <c r="A8" s="250" t="s">
        <v>135</v>
      </c>
      <c r="B8" s="251"/>
      <c r="C8" s="252"/>
      <c r="D8" s="253"/>
      <c r="E8" s="253"/>
    </row>
    <row r="9" spans="1:5" ht="12.75">
      <c r="A9" s="6" t="s">
        <v>135</v>
      </c>
      <c r="B9" s="44" t="s">
        <v>138</v>
      </c>
      <c r="C9" s="115" t="s">
        <v>582</v>
      </c>
      <c r="D9" s="6" t="s">
        <v>4061</v>
      </c>
      <c r="E9" s="6"/>
    </row>
    <row r="10" spans="1:5" ht="12.75">
      <c r="A10" s="6" t="s">
        <v>135</v>
      </c>
      <c r="B10" s="44" t="s">
        <v>2091</v>
      </c>
      <c r="C10" s="53" t="s">
        <v>2090</v>
      </c>
      <c r="D10" s="6" t="s">
        <v>4062</v>
      </c>
      <c r="E10" s="6"/>
    </row>
    <row r="11" spans="1:5" ht="12.75">
      <c r="A11" s="6" t="s">
        <v>135</v>
      </c>
      <c r="B11" s="44" t="s">
        <v>2093</v>
      </c>
      <c r="C11" s="44" t="s">
        <v>2092</v>
      </c>
      <c r="D11" s="6" t="s">
        <v>4063</v>
      </c>
      <c r="E11" s="6"/>
    </row>
    <row r="12" spans="1:5" ht="12.75">
      <c r="A12" s="250" t="s">
        <v>142</v>
      </c>
      <c r="B12" s="250"/>
      <c r="C12" s="252"/>
      <c r="D12" s="253"/>
      <c r="E12" s="253"/>
    </row>
    <row r="13" spans="1:5" ht="12.75">
      <c r="A13" s="6" t="s">
        <v>142</v>
      </c>
      <c r="B13" s="55" t="s">
        <v>584</v>
      </c>
      <c r="C13" s="53" t="s">
        <v>585</v>
      </c>
      <c r="D13" s="6" t="s">
        <v>2708</v>
      </c>
      <c r="E13" s="6" t="s">
        <v>4064</v>
      </c>
    </row>
    <row r="14" spans="1:5" ht="12.75">
      <c r="A14" s="6" t="s">
        <v>142</v>
      </c>
      <c r="B14" s="44" t="s">
        <v>145</v>
      </c>
      <c r="C14" s="44" t="s">
        <v>586</v>
      </c>
      <c r="D14" s="6" t="s">
        <v>2709</v>
      </c>
      <c r="E14" s="6"/>
    </row>
    <row r="15" spans="1:5" ht="12.75">
      <c r="A15" s="6" t="s">
        <v>142</v>
      </c>
      <c r="B15" s="44" t="s">
        <v>587</v>
      </c>
      <c r="C15" s="44" t="s">
        <v>588</v>
      </c>
      <c r="D15" s="6" t="s">
        <v>4065</v>
      </c>
      <c r="E15" s="6"/>
    </row>
    <row r="16" spans="1:5" ht="12.75">
      <c r="A16" s="6" t="s">
        <v>142</v>
      </c>
      <c r="B16" s="44" t="s">
        <v>589</v>
      </c>
      <c r="C16" s="44" t="s">
        <v>590</v>
      </c>
      <c r="D16" s="6" t="s">
        <v>2710</v>
      </c>
      <c r="E16" s="6"/>
    </row>
    <row r="17" spans="1:5" ht="12.75">
      <c r="A17" s="250" t="s">
        <v>216</v>
      </c>
      <c r="B17" s="251"/>
      <c r="C17" s="252"/>
      <c r="D17" s="253"/>
      <c r="E17" s="253"/>
    </row>
    <row r="18" spans="1:5" ht="12.75">
      <c r="A18" s="238" t="s">
        <v>216</v>
      </c>
      <c r="B18" s="10" t="s">
        <v>219</v>
      </c>
      <c r="C18" s="130" t="s">
        <v>592</v>
      </c>
      <c r="D18" s="238" t="s">
        <v>2714</v>
      </c>
      <c r="E18" s="254" t="s">
        <v>4066</v>
      </c>
    </row>
    <row r="19" spans="1:5" ht="12.75">
      <c r="A19" s="238" t="s">
        <v>216</v>
      </c>
      <c r="B19" s="10" t="s">
        <v>593</v>
      </c>
      <c r="C19" s="130" t="s">
        <v>594</v>
      </c>
      <c r="D19" s="238" t="s">
        <v>4067</v>
      </c>
      <c r="E19" s="254"/>
    </row>
    <row r="20" spans="1:5" ht="12.75">
      <c r="A20" s="238" t="s">
        <v>216</v>
      </c>
      <c r="B20" s="10" t="s">
        <v>595</v>
      </c>
      <c r="C20" s="130" t="s">
        <v>596</v>
      </c>
      <c r="D20" s="238" t="s">
        <v>2715</v>
      </c>
      <c r="E20" s="254"/>
    </row>
    <row r="21" spans="1:5" ht="12.75">
      <c r="A21" s="238" t="s">
        <v>216</v>
      </c>
      <c r="B21" s="10" t="s">
        <v>597</v>
      </c>
      <c r="C21" s="130" t="s">
        <v>598</v>
      </c>
      <c r="D21" s="238" t="s">
        <v>4068</v>
      </c>
      <c r="E21" s="238"/>
    </row>
    <row r="22" spans="1:5" ht="12.75">
      <c r="A22" s="238" t="s">
        <v>216</v>
      </c>
      <c r="B22" s="10" t="s">
        <v>601</v>
      </c>
      <c r="C22" s="130" t="s">
        <v>602</v>
      </c>
      <c r="D22" s="238" t="s">
        <v>2716</v>
      </c>
      <c r="E22" s="254"/>
    </row>
    <row r="23" spans="1:5" ht="12.75">
      <c r="A23" s="238" t="s">
        <v>216</v>
      </c>
      <c r="B23" s="10" t="s">
        <v>603</v>
      </c>
      <c r="C23" s="130" t="s">
        <v>604</v>
      </c>
      <c r="D23" s="238" t="s">
        <v>2717</v>
      </c>
      <c r="E23" s="254"/>
    </row>
    <row r="24" spans="1:5" ht="12.75">
      <c r="A24" s="238" t="s">
        <v>216</v>
      </c>
      <c r="B24" s="10" t="s">
        <v>605</v>
      </c>
      <c r="C24" s="130" t="s">
        <v>606</v>
      </c>
      <c r="D24" s="238" t="s">
        <v>2718</v>
      </c>
      <c r="E24" s="254"/>
    </row>
    <row r="25" spans="1:5" ht="12.75">
      <c r="A25" s="238" t="s">
        <v>216</v>
      </c>
      <c r="B25" s="155" t="s">
        <v>607</v>
      </c>
      <c r="C25" s="130" t="s">
        <v>608</v>
      </c>
      <c r="D25" s="238" t="s">
        <v>2719</v>
      </c>
      <c r="E25" s="254"/>
    </row>
    <row r="26" spans="1:5" ht="12.75">
      <c r="A26" s="238" t="s">
        <v>216</v>
      </c>
      <c r="B26" s="10" t="s">
        <v>609</v>
      </c>
      <c r="C26" s="130" t="s">
        <v>610</v>
      </c>
      <c r="D26" s="238" t="s">
        <v>2720</v>
      </c>
      <c r="E26" s="254"/>
    </row>
    <row r="27" spans="1:5" ht="12.75">
      <c r="A27" s="238" t="s">
        <v>216</v>
      </c>
      <c r="B27" s="10" t="s">
        <v>613</v>
      </c>
      <c r="C27" s="130" t="s">
        <v>614</v>
      </c>
      <c r="D27" s="226" t="s">
        <v>2721</v>
      </c>
      <c r="E27" s="254"/>
    </row>
    <row r="28" spans="1:5" ht="12.75">
      <c r="A28" s="238" t="s">
        <v>216</v>
      </c>
      <c r="B28" s="155" t="s">
        <v>615</v>
      </c>
      <c r="C28" s="130" t="s">
        <v>616</v>
      </c>
      <c r="D28" s="226" t="s">
        <v>4069</v>
      </c>
      <c r="E28" s="254"/>
    </row>
    <row r="29" spans="1:5" ht="12.75">
      <c r="A29" s="238" t="s">
        <v>216</v>
      </c>
      <c r="B29" s="155" t="s">
        <v>617</v>
      </c>
      <c r="C29" s="130" t="s">
        <v>618</v>
      </c>
      <c r="D29" s="226" t="s">
        <v>4070</v>
      </c>
      <c r="E29" s="254"/>
    </row>
    <row r="30" spans="1:5" ht="12.75">
      <c r="A30" s="238" t="s">
        <v>216</v>
      </c>
      <c r="B30" s="155" t="s">
        <v>619</v>
      </c>
      <c r="C30" s="130" t="s">
        <v>620</v>
      </c>
      <c r="D30" s="226" t="s">
        <v>4071</v>
      </c>
      <c r="E30" s="254"/>
    </row>
    <row r="31" spans="1:5" ht="12.75">
      <c r="A31" s="238" t="s">
        <v>216</v>
      </c>
      <c r="B31" s="155" t="s">
        <v>621</v>
      </c>
      <c r="C31" s="130" t="s">
        <v>622</v>
      </c>
      <c r="D31" s="226" t="s">
        <v>2721</v>
      </c>
      <c r="E31" s="254"/>
    </row>
    <row r="32" spans="1:5" ht="12.75">
      <c r="A32" s="238" t="s">
        <v>216</v>
      </c>
      <c r="B32" s="10" t="s">
        <v>584</v>
      </c>
      <c r="C32" s="130" t="s">
        <v>623</v>
      </c>
      <c r="D32" s="226" t="s">
        <v>2708</v>
      </c>
      <c r="E32" s="254" t="s">
        <v>4064</v>
      </c>
    </row>
    <row r="33" spans="1:5" ht="12.75">
      <c r="A33" s="238" t="s">
        <v>216</v>
      </c>
      <c r="B33" s="10" t="s">
        <v>624</v>
      </c>
      <c r="C33" s="130" t="s">
        <v>625</v>
      </c>
      <c r="D33" s="226" t="s">
        <v>2722</v>
      </c>
      <c r="E33" s="254"/>
    </row>
    <row r="34" spans="1:5" ht="12.75">
      <c r="A34" s="238" t="s">
        <v>216</v>
      </c>
      <c r="B34" s="10" t="s">
        <v>626</v>
      </c>
      <c r="C34" s="130" t="s">
        <v>627</v>
      </c>
      <c r="D34" s="226" t="s">
        <v>2723</v>
      </c>
      <c r="E34" s="254"/>
    </row>
    <row r="35" spans="1:5" ht="12.75">
      <c r="A35" s="238" t="s">
        <v>216</v>
      </c>
      <c r="B35" s="10" t="s">
        <v>587</v>
      </c>
      <c r="C35" s="130" t="s">
        <v>628</v>
      </c>
      <c r="D35" s="226" t="s">
        <v>4065</v>
      </c>
      <c r="E35" s="254"/>
    </row>
    <row r="36" spans="1:5" ht="12.75">
      <c r="A36" s="238" t="s">
        <v>216</v>
      </c>
      <c r="B36" s="10" t="s">
        <v>2095</v>
      </c>
      <c r="C36" s="130" t="s">
        <v>2094</v>
      </c>
      <c r="D36" s="226" t="s">
        <v>2724</v>
      </c>
      <c r="E36" s="254"/>
    </row>
    <row r="37" spans="1:5" ht="12.75">
      <c r="A37" s="238" t="s">
        <v>216</v>
      </c>
      <c r="B37" s="10" t="s">
        <v>629</v>
      </c>
      <c r="C37" s="130" t="s">
        <v>630</v>
      </c>
      <c r="D37" s="226" t="s">
        <v>2725</v>
      </c>
      <c r="E37" s="254"/>
    </row>
    <row r="38" spans="1:5" ht="12.75">
      <c r="A38" s="250" t="s">
        <v>147</v>
      </c>
      <c r="B38" s="251"/>
      <c r="C38" s="252"/>
      <c r="D38" s="253"/>
      <c r="E38" s="253"/>
    </row>
    <row r="39" spans="1:5" ht="12.75">
      <c r="A39" s="6" t="s">
        <v>147</v>
      </c>
      <c r="B39" s="82" t="s">
        <v>150</v>
      </c>
      <c r="C39" s="36" t="s">
        <v>285</v>
      </c>
      <c r="D39" s="6" t="s">
        <v>2347</v>
      </c>
      <c r="E39" s="6"/>
    </row>
    <row r="40" spans="1:5" ht="12.75">
      <c r="A40" s="6" t="s">
        <v>147</v>
      </c>
      <c r="B40" s="82" t="s">
        <v>286</v>
      </c>
      <c r="C40" s="36" t="s">
        <v>287</v>
      </c>
      <c r="D40" s="6" t="s">
        <v>2344</v>
      </c>
      <c r="E40" s="6"/>
    </row>
    <row r="41" spans="1:5" ht="12.75">
      <c r="A41" s="6" t="s">
        <v>147</v>
      </c>
      <c r="B41" s="82" t="s">
        <v>290</v>
      </c>
      <c r="C41" s="36" t="s">
        <v>289</v>
      </c>
      <c r="D41" s="6" t="s">
        <v>2350</v>
      </c>
      <c r="E41" s="6"/>
    </row>
    <row r="42" spans="1:5" ht="12.75">
      <c r="A42" s="6" t="s">
        <v>147</v>
      </c>
      <c r="B42" s="82" t="s">
        <v>292</v>
      </c>
      <c r="C42" s="36" t="s">
        <v>291</v>
      </c>
      <c r="D42" s="6" t="s">
        <v>2351</v>
      </c>
      <c r="E42" s="6"/>
    </row>
    <row r="43" spans="1:5" ht="12.75">
      <c r="A43" s="6" t="s">
        <v>147</v>
      </c>
      <c r="B43" s="82" t="s">
        <v>294</v>
      </c>
      <c r="C43" s="36" t="s">
        <v>293</v>
      </c>
      <c r="D43" s="6" t="s">
        <v>2352</v>
      </c>
      <c r="E43" s="6"/>
    </row>
    <row r="44" spans="1:5" ht="12.75">
      <c r="A44" s="6" t="s">
        <v>147</v>
      </c>
      <c r="B44" s="54" t="s">
        <v>296</v>
      </c>
      <c r="C44" s="36" t="s">
        <v>295</v>
      </c>
      <c r="D44" s="6" t="s">
        <v>4072</v>
      </c>
      <c r="E44" s="6"/>
    </row>
    <row r="45" spans="1:5" ht="12.75">
      <c r="A45" s="6" t="s">
        <v>147</v>
      </c>
      <c r="B45" s="54" t="s">
        <v>298</v>
      </c>
      <c r="C45" s="36" t="s">
        <v>297</v>
      </c>
      <c r="D45" s="6" t="s">
        <v>4073</v>
      </c>
      <c r="E45" s="6"/>
    </row>
    <row r="46" spans="1:5" ht="12.75">
      <c r="A46" s="6" t="s">
        <v>147</v>
      </c>
      <c r="B46" s="82" t="s">
        <v>288</v>
      </c>
      <c r="C46" s="36" t="s">
        <v>299</v>
      </c>
      <c r="D46" s="6" t="s">
        <v>2349</v>
      </c>
      <c r="E46" s="6"/>
    </row>
    <row r="47" spans="1:5" ht="12.75">
      <c r="A47" s="6" t="s">
        <v>147</v>
      </c>
      <c r="B47" s="82" t="s">
        <v>300</v>
      </c>
      <c r="C47" s="36" t="s">
        <v>301</v>
      </c>
      <c r="D47" s="6" t="s">
        <v>2346</v>
      </c>
      <c r="E47" s="6"/>
    </row>
    <row r="48" spans="1:5" ht="12.75">
      <c r="A48" s="250" t="s">
        <v>152</v>
      </c>
      <c r="B48" s="251"/>
      <c r="C48" s="252"/>
      <c r="D48" s="253"/>
      <c r="E48" s="253"/>
    </row>
    <row r="49" spans="1:5" ht="12.75">
      <c r="A49" s="6" t="s">
        <v>152</v>
      </c>
      <c r="B49" s="82" t="s">
        <v>303</v>
      </c>
      <c r="C49" s="36" t="s">
        <v>304</v>
      </c>
      <c r="D49" s="6" t="s">
        <v>4074</v>
      </c>
      <c r="E49" s="6"/>
    </row>
    <row r="50" spans="1:5" ht="12.75">
      <c r="A50" s="6" t="s">
        <v>152</v>
      </c>
      <c r="B50" s="82" t="s">
        <v>305</v>
      </c>
      <c r="C50" s="36" t="s">
        <v>306</v>
      </c>
      <c r="D50" s="6" t="s">
        <v>2362</v>
      </c>
      <c r="E50" s="6"/>
    </row>
    <row r="51" spans="1:5" ht="12.75">
      <c r="A51" s="6" t="s">
        <v>152</v>
      </c>
      <c r="B51" s="82" t="s">
        <v>307</v>
      </c>
      <c r="C51" s="36" t="s">
        <v>308</v>
      </c>
      <c r="D51" s="6" t="s">
        <v>4041</v>
      </c>
      <c r="E51" s="6"/>
    </row>
    <row r="52" spans="1:5" ht="12.75">
      <c r="A52" s="6" t="s">
        <v>152</v>
      </c>
      <c r="B52" s="82" t="s">
        <v>309</v>
      </c>
      <c r="C52" s="91" t="s">
        <v>310</v>
      </c>
      <c r="D52" s="6" t="s">
        <v>2363</v>
      </c>
      <c r="E52" s="6"/>
    </row>
    <row r="53" spans="1:5" ht="12.75">
      <c r="A53" s="6" t="s">
        <v>152</v>
      </c>
      <c r="B53" s="82" t="s">
        <v>311</v>
      </c>
      <c r="C53" s="36" t="s">
        <v>312</v>
      </c>
      <c r="D53" s="6" t="s">
        <v>4075</v>
      </c>
      <c r="E53" s="6"/>
    </row>
    <row r="54" spans="1:5" ht="12.75">
      <c r="A54" s="6" t="s">
        <v>152</v>
      </c>
      <c r="B54" s="82" t="s">
        <v>329</v>
      </c>
      <c r="C54" s="36" t="s">
        <v>330</v>
      </c>
      <c r="D54" s="6" t="s">
        <v>2370</v>
      </c>
      <c r="E54" s="6"/>
    </row>
    <row r="55" spans="1:5" ht="12.75">
      <c r="A55" s="6" t="s">
        <v>152</v>
      </c>
      <c r="B55" s="82" t="s">
        <v>331</v>
      </c>
      <c r="C55" s="36" t="s">
        <v>332</v>
      </c>
      <c r="D55" s="6" t="s">
        <v>2371</v>
      </c>
      <c r="E55" s="6"/>
    </row>
    <row r="56" spans="1:5" ht="12.75">
      <c r="A56" s="6" t="s">
        <v>152</v>
      </c>
      <c r="B56" s="82" t="s">
        <v>333</v>
      </c>
      <c r="C56" s="36" t="s">
        <v>334</v>
      </c>
      <c r="D56" s="6" t="s">
        <v>4042</v>
      </c>
      <c r="E56" s="6"/>
    </row>
    <row r="57" spans="1:5" ht="12.75">
      <c r="A57" s="6" t="s">
        <v>152</v>
      </c>
      <c r="B57" s="82" t="s">
        <v>335</v>
      </c>
      <c r="C57" s="36" t="s">
        <v>336</v>
      </c>
      <c r="D57" s="6" t="s">
        <v>4076</v>
      </c>
      <c r="E57" s="6"/>
    </row>
    <row r="58" spans="1:5" ht="12.75">
      <c r="A58" s="6" t="s">
        <v>152</v>
      </c>
      <c r="B58" s="82" t="s">
        <v>337</v>
      </c>
      <c r="C58" s="44" t="s">
        <v>338</v>
      </c>
      <c r="D58" s="6" t="s">
        <v>4077</v>
      </c>
      <c r="E58" s="6"/>
    </row>
    <row r="59" spans="1:5" ht="12.75">
      <c r="A59" s="6" t="s">
        <v>152</v>
      </c>
      <c r="B59" s="82" t="s">
        <v>339</v>
      </c>
      <c r="C59" s="36" t="s">
        <v>340</v>
      </c>
      <c r="D59" s="6" t="s">
        <v>4078</v>
      </c>
      <c r="E59" s="6"/>
    </row>
    <row r="60" spans="1:5" ht="12.75">
      <c r="A60" s="6" t="s">
        <v>152</v>
      </c>
      <c r="B60" s="82" t="s">
        <v>341</v>
      </c>
      <c r="C60" s="36" t="s">
        <v>342</v>
      </c>
      <c r="D60" s="6" t="s">
        <v>4079</v>
      </c>
      <c r="E60" s="6"/>
    </row>
    <row r="61" spans="1:5" ht="12.75">
      <c r="A61" s="6" t="s">
        <v>152</v>
      </c>
      <c r="B61" s="82" t="s">
        <v>343</v>
      </c>
      <c r="C61" s="36" t="s">
        <v>344</v>
      </c>
      <c r="D61" s="6" t="s">
        <v>2364</v>
      </c>
      <c r="E61" s="6"/>
    </row>
    <row r="62" spans="1:5" ht="12.75">
      <c r="A62" s="6" t="s">
        <v>152</v>
      </c>
      <c r="B62" s="82" t="s">
        <v>345</v>
      </c>
      <c r="C62" s="36" t="s">
        <v>346</v>
      </c>
      <c r="D62" s="6" t="s">
        <v>2365</v>
      </c>
      <c r="E62" s="6"/>
    </row>
    <row r="63" spans="1:5" ht="12.75">
      <c r="A63" s="6" t="s">
        <v>152</v>
      </c>
      <c r="B63" s="82" t="s">
        <v>347</v>
      </c>
      <c r="C63" s="91" t="s">
        <v>348</v>
      </c>
      <c r="D63" s="6" t="s">
        <v>2366</v>
      </c>
      <c r="E63" s="6"/>
    </row>
    <row r="64" spans="1:5" ht="12.75">
      <c r="A64" s="6" t="s">
        <v>152</v>
      </c>
      <c r="B64" s="82" t="s">
        <v>155</v>
      </c>
      <c r="C64" s="36" t="s">
        <v>349</v>
      </c>
      <c r="D64" s="6" t="s">
        <v>2367</v>
      </c>
      <c r="E64" s="6"/>
    </row>
    <row r="65" spans="1:5" ht="12.75">
      <c r="A65" s="6" t="s">
        <v>152</v>
      </c>
      <c r="B65" s="82" t="s">
        <v>350</v>
      </c>
      <c r="C65" s="36" t="s">
        <v>351</v>
      </c>
      <c r="D65" s="6" t="s">
        <v>2368</v>
      </c>
      <c r="E65" s="6"/>
    </row>
    <row r="66" spans="1:5" ht="12.75">
      <c r="A66" s="6" t="s">
        <v>152</v>
      </c>
      <c r="B66" s="82" t="s">
        <v>313</v>
      </c>
      <c r="C66" s="36" t="s">
        <v>314</v>
      </c>
      <c r="D66" s="6" t="s">
        <v>4080</v>
      </c>
      <c r="E66" s="6"/>
    </row>
    <row r="67" spans="1:5" ht="12.75">
      <c r="A67" s="6" t="s">
        <v>152</v>
      </c>
      <c r="B67" s="82" t="s">
        <v>315</v>
      </c>
      <c r="C67" s="36" t="s">
        <v>316</v>
      </c>
      <c r="D67" s="6" t="s">
        <v>4081</v>
      </c>
      <c r="E67" s="6"/>
    </row>
    <row r="68" spans="1:5" ht="12.75">
      <c r="A68" s="6" t="s">
        <v>152</v>
      </c>
      <c r="B68" s="82" t="s">
        <v>317</v>
      </c>
      <c r="C68" s="36" t="s">
        <v>318</v>
      </c>
      <c r="D68" s="6" t="s">
        <v>4082</v>
      </c>
      <c r="E68" s="6"/>
    </row>
    <row r="69" spans="1:5" ht="12.75">
      <c r="A69" s="6" t="s">
        <v>152</v>
      </c>
      <c r="B69" s="82" t="s">
        <v>319</v>
      </c>
      <c r="C69" s="36" t="s">
        <v>320</v>
      </c>
      <c r="D69" s="6" t="s">
        <v>4083</v>
      </c>
      <c r="E69" s="6"/>
    </row>
    <row r="70" spans="1:5" ht="12.75">
      <c r="A70" s="6" t="s">
        <v>152</v>
      </c>
      <c r="B70" s="82" t="s">
        <v>321</v>
      </c>
      <c r="C70" s="36" t="s">
        <v>322</v>
      </c>
      <c r="D70" s="6" t="s">
        <v>4084</v>
      </c>
      <c r="E70" s="6"/>
    </row>
    <row r="71" spans="1:5" ht="12.75">
      <c r="A71" s="6" t="s">
        <v>152</v>
      </c>
      <c r="B71" s="82" t="s">
        <v>323</v>
      </c>
      <c r="C71" s="36" t="s">
        <v>324</v>
      </c>
      <c r="D71" s="6" t="s">
        <v>4085</v>
      </c>
      <c r="E71" s="6"/>
    </row>
    <row r="72" spans="1:5" ht="12.75">
      <c r="A72" s="6" t="s">
        <v>152</v>
      </c>
      <c r="B72" s="82" t="s">
        <v>325</v>
      </c>
      <c r="C72" s="36" t="s">
        <v>326</v>
      </c>
      <c r="D72" s="6" t="s">
        <v>4086</v>
      </c>
      <c r="E72" s="6"/>
    </row>
    <row r="73" spans="1:5" ht="12.75">
      <c r="A73" s="6" t="s">
        <v>152</v>
      </c>
      <c r="B73" s="82" t="s">
        <v>327</v>
      </c>
      <c r="C73" s="36" t="s">
        <v>328</v>
      </c>
      <c r="D73" s="6" t="s">
        <v>2369</v>
      </c>
      <c r="E73" s="6"/>
    </row>
    <row r="74" spans="1:5" ht="12.75">
      <c r="A74" s="250" t="s">
        <v>156</v>
      </c>
      <c r="B74" s="251"/>
      <c r="C74" s="252"/>
      <c r="D74" s="253"/>
      <c r="E74" s="253"/>
    </row>
    <row r="75" spans="1:5" ht="12.75">
      <c r="A75" s="6" t="s">
        <v>156</v>
      </c>
      <c r="B75" s="82" t="s">
        <v>159</v>
      </c>
      <c r="C75" s="36" t="s">
        <v>355</v>
      </c>
      <c r="D75" s="6" t="s">
        <v>2383</v>
      </c>
      <c r="E75" s="6"/>
    </row>
    <row r="76" spans="1:5" ht="12.75">
      <c r="A76" s="6" t="s">
        <v>156</v>
      </c>
      <c r="B76" s="82" t="s">
        <v>366</v>
      </c>
      <c r="C76" s="36" t="s">
        <v>367</v>
      </c>
      <c r="D76" s="6" t="s">
        <v>2389</v>
      </c>
      <c r="E76" s="6"/>
    </row>
    <row r="77" spans="1:5" ht="12.75">
      <c r="A77" s="6" t="s">
        <v>156</v>
      </c>
      <c r="B77" s="82" t="s">
        <v>362</v>
      </c>
      <c r="C77" s="36" t="s">
        <v>363</v>
      </c>
      <c r="D77" s="6" t="s">
        <v>2387</v>
      </c>
      <c r="E77" s="6"/>
    </row>
    <row r="78" spans="1:5" ht="12.75">
      <c r="A78" s="6" t="s">
        <v>156</v>
      </c>
      <c r="B78" s="82" t="s">
        <v>358</v>
      </c>
      <c r="C78" s="44" t="s">
        <v>359</v>
      </c>
      <c r="D78" s="6" t="s">
        <v>2385</v>
      </c>
      <c r="E78" s="6"/>
    </row>
    <row r="79" spans="1:5" ht="12.75">
      <c r="A79" s="6" t="s">
        <v>156</v>
      </c>
      <c r="B79" s="82" t="s">
        <v>360</v>
      </c>
      <c r="C79" s="36" t="s">
        <v>361</v>
      </c>
      <c r="D79" s="6" t="s">
        <v>2386</v>
      </c>
      <c r="E79" s="6"/>
    </row>
    <row r="80" spans="1:5" ht="12.75">
      <c r="A80" s="6" t="s">
        <v>156</v>
      </c>
      <c r="B80" s="44" t="s">
        <v>364</v>
      </c>
      <c r="C80" s="91" t="s">
        <v>365</v>
      </c>
      <c r="D80" s="6" t="s">
        <v>2388</v>
      </c>
      <c r="E80" s="6"/>
    </row>
    <row r="81" spans="1:5" ht="12.75">
      <c r="A81" s="6" t="s">
        <v>156</v>
      </c>
      <c r="B81" s="54" t="s">
        <v>356</v>
      </c>
      <c r="C81" s="36" t="s">
        <v>357</v>
      </c>
      <c r="D81" s="6" t="s">
        <v>2384</v>
      </c>
      <c r="E81" s="6"/>
    </row>
    <row r="82" spans="1:5" ht="12.75">
      <c r="A82" s="6" t="s">
        <v>156</v>
      </c>
      <c r="B82" s="53" t="s">
        <v>353</v>
      </c>
      <c r="C82" s="53" t="s">
        <v>354</v>
      </c>
      <c r="D82" s="6" t="s">
        <v>2382</v>
      </c>
      <c r="E82" s="6"/>
    </row>
    <row r="83" spans="1:5" ht="12.75">
      <c r="A83" s="250" t="s">
        <v>160</v>
      </c>
      <c r="B83" s="251"/>
      <c r="C83" s="252"/>
      <c r="D83" s="253"/>
      <c r="E83" s="253"/>
    </row>
    <row r="84" spans="1:5" ht="12.75">
      <c r="A84" s="6" t="s">
        <v>160</v>
      </c>
      <c r="B84" s="44" t="s">
        <v>369</v>
      </c>
      <c r="C84" s="44" t="s">
        <v>370</v>
      </c>
      <c r="D84" s="6" t="s">
        <v>4048</v>
      </c>
      <c r="E84" s="6"/>
    </row>
    <row r="85" spans="1:5" ht="12.75">
      <c r="A85" s="6" t="s">
        <v>160</v>
      </c>
      <c r="B85" s="44" t="s">
        <v>371</v>
      </c>
      <c r="C85" s="91" t="s">
        <v>372</v>
      </c>
      <c r="D85" s="6" t="s">
        <v>4087</v>
      </c>
      <c r="E85" s="6"/>
    </row>
    <row r="86" spans="1:5" ht="12.75">
      <c r="A86" s="6" t="s">
        <v>160</v>
      </c>
      <c r="B86" s="44" t="s">
        <v>373</v>
      </c>
      <c r="C86" s="44" t="s">
        <v>374</v>
      </c>
      <c r="D86" s="6" t="s">
        <v>4049</v>
      </c>
      <c r="E86" s="6"/>
    </row>
    <row r="87" spans="1:5" ht="12.75">
      <c r="A87" s="6" t="s">
        <v>160</v>
      </c>
      <c r="B87" s="44" t="s">
        <v>375</v>
      </c>
      <c r="C87" s="44" t="s">
        <v>376</v>
      </c>
      <c r="D87" s="6" t="s">
        <v>4047</v>
      </c>
      <c r="E87" s="6"/>
    </row>
    <row r="88" spans="1:5" ht="12.75">
      <c r="A88" s="6" t="s">
        <v>160</v>
      </c>
      <c r="B88" s="82" t="s">
        <v>377</v>
      </c>
      <c r="C88" s="91" t="s">
        <v>378</v>
      </c>
      <c r="D88" s="6" t="s">
        <v>4088</v>
      </c>
      <c r="E88" s="6"/>
    </row>
    <row r="89" spans="1:5" ht="12.75">
      <c r="A89" s="6" t="s">
        <v>160</v>
      </c>
      <c r="B89" s="44" t="s">
        <v>379</v>
      </c>
      <c r="C89" s="44" t="s">
        <v>380</v>
      </c>
      <c r="D89" s="6" t="s">
        <v>4089</v>
      </c>
      <c r="E89" s="6"/>
    </row>
    <row r="90" spans="1:5" ht="12.75">
      <c r="A90" s="6" t="s">
        <v>160</v>
      </c>
      <c r="B90" s="44" t="s">
        <v>381</v>
      </c>
      <c r="C90" s="44" t="s">
        <v>382</v>
      </c>
      <c r="D90" s="6" t="s">
        <v>4090</v>
      </c>
      <c r="E90" s="6"/>
    </row>
    <row r="91" spans="1:5" ht="12.75">
      <c r="A91" s="6" t="s">
        <v>160</v>
      </c>
      <c r="B91" s="44" t="s">
        <v>383</v>
      </c>
      <c r="C91" s="44" t="s">
        <v>384</v>
      </c>
      <c r="D91" s="6" t="s">
        <v>4050</v>
      </c>
      <c r="E91" s="6"/>
    </row>
    <row r="92" spans="1:5" ht="12.75">
      <c r="A92" s="6" t="s">
        <v>160</v>
      </c>
      <c r="B92" s="44" t="s">
        <v>162</v>
      </c>
      <c r="C92" s="44" t="s">
        <v>385</v>
      </c>
      <c r="D92" s="6" t="s">
        <v>4091</v>
      </c>
      <c r="E92" s="6"/>
    </row>
    <row r="93" spans="1:5" ht="12.75">
      <c r="A93" s="6" t="s">
        <v>160</v>
      </c>
      <c r="B93" s="44" t="s">
        <v>386</v>
      </c>
      <c r="C93" s="44" t="s">
        <v>387</v>
      </c>
      <c r="D93" s="6" t="s">
        <v>4092</v>
      </c>
      <c r="E93" s="6"/>
    </row>
    <row r="94" spans="1:5" ht="12.75">
      <c r="A94" s="6" t="s">
        <v>160</v>
      </c>
      <c r="B94" s="82" t="s">
        <v>388</v>
      </c>
      <c r="C94" s="54" t="s">
        <v>389</v>
      </c>
      <c r="D94" s="6" t="s">
        <v>4093</v>
      </c>
      <c r="E94" s="6"/>
    </row>
    <row r="95" spans="1:5" ht="12.75">
      <c r="A95" s="6" t="s">
        <v>160</v>
      </c>
      <c r="B95" s="82" t="s">
        <v>390</v>
      </c>
      <c r="C95" s="82" t="s">
        <v>391</v>
      </c>
      <c r="D95" s="6" t="s">
        <v>4094</v>
      </c>
      <c r="E95" s="6"/>
    </row>
    <row r="96" spans="1:5" ht="12.75">
      <c r="A96" s="6" t="s">
        <v>160</v>
      </c>
      <c r="B96" s="82" t="s">
        <v>392</v>
      </c>
      <c r="C96" s="91" t="s">
        <v>393</v>
      </c>
      <c r="D96" s="6" t="s">
        <v>4095</v>
      </c>
      <c r="E96" s="6"/>
    </row>
    <row r="97" spans="1:5" ht="12.75">
      <c r="A97" s="6" t="s">
        <v>160</v>
      </c>
      <c r="B97" s="44" t="s">
        <v>394</v>
      </c>
      <c r="C97" s="44" t="s">
        <v>395</v>
      </c>
      <c r="D97" s="6" t="s">
        <v>4051</v>
      </c>
      <c r="E97" s="6"/>
    </row>
    <row r="98" spans="1:5" ht="12.75">
      <c r="A98" s="6" t="s">
        <v>160</v>
      </c>
      <c r="B98" s="44" t="s">
        <v>396</v>
      </c>
      <c r="C98" s="44" t="s">
        <v>397</v>
      </c>
      <c r="D98" s="6" t="s">
        <v>4096</v>
      </c>
      <c r="E98" s="6"/>
    </row>
    <row r="99" spans="1:5" ht="12.75">
      <c r="A99" s="6" t="s">
        <v>160</v>
      </c>
      <c r="B99" s="44" t="s">
        <v>398</v>
      </c>
      <c r="C99" s="44" t="s">
        <v>399</v>
      </c>
      <c r="D99" s="6" t="s">
        <v>4052</v>
      </c>
      <c r="E99" s="6"/>
    </row>
    <row r="100" spans="1:5" ht="12.75">
      <c r="A100" s="6" t="s">
        <v>160</v>
      </c>
      <c r="B100" s="44" t="s">
        <v>400</v>
      </c>
      <c r="C100" s="44" t="s">
        <v>401</v>
      </c>
      <c r="D100" s="6" t="s">
        <v>4097</v>
      </c>
      <c r="E100" s="6"/>
    </row>
    <row r="101" spans="1:5" ht="12.75">
      <c r="A101" s="6" t="s">
        <v>160</v>
      </c>
      <c r="B101" s="44" t="s">
        <v>402</v>
      </c>
      <c r="C101" s="44" t="s">
        <v>403</v>
      </c>
      <c r="D101" s="6" t="s">
        <v>4098</v>
      </c>
      <c r="E101" s="6"/>
    </row>
    <row r="102" spans="1:5" ht="12.75">
      <c r="A102" s="6" t="s">
        <v>160</v>
      </c>
      <c r="B102" s="44" t="s">
        <v>404</v>
      </c>
      <c r="C102" s="44" t="s">
        <v>405</v>
      </c>
      <c r="D102" s="6" t="s">
        <v>4099</v>
      </c>
      <c r="E102" s="6"/>
    </row>
    <row r="103" spans="1:5" ht="12.75">
      <c r="A103" s="6" t="s">
        <v>160</v>
      </c>
      <c r="B103" s="82" t="s">
        <v>406</v>
      </c>
      <c r="C103" s="91" t="s">
        <v>407</v>
      </c>
      <c r="D103" s="6" t="s">
        <v>4100</v>
      </c>
      <c r="E103" s="6"/>
    </row>
    <row r="104" spans="1:5" ht="12.75">
      <c r="A104" s="6" t="s">
        <v>160</v>
      </c>
      <c r="B104" s="53" t="s">
        <v>408</v>
      </c>
      <c r="C104" s="53" t="s">
        <v>409</v>
      </c>
      <c r="D104" s="6" t="s">
        <v>4101</v>
      </c>
      <c r="E104" s="6"/>
    </row>
    <row r="105" spans="1:5" ht="12.75">
      <c r="A105" s="6" t="s">
        <v>160</v>
      </c>
      <c r="B105" s="82" t="s">
        <v>410</v>
      </c>
      <c r="C105" s="91" t="s">
        <v>411</v>
      </c>
      <c r="D105" s="6" t="s">
        <v>4102</v>
      </c>
      <c r="E105" s="6"/>
    </row>
    <row r="106" spans="1:5" ht="12.75">
      <c r="A106" s="6" t="s">
        <v>160</v>
      </c>
      <c r="B106" s="44" t="s">
        <v>412</v>
      </c>
      <c r="C106" s="44" t="s">
        <v>413</v>
      </c>
      <c r="D106" s="6" t="s">
        <v>4103</v>
      </c>
      <c r="E106" s="6"/>
    </row>
    <row r="107" spans="1:5" ht="12.75">
      <c r="A107" s="6" t="s">
        <v>160</v>
      </c>
      <c r="B107" s="82" t="s">
        <v>414</v>
      </c>
      <c r="C107" s="36" t="s">
        <v>415</v>
      </c>
      <c r="D107" s="6" t="s">
        <v>4104</v>
      </c>
      <c r="E107" s="6"/>
    </row>
    <row r="108" spans="1:5" ht="12.75">
      <c r="A108" s="6" t="s">
        <v>160</v>
      </c>
      <c r="B108" s="44" t="s">
        <v>416</v>
      </c>
      <c r="C108" s="44" t="s">
        <v>417</v>
      </c>
      <c r="D108" s="6" t="s">
        <v>4105</v>
      </c>
      <c r="E108" s="6"/>
    </row>
    <row r="109" spans="1:5" ht="12.75">
      <c r="A109" s="6" t="s">
        <v>160</v>
      </c>
      <c r="B109" s="82" t="s">
        <v>418</v>
      </c>
      <c r="C109" s="36" t="s">
        <v>419</v>
      </c>
      <c r="D109" s="6" t="s">
        <v>4040</v>
      </c>
      <c r="E109" s="6"/>
    </row>
    <row r="110" spans="1:5" ht="12.75">
      <c r="A110" s="6" t="s">
        <v>160</v>
      </c>
      <c r="B110" s="44" t="s">
        <v>420</v>
      </c>
      <c r="C110" s="44" t="s">
        <v>421</v>
      </c>
      <c r="D110" s="6" t="s">
        <v>4106</v>
      </c>
      <c r="E110" s="6"/>
    </row>
    <row r="111" spans="1:5" ht="12.75">
      <c r="A111" s="6" t="s">
        <v>160</v>
      </c>
      <c r="B111" s="82" t="s">
        <v>422</v>
      </c>
      <c r="C111" s="44" t="s">
        <v>423</v>
      </c>
      <c r="D111" s="6" t="s">
        <v>4107</v>
      </c>
      <c r="E111" s="6"/>
    </row>
    <row r="112" spans="1:5" ht="12.75">
      <c r="A112" s="6" t="s">
        <v>160</v>
      </c>
      <c r="B112" s="44" t="s">
        <v>424</v>
      </c>
      <c r="C112" s="44" t="s">
        <v>425</v>
      </c>
      <c r="D112" s="6" t="s">
        <v>4039</v>
      </c>
      <c r="E112" s="6"/>
    </row>
    <row r="113" spans="1:5" ht="12.75">
      <c r="A113" s="6" t="s">
        <v>160</v>
      </c>
      <c r="B113" s="82" t="s">
        <v>426</v>
      </c>
      <c r="C113" s="91" t="s">
        <v>427</v>
      </c>
      <c r="D113" s="6" t="s">
        <v>4108</v>
      </c>
      <c r="E113" s="6"/>
    </row>
    <row r="114" spans="1:5" ht="12.75">
      <c r="A114" s="6" t="s">
        <v>160</v>
      </c>
      <c r="B114" s="44" t="s">
        <v>4109</v>
      </c>
      <c r="C114" s="44" t="s">
        <v>428</v>
      </c>
      <c r="D114" s="6" t="s">
        <v>2398</v>
      </c>
      <c r="E114" s="6"/>
    </row>
    <row r="115" spans="1:5" ht="12.75">
      <c r="A115" s="6" t="s">
        <v>160</v>
      </c>
      <c r="B115" s="44" t="s">
        <v>429</v>
      </c>
      <c r="C115" s="44" t="s">
        <v>430</v>
      </c>
      <c r="D115" s="6" t="s">
        <v>4110</v>
      </c>
      <c r="E115" s="6"/>
    </row>
    <row r="116" spans="1:5" ht="12.75">
      <c r="A116" s="6" t="s">
        <v>160</v>
      </c>
      <c r="B116" s="82" t="s">
        <v>431</v>
      </c>
      <c r="C116" s="44" t="s">
        <v>432</v>
      </c>
      <c r="D116" s="6" t="s">
        <v>4111</v>
      </c>
      <c r="E116" s="6"/>
    </row>
    <row r="117" spans="1:5" ht="12.75">
      <c r="A117" s="250" t="s">
        <v>164</v>
      </c>
      <c r="B117" s="251"/>
      <c r="C117" s="252"/>
      <c r="D117" s="253"/>
      <c r="E117" s="253"/>
    </row>
    <row r="118" spans="1:5" ht="12.75">
      <c r="A118" s="6" t="s">
        <v>164</v>
      </c>
      <c r="B118" s="82" t="s">
        <v>434</v>
      </c>
      <c r="C118" s="44" t="s">
        <v>435</v>
      </c>
      <c r="D118" s="6" t="s">
        <v>2400</v>
      </c>
      <c r="E118" s="6"/>
    </row>
    <row r="119" spans="1:5" ht="12.75">
      <c r="A119" s="6" t="s">
        <v>164</v>
      </c>
      <c r="B119" s="44" t="s">
        <v>436</v>
      </c>
      <c r="C119" s="44" t="s">
        <v>437</v>
      </c>
      <c r="D119" s="6" t="s">
        <v>2403</v>
      </c>
      <c r="E119" s="6"/>
    </row>
    <row r="120" spans="1:5" ht="12.75">
      <c r="A120" s="6" t="s">
        <v>164</v>
      </c>
      <c r="B120" s="44" t="s">
        <v>438</v>
      </c>
      <c r="C120" s="44" t="s">
        <v>439</v>
      </c>
      <c r="D120" s="6" t="s">
        <v>2405</v>
      </c>
      <c r="E120" s="6"/>
    </row>
    <row r="121" spans="1:5" ht="12.75">
      <c r="A121" s="6" t="s">
        <v>164</v>
      </c>
      <c r="B121" s="82" t="s">
        <v>440</v>
      </c>
      <c r="C121" s="44" t="s">
        <v>441</v>
      </c>
      <c r="D121" s="6" t="s">
        <v>2407</v>
      </c>
      <c r="E121" s="6"/>
    </row>
    <row r="122" spans="1:5" ht="12.75">
      <c r="A122" s="6" t="s">
        <v>164</v>
      </c>
      <c r="B122" s="82" t="s">
        <v>442</v>
      </c>
      <c r="C122" s="44" t="s">
        <v>443</v>
      </c>
      <c r="D122" s="6" t="s">
        <v>2409</v>
      </c>
      <c r="E122" s="6"/>
    </row>
    <row r="123" spans="1:5" ht="12.75">
      <c r="A123" s="6" t="s">
        <v>164</v>
      </c>
      <c r="B123" s="44" t="s">
        <v>444</v>
      </c>
      <c r="C123" s="53" t="s">
        <v>445</v>
      </c>
      <c r="D123" s="6" t="s">
        <v>2411</v>
      </c>
      <c r="E123" s="6"/>
    </row>
    <row r="124" spans="1:5" ht="12.75">
      <c r="A124" s="6" t="s">
        <v>164</v>
      </c>
      <c r="B124" s="82" t="s">
        <v>446</v>
      </c>
      <c r="C124" s="91" t="s">
        <v>447</v>
      </c>
      <c r="D124" s="6" t="s">
        <v>2413</v>
      </c>
      <c r="E124" s="6"/>
    </row>
    <row r="125" spans="1:5" ht="12.75">
      <c r="A125" s="6" t="s">
        <v>164</v>
      </c>
      <c r="B125" s="82" t="s">
        <v>448</v>
      </c>
      <c r="C125" s="44" t="s">
        <v>449</v>
      </c>
      <c r="D125" s="6" t="s">
        <v>2415</v>
      </c>
      <c r="E125" s="6"/>
    </row>
    <row r="126" spans="1:5" ht="12.75">
      <c r="A126" s="6" t="s">
        <v>164</v>
      </c>
      <c r="B126" s="82" t="s">
        <v>450</v>
      </c>
      <c r="C126" s="44" t="s">
        <v>451</v>
      </c>
      <c r="D126" s="6" t="s">
        <v>2417</v>
      </c>
      <c r="E126" s="6"/>
    </row>
    <row r="127" spans="1:5" ht="12.75">
      <c r="A127" s="6" t="s">
        <v>164</v>
      </c>
      <c r="B127" s="82" t="s">
        <v>452</v>
      </c>
      <c r="C127" s="44" t="s">
        <v>453</v>
      </c>
      <c r="D127" s="6" t="s">
        <v>2419</v>
      </c>
      <c r="E127" s="6"/>
    </row>
    <row r="128" spans="1:5" ht="12.75">
      <c r="A128" s="6" t="s">
        <v>164</v>
      </c>
      <c r="B128" s="82" t="s">
        <v>454</v>
      </c>
      <c r="C128" s="44" t="s">
        <v>455</v>
      </c>
      <c r="D128" s="6" t="s">
        <v>2421</v>
      </c>
      <c r="E128" s="6"/>
    </row>
    <row r="129" spans="1:5" ht="12.75">
      <c r="A129" s="6" t="s">
        <v>164</v>
      </c>
      <c r="B129" s="82" t="s">
        <v>456</v>
      </c>
      <c r="C129" s="36" t="s">
        <v>457</v>
      </c>
      <c r="D129" s="6" t="s">
        <v>2422</v>
      </c>
      <c r="E129" s="6"/>
    </row>
    <row r="130" spans="1:5" ht="12.75">
      <c r="A130" s="6" t="s">
        <v>164</v>
      </c>
      <c r="B130" s="82" t="s">
        <v>458</v>
      </c>
      <c r="C130" s="44" t="s">
        <v>459</v>
      </c>
      <c r="D130" s="6" t="s">
        <v>2424</v>
      </c>
      <c r="E130" s="6"/>
    </row>
    <row r="131" spans="1:5" ht="12.75">
      <c r="A131" s="6" t="s">
        <v>164</v>
      </c>
      <c r="B131" s="82" t="s">
        <v>460</v>
      </c>
      <c r="C131" s="36" t="s">
        <v>461</v>
      </c>
      <c r="D131" s="6" t="s">
        <v>2426</v>
      </c>
      <c r="E131" s="6"/>
    </row>
    <row r="132" spans="1:5" ht="12.75">
      <c r="A132" s="6" t="s">
        <v>164</v>
      </c>
      <c r="B132" s="44" t="s">
        <v>462</v>
      </c>
      <c r="C132" s="44" t="s">
        <v>463</v>
      </c>
      <c r="D132" s="6" t="s">
        <v>2428</v>
      </c>
      <c r="E132" s="6"/>
    </row>
    <row r="133" spans="1:5" ht="12.75">
      <c r="A133" s="6" t="s">
        <v>164</v>
      </c>
      <c r="B133" s="82" t="s">
        <v>464</v>
      </c>
      <c r="C133" s="91" t="s">
        <v>465</v>
      </c>
      <c r="D133" s="6" t="s">
        <v>2430</v>
      </c>
      <c r="E133" s="6"/>
    </row>
    <row r="134" spans="1:5" ht="12.75">
      <c r="A134" s="6" t="s">
        <v>164</v>
      </c>
      <c r="B134" s="44" t="s">
        <v>166</v>
      </c>
      <c r="C134" s="44" t="s">
        <v>466</v>
      </c>
      <c r="D134" s="6" t="s">
        <v>2432</v>
      </c>
      <c r="E134" s="6"/>
    </row>
    <row r="135" spans="1:5" ht="12.75">
      <c r="A135" s="6" t="s">
        <v>164</v>
      </c>
      <c r="B135" s="82" t="s">
        <v>467</v>
      </c>
      <c r="C135" s="91" t="s">
        <v>468</v>
      </c>
      <c r="D135" s="6" t="s">
        <v>2434</v>
      </c>
      <c r="E135" s="6"/>
    </row>
    <row r="136" spans="1:5" ht="12.75">
      <c r="A136" s="6" t="s">
        <v>164</v>
      </c>
      <c r="B136" s="44" t="s">
        <v>469</v>
      </c>
      <c r="C136" s="44" t="s">
        <v>470</v>
      </c>
      <c r="D136" s="6" t="s">
        <v>2436</v>
      </c>
      <c r="E136" s="6"/>
    </row>
    <row r="137" spans="1:5" ht="12.75">
      <c r="A137" s="6" t="s">
        <v>164</v>
      </c>
      <c r="B137" s="44" t="s">
        <v>471</v>
      </c>
      <c r="C137" s="44" t="s">
        <v>472</v>
      </c>
      <c r="D137" s="6" t="s">
        <v>2438</v>
      </c>
      <c r="E137" s="6"/>
    </row>
    <row r="138" spans="1:5" ht="12.75">
      <c r="A138" s="6" t="s">
        <v>164</v>
      </c>
      <c r="B138" s="44" t="s">
        <v>474</v>
      </c>
      <c r="C138" s="44" t="s">
        <v>475</v>
      </c>
      <c r="D138" s="6" t="s">
        <v>2441</v>
      </c>
      <c r="E138" s="6"/>
    </row>
    <row r="139" spans="1:5" ht="12.75">
      <c r="A139" s="250" t="s">
        <v>168</v>
      </c>
      <c r="B139" s="251"/>
      <c r="C139" s="252"/>
      <c r="D139" s="253"/>
      <c r="E139" s="253"/>
    </row>
    <row r="140" spans="1:5" ht="12.75">
      <c r="A140" s="6" t="s">
        <v>168</v>
      </c>
      <c r="B140" s="82" t="s">
        <v>516</v>
      </c>
      <c r="C140" s="44" t="s">
        <v>517</v>
      </c>
      <c r="D140" s="6" t="s">
        <v>4112</v>
      </c>
      <c r="E140" s="6"/>
    </row>
    <row r="141" spans="1:5" ht="12.75">
      <c r="A141" s="6" t="s">
        <v>168</v>
      </c>
      <c r="B141" s="82" t="s">
        <v>518</v>
      </c>
      <c r="C141" s="44" t="s">
        <v>519</v>
      </c>
      <c r="D141" s="6" t="s">
        <v>4113</v>
      </c>
      <c r="E141" s="6"/>
    </row>
    <row r="142" spans="1:5" ht="12.75">
      <c r="A142" s="6" t="s">
        <v>168</v>
      </c>
      <c r="B142" s="82" t="s">
        <v>520</v>
      </c>
      <c r="C142" s="44" t="s">
        <v>521</v>
      </c>
      <c r="D142" s="6" t="s">
        <v>2477</v>
      </c>
      <c r="E142" s="6"/>
    </row>
    <row r="143" spans="1:5" ht="12.75">
      <c r="A143" s="6" t="s">
        <v>168</v>
      </c>
      <c r="B143" s="82" t="s">
        <v>522</v>
      </c>
      <c r="C143" s="44" t="s">
        <v>523</v>
      </c>
      <c r="D143" s="6" t="s">
        <v>2478</v>
      </c>
      <c r="E143" s="6"/>
    </row>
    <row r="144" spans="1:5" ht="12.75">
      <c r="A144" s="6" t="s">
        <v>168</v>
      </c>
      <c r="B144" s="82" t="s">
        <v>524</v>
      </c>
      <c r="C144" s="44" t="s">
        <v>525</v>
      </c>
      <c r="D144" s="6" t="s">
        <v>2479</v>
      </c>
      <c r="E144" s="6"/>
    </row>
    <row r="145" spans="1:5" ht="12.75">
      <c r="A145" s="6" t="s">
        <v>168</v>
      </c>
      <c r="B145" s="82" t="s">
        <v>526</v>
      </c>
      <c r="C145" s="44" t="s">
        <v>527</v>
      </c>
      <c r="D145" s="6" t="s">
        <v>4114</v>
      </c>
      <c r="E145" s="6"/>
    </row>
    <row r="146" spans="1:5" ht="12.75">
      <c r="A146" s="6" t="s">
        <v>168</v>
      </c>
      <c r="B146" s="82" t="s">
        <v>528</v>
      </c>
      <c r="C146" s="44" t="s">
        <v>529</v>
      </c>
      <c r="D146" s="6" t="s">
        <v>2480</v>
      </c>
      <c r="E146" s="6"/>
    </row>
    <row r="147" spans="1:5" ht="12.75">
      <c r="A147" s="6" t="s">
        <v>168</v>
      </c>
      <c r="B147" s="82" t="s">
        <v>530</v>
      </c>
      <c r="C147" s="44" t="s">
        <v>531</v>
      </c>
      <c r="D147" s="6" t="s">
        <v>4115</v>
      </c>
      <c r="E147" s="6"/>
    </row>
    <row r="148" spans="1:5" ht="12.75">
      <c r="A148" s="6" t="s">
        <v>168</v>
      </c>
      <c r="B148" s="82" t="s">
        <v>532</v>
      </c>
      <c r="C148" s="44" t="s">
        <v>533</v>
      </c>
      <c r="D148" s="6" t="s">
        <v>4116</v>
      </c>
      <c r="E148" s="6"/>
    </row>
    <row r="149" spans="1:5" ht="12.75">
      <c r="A149" s="6" t="s">
        <v>168</v>
      </c>
      <c r="B149" s="82" t="s">
        <v>534</v>
      </c>
      <c r="C149" s="55" t="s">
        <v>535</v>
      </c>
      <c r="D149" s="6" t="s">
        <v>4117</v>
      </c>
      <c r="E149" s="6"/>
    </row>
    <row r="150" spans="1:5" ht="12.75">
      <c r="A150" s="6" t="s">
        <v>168</v>
      </c>
      <c r="B150" s="82" t="s">
        <v>536</v>
      </c>
      <c r="C150" s="82" t="s">
        <v>537</v>
      </c>
      <c r="D150" s="6" t="s">
        <v>2481</v>
      </c>
      <c r="E150" s="6"/>
    </row>
    <row r="151" spans="1:5" ht="12.75">
      <c r="A151" s="6" t="s">
        <v>168</v>
      </c>
      <c r="B151" s="82" t="s">
        <v>538</v>
      </c>
      <c r="C151" s="44" t="s">
        <v>539</v>
      </c>
      <c r="D151" s="6" t="s">
        <v>2482</v>
      </c>
      <c r="E151" s="6"/>
    </row>
    <row r="152" spans="1:5" ht="12.75">
      <c r="A152" s="6" t="s">
        <v>168</v>
      </c>
      <c r="B152" s="82" t="s">
        <v>540</v>
      </c>
      <c r="C152" s="44" t="s">
        <v>541</v>
      </c>
      <c r="D152" s="6" t="s">
        <v>2483</v>
      </c>
      <c r="E152" s="6"/>
    </row>
    <row r="153" spans="1:5" ht="12.75">
      <c r="A153" s="6" t="s">
        <v>168</v>
      </c>
      <c r="B153" s="82" t="s">
        <v>542</v>
      </c>
      <c r="C153" s="44" t="s">
        <v>543</v>
      </c>
      <c r="D153" s="6" t="s">
        <v>2484</v>
      </c>
      <c r="E153" s="6"/>
    </row>
    <row r="154" spans="1:5" ht="12.75">
      <c r="A154" s="6" t="s">
        <v>168</v>
      </c>
      <c r="B154" s="82" t="s">
        <v>171</v>
      </c>
      <c r="C154" s="55" t="s">
        <v>544</v>
      </c>
      <c r="D154" s="6" t="s">
        <v>2345</v>
      </c>
      <c r="E154" s="6"/>
    </row>
    <row r="155" spans="1:5" ht="12.75">
      <c r="A155" s="6" t="s">
        <v>168</v>
      </c>
      <c r="B155" s="82" t="s">
        <v>545</v>
      </c>
      <c r="C155" s="44" t="s">
        <v>546</v>
      </c>
      <c r="D155" s="6" t="s">
        <v>2485</v>
      </c>
      <c r="E155" s="6"/>
    </row>
    <row r="156" spans="1:5" ht="12.75">
      <c r="A156" s="6" t="s">
        <v>168</v>
      </c>
      <c r="B156" s="82" t="s">
        <v>547</v>
      </c>
      <c r="C156" s="44" t="s">
        <v>548</v>
      </c>
      <c r="D156" s="6" t="s">
        <v>4118</v>
      </c>
      <c r="E156" s="6"/>
    </row>
    <row r="157" spans="1:5" ht="12.75">
      <c r="A157" s="250" t="s">
        <v>173</v>
      </c>
      <c r="B157" s="251"/>
      <c r="C157" s="252"/>
      <c r="D157" s="253"/>
      <c r="E157" s="253"/>
    </row>
    <row r="158" spans="1:5" ht="12.75">
      <c r="A158" s="6" t="s">
        <v>173</v>
      </c>
      <c r="B158" s="44" t="s">
        <v>477</v>
      </c>
      <c r="C158" s="44" t="s">
        <v>478</v>
      </c>
      <c r="D158" s="10" t="s">
        <v>2442</v>
      </c>
      <c r="E158" s="6"/>
    </row>
    <row r="159" spans="1:5" ht="12.75">
      <c r="A159" s="6" t="s">
        <v>173</v>
      </c>
      <c r="B159" s="53" t="s">
        <v>479</v>
      </c>
      <c r="C159" s="44" t="s">
        <v>480</v>
      </c>
      <c r="D159" s="10" t="s">
        <v>2460</v>
      </c>
      <c r="E159" s="6"/>
    </row>
    <row r="160" spans="1:5" ht="12.75">
      <c r="A160" s="6" t="s">
        <v>173</v>
      </c>
      <c r="B160" s="44" t="s">
        <v>481</v>
      </c>
      <c r="C160" s="44" t="s">
        <v>482</v>
      </c>
      <c r="D160" s="10" t="s">
        <v>2443</v>
      </c>
      <c r="E160" s="6"/>
    </row>
    <row r="161" spans="1:5" ht="12.75">
      <c r="A161" s="6" t="s">
        <v>173</v>
      </c>
      <c r="B161" s="82" t="s">
        <v>4119</v>
      </c>
      <c r="C161" s="44" t="s">
        <v>483</v>
      </c>
      <c r="D161" s="10" t="s">
        <v>2444</v>
      </c>
      <c r="E161" s="6"/>
    </row>
    <row r="162" spans="1:5" ht="12.75">
      <c r="A162" s="6" t="s">
        <v>173</v>
      </c>
      <c r="B162" s="44" t="s">
        <v>484</v>
      </c>
      <c r="C162" s="44" t="s">
        <v>485</v>
      </c>
      <c r="D162" s="10" t="s">
        <v>2445</v>
      </c>
      <c r="E162" s="6"/>
    </row>
    <row r="163" spans="1:5" ht="12.75">
      <c r="A163" s="6" t="s">
        <v>173</v>
      </c>
      <c r="B163" s="44" t="s">
        <v>486</v>
      </c>
      <c r="C163" s="44" t="s">
        <v>487</v>
      </c>
      <c r="D163" s="6" t="s">
        <v>2446</v>
      </c>
      <c r="E163" s="6"/>
    </row>
    <row r="164" spans="1:5" ht="12.75">
      <c r="A164" s="6" t="s">
        <v>173</v>
      </c>
      <c r="B164" s="44" t="s">
        <v>488</v>
      </c>
      <c r="C164" s="44" t="s">
        <v>489</v>
      </c>
      <c r="D164" s="6" t="s">
        <v>2447</v>
      </c>
      <c r="E164" s="6"/>
    </row>
    <row r="165" spans="1:5" ht="12.75">
      <c r="A165" s="6" t="s">
        <v>173</v>
      </c>
      <c r="B165" s="44" t="s">
        <v>490</v>
      </c>
      <c r="C165" s="44" t="s">
        <v>491</v>
      </c>
      <c r="D165" s="6" t="s">
        <v>2465</v>
      </c>
      <c r="E165" s="6"/>
    </row>
    <row r="166" spans="1:5" ht="12.75">
      <c r="A166" s="6" t="s">
        <v>173</v>
      </c>
      <c r="B166" s="44" t="s">
        <v>492</v>
      </c>
      <c r="C166" s="44" t="s">
        <v>493</v>
      </c>
      <c r="D166" s="10" t="s">
        <v>2448</v>
      </c>
      <c r="E166" s="6"/>
    </row>
    <row r="167" spans="1:5" ht="12.75">
      <c r="A167" s="6" t="s">
        <v>173</v>
      </c>
      <c r="B167" s="44" t="s">
        <v>4120</v>
      </c>
      <c r="C167" s="44" t="s">
        <v>494</v>
      </c>
      <c r="D167" s="10" t="s">
        <v>2467</v>
      </c>
      <c r="E167" s="6"/>
    </row>
    <row r="168" spans="1:5" ht="12.75">
      <c r="A168" s="6" t="s">
        <v>173</v>
      </c>
      <c r="B168" s="82" t="s">
        <v>176</v>
      </c>
      <c r="C168" s="36" t="s">
        <v>495</v>
      </c>
      <c r="D168" s="6" t="s">
        <v>2449</v>
      </c>
      <c r="E168" s="6"/>
    </row>
    <row r="169" spans="1:5" ht="12.75">
      <c r="A169" s="6" t="s">
        <v>173</v>
      </c>
      <c r="B169" s="82" t="s">
        <v>496</v>
      </c>
      <c r="C169" s="36" t="s">
        <v>497</v>
      </c>
      <c r="D169" s="6" t="s">
        <v>2450</v>
      </c>
      <c r="E169" s="6"/>
    </row>
    <row r="170" spans="1:5" ht="12.75">
      <c r="A170" s="6" t="s">
        <v>173</v>
      </c>
      <c r="B170" s="44" t="s">
        <v>498</v>
      </c>
      <c r="C170" s="44" t="s">
        <v>499</v>
      </c>
      <c r="D170" s="10" t="s">
        <v>2451</v>
      </c>
      <c r="E170" s="6"/>
    </row>
    <row r="171" spans="1:5" ht="12.75">
      <c r="A171" s="6" t="s">
        <v>173</v>
      </c>
      <c r="B171" s="82" t="s">
        <v>500</v>
      </c>
      <c r="C171" s="36" t="s">
        <v>501</v>
      </c>
      <c r="D171" s="10" t="s">
        <v>2452</v>
      </c>
      <c r="E171" s="6"/>
    </row>
    <row r="172" spans="1:5" ht="12.75">
      <c r="A172" s="6" t="s">
        <v>173</v>
      </c>
      <c r="B172" s="82" t="s">
        <v>502</v>
      </c>
      <c r="C172" s="36" t="s">
        <v>503</v>
      </c>
      <c r="D172" s="10" t="s">
        <v>2453</v>
      </c>
      <c r="E172" s="6"/>
    </row>
    <row r="173" spans="1:5" ht="12.75">
      <c r="A173" s="6" t="s">
        <v>173</v>
      </c>
      <c r="B173" s="53" t="s">
        <v>4121</v>
      </c>
      <c r="C173" s="36" t="s">
        <v>504</v>
      </c>
      <c r="D173" s="10" t="s">
        <v>2454</v>
      </c>
      <c r="E173" s="6" t="s">
        <v>4122</v>
      </c>
    </row>
    <row r="174" spans="1:5" ht="12.75">
      <c r="A174" s="6" t="s">
        <v>173</v>
      </c>
      <c r="B174" s="44" t="s">
        <v>505</v>
      </c>
      <c r="C174" s="44" t="s">
        <v>506</v>
      </c>
      <c r="D174" s="10" t="s">
        <v>2455</v>
      </c>
      <c r="E174" s="6"/>
    </row>
    <row r="175" spans="1:5" ht="12.75">
      <c r="A175" s="6" t="s">
        <v>173</v>
      </c>
      <c r="B175" s="44" t="s">
        <v>507</v>
      </c>
      <c r="C175" s="44" t="s">
        <v>508</v>
      </c>
      <c r="D175" s="10" t="s">
        <v>2456</v>
      </c>
      <c r="E175" s="6" t="s">
        <v>4122</v>
      </c>
    </row>
    <row r="176" spans="1:5" ht="12.75">
      <c r="A176" s="6" t="s">
        <v>173</v>
      </c>
      <c r="B176" s="44" t="s">
        <v>509</v>
      </c>
      <c r="C176" s="44" t="s">
        <v>510</v>
      </c>
      <c r="D176" s="10" t="s">
        <v>2457</v>
      </c>
      <c r="E176" s="6" t="s">
        <v>4122</v>
      </c>
    </row>
    <row r="177" spans="1:5" ht="12.75">
      <c r="A177" s="6" t="s">
        <v>173</v>
      </c>
      <c r="B177" s="44" t="s">
        <v>511</v>
      </c>
      <c r="C177" s="44" t="s">
        <v>512</v>
      </c>
      <c r="D177" s="10" t="s">
        <v>4123</v>
      </c>
      <c r="E177" s="6"/>
    </row>
    <row r="178" spans="1:5" ht="12.75">
      <c r="A178" s="6" t="s">
        <v>173</v>
      </c>
      <c r="B178" s="44" t="s">
        <v>513</v>
      </c>
      <c r="C178" s="44" t="s">
        <v>514</v>
      </c>
      <c r="D178" s="10" t="s">
        <v>4124</v>
      </c>
      <c r="E178" s="6"/>
    </row>
    <row r="179" spans="1:5" ht="12.75">
      <c r="A179" s="250" t="s">
        <v>178</v>
      </c>
      <c r="B179" s="251"/>
      <c r="C179" s="252"/>
      <c r="D179" s="253"/>
      <c r="E179" s="253"/>
    </row>
    <row r="180" spans="1:5" ht="12.75">
      <c r="A180" s="6" t="s">
        <v>178</v>
      </c>
      <c r="B180" s="44" t="s">
        <v>633</v>
      </c>
      <c r="C180" s="114" t="s">
        <v>634</v>
      </c>
      <c r="D180" s="6" t="s">
        <v>2497</v>
      </c>
      <c r="E180" s="6"/>
    </row>
    <row r="181" spans="1:5" ht="12.75">
      <c r="A181" s="6" t="s">
        <v>178</v>
      </c>
      <c r="B181" s="53" t="s">
        <v>635</v>
      </c>
      <c r="C181" s="114" t="s">
        <v>636</v>
      </c>
      <c r="D181" s="6" t="s">
        <v>4125</v>
      </c>
      <c r="E181" s="6"/>
    </row>
    <row r="182" spans="1:5" ht="12.75">
      <c r="A182" s="6" t="s">
        <v>178</v>
      </c>
      <c r="B182" s="53" t="s">
        <v>182</v>
      </c>
      <c r="C182" s="114" t="s">
        <v>637</v>
      </c>
      <c r="D182" s="6" t="s">
        <v>2498</v>
      </c>
      <c r="E182" s="6"/>
    </row>
    <row r="183" spans="1:5" ht="12.75">
      <c r="A183" s="250" t="s">
        <v>1299</v>
      </c>
      <c r="B183" s="251"/>
      <c r="C183" s="252"/>
      <c r="D183" s="253"/>
      <c r="E183" s="253"/>
    </row>
    <row r="184" spans="1:5" ht="12.75">
      <c r="A184" s="6" t="s">
        <v>1299</v>
      </c>
      <c r="B184" s="82" t="s">
        <v>2098</v>
      </c>
      <c r="C184" s="44" t="s">
        <v>2097</v>
      </c>
      <c r="D184" s="6" t="s">
        <v>4126</v>
      </c>
      <c r="E184" s="6"/>
    </row>
    <row r="185" spans="1:5" ht="12.75">
      <c r="A185" s="6" t="s">
        <v>1299</v>
      </c>
      <c r="B185" s="82" t="s">
        <v>2100</v>
      </c>
      <c r="C185" s="44" t="s">
        <v>2099</v>
      </c>
      <c r="D185" s="6" t="s">
        <v>4127</v>
      </c>
      <c r="E185" s="6"/>
    </row>
    <row r="186" spans="1:5" ht="12.75">
      <c r="A186" s="6" t="s">
        <v>1299</v>
      </c>
      <c r="B186" s="82" t="s">
        <v>2102</v>
      </c>
      <c r="C186" s="44" t="s">
        <v>2101</v>
      </c>
      <c r="D186" s="6" t="s">
        <v>4128</v>
      </c>
      <c r="E186" s="6"/>
    </row>
    <row r="187" spans="1:5" ht="12.75">
      <c r="A187" s="6" t="s">
        <v>1299</v>
      </c>
      <c r="B187" s="82" t="s">
        <v>2104</v>
      </c>
      <c r="C187" s="44" t="s">
        <v>2103</v>
      </c>
      <c r="D187" s="6" t="s">
        <v>4129</v>
      </c>
      <c r="E187" s="6"/>
    </row>
    <row r="188" spans="1:5" ht="12.75">
      <c r="A188" s="6" t="s">
        <v>1299</v>
      </c>
      <c r="B188" s="82" t="s">
        <v>2106</v>
      </c>
      <c r="C188" s="44" t="s">
        <v>2105</v>
      </c>
      <c r="D188" s="6" t="s">
        <v>4130</v>
      </c>
      <c r="E188" s="6"/>
    </row>
    <row r="189" spans="1:5" ht="12.75">
      <c r="A189" s="6" t="s">
        <v>1299</v>
      </c>
      <c r="B189" s="82" t="s">
        <v>2108</v>
      </c>
      <c r="C189" s="44" t="s">
        <v>2107</v>
      </c>
      <c r="D189" s="6" t="s">
        <v>4131</v>
      </c>
      <c r="E189" s="6"/>
    </row>
    <row r="190" spans="1:5" ht="12.75">
      <c r="A190" s="6" t="s">
        <v>1299</v>
      </c>
      <c r="B190" s="82" t="s">
        <v>2110</v>
      </c>
      <c r="C190" s="44" t="s">
        <v>2109</v>
      </c>
      <c r="D190" s="6" t="s">
        <v>4132</v>
      </c>
      <c r="E190" s="6"/>
    </row>
    <row r="191" spans="1:5" ht="12.75">
      <c r="A191" s="6" t="s">
        <v>1299</v>
      </c>
      <c r="B191" s="82" t="s">
        <v>2112</v>
      </c>
      <c r="C191" s="53" t="s">
        <v>2111</v>
      </c>
      <c r="D191" s="6" t="s">
        <v>4133</v>
      </c>
      <c r="E191" s="6"/>
    </row>
    <row r="192" spans="1:5" ht="12.75">
      <c r="A192" s="6" t="s">
        <v>1299</v>
      </c>
      <c r="B192" s="255" t="s">
        <v>2115</v>
      </c>
      <c r="C192" s="44" t="s">
        <v>2114</v>
      </c>
      <c r="D192" s="6" t="s">
        <v>4134</v>
      </c>
      <c r="E192" s="6"/>
    </row>
    <row r="193" spans="1:5" ht="12.75">
      <c r="A193" s="6" t="s">
        <v>1299</v>
      </c>
      <c r="B193" s="255" t="s">
        <v>2118</v>
      </c>
      <c r="C193" s="44" t="s">
        <v>2117</v>
      </c>
      <c r="D193" s="6" t="s">
        <v>4135</v>
      </c>
      <c r="E193" s="6"/>
    </row>
    <row r="194" spans="1:5" ht="12.75">
      <c r="A194" s="6" t="s">
        <v>1299</v>
      </c>
      <c r="B194" s="82" t="s">
        <v>2120</v>
      </c>
      <c r="C194" s="44" t="s">
        <v>2119</v>
      </c>
      <c r="D194" s="6" t="s">
        <v>4136</v>
      </c>
      <c r="E194" s="6"/>
    </row>
    <row r="195" spans="1:5" ht="12.75">
      <c r="A195" s="6" t="s">
        <v>1299</v>
      </c>
      <c r="B195" s="82" t="s">
        <v>2122</v>
      </c>
      <c r="C195" s="44" t="s">
        <v>2121</v>
      </c>
      <c r="D195" s="6" t="s">
        <v>4137</v>
      </c>
      <c r="E195" s="6"/>
    </row>
    <row r="196" spans="1:5" ht="12.75">
      <c r="A196" s="6" t="s">
        <v>1299</v>
      </c>
      <c r="B196" s="82" t="s">
        <v>2124</v>
      </c>
      <c r="C196" s="44" t="s">
        <v>2123</v>
      </c>
      <c r="D196" s="6" t="s">
        <v>4138</v>
      </c>
      <c r="E196" s="6"/>
    </row>
    <row r="197" spans="1:5" ht="12.75">
      <c r="A197" s="6" t="s">
        <v>1299</v>
      </c>
      <c r="B197" s="44" t="s">
        <v>2116</v>
      </c>
      <c r="C197" s="44" t="s">
        <v>2113</v>
      </c>
      <c r="D197" s="6" t="s">
        <v>4053</v>
      </c>
      <c r="E197" s="6"/>
    </row>
    <row r="198" spans="1:5" ht="12.75">
      <c r="A198" s="6" t="s">
        <v>1299</v>
      </c>
      <c r="B198" s="82" t="s">
        <v>1302</v>
      </c>
      <c r="C198" s="44" t="s">
        <v>2125</v>
      </c>
      <c r="D198" s="6" t="s">
        <v>4139</v>
      </c>
      <c r="E198" s="6"/>
    </row>
    <row r="199" spans="1:5" ht="12.75">
      <c r="A199" s="6" t="s">
        <v>1299</v>
      </c>
      <c r="B199" s="82" t="s">
        <v>2127</v>
      </c>
      <c r="C199" s="44" t="s">
        <v>2126</v>
      </c>
      <c r="D199" s="6" t="s">
        <v>4140</v>
      </c>
      <c r="E199" s="6"/>
    </row>
    <row r="200" spans="1:5" ht="12.75">
      <c r="A200" s="250" t="s">
        <v>1308</v>
      </c>
      <c r="B200" s="251"/>
      <c r="C200" s="252"/>
      <c r="D200" s="253"/>
      <c r="E200" s="253"/>
    </row>
    <row r="201" spans="1:5" ht="12.75">
      <c r="A201" s="6" t="s">
        <v>1308</v>
      </c>
      <c r="B201" s="53" t="s">
        <v>1311</v>
      </c>
      <c r="C201" s="53" t="s">
        <v>1551</v>
      </c>
      <c r="D201" s="6" t="s">
        <v>4141</v>
      </c>
      <c r="E201" s="6"/>
    </row>
    <row r="202" spans="1:5" ht="12.75">
      <c r="A202" s="6" t="s">
        <v>1308</v>
      </c>
      <c r="B202" s="53" t="s">
        <v>1553</v>
      </c>
      <c r="C202" s="53" t="s">
        <v>1552</v>
      </c>
      <c r="D202" s="6" t="s">
        <v>4142</v>
      </c>
      <c r="E202" s="6"/>
    </row>
    <row r="203" spans="1:5" ht="12.75">
      <c r="A203" s="6" t="s">
        <v>1308</v>
      </c>
      <c r="B203" s="53" t="s">
        <v>1555</v>
      </c>
      <c r="C203" s="53" t="s">
        <v>1554</v>
      </c>
      <c r="D203" s="6" t="s">
        <v>4143</v>
      </c>
      <c r="E203" s="6"/>
    </row>
    <row r="204" spans="1:5" ht="12.75">
      <c r="A204" s="6" t="s">
        <v>1308</v>
      </c>
      <c r="B204" s="53" t="s">
        <v>1557</v>
      </c>
      <c r="C204" s="53" t="s">
        <v>1556</v>
      </c>
      <c r="D204" s="6" t="s">
        <v>4144</v>
      </c>
      <c r="E204" s="6"/>
    </row>
    <row r="205" spans="1:5" ht="12.75">
      <c r="A205" s="6" t="s">
        <v>1308</v>
      </c>
      <c r="B205" s="53" t="s">
        <v>282</v>
      </c>
      <c r="C205" s="256" t="s">
        <v>283</v>
      </c>
      <c r="D205" s="6" t="s">
        <v>4145</v>
      </c>
      <c r="E205" s="6"/>
    </row>
    <row r="206" spans="1:5" ht="12.75">
      <c r="A206" s="250" t="s">
        <v>1312</v>
      </c>
      <c r="B206" s="251"/>
      <c r="C206" s="252"/>
      <c r="D206" s="253"/>
      <c r="E206" s="253"/>
    </row>
    <row r="207" spans="1:5" ht="12.75">
      <c r="A207" s="6" t="s">
        <v>1312</v>
      </c>
      <c r="B207" s="44" t="s">
        <v>1314</v>
      </c>
      <c r="C207" s="36" t="s">
        <v>550</v>
      </c>
      <c r="D207" s="6" t="s">
        <v>4146</v>
      </c>
      <c r="E207" s="6"/>
    </row>
    <row r="208" spans="1:5" ht="12.75">
      <c r="A208" s="6" t="s">
        <v>1312</v>
      </c>
      <c r="B208" s="44" t="s">
        <v>2051</v>
      </c>
      <c r="C208" s="44" t="s">
        <v>556</v>
      </c>
      <c r="D208" s="6" t="s">
        <v>4147</v>
      </c>
      <c r="E208" s="6"/>
    </row>
    <row r="209" spans="1:5" ht="12.75">
      <c r="A209" s="6" t="s">
        <v>1312</v>
      </c>
      <c r="B209" s="44" t="s">
        <v>2052</v>
      </c>
      <c r="C209" s="44" t="s">
        <v>560</v>
      </c>
      <c r="D209" s="6" t="s">
        <v>4148</v>
      </c>
      <c r="E209" s="6"/>
    </row>
    <row r="210" spans="1:5" ht="12.75">
      <c r="A210" s="6" t="s">
        <v>1312</v>
      </c>
      <c r="B210" s="44" t="s">
        <v>2053</v>
      </c>
      <c r="C210" s="44" t="s">
        <v>562</v>
      </c>
      <c r="D210" s="6" t="s">
        <v>4149</v>
      </c>
      <c r="E210" s="6"/>
    </row>
    <row r="211" spans="1:5" ht="12.75">
      <c r="A211" s="6" t="s">
        <v>1312</v>
      </c>
      <c r="B211" s="44" t="s">
        <v>2054</v>
      </c>
      <c r="C211" s="44" t="s">
        <v>580</v>
      </c>
      <c r="D211" s="6" t="s">
        <v>4150</v>
      </c>
      <c r="E211" s="6"/>
    </row>
    <row r="212" spans="1:5" ht="12.75">
      <c r="A212" s="6" t="s">
        <v>1312</v>
      </c>
      <c r="B212" s="44" t="s">
        <v>2055</v>
      </c>
      <c r="C212" s="44" t="s">
        <v>552</v>
      </c>
      <c r="D212" s="6" t="s">
        <v>4151</v>
      </c>
      <c r="E212" s="6"/>
    </row>
    <row r="213" spans="1:5" ht="12.75">
      <c r="A213" s="6" t="s">
        <v>1312</v>
      </c>
      <c r="B213" s="44" t="s">
        <v>2056</v>
      </c>
      <c r="C213" s="44" t="s">
        <v>554</v>
      </c>
      <c r="D213" s="6" t="s">
        <v>4152</v>
      </c>
      <c r="E213" s="6"/>
    </row>
    <row r="214" spans="1:5" ht="12.75">
      <c r="A214" s="6" t="s">
        <v>1312</v>
      </c>
      <c r="B214" s="44" t="s">
        <v>2057</v>
      </c>
      <c r="C214" s="44" t="s">
        <v>570</v>
      </c>
      <c r="D214" s="6" t="s">
        <v>4153</v>
      </c>
      <c r="E214" s="6"/>
    </row>
    <row r="215" spans="1:5" ht="12.75">
      <c r="A215" s="6" t="s">
        <v>1312</v>
      </c>
      <c r="B215" s="44" t="s">
        <v>2058</v>
      </c>
      <c r="C215" s="44" t="s">
        <v>568</v>
      </c>
      <c r="D215" s="6" t="s">
        <v>4154</v>
      </c>
      <c r="E215" s="6"/>
    </row>
    <row r="216" spans="1:5" ht="12.75">
      <c r="A216" s="6" t="s">
        <v>1312</v>
      </c>
      <c r="B216" s="44" t="s">
        <v>1526</v>
      </c>
      <c r="C216" s="44" t="s">
        <v>564</v>
      </c>
      <c r="D216" s="6" t="s">
        <v>4155</v>
      </c>
      <c r="E216" s="6"/>
    </row>
    <row r="217" spans="1:5" ht="12.75">
      <c r="A217" s="6" t="s">
        <v>1312</v>
      </c>
      <c r="B217" s="44" t="s">
        <v>2059</v>
      </c>
      <c r="C217" s="44" t="s">
        <v>578</v>
      </c>
      <c r="D217" s="6" t="s">
        <v>4156</v>
      </c>
      <c r="E217" s="6"/>
    </row>
    <row r="218" spans="1:5" ht="12.75">
      <c r="A218" s="6" t="s">
        <v>1312</v>
      </c>
      <c r="B218" s="44" t="s">
        <v>2060</v>
      </c>
      <c r="C218" s="44" t="s">
        <v>558</v>
      </c>
      <c r="D218" s="6" t="s">
        <v>4157</v>
      </c>
      <c r="E218" s="6"/>
    </row>
    <row r="219" spans="1:5" ht="12.75">
      <c r="A219" s="6" t="s">
        <v>1312</v>
      </c>
      <c r="B219" s="44" t="s">
        <v>2061</v>
      </c>
      <c r="C219" s="44" t="s">
        <v>572</v>
      </c>
      <c r="D219" s="6" t="s">
        <v>4158</v>
      </c>
      <c r="E219" s="6"/>
    </row>
    <row r="220" spans="1:5" ht="12.75">
      <c r="A220" s="250" t="s">
        <v>187</v>
      </c>
      <c r="B220" s="251"/>
      <c r="C220" s="252"/>
      <c r="D220" s="253"/>
      <c r="E220" s="253"/>
    </row>
    <row r="221" spans="1:5" ht="12.75">
      <c r="A221" s="6" t="s">
        <v>4159</v>
      </c>
      <c r="B221" s="44" t="s">
        <v>190</v>
      </c>
      <c r="C221" s="36" t="s">
        <v>550</v>
      </c>
      <c r="D221" s="6" t="s">
        <v>4146</v>
      </c>
      <c r="E221" s="6"/>
    </row>
    <row r="222" spans="1:5" ht="12.75">
      <c r="A222" s="6" t="s">
        <v>4159</v>
      </c>
      <c r="B222" s="44" t="s">
        <v>551</v>
      </c>
      <c r="C222" s="44" t="s">
        <v>552</v>
      </c>
      <c r="D222" s="6" t="s">
        <v>4151</v>
      </c>
      <c r="E222" s="6"/>
    </row>
    <row r="223" spans="1:5" ht="12.75">
      <c r="A223" s="6" t="s">
        <v>4159</v>
      </c>
      <c r="B223" s="44" t="s">
        <v>553</v>
      </c>
      <c r="C223" s="44" t="s">
        <v>554</v>
      </c>
      <c r="D223" s="6" t="s">
        <v>4152</v>
      </c>
      <c r="E223" s="6"/>
    </row>
    <row r="224" spans="1:5" ht="12.75">
      <c r="A224" s="6" t="s">
        <v>4159</v>
      </c>
      <c r="B224" s="44" t="s">
        <v>555</v>
      </c>
      <c r="C224" s="44" t="s">
        <v>556</v>
      </c>
      <c r="D224" s="6" t="s">
        <v>4160</v>
      </c>
      <c r="E224" s="6"/>
    </row>
    <row r="225" spans="1:5" ht="12.75">
      <c r="A225" s="6" t="s">
        <v>4159</v>
      </c>
      <c r="B225" s="44" t="s">
        <v>557</v>
      </c>
      <c r="C225" s="44" t="s">
        <v>558</v>
      </c>
      <c r="D225" s="6" t="s">
        <v>4157</v>
      </c>
      <c r="E225" s="6"/>
    </row>
    <row r="226" spans="1:5" ht="12.75">
      <c r="A226" s="6" t="s">
        <v>4159</v>
      </c>
      <c r="B226" s="44" t="s">
        <v>559</v>
      </c>
      <c r="C226" s="44" t="s">
        <v>560</v>
      </c>
      <c r="D226" s="6" t="s">
        <v>4148</v>
      </c>
      <c r="E226" s="6"/>
    </row>
    <row r="227" spans="1:5" ht="12.75">
      <c r="A227" s="6" t="s">
        <v>4159</v>
      </c>
      <c r="B227" s="44" t="s">
        <v>561</v>
      </c>
      <c r="C227" s="44" t="s">
        <v>562</v>
      </c>
      <c r="D227" s="6" t="s">
        <v>4149</v>
      </c>
      <c r="E227" s="6"/>
    </row>
    <row r="228" spans="1:5" ht="12.75">
      <c r="A228" s="6" t="s">
        <v>4159</v>
      </c>
      <c r="B228" s="44" t="s">
        <v>563</v>
      </c>
      <c r="C228" s="44" t="s">
        <v>564</v>
      </c>
      <c r="D228" s="6" t="s">
        <v>4155</v>
      </c>
      <c r="E228" s="6"/>
    </row>
    <row r="229" spans="1:5" ht="12.75">
      <c r="A229" s="6" t="s">
        <v>4159</v>
      </c>
      <c r="B229" s="44" t="s">
        <v>565</v>
      </c>
      <c r="C229" s="44" t="s">
        <v>566</v>
      </c>
      <c r="D229" s="6" t="s">
        <v>4161</v>
      </c>
      <c r="E229" s="6"/>
    </row>
    <row r="230" spans="1:5" ht="12.75">
      <c r="A230" s="6" t="s">
        <v>4159</v>
      </c>
      <c r="B230" s="44" t="s">
        <v>567</v>
      </c>
      <c r="C230" s="44" t="s">
        <v>568</v>
      </c>
      <c r="D230" s="6" t="s">
        <v>4162</v>
      </c>
      <c r="E230" s="6"/>
    </row>
    <row r="231" spans="1:5" ht="12.75">
      <c r="A231" s="6" t="s">
        <v>4159</v>
      </c>
      <c r="B231" s="44" t="s">
        <v>569</v>
      </c>
      <c r="C231" s="44" t="s">
        <v>570</v>
      </c>
      <c r="D231" s="6" t="s">
        <v>4153</v>
      </c>
      <c r="E231" s="6"/>
    </row>
    <row r="232" spans="1:5" ht="12.75">
      <c r="A232" s="6" t="s">
        <v>4159</v>
      </c>
      <c r="B232" s="44" t="s">
        <v>571</v>
      </c>
      <c r="C232" s="44" t="s">
        <v>572</v>
      </c>
      <c r="D232" s="6" t="s">
        <v>4158</v>
      </c>
      <c r="E232" s="6"/>
    </row>
    <row r="233" spans="1:5" ht="12.75">
      <c r="A233" s="6" t="s">
        <v>4159</v>
      </c>
      <c r="B233" s="54" t="s">
        <v>573</v>
      </c>
      <c r="C233" s="44" t="s">
        <v>574</v>
      </c>
      <c r="D233" s="6" t="s">
        <v>4163</v>
      </c>
      <c r="E233" s="6"/>
    </row>
    <row r="234" spans="1:5" ht="12.75">
      <c r="A234" s="6" t="s">
        <v>4159</v>
      </c>
      <c r="B234" s="44" t="s">
        <v>575</v>
      </c>
      <c r="C234" s="44" t="s">
        <v>576</v>
      </c>
      <c r="D234" s="6" t="s">
        <v>4164</v>
      </c>
      <c r="E234" s="6"/>
    </row>
    <row r="235" spans="1:5" ht="12.75">
      <c r="A235" s="6" t="s">
        <v>4159</v>
      </c>
      <c r="B235" s="44" t="s">
        <v>577</v>
      </c>
      <c r="C235" s="44" t="s">
        <v>578</v>
      </c>
      <c r="D235" s="6" t="s">
        <v>4156</v>
      </c>
      <c r="E235" s="6"/>
    </row>
    <row r="236" spans="1:5" ht="12.75">
      <c r="A236" s="6" t="s">
        <v>4159</v>
      </c>
      <c r="B236" s="44" t="s">
        <v>579</v>
      </c>
      <c r="C236" s="44" t="s">
        <v>580</v>
      </c>
      <c r="D236" s="6" t="s">
        <v>4150</v>
      </c>
      <c r="E236" s="6"/>
    </row>
    <row r="237" spans="1:5" ht="12.75">
      <c r="A237" s="250" t="s">
        <v>1315</v>
      </c>
      <c r="B237" s="251"/>
      <c r="C237" s="252"/>
      <c r="D237" s="253"/>
      <c r="E237" s="253"/>
    </row>
    <row r="238" spans="1:5" ht="12.75">
      <c r="A238" s="6" t="s">
        <v>1315</v>
      </c>
      <c r="B238" s="53" t="s">
        <v>2064</v>
      </c>
      <c r="C238" s="114" t="s">
        <v>2063</v>
      </c>
      <c r="D238" s="6" t="s">
        <v>2503</v>
      </c>
      <c r="E238" s="6"/>
    </row>
    <row r="239" spans="1:5" ht="12.75">
      <c r="A239" s="6" t="s">
        <v>1315</v>
      </c>
      <c r="B239" s="53" t="s">
        <v>2066</v>
      </c>
      <c r="C239" s="44" t="s">
        <v>2065</v>
      </c>
      <c r="D239" s="6" t="s">
        <v>2504</v>
      </c>
      <c r="E239" s="6"/>
    </row>
    <row r="240" spans="1:5" ht="12.75">
      <c r="A240" s="6" t="s">
        <v>1315</v>
      </c>
      <c r="B240" s="53" t="s">
        <v>2068</v>
      </c>
      <c r="C240" s="44" t="s">
        <v>2067</v>
      </c>
      <c r="D240" s="6" t="s">
        <v>2505</v>
      </c>
      <c r="E240" s="6"/>
    </row>
    <row r="241" spans="1:5" ht="12.75">
      <c r="A241" s="6" t="s">
        <v>1315</v>
      </c>
      <c r="B241" s="53" t="s">
        <v>1328</v>
      </c>
      <c r="C241" s="44" t="s">
        <v>2069</v>
      </c>
      <c r="D241" s="6" t="s">
        <v>2506</v>
      </c>
      <c r="E241" s="6"/>
    </row>
    <row r="242" spans="1:5" ht="12.75">
      <c r="A242" s="6" t="s">
        <v>1315</v>
      </c>
      <c r="B242" s="44" t="s">
        <v>1319</v>
      </c>
      <c r="C242" s="44" t="s">
        <v>2070</v>
      </c>
      <c r="D242" s="6" t="s">
        <v>2507</v>
      </c>
      <c r="E242" s="6"/>
    </row>
    <row r="243" spans="1:5" ht="12.75">
      <c r="A243" s="250" t="s">
        <v>1321</v>
      </c>
      <c r="B243" s="251"/>
      <c r="C243" s="252"/>
      <c r="D243" s="253"/>
      <c r="E243" s="253"/>
    </row>
    <row r="244" spans="1:5" ht="12.75">
      <c r="A244" s="6" t="s">
        <v>1321</v>
      </c>
      <c r="B244" s="82" t="s">
        <v>2073</v>
      </c>
      <c r="C244" s="114" t="s">
        <v>2072</v>
      </c>
      <c r="D244" s="6" t="s">
        <v>2511</v>
      </c>
      <c r="E244" s="6"/>
    </row>
    <row r="245" spans="1:5" ht="12.75">
      <c r="A245" s="6" t="s">
        <v>1321</v>
      </c>
      <c r="B245" s="82" t="s">
        <v>2075</v>
      </c>
      <c r="C245" s="114" t="s">
        <v>2074</v>
      </c>
      <c r="D245" s="6" t="s">
        <v>2512</v>
      </c>
      <c r="E245" s="6"/>
    </row>
    <row r="246" spans="1:5" ht="12.75">
      <c r="A246" s="6" t="s">
        <v>1321</v>
      </c>
      <c r="B246" s="82" t="s">
        <v>1324</v>
      </c>
      <c r="C246" s="114" t="s">
        <v>2076</v>
      </c>
      <c r="D246" s="6" t="s">
        <v>2513</v>
      </c>
      <c r="E246" s="6"/>
    </row>
    <row r="247" spans="1:5" ht="12.75">
      <c r="A247" s="6" t="s">
        <v>1321</v>
      </c>
      <c r="B247" s="82" t="s">
        <v>2078</v>
      </c>
      <c r="C247" s="114" t="s">
        <v>2077</v>
      </c>
      <c r="D247" s="6" t="s">
        <v>4165</v>
      </c>
      <c r="E247" s="6"/>
    </row>
    <row r="248" spans="1:5" ht="12.75">
      <c r="A248" s="6" t="s">
        <v>1321</v>
      </c>
      <c r="B248" s="82" t="s">
        <v>2080</v>
      </c>
      <c r="C248" s="114" t="s">
        <v>2079</v>
      </c>
      <c r="D248" s="238" t="s">
        <v>2514</v>
      </c>
      <c r="E248" s="6" t="s">
        <v>4166</v>
      </c>
    </row>
    <row r="249" spans="1:5" ht="12.75">
      <c r="A249" s="6" t="s">
        <v>1321</v>
      </c>
      <c r="B249" s="82" t="s">
        <v>2082</v>
      </c>
      <c r="C249" s="114" t="s">
        <v>2081</v>
      </c>
      <c r="D249" s="6" t="s">
        <v>2515</v>
      </c>
      <c r="E249" s="6"/>
    </row>
    <row r="250" spans="1:5" ht="12.75">
      <c r="A250" s="6" t="s">
        <v>1321</v>
      </c>
      <c r="B250" s="82" t="s">
        <v>2084</v>
      </c>
      <c r="C250" s="114" t="s">
        <v>2083</v>
      </c>
      <c r="D250" s="6" t="s">
        <v>2516</v>
      </c>
      <c r="E250" s="6"/>
    </row>
    <row r="251" spans="1:5" ht="12.75">
      <c r="A251" s="250" t="s">
        <v>193</v>
      </c>
      <c r="B251" s="251"/>
      <c r="C251" s="252"/>
      <c r="D251" s="253"/>
      <c r="E251" s="253"/>
    </row>
    <row r="252" spans="1:5" ht="12.75">
      <c r="A252" s="6" t="s">
        <v>193</v>
      </c>
      <c r="B252" s="6" t="s">
        <v>196</v>
      </c>
      <c r="C252" s="114" t="s">
        <v>639</v>
      </c>
      <c r="D252" s="6" t="s">
        <v>4167</v>
      </c>
      <c r="E252" s="6"/>
    </row>
    <row r="253" spans="1:5" ht="12.75">
      <c r="A253" s="250" t="s">
        <v>1325</v>
      </c>
      <c r="B253" s="251"/>
      <c r="C253" s="252"/>
      <c r="D253" s="253"/>
      <c r="E253" s="253"/>
    </row>
    <row r="254" spans="1:5" ht="12.75">
      <c r="A254" s="6" t="s">
        <v>1325</v>
      </c>
      <c r="B254" s="44" t="s">
        <v>2066</v>
      </c>
      <c r="C254" s="44" t="s">
        <v>2065</v>
      </c>
      <c r="D254" s="6" t="s">
        <v>2504</v>
      </c>
      <c r="E254" s="6"/>
    </row>
    <row r="255" spans="1:5" ht="12.75">
      <c r="A255" s="6" t="s">
        <v>1325</v>
      </c>
      <c r="B255" s="44" t="s">
        <v>2087</v>
      </c>
      <c r="C255" s="114" t="s">
        <v>2086</v>
      </c>
      <c r="D255" s="6" t="s">
        <v>2522</v>
      </c>
      <c r="E255" s="6"/>
    </row>
    <row r="256" spans="1:5" ht="12.75">
      <c r="A256" s="6" t="s">
        <v>1325</v>
      </c>
      <c r="B256" s="44" t="s">
        <v>1328</v>
      </c>
      <c r="C256" s="114" t="s">
        <v>2069</v>
      </c>
      <c r="D256" s="6" t="s">
        <v>2506</v>
      </c>
      <c r="E256" s="6"/>
    </row>
    <row r="257" spans="1:5" ht="12.75">
      <c r="A257" s="6" t="s">
        <v>1325</v>
      </c>
      <c r="B257" s="44" t="s">
        <v>2089</v>
      </c>
      <c r="C257" s="114" t="s">
        <v>2088</v>
      </c>
      <c r="D257" s="6" t="s">
        <v>2523</v>
      </c>
      <c r="E257" s="6"/>
    </row>
    <row r="258" spans="1:5" ht="12.75">
      <c r="A258" s="250" t="s">
        <v>204</v>
      </c>
      <c r="B258" s="251"/>
      <c r="C258" s="252"/>
      <c r="D258" s="253"/>
      <c r="E258" s="253"/>
    </row>
    <row r="259" spans="1:5" ht="12.75">
      <c r="A259" s="6" t="s">
        <v>204</v>
      </c>
      <c r="B259" s="53" t="s">
        <v>641</v>
      </c>
      <c r="C259" s="44" t="s">
        <v>642</v>
      </c>
      <c r="D259" s="6" t="s">
        <v>2528</v>
      </c>
      <c r="E259" s="6"/>
    </row>
    <row r="260" spans="1:5" ht="12.75">
      <c r="A260" s="6" t="s">
        <v>204</v>
      </c>
      <c r="B260" s="53" t="s">
        <v>643</v>
      </c>
      <c r="C260" s="44" t="s">
        <v>644</v>
      </c>
      <c r="D260" s="6" t="s">
        <v>2529</v>
      </c>
      <c r="E260" s="6"/>
    </row>
    <row r="261" spans="1:5" ht="12.75">
      <c r="A261" s="6" t="s">
        <v>204</v>
      </c>
      <c r="B261" s="53" t="s">
        <v>645</v>
      </c>
      <c r="C261" s="44" t="s">
        <v>646</v>
      </c>
      <c r="D261" s="6" t="s">
        <v>2530</v>
      </c>
      <c r="E261" s="6"/>
    </row>
    <row r="262" spans="1:5" ht="12.75">
      <c r="A262" s="6" t="s">
        <v>204</v>
      </c>
      <c r="B262" s="53" t="s">
        <v>647</v>
      </c>
      <c r="C262" s="44" t="s">
        <v>648</v>
      </c>
      <c r="D262" s="6" t="s">
        <v>2531</v>
      </c>
      <c r="E262" s="6"/>
    </row>
    <row r="263" spans="1:5" ht="12.75">
      <c r="A263" s="6" t="s">
        <v>204</v>
      </c>
      <c r="B263" s="53" t="s">
        <v>649</v>
      </c>
      <c r="C263" s="44" t="s">
        <v>650</v>
      </c>
      <c r="D263" s="6" t="s">
        <v>2532</v>
      </c>
      <c r="E263" s="6"/>
    </row>
    <row r="264" spans="1:5" ht="12.75">
      <c r="A264" s="6" t="s">
        <v>204</v>
      </c>
      <c r="B264" s="53" t="s">
        <v>651</v>
      </c>
      <c r="C264" s="44" t="s">
        <v>652</v>
      </c>
      <c r="D264" s="6" t="s">
        <v>2533</v>
      </c>
      <c r="E264" s="6"/>
    </row>
    <row r="265" spans="1:5" ht="12.75">
      <c r="A265" s="6" t="s">
        <v>204</v>
      </c>
      <c r="B265" s="53" t="s">
        <v>206</v>
      </c>
      <c r="C265" s="44" t="s">
        <v>653</v>
      </c>
      <c r="D265" s="6" t="s">
        <v>2534</v>
      </c>
      <c r="E265" s="6"/>
    </row>
    <row r="266" spans="1:5" ht="12.75">
      <c r="A266" s="6" t="s">
        <v>204</v>
      </c>
      <c r="B266" s="53" t="s">
        <v>654</v>
      </c>
      <c r="C266" s="44" t="s">
        <v>655</v>
      </c>
      <c r="D266" s="6" t="s">
        <v>2535</v>
      </c>
      <c r="E266" s="6"/>
    </row>
    <row r="267" spans="1:5" ht="12.75">
      <c r="A267" s="6" t="s">
        <v>204</v>
      </c>
      <c r="B267" s="53" t="s">
        <v>656</v>
      </c>
      <c r="C267" s="44" t="s">
        <v>657</v>
      </c>
      <c r="D267" s="6" t="s">
        <v>2536</v>
      </c>
      <c r="E267" s="6"/>
    </row>
    <row r="268" spans="1:5" ht="12.75">
      <c r="A268" s="6" t="s">
        <v>204</v>
      </c>
      <c r="B268" s="53" t="s">
        <v>658</v>
      </c>
      <c r="C268" s="44" t="s">
        <v>659</v>
      </c>
      <c r="D268" s="6" t="s">
        <v>2537</v>
      </c>
      <c r="E268" s="6"/>
    </row>
    <row r="269" spans="1:5" ht="12.75">
      <c r="A269" s="6" t="s">
        <v>204</v>
      </c>
      <c r="B269" s="53" t="s">
        <v>660</v>
      </c>
      <c r="C269" s="44" t="s">
        <v>661</v>
      </c>
      <c r="D269" s="6" t="s">
        <v>2538</v>
      </c>
      <c r="E269" s="6"/>
    </row>
    <row r="270" spans="1:5" ht="12.75">
      <c r="A270" s="6" t="s">
        <v>202</v>
      </c>
      <c r="B270" s="6" t="s">
        <v>130</v>
      </c>
      <c r="C270" s="114" t="s">
        <v>281</v>
      </c>
      <c r="D270" s="6" t="s">
        <v>2342</v>
      </c>
      <c r="E270" s="6"/>
    </row>
    <row r="271" spans="1:5" ht="12.75">
      <c r="A271" s="6" t="s">
        <v>202</v>
      </c>
      <c r="B271" s="6" t="s">
        <v>279</v>
      </c>
      <c r="C271" s="114" t="s">
        <v>280</v>
      </c>
      <c r="D271" s="6" t="s">
        <v>2343</v>
      </c>
      <c r="E271" s="6"/>
    </row>
    <row r="272" spans="1:5" ht="12.75">
      <c r="A272" s="250" t="s">
        <v>207</v>
      </c>
      <c r="B272" s="251"/>
      <c r="C272" s="252"/>
      <c r="D272" s="253"/>
      <c r="E272" s="253"/>
    </row>
    <row r="273" spans="1:5" ht="12.75">
      <c r="A273" s="6" t="s">
        <v>207</v>
      </c>
      <c r="B273" s="53" t="s">
        <v>663</v>
      </c>
      <c r="C273" s="53" t="s">
        <v>664</v>
      </c>
      <c r="D273" s="6" t="s">
        <v>2549</v>
      </c>
      <c r="E273" s="6"/>
    </row>
    <row r="274" spans="1:5" ht="12.75">
      <c r="A274" s="6" t="s">
        <v>207</v>
      </c>
      <c r="B274" s="53" t="s">
        <v>210</v>
      </c>
      <c r="C274" s="53" t="s">
        <v>665</v>
      </c>
      <c r="D274" s="6" t="s">
        <v>2550</v>
      </c>
      <c r="E274" s="6"/>
    </row>
    <row r="275" spans="1:5" ht="12.75">
      <c r="A275" s="6" t="s">
        <v>207</v>
      </c>
      <c r="B275" s="53" t="s">
        <v>666</v>
      </c>
      <c r="C275" s="53" t="s">
        <v>667</v>
      </c>
      <c r="D275" s="6" t="s">
        <v>2551</v>
      </c>
      <c r="E275" s="6"/>
    </row>
    <row r="276" spans="1:5" ht="12.75">
      <c r="A276" s="6" t="s">
        <v>207</v>
      </c>
      <c r="B276" s="53" t="s">
        <v>4168</v>
      </c>
      <c r="C276" s="53" t="s">
        <v>668</v>
      </c>
      <c r="D276" s="6" t="s">
        <v>2552</v>
      </c>
      <c r="E276" s="6"/>
    </row>
    <row r="277" spans="1:5" ht="12.75">
      <c r="A277" s="6" t="s">
        <v>207</v>
      </c>
      <c r="B277" s="53" t="s">
        <v>4169</v>
      </c>
      <c r="C277" s="53" t="s">
        <v>669</v>
      </c>
      <c r="D277" s="6" t="s">
        <v>2553</v>
      </c>
      <c r="E277" s="6"/>
    </row>
    <row r="278" spans="1:5" ht="12.75">
      <c r="A278" s="6" t="s">
        <v>207</v>
      </c>
      <c r="B278" s="53" t="s">
        <v>670</v>
      </c>
      <c r="C278" s="114" t="s">
        <v>671</v>
      </c>
      <c r="D278" s="6" t="s">
        <v>2554</v>
      </c>
      <c r="E278" s="6"/>
    </row>
    <row r="279" spans="1:5" ht="12.75">
      <c r="A279" s="250" t="s">
        <v>1330</v>
      </c>
      <c r="B279" s="251"/>
      <c r="C279" s="252"/>
      <c r="D279" s="253"/>
      <c r="E279" s="253"/>
    </row>
    <row r="280" spans="1:5" ht="12.75">
      <c r="A280" s="6" t="s">
        <v>1330</v>
      </c>
      <c r="B280" s="44" t="s">
        <v>745</v>
      </c>
      <c r="C280" s="36" t="s">
        <v>746</v>
      </c>
      <c r="D280" s="6" t="s">
        <v>2763</v>
      </c>
      <c r="E280" s="6"/>
    </row>
    <row r="281" spans="1:5" ht="12.75">
      <c r="A281" s="6" t="s">
        <v>1330</v>
      </c>
      <c r="B281" s="44" t="s">
        <v>747</v>
      </c>
      <c r="C281" s="36" t="s">
        <v>748</v>
      </c>
      <c r="D281" s="6" t="s">
        <v>2764</v>
      </c>
      <c r="E281" s="6"/>
    </row>
    <row r="282" spans="1:5" ht="12.75">
      <c r="A282" s="6" t="s">
        <v>1330</v>
      </c>
      <c r="B282" s="44" t="s">
        <v>749</v>
      </c>
      <c r="C282" s="36" t="s">
        <v>750</v>
      </c>
      <c r="D282" s="6" t="s">
        <v>2765</v>
      </c>
      <c r="E282" s="6"/>
    </row>
    <row r="283" spans="1:5" ht="12.75">
      <c r="A283" s="6" t="s">
        <v>1330</v>
      </c>
      <c r="B283" s="44" t="s">
        <v>751</v>
      </c>
      <c r="C283" s="36" t="s">
        <v>752</v>
      </c>
      <c r="D283" s="6" t="s">
        <v>2766</v>
      </c>
      <c r="E283" s="6"/>
    </row>
    <row r="284" spans="1:5" ht="12.75">
      <c r="A284" s="6" t="s">
        <v>1330</v>
      </c>
      <c r="B284" s="44" t="s">
        <v>753</v>
      </c>
      <c r="C284" s="36" t="s">
        <v>754</v>
      </c>
      <c r="D284" s="6" t="s">
        <v>2767</v>
      </c>
      <c r="E284" s="6"/>
    </row>
    <row r="285" spans="1:5" ht="12.75">
      <c r="A285" s="6" t="s">
        <v>1330</v>
      </c>
      <c r="B285" s="44" t="s">
        <v>755</v>
      </c>
      <c r="C285" s="36" t="s">
        <v>756</v>
      </c>
      <c r="D285" s="6" t="s">
        <v>2768</v>
      </c>
      <c r="E285" s="6"/>
    </row>
    <row r="286" spans="1:5" ht="12.75">
      <c r="A286" s="6" t="s">
        <v>1330</v>
      </c>
      <c r="B286" s="44" t="s">
        <v>757</v>
      </c>
      <c r="C286" s="36" t="s">
        <v>758</v>
      </c>
      <c r="D286" s="6" t="s">
        <v>2769</v>
      </c>
      <c r="E286" s="6"/>
    </row>
    <row r="287" spans="1:5" ht="12.75">
      <c r="A287" s="6" t="s">
        <v>1330</v>
      </c>
      <c r="B287" s="44" t="s">
        <v>759</v>
      </c>
      <c r="C287" s="36" t="s">
        <v>760</v>
      </c>
      <c r="D287" s="6" t="s">
        <v>2770</v>
      </c>
      <c r="E287" s="6"/>
    </row>
    <row r="288" spans="1:5" ht="12.75">
      <c r="A288" s="6" t="s">
        <v>1330</v>
      </c>
      <c r="B288" s="44" t="s">
        <v>761</v>
      </c>
      <c r="C288" s="36" t="s">
        <v>762</v>
      </c>
      <c r="D288" s="6" t="s">
        <v>2771</v>
      </c>
      <c r="E288" s="6"/>
    </row>
    <row r="289" spans="1:5" ht="12.75">
      <c r="A289" s="6" t="s">
        <v>1330</v>
      </c>
      <c r="B289" s="44" t="s">
        <v>763</v>
      </c>
      <c r="C289" s="36" t="s">
        <v>764</v>
      </c>
      <c r="D289" s="6" t="s">
        <v>2772</v>
      </c>
      <c r="E289" s="6"/>
    </row>
    <row r="290" spans="1:5" ht="12.75">
      <c r="A290" s="6" t="s">
        <v>1330</v>
      </c>
      <c r="B290" s="44" t="s">
        <v>765</v>
      </c>
      <c r="C290" s="36" t="s">
        <v>766</v>
      </c>
      <c r="D290" s="6" t="s">
        <v>2773</v>
      </c>
      <c r="E290" s="6"/>
    </row>
    <row r="291" spans="1:5" ht="12.75">
      <c r="A291" s="6" t="s">
        <v>1330</v>
      </c>
      <c r="B291" s="44" t="s">
        <v>767</v>
      </c>
      <c r="C291" s="36" t="s">
        <v>768</v>
      </c>
      <c r="D291" s="6" t="s">
        <v>2774</v>
      </c>
      <c r="E291" s="6"/>
    </row>
    <row r="292" spans="1:5" ht="12.75">
      <c r="A292" s="6" t="s">
        <v>1330</v>
      </c>
      <c r="B292" s="44" t="s">
        <v>769</v>
      </c>
      <c r="C292" s="36" t="s">
        <v>770</v>
      </c>
      <c r="D292" s="6" t="s">
        <v>2775</v>
      </c>
      <c r="E292" s="6"/>
    </row>
    <row r="293" spans="1:5" ht="12.75">
      <c r="A293" s="6" t="s">
        <v>1330</v>
      </c>
      <c r="B293" s="44" t="s">
        <v>771</v>
      </c>
      <c r="C293" s="36" t="s">
        <v>772</v>
      </c>
      <c r="D293" s="6" t="s">
        <v>2776</v>
      </c>
      <c r="E293" s="6"/>
    </row>
    <row r="294" spans="1:5" ht="12.75">
      <c r="A294" s="6" t="s">
        <v>1330</v>
      </c>
      <c r="B294" s="44" t="s">
        <v>773</v>
      </c>
      <c r="C294" s="36" t="s">
        <v>774</v>
      </c>
      <c r="D294" s="6" t="s">
        <v>2777</v>
      </c>
      <c r="E294" s="6"/>
    </row>
    <row r="295" spans="1:5" ht="12.75">
      <c r="A295" s="6" t="s">
        <v>1330</v>
      </c>
      <c r="B295" s="44" t="s">
        <v>775</v>
      </c>
      <c r="C295" s="36" t="s">
        <v>776</v>
      </c>
      <c r="D295" s="6" t="s">
        <v>2778</v>
      </c>
      <c r="E295" s="6"/>
    </row>
    <row r="296" spans="1:5" ht="12.75">
      <c r="A296" s="6" t="s">
        <v>1330</v>
      </c>
      <c r="B296" s="44" t="s">
        <v>777</v>
      </c>
      <c r="C296" s="44" t="s">
        <v>778</v>
      </c>
      <c r="D296" s="6" t="s">
        <v>2779</v>
      </c>
      <c r="E296" s="6"/>
    </row>
    <row r="297" spans="1:5" ht="12.75">
      <c r="A297" s="6" t="s">
        <v>1330</v>
      </c>
      <c r="B297" s="44" t="s">
        <v>779</v>
      </c>
      <c r="C297" s="36" t="s">
        <v>780</v>
      </c>
      <c r="D297" s="6" t="s">
        <v>2780</v>
      </c>
      <c r="E297" s="6"/>
    </row>
    <row r="298" spans="1:5" ht="12.75">
      <c r="A298" s="6" t="s">
        <v>1330</v>
      </c>
      <c r="B298" s="44" t="s">
        <v>781</v>
      </c>
      <c r="C298" s="44" t="s">
        <v>782</v>
      </c>
      <c r="D298" s="6" t="s">
        <v>2781</v>
      </c>
      <c r="E298" s="6"/>
    </row>
    <row r="299" spans="1:5" ht="12.75">
      <c r="A299" s="6" t="s">
        <v>1330</v>
      </c>
      <c r="B299" s="44" t="s">
        <v>783</v>
      </c>
      <c r="C299" s="36" t="s">
        <v>784</v>
      </c>
      <c r="D299" s="6" t="s">
        <v>2782</v>
      </c>
      <c r="E299" s="6"/>
    </row>
    <row r="300" spans="1:5" ht="12.75">
      <c r="A300" s="6" t="s">
        <v>1330</v>
      </c>
      <c r="B300" s="44" t="s">
        <v>785</v>
      </c>
      <c r="C300" s="36" t="s">
        <v>786</v>
      </c>
      <c r="D300" s="6" t="s">
        <v>2783</v>
      </c>
      <c r="E300" s="6"/>
    </row>
    <row r="301" spans="1:5" ht="12.75">
      <c r="A301" s="6" t="s">
        <v>1330</v>
      </c>
      <c r="B301" s="44" t="s">
        <v>787</v>
      </c>
      <c r="C301" s="44" t="s">
        <v>788</v>
      </c>
      <c r="D301" s="6" t="s">
        <v>2784</v>
      </c>
      <c r="E301" s="6"/>
    </row>
    <row r="302" spans="1:5" ht="12.75">
      <c r="A302" s="6" t="s">
        <v>1330</v>
      </c>
      <c r="B302" s="44" t="s">
        <v>789</v>
      </c>
      <c r="C302" s="36" t="s">
        <v>790</v>
      </c>
      <c r="D302" s="6" t="s">
        <v>2785</v>
      </c>
      <c r="E302" s="6"/>
    </row>
    <row r="303" spans="1:5" ht="12.75">
      <c r="A303" s="6" t="s">
        <v>1330</v>
      </c>
      <c r="B303" s="44" t="s">
        <v>791</v>
      </c>
      <c r="C303" s="36" t="s">
        <v>792</v>
      </c>
      <c r="D303" s="6" t="s">
        <v>2786</v>
      </c>
      <c r="E303" s="6"/>
    </row>
    <row r="304" spans="1:5" ht="12.75">
      <c r="A304" s="6" t="s">
        <v>1330</v>
      </c>
      <c r="B304" s="44" t="s">
        <v>793</v>
      </c>
      <c r="C304" s="36" t="s">
        <v>794</v>
      </c>
      <c r="D304" s="6" t="s">
        <v>2787</v>
      </c>
      <c r="E304" s="6"/>
    </row>
    <row r="305" spans="1:5" ht="12.75">
      <c r="A305" s="6" t="s">
        <v>1330</v>
      </c>
      <c r="B305" s="44" t="s">
        <v>795</v>
      </c>
      <c r="C305" s="36" t="s">
        <v>796</v>
      </c>
      <c r="D305" s="6" t="s">
        <v>2788</v>
      </c>
      <c r="E305" s="6"/>
    </row>
    <row r="306" spans="1:5" ht="12.75">
      <c r="A306" s="6" t="s">
        <v>1330</v>
      </c>
      <c r="B306" s="44" t="s">
        <v>797</v>
      </c>
      <c r="C306" s="36" t="s">
        <v>798</v>
      </c>
      <c r="D306" s="6" t="s">
        <v>2789</v>
      </c>
      <c r="E306" s="6"/>
    </row>
    <row r="307" spans="1:5" ht="12.75">
      <c r="A307" s="6" t="s">
        <v>1330</v>
      </c>
      <c r="B307" s="44" t="s">
        <v>799</v>
      </c>
      <c r="C307" s="36" t="s">
        <v>800</v>
      </c>
      <c r="D307" s="6" t="s">
        <v>2790</v>
      </c>
      <c r="E307" s="6"/>
    </row>
    <row r="308" spans="1:5" ht="12.75">
      <c r="A308" s="6" t="s">
        <v>1330</v>
      </c>
      <c r="B308" s="44" t="s">
        <v>801</v>
      </c>
      <c r="C308" s="36" t="s">
        <v>802</v>
      </c>
      <c r="D308" s="6" t="s">
        <v>2791</v>
      </c>
      <c r="E308" s="6"/>
    </row>
    <row r="309" spans="1:5" ht="12.75">
      <c r="A309" s="6" t="s">
        <v>1330</v>
      </c>
      <c r="B309" s="44" t="s">
        <v>803</v>
      </c>
      <c r="C309" s="36" t="s">
        <v>804</v>
      </c>
      <c r="D309" s="6" t="s">
        <v>2792</v>
      </c>
      <c r="E309" s="6"/>
    </row>
    <row r="310" spans="1:5" ht="12.75">
      <c r="A310" s="6" t="s">
        <v>1330</v>
      </c>
      <c r="B310" s="44" t="s">
        <v>805</v>
      </c>
      <c r="C310" s="36" t="s">
        <v>806</v>
      </c>
      <c r="D310" s="6" t="s">
        <v>2793</v>
      </c>
      <c r="E310" s="6"/>
    </row>
    <row r="311" spans="1:5" ht="12.75">
      <c r="A311" s="6" t="s">
        <v>1330</v>
      </c>
      <c r="B311" s="44" t="s">
        <v>807</v>
      </c>
      <c r="C311" s="36" t="s">
        <v>808</v>
      </c>
      <c r="D311" s="6" t="s">
        <v>2794</v>
      </c>
      <c r="E311" s="6"/>
    </row>
    <row r="312" spans="1:5" ht="12.75">
      <c r="A312" s="6" t="s">
        <v>1330</v>
      </c>
      <c r="B312" s="44" t="s">
        <v>809</v>
      </c>
      <c r="C312" s="36" t="s">
        <v>810</v>
      </c>
      <c r="D312" s="6" t="s">
        <v>2795</v>
      </c>
      <c r="E312" s="6"/>
    </row>
    <row r="313" spans="1:5" ht="12.75">
      <c r="A313" s="6" t="s">
        <v>1330</v>
      </c>
      <c r="B313" s="44" t="s">
        <v>811</v>
      </c>
      <c r="C313" s="36" t="s">
        <v>812</v>
      </c>
      <c r="D313" s="6" t="s">
        <v>2796</v>
      </c>
      <c r="E313" s="6"/>
    </row>
    <row r="314" spans="1:5" ht="12.75">
      <c r="A314" s="6" t="s">
        <v>1330</v>
      </c>
      <c r="B314" s="44" t="s">
        <v>813</v>
      </c>
      <c r="C314" s="36" t="s">
        <v>814</v>
      </c>
      <c r="D314" s="6" t="s">
        <v>2797</v>
      </c>
      <c r="E314" s="6"/>
    </row>
    <row r="315" spans="1:5" ht="12.75">
      <c r="A315" s="6" t="s">
        <v>1330</v>
      </c>
      <c r="B315" s="44" t="s">
        <v>815</v>
      </c>
      <c r="C315" s="44" t="s">
        <v>816</v>
      </c>
      <c r="D315" s="6" t="s">
        <v>2798</v>
      </c>
      <c r="E315" s="6"/>
    </row>
    <row r="316" spans="1:5" ht="12.75">
      <c r="A316" s="6" t="s">
        <v>1330</v>
      </c>
      <c r="B316" s="44" t="s">
        <v>817</v>
      </c>
      <c r="C316" s="36" t="s">
        <v>818</v>
      </c>
      <c r="D316" s="6" t="s">
        <v>2799</v>
      </c>
      <c r="E316" s="6"/>
    </row>
    <row r="317" spans="1:5" ht="12.75">
      <c r="A317" s="6" t="s">
        <v>1330</v>
      </c>
      <c r="B317" s="44" t="s">
        <v>819</v>
      </c>
      <c r="C317" s="36" t="s">
        <v>820</v>
      </c>
      <c r="D317" s="6" t="s">
        <v>2800</v>
      </c>
      <c r="E317" s="6"/>
    </row>
    <row r="318" spans="1:5" ht="12.75">
      <c r="A318" s="6" t="s">
        <v>1330</v>
      </c>
      <c r="B318" s="44" t="s">
        <v>821</v>
      </c>
      <c r="C318" s="36" t="s">
        <v>822</v>
      </c>
      <c r="D318" s="6" t="s">
        <v>2801</v>
      </c>
      <c r="E318" s="6"/>
    </row>
    <row r="319" spans="1:5" ht="12.75">
      <c r="A319" s="6" t="s">
        <v>1330</v>
      </c>
      <c r="B319" s="44" t="s">
        <v>823</v>
      </c>
      <c r="C319" s="36" t="s">
        <v>824</v>
      </c>
      <c r="D319" s="6" t="s">
        <v>2802</v>
      </c>
      <c r="E319" s="6"/>
    </row>
    <row r="320" spans="1:5" ht="12.75">
      <c r="A320" s="6" t="s">
        <v>1330</v>
      </c>
      <c r="B320" s="44" t="s">
        <v>825</v>
      </c>
      <c r="C320" s="36" t="s">
        <v>826</v>
      </c>
      <c r="D320" s="6" t="s">
        <v>2803</v>
      </c>
      <c r="E320" s="6"/>
    </row>
    <row r="321" spans="1:5" ht="12.75">
      <c r="A321" s="6" t="s">
        <v>1330</v>
      </c>
      <c r="B321" s="44" t="s">
        <v>132</v>
      </c>
      <c r="C321" s="36" t="s">
        <v>827</v>
      </c>
      <c r="D321" s="6" t="s">
        <v>2804</v>
      </c>
      <c r="E321" s="6"/>
    </row>
    <row r="322" spans="1:5" ht="12.75">
      <c r="A322" s="6" t="s">
        <v>1330</v>
      </c>
      <c r="B322" s="44" t="s">
        <v>828</v>
      </c>
      <c r="C322" s="36" t="s">
        <v>829</v>
      </c>
      <c r="D322" s="6" t="s">
        <v>2805</v>
      </c>
      <c r="E322" s="6"/>
    </row>
    <row r="323" spans="1:5" ht="12.75">
      <c r="A323" s="6" t="s">
        <v>1330</v>
      </c>
      <c r="B323" s="44" t="s">
        <v>830</v>
      </c>
      <c r="C323" s="36" t="s">
        <v>831</v>
      </c>
      <c r="D323" s="6" t="s">
        <v>2806</v>
      </c>
      <c r="E323" s="6"/>
    </row>
    <row r="324" spans="1:5" ht="12.75">
      <c r="A324" s="6" t="s">
        <v>1330</v>
      </c>
      <c r="B324" s="44" t="s">
        <v>832</v>
      </c>
      <c r="C324" s="36" t="s">
        <v>833</v>
      </c>
      <c r="D324" s="6" t="s">
        <v>2807</v>
      </c>
      <c r="E324" s="6"/>
    </row>
    <row r="325" spans="1:5" ht="12.75">
      <c r="A325" s="6" t="s">
        <v>1330</v>
      </c>
      <c r="B325" s="44" t="s">
        <v>834</v>
      </c>
      <c r="C325" s="36" t="s">
        <v>835</v>
      </c>
      <c r="D325" s="6" t="s">
        <v>2808</v>
      </c>
      <c r="E325" s="6"/>
    </row>
    <row r="326" spans="1:5" ht="12.75">
      <c r="A326" s="6" t="s">
        <v>1330</v>
      </c>
      <c r="B326" s="44" t="s">
        <v>836</v>
      </c>
      <c r="C326" s="36" t="s">
        <v>837</v>
      </c>
      <c r="D326" s="6" t="s">
        <v>2809</v>
      </c>
      <c r="E326" s="6"/>
    </row>
    <row r="327" spans="1:5" ht="12.75">
      <c r="A327" s="6" t="s">
        <v>1330</v>
      </c>
      <c r="B327" s="44" t="s">
        <v>838</v>
      </c>
      <c r="C327" s="36" t="s">
        <v>839</v>
      </c>
      <c r="D327" s="6" t="s">
        <v>2810</v>
      </c>
      <c r="E327" s="6"/>
    </row>
    <row r="328" spans="1:5" ht="12.75">
      <c r="A328" s="6" t="s">
        <v>1330</v>
      </c>
      <c r="B328" s="44" t="s">
        <v>840</v>
      </c>
      <c r="C328" s="36" t="s">
        <v>841</v>
      </c>
      <c r="D328" s="6" t="s">
        <v>2811</v>
      </c>
      <c r="E328" s="6"/>
    </row>
    <row r="329" spans="1:5" ht="12.75">
      <c r="A329" s="6" t="s">
        <v>1330</v>
      </c>
      <c r="B329" s="44" t="s">
        <v>842</v>
      </c>
      <c r="C329" s="44" t="s">
        <v>843</v>
      </c>
      <c r="D329" s="6" t="s">
        <v>2812</v>
      </c>
      <c r="E329" s="6"/>
    </row>
    <row r="330" spans="1:5" ht="12.75">
      <c r="A330" s="6" t="s">
        <v>1330</v>
      </c>
      <c r="B330" s="44" t="s">
        <v>844</v>
      </c>
      <c r="C330" s="91" t="s">
        <v>845</v>
      </c>
      <c r="D330" s="6" t="s">
        <v>2813</v>
      </c>
      <c r="E330" s="6"/>
    </row>
    <row r="331" spans="1:5" ht="12.75">
      <c r="A331" s="6" t="s">
        <v>1330</v>
      </c>
      <c r="B331" s="44" t="s">
        <v>846</v>
      </c>
      <c r="C331" s="36" t="s">
        <v>847</v>
      </c>
      <c r="D331" s="6" t="s">
        <v>2814</v>
      </c>
      <c r="E331" s="6"/>
    </row>
    <row r="332" spans="1:5" ht="12.75">
      <c r="A332" s="6" t="s">
        <v>1330</v>
      </c>
      <c r="B332" s="44" t="s">
        <v>848</v>
      </c>
      <c r="C332" s="36" t="s">
        <v>849</v>
      </c>
      <c r="D332" s="6" t="s">
        <v>2815</v>
      </c>
      <c r="E332" s="6"/>
    </row>
    <row r="333" spans="1:5" ht="12.75">
      <c r="A333" s="6" t="s">
        <v>1330</v>
      </c>
      <c r="B333" s="44" t="s">
        <v>850</v>
      </c>
      <c r="C333" s="36" t="s">
        <v>851</v>
      </c>
      <c r="D333" s="6" t="s">
        <v>2816</v>
      </c>
      <c r="E333" s="6"/>
    </row>
    <row r="334" spans="1:5" ht="12.75">
      <c r="A334" s="6" t="s">
        <v>1330</v>
      </c>
      <c r="B334" s="44" t="s">
        <v>852</v>
      </c>
      <c r="C334" s="44" t="s">
        <v>853</v>
      </c>
      <c r="D334" s="6" t="s">
        <v>2817</v>
      </c>
      <c r="E334" s="6"/>
    </row>
    <row r="335" spans="1:5" ht="12.75">
      <c r="A335" s="6" t="s">
        <v>1330</v>
      </c>
      <c r="B335" s="44" t="s">
        <v>854</v>
      </c>
      <c r="C335" s="36" t="s">
        <v>855</v>
      </c>
      <c r="D335" s="6" t="s">
        <v>2818</v>
      </c>
      <c r="E335" s="6"/>
    </row>
    <row r="336" spans="1:5" ht="12.75">
      <c r="A336" s="6" t="s">
        <v>1330</v>
      </c>
      <c r="B336" s="44" t="s">
        <v>856</v>
      </c>
      <c r="C336" s="36" t="s">
        <v>857</v>
      </c>
      <c r="D336" s="6" t="s">
        <v>2819</v>
      </c>
      <c r="E336" s="6"/>
    </row>
    <row r="337" spans="1:5" ht="12.75">
      <c r="A337" s="6" t="s">
        <v>1330</v>
      </c>
      <c r="B337" s="44" t="s">
        <v>858</v>
      </c>
      <c r="C337" s="36" t="s">
        <v>859</v>
      </c>
      <c r="D337" s="6" t="s">
        <v>2820</v>
      </c>
      <c r="E337" s="6"/>
    </row>
    <row r="338" spans="1:5" ht="12.75">
      <c r="A338" s="6" t="s">
        <v>1330</v>
      </c>
      <c r="B338" s="44" t="s">
        <v>860</v>
      </c>
      <c r="C338" s="36" t="s">
        <v>861</v>
      </c>
      <c r="D338" s="6" t="s">
        <v>2821</v>
      </c>
      <c r="E338" s="6"/>
    </row>
    <row r="339" spans="1:5" ht="12.75">
      <c r="A339" s="6" t="s">
        <v>1330</v>
      </c>
      <c r="B339" s="44" t="s">
        <v>862</v>
      </c>
      <c r="C339" s="53" t="s">
        <v>863</v>
      </c>
      <c r="D339" s="6" t="s">
        <v>2822</v>
      </c>
      <c r="E339" s="6"/>
    </row>
    <row r="340" spans="1:5" ht="12.75">
      <c r="A340" s="6" t="s">
        <v>1330</v>
      </c>
      <c r="B340" s="44" t="s">
        <v>864</v>
      </c>
      <c r="C340" s="44" t="s">
        <v>865</v>
      </c>
      <c r="D340" s="6" t="s">
        <v>2823</v>
      </c>
      <c r="E340" s="6"/>
    </row>
    <row r="341" spans="1:5" ht="12.75">
      <c r="A341" s="6" t="s">
        <v>1330</v>
      </c>
      <c r="B341" s="44" t="s">
        <v>866</v>
      </c>
      <c r="C341" s="36" t="s">
        <v>867</v>
      </c>
      <c r="D341" s="6" t="s">
        <v>2824</v>
      </c>
      <c r="E341" s="6"/>
    </row>
    <row r="342" spans="1:5" ht="12.75">
      <c r="A342" s="6" t="s">
        <v>1330</v>
      </c>
      <c r="B342" s="44" t="s">
        <v>868</v>
      </c>
      <c r="C342" s="36" t="s">
        <v>869</v>
      </c>
      <c r="D342" s="6" t="s">
        <v>2825</v>
      </c>
      <c r="E342" s="6"/>
    </row>
    <row r="343" spans="1:5" ht="12.75">
      <c r="A343" s="6" t="s">
        <v>1330</v>
      </c>
      <c r="B343" s="44" t="s">
        <v>870</v>
      </c>
      <c r="C343" s="36" t="s">
        <v>871</v>
      </c>
      <c r="D343" s="6" t="s">
        <v>2826</v>
      </c>
      <c r="E343" s="6"/>
    </row>
    <row r="344" spans="1:5" ht="12.75">
      <c r="A344" s="6" t="s">
        <v>1330</v>
      </c>
      <c r="B344" s="44" t="s">
        <v>872</v>
      </c>
      <c r="C344" s="36" t="s">
        <v>873</v>
      </c>
      <c r="D344" s="6" t="s">
        <v>2827</v>
      </c>
      <c r="E344" s="6"/>
    </row>
    <row r="345" spans="1:5" ht="12.75">
      <c r="A345" s="6" t="s">
        <v>1330</v>
      </c>
      <c r="B345" s="44" t="s">
        <v>874</v>
      </c>
      <c r="C345" s="36" t="s">
        <v>875</v>
      </c>
      <c r="D345" s="6" t="s">
        <v>2828</v>
      </c>
      <c r="E345" s="6"/>
    </row>
    <row r="346" spans="1:5" ht="12.75">
      <c r="A346" s="6" t="s">
        <v>1330</v>
      </c>
      <c r="B346" s="44" t="s">
        <v>876</v>
      </c>
      <c r="C346" s="36" t="s">
        <v>877</v>
      </c>
      <c r="D346" s="6" t="s">
        <v>2829</v>
      </c>
      <c r="E346" s="6"/>
    </row>
    <row r="347" spans="1:5" ht="12.75">
      <c r="A347" s="6" t="s">
        <v>1330</v>
      </c>
      <c r="B347" s="44" t="s">
        <v>878</v>
      </c>
      <c r="C347" s="36" t="s">
        <v>879</v>
      </c>
      <c r="D347" s="6" t="s">
        <v>2830</v>
      </c>
      <c r="E347" s="6"/>
    </row>
    <row r="348" spans="1:5" ht="12.75">
      <c r="A348" s="6" t="s">
        <v>1330</v>
      </c>
      <c r="B348" s="44" t="s">
        <v>880</v>
      </c>
      <c r="C348" s="36" t="s">
        <v>881</v>
      </c>
      <c r="D348" s="6" t="s">
        <v>2831</v>
      </c>
      <c r="E348" s="6"/>
    </row>
    <row r="349" spans="1:5" ht="12.75">
      <c r="A349" s="6" t="s">
        <v>1330</v>
      </c>
      <c r="B349" s="44" t="s">
        <v>882</v>
      </c>
      <c r="C349" s="36" t="s">
        <v>883</v>
      </c>
      <c r="D349" s="6" t="s">
        <v>2832</v>
      </c>
      <c r="E349" s="6"/>
    </row>
    <row r="350" spans="1:5" ht="12.75">
      <c r="A350" s="6" t="s">
        <v>1330</v>
      </c>
      <c r="B350" s="44" t="s">
        <v>884</v>
      </c>
      <c r="C350" s="36" t="s">
        <v>885</v>
      </c>
      <c r="D350" s="6" t="s">
        <v>2833</v>
      </c>
      <c r="E350" s="6"/>
    </row>
    <row r="351" spans="1:5" ht="12.75">
      <c r="A351" s="6" t="s">
        <v>1330</v>
      </c>
      <c r="B351" s="44" t="s">
        <v>886</v>
      </c>
      <c r="C351" s="36" t="s">
        <v>887</v>
      </c>
      <c r="D351" s="6" t="s">
        <v>2834</v>
      </c>
      <c r="E351" s="6"/>
    </row>
    <row r="352" spans="1:5" ht="12.75">
      <c r="A352" s="6" t="s">
        <v>1330</v>
      </c>
      <c r="B352" s="44" t="s">
        <v>888</v>
      </c>
      <c r="C352" s="36" t="s">
        <v>889</v>
      </c>
      <c r="D352" s="6" t="s">
        <v>2835</v>
      </c>
      <c r="E352" s="6"/>
    </row>
    <row r="353" spans="1:5" ht="12.75">
      <c r="A353" s="6" t="s">
        <v>1330</v>
      </c>
      <c r="B353" s="44" t="s">
        <v>890</v>
      </c>
      <c r="C353" s="44" t="s">
        <v>891</v>
      </c>
      <c r="D353" s="6" t="s">
        <v>2836</v>
      </c>
      <c r="E353" s="6"/>
    </row>
    <row r="354" spans="1:5" ht="12.75">
      <c r="A354" s="6" t="s">
        <v>1330</v>
      </c>
      <c r="B354" s="44" t="s">
        <v>892</v>
      </c>
      <c r="C354" s="36" t="s">
        <v>893</v>
      </c>
      <c r="D354" s="6" t="s">
        <v>2837</v>
      </c>
      <c r="E354" s="6"/>
    </row>
    <row r="355" spans="1:5" ht="12.75">
      <c r="A355" s="6" t="s">
        <v>1330</v>
      </c>
      <c r="B355" s="44" t="s">
        <v>894</v>
      </c>
      <c r="C355" s="44" t="s">
        <v>895</v>
      </c>
      <c r="D355" s="6" t="s">
        <v>2838</v>
      </c>
      <c r="E355" s="6"/>
    </row>
    <row r="356" spans="1:5" ht="12.75">
      <c r="A356" s="6" t="s">
        <v>1330</v>
      </c>
      <c r="B356" s="44" t="s">
        <v>896</v>
      </c>
      <c r="C356" s="44" t="s">
        <v>897</v>
      </c>
      <c r="D356" s="6" t="s">
        <v>2839</v>
      </c>
      <c r="E356" s="6"/>
    </row>
    <row r="357" spans="1:5" ht="12.75">
      <c r="A357" s="6" t="s">
        <v>1330</v>
      </c>
      <c r="B357" s="44" t="s">
        <v>898</v>
      </c>
      <c r="C357" s="36" t="s">
        <v>899</v>
      </c>
      <c r="D357" s="6" t="s">
        <v>2840</v>
      </c>
      <c r="E357" s="6"/>
    </row>
    <row r="358" spans="1:5" ht="12.75">
      <c r="A358" s="6" t="s">
        <v>1330</v>
      </c>
      <c r="B358" s="44" t="s">
        <v>900</v>
      </c>
      <c r="C358" s="36" t="s">
        <v>901</v>
      </c>
      <c r="D358" s="6" t="s">
        <v>2841</v>
      </c>
      <c r="E358" s="6"/>
    </row>
    <row r="359" spans="1:5" ht="12.75">
      <c r="A359" s="6" t="s">
        <v>1330</v>
      </c>
      <c r="B359" s="44" t="s">
        <v>902</v>
      </c>
      <c r="C359" s="36" t="s">
        <v>903</v>
      </c>
      <c r="D359" s="6" t="s">
        <v>2842</v>
      </c>
      <c r="E359" s="6"/>
    </row>
    <row r="360" spans="1:5" ht="12.75">
      <c r="A360" s="6" t="s">
        <v>1330</v>
      </c>
      <c r="B360" s="44" t="s">
        <v>904</v>
      </c>
      <c r="C360" s="91" t="s">
        <v>905</v>
      </c>
      <c r="D360" s="6" t="s">
        <v>2843</v>
      </c>
      <c r="E360" s="6"/>
    </row>
    <row r="361" spans="1:5" ht="12.75">
      <c r="A361" s="6" t="s">
        <v>1330</v>
      </c>
      <c r="B361" s="44" t="s">
        <v>906</v>
      </c>
      <c r="C361" s="44" t="s">
        <v>907</v>
      </c>
      <c r="D361" s="6" t="s">
        <v>2844</v>
      </c>
      <c r="E361" s="6"/>
    </row>
    <row r="362" spans="1:5" ht="12.75">
      <c r="A362" s="6" t="s">
        <v>1330</v>
      </c>
      <c r="B362" s="44" t="s">
        <v>908</v>
      </c>
      <c r="C362" s="36" t="s">
        <v>909</v>
      </c>
      <c r="D362" s="6" t="s">
        <v>2845</v>
      </c>
      <c r="E362" s="6"/>
    </row>
    <row r="363" spans="1:5" ht="12.75">
      <c r="A363" s="6" t="s">
        <v>1330</v>
      </c>
      <c r="B363" s="44" t="s">
        <v>910</v>
      </c>
      <c r="C363" s="91" t="s">
        <v>911</v>
      </c>
      <c r="D363" s="6" t="s">
        <v>2846</v>
      </c>
      <c r="E363" s="6"/>
    </row>
    <row r="364" spans="1:5" ht="12.75">
      <c r="A364" s="6" t="s">
        <v>1330</v>
      </c>
      <c r="B364" s="44" t="s">
        <v>912</v>
      </c>
      <c r="C364" s="36" t="s">
        <v>913</v>
      </c>
      <c r="D364" s="6" t="s">
        <v>2847</v>
      </c>
      <c r="E364" s="6"/>
    </row>
    <row r="365" spans="1:5" ht="12.75">
      <c r="A365" s="6" t="s">
        <v>1330</v>
      </c>
      <c r="B365" s="44" t="s">
        <v>914</v>
      </c>
      <c r="C365" s="36" t="s">
        <v>915</v>
      </c>
      <c r="D365" s="6" t="s">
        <v>2848</v>
      </c>
      <c r="E365" s="6"/>
    </row>
    <row r="366" spans="1:5" ht="12.75">
      <c r="A366" s="6" t="s">
        <v>1330</v>
      </c>
      <c r="B366" s="44" t="s">
        <v>916</v>
      </c>
      <c r="C366" s="36" t="s">
        <v>917</v>
      </c>
      <c r="D366" s="6" t="s">
        <v>2849</v>
      </c>
      <c r="E366" s="6"/>
    </row>
    <row r="367" spans="1:5" ht="12.75">
      <c r="A367" s="6" t="s">
        <v>1330</v>
      </c>
      <c r="B367" s="44" t="s">
        <v>918</v>
      </c>
      <c r="C367" s="36" t="s">
        <v>919</v>
      </c>
      <c r="D367" s="6" t="s">
        <v>2850</v>
      </c>
      <c r="E367" s="6"/>
    </row>
    <row r="368" spans="1:5" ht="12.75">
      <c r="A368" s="6" t="s">
        <v>1330</v>
      </c>
      <c r="B368" s="44" t="s">
        <v>920</v>
      </c>
      <c r="C368" s="36" t="s">
        <v>921</v>
      </c>
      <c r="D368" s="6" t="s">
        <v>2851</v>
      </c>
      <c r="E368" s="6"/>
    </row>
    <row r="369" spans="1:5" ht="12.75">
      <c r="A369" s="6" t="s">
        <v>1330</v>
      </c>
      <c r="B369" s="44" t="s">
        <v>922</v>
      </c>
      <c r="C369" s="36" t="s">
        <v>923</v>
      </c>
      <c r="D369" s="6" t="s">
        <v>2852</v>
      </c>
      <c r="E369" s="6"/>
    </row>
    <row r="370" spans="1:5" ht="12.75">
      <c r="A370" s="6" t="s">
        <v>1330</v>
      </c>
      <c r="B370" s="44" t="s">
        <v>924</v>
      </c>
      <c r="C370" s="36" t="s">
        <v>925</v>
      </c>
      <c r="D370" s="6" t="s">
        <v>2853</v>
      </c>
      <c r="E370" s="6"/>
    </row>
    <row r="371" spans="1:5" ht="12.75">
      <c r="A371" s="6" t="s">
        <v>1330</v>
      </c>
      <c r="B371" s="44" t="s">
        <v>926</v>
      </c>
      <c r="C371" s="44" t="s">
        <v>927</v>
      </c>
      <c r="D371" s="6" t="s">
        <v>2854</v>
      </c>
      <c r="E371" s="6"/>
    </row>
    <row r="372" spans="1:5" ht="12.75">
      <c r="A372" s="6" t="s">
        <v>1330</v>
      </c>
      <c r="B372" s="44" t="s">
        <v>928</v>
      </c>
      <c r="C372" s="36" t="s">
        <v>929</v>
      </c>
      <c r="D372" s="6" t="s">
        <v>2855</v>
      </c>
      <c r="E372" s="6"/>
    </row>
    <row r="373" spans="1:5" ht="12.75">
      <c r="A373" s="6" t="s">
        <v>1330</v>
      </c>
      <c r="B373" s="44" t="s">
        <v>930</v>
      </c>
      <c r="C373" s="36" t="s">
        <v>931</v>
      </c>
      <c r="D373" s="6" t="s">
        <v>2856</v>
      </c>
      <c r="E373" s="6"/>
    </row>
    <row r="374" spans="1:5" ht="12.75">
      <c r="A374" s="6" t="s">
        <v>1330</v>
      </c>
      <c r="B374" s="44" t="s">
        <v>932</v>
      </c>
      <c r="C374" s="44" t="s">
        <v>933</v>
      </c>
      <c r="D374" s="6" t="s">
        <v>2857</v>
      </c>
      <c r="E374" s="6"/>
    </row>
    <row r="375" spans="1:5" ht="12.75">
      <c r="A375" s="6" t="s">
        <v>1330</v>
      </c>
      <c r="B375" s="44" t="s">
        <v>934</v>
      </c>
      <c r="C375" s="44" t="s">
        <v>935</v>
      </c>
      <c r="D375" s="6" t="s">
        <v>2858</v>
      </c>
      <c r="E375" s="6"/>
    </row>
    <row r="376" spans="1:5" ht="12.75">
      <c r="A376" s="6" t="s">
        <v>1330</v>
      </c>
      <c r="B376" s="44" t="s">
        <v>936</v>
      </c>
      <c r="C376" s="44" t="s">
        <v>937</v>
      </c>
      <c r="D376" s="6" t="s">
        <v>2859</v>
      </c>
      <c r="E376" s="6"/>
    </row>
    <row r="377" spans="1:5" ht="12.75">
      <c r="A377" s="6" t="s">
        <v>1330</v>
      </c>
      <c r="B377" s="44" t="s">
        <v>938</v>
      </c>
      <c r="C377" s="36" t="s">
        <v>939</v>
      </c>
      <c r="D377" s="6" t="s">
        <v>2860</v>
      </c>
      <c r="E377" s="6"/>
    </row>
    <row r="378" spans="1:5" ht="12.75">
      <c r="A378" s="6" t="s">
        <v>1330</v>
      </c>
      <c r="B378" s="44" t="s">
        <v>940</v>
      </c>
      <c r="C378" s="44" t="s">
        <v>941</v>
      </c>
      <c r="D378" s="6" t="s">
        <v>2861</v>
      </c>
      <c r="E378" s="6"/>
    </row>
    <row r="379" spans="1:5" ht="12.75">
      <c r="A379" s="6" t="s">
        <v>1330</v>
      </c>
      <c r="B379" s="44" t="s">
        <v>942</v>
      </c>
      <c r="C379" s="36" t="s">
        <v>943</v>
      </c>
      <c r="D379" s="6" t="s">
        <v>2862</v>
      </c>
      <c r="E379" s="6"/>
    </row>
    <row r="380" spans="1:5" ht="12.75">
      <c r="A380" s="6" t="s">
        <v>1330</v>
      </c>
      <c r="B380" s="44" t="s">
        <v>944</v>
      </c>
      <c r="C380" s="36" t="s">
        <v>945</v>
      </c>
      <c r="D380" s="6" t="s">
        <v>2863</v>
      </c>
      <c r="E380" s="6"/>
    </row>
    <row r="381" spans="1:5" ht="12.75">
      <c r="A381" s="6" t="s">
        <v>1330</v>
      </c>
      <c r="B381" s="44" t="s">
        <v>946</v>
      </c>
      <c r="C381" s="36" t="s">
        <v>947</v>
      </c>
      <c r="D381" s="6" t="s">
        <v>2864</v>
      </c>
      <c r="E381" s="6"/>
    </row>
    <row r="382" spans="1:5" ht="12.75">
      <c r="A382" s="6" t="s">
        <v>1330</v>
      </c>
      <c r="B382" s="44" t="s">
        <v>948</v>
      </c>
      <c r="C382" s="36" t="s">
        <v>949</v>
      </c>
      <c r="D382" s="6" t="s">
        <v>2865</v>
      </c>
      <c r="E382" s="6"/>
    </row>
    <row r="383" spans="1:5" ht="12.75">
      <c r="A383" s="6" t="s">
        <v>1330</v>
      </c>
      <c r="B383" s="44" t="s">
        <v>950</v>
      </c>
      <c r="C383" s="44" t="s">
        <v>951</v>
      </c>
      <c r="D383" s="6" t="s">
        <v>2866</v>
      </c>
      <c r="E383" s="6"/>
    </row>
    <row r="384" spans="1:5" ht="12.75">
      <c r="A384" s="6" t="s">
        <v>1330</v>
      </c>
      <c r="B384" s="44" t="s">
        <v>952</v>
      </c>
      <c r="C384" s="36" t="s">
        <v>953</v>
      </c>
      <c r="D384" s="6" t="s">
        <v>2867</v>
      </c>
      <c r="E384" s="6"/>
    </row>
    <row r="385" spans="1:5" ht="12.75">
      <c r="A385" s="6" t="s">
        <v>1330</v>
      </c>
      <c r="B385" s="44" t="s">
        <v>954</v>
      </c>
      <c r="C385" s="36" t="s">
        <v>955</v>
      </c>
      <c r="D385" s="6" t="s">
        <v>2868</v>
      </c>
      <c r="E385" s="6"/>
    </row>
    <row r="386" spans="1:5" ht="12.75">
      <c r="A386" s="6" t="s">
        <v>1330</v>
      </c>
      <c r="B386" s="44" t="s">
        <v>956</v>
      </c>
      <c r="C386" s="44" t="s">
        <v>957</v>
      </c>
      <c r="D386" s="6" t="s">
        <v>2869</v>
      </c>
      <c r="E386" s="6"/>
    </row>
    <row r="387" spans="1:5" ht="12.75">
      <c r="A387" s="6" t="s">
        <v>1330</v>
      </c>
      <c r="B387" s="44" t="s">
        <v>958</v>
      </c>
      <c r="C387" s="36" t="s">
        <v>959</v>
      </c>
      <c r="D387" s="6" t="s">
        <v>2870</v>
      </c>
      <c r="E387" s="6"/>
    </row>
    <row r="388" spans="1:5" ht="12.75">
      <c r="A388" s="6" t="s">
        <v>1330</v>
      </c>
      <c r="B388" s="44" t="s">
        <v>960</v>
      </c>
      <c r="C388" s="36" t="s">
        <v>961</v>
      </c>
      <c r="D388" s="6" t="s">
        <v>2871</v>
      </c>
      <c r="E388" s="6"/>
    </row>
    <row r="389" spans="1:5" ht="12.75">
      <c r="A389" s="6" t="s">
        <v>1330</v>
      </c>
      <c r="B389" s="44" t="s">
        <v>962</v>
      </c>
      <c r="C389" s="36" t="s">
        <v>963</v>
      </c>
      <c r="D389" s="6" t="s">
        <v>2872</v>
      </c>
      <c r="E389" s="6"/>
    </row>
    <row r="390" spans="1:5" ht="12.75">
      <c r="A390" s="6" t="s">
        <v>1330</v>
      </c>
      <c r="B390" s="44" t="s">
        <v>964</v>
      </c>
      <c r="C390" s="36" t="s">
        <v>965</v>
      </c>
      <c r="D390" s="6" t="s">
        <v>2873</v>
      </c>
      <c r="E390" s="6"/>
    </row>
    <row r="391" spans="1:5" ht="12.75">
      <c r="A391" s="6" t="s">
        <v>1330</v>
      </c>
      <c r="B391" s="44" t="s">
        <v>966</v>
      </c>
      <c r="C391" s="36" t="s">
        <v>967</v>
      </c>
      <c r="D391" s="6" t="s">
        <v>2874</v>
      </c>
      <c r="E391" s="6"/>
    </row>
    <row r="392" spans="1:5" ht="12.75">
      <c r="A392" s="6" t="s">
        <v>1330</v>
      </c>
      <c r="B392" s="44" t="s">
        <v>968</v>
      </c>
      <c r="C392" s="36" t="s">
        <v>969</v>
      </c>
      <c r="D392" s="6" t="s">
        <v>2875</v>
      </c>
      <c r="E392" s="6"/>
    </row>
    <row r="393" spans="1:5" ht="12.75">
      <c r="A393" s="6" t="s">
        <v>1330</v>
      </c>
      <c r="B393" s="44" t="s">
        <v>970</v>
      </c>
      <c r="C393" s="53" t="s">
        <v>971</v>
      </c>
      <c r="D393" s="6" t="s">
        <v>4170</v>
      </c>
      <c r="E393" s="6"/>
    </row>
    <row r="394" spans="1:5" ht="12.75">
      <c r="A394" s="6" t="s">
        <v>1330</v>
      </c>
      <c r="B394" s="44" t="s">
        <v>972</v>
      </c>
      <c r="C394" s="36" t="s">
        <v>973</v>
      </c>
      <c r="D394" s="6" t="s">
        <v>2876</v>
      </c>
      <c r="E394" s="6"/>
    </row>
    <row r="395" spans="1:5" ht="12.75">
      <c r="A395" s="6" t="s">
        <v>1330</v>
      </c>
      <c r="B395" s="44" t="s">
        <v>974</v>
      </c>
      <c r="C395" s="36" t="s">
        <v>975</v>
      </c>
      <c r="D395" s="6" t="s">
        <v>2877</v>
      </c>
      <c r="E395" s="6"/>
    </row>
    <row r="396" spans="1:5" ht="12.75">
      <c r="A396" s="6" t="s">
        <v>1330</v>
      </c>
      <c r="B396" s="44" t="s">
        <v>976</v>
      </c>
      <c r="C396" s="36" t="s">
        <v>977</v>
      </c>
      <c r="D396" s="6" t="s">
        <v>2878</v>
      </c>
      <c r="E396" s="6"/>
    </row>
    <row r="397" spans="1:5" ht="12.75">
      <c r="A397" s="6" t="s">
        <v>1330</v>
      </c>
      <c r="B397" s="44" t="s">
        <v>978</v>
      </c>
      <c r="C397" s="36" t="s">
        <v>979</v>
      </c>
      <c r="D397" s="6" t="s">
        <v>2879</v>
      </c>
      <c r="E397" s="6"/>
    </row>
    <row r="398" spans="1:5" ht="12.75">
      <c r="A398" s="6" t="s">
        <v>1330</v>
      </c>
      <c r="B398" s="44" t="s">
        <v>980</v>
      </c>
      <c r="C398" s="91" t="s">
        <v>981</v>
      </c>
      <c r="D398" s="6" t="s">
        <v>2880</v>
      </c>
      <c r="E398" s="6"/>
    </row>
    <row r="399" spans="1:5" ht="12.75">
      <c r="A399" s="6" t="s">
        <v>1330</v>
      </c>
      <c r="B399" s="44" t="s">
        <v>982</v>
      </c>
      <c r="C399" s="36" t="s">
        <v>983</v>
      </c>
      <c r="D399" s="6" t="s">
        <v>2881</v>
      </c>
      <c r="E399" s="6"/>
    </row>
    <row r="400" spans="1:5" ht="12.75">
      <c r="A400" s="6" t="s">
        <v>1330</v>
      </c>
      <c r="B400" s="44" t="s">
        <v>984</v>
      </c>
      <c r="C400" s="44" t="s">
        <v>985</v>
      </c>
      <c r="D400" s="6" t="s">
        <v>2882</v>
      </c>
      <c r="E400" s="6"/>
    </row>
    <row r="401" spans="1:5" ht="12.75">
      <c r="A401" s="6" t="s">
        <v>1330</v>
      </c>
      <c r="B401" s="44" t="s">
        <v>986</v>
      </c>
      <c r="C401" s="44" t="s">
        <v>987</v>
      </c>
      <c r="D401" s="6" t="s">
        <v>2883</v>
      </c>
      <c r="E401" s="6"/>
    </row>
    <row r="402" spans="1:5" ht="12.75">
      <c r="A402" s="6" t="s">
        <v>1330</v>
      </c>
      <c r="B402" s="44" t="s">
        <v>988</v>
      </c>
      <c r="C402" s="44" t="s">
        <v>989</v>
      </c>
      <c r="D402" s="6" t="s">
        <v>2884</v>
      </c>
      <c r="E402" s="6"/>
    </row>
    <row r="403" spans="1:5" ht="12.75">
      <c r="A403" s="6" t="s">
        <v>1330</v>
      </c>
      <c r="B403" s="44" t="s">
        <v>990</v>
      </c>
      <c r="C403" s="36" t="s">
        <v>991</v>
      </c>
      <c r="D403" s="6" t="s">
        <v>2885</v>
      </c>
      <c r="E403" s="6"/>
    </row>
    <row r="404" spans="1:5" ht="12.75">
      <c r="A404" s="6" t="s">
        <v>1330</v>
      </c>
      <c r="B404" s="44" t="s">
        <v>992</v>
      </c>
      <c r="C404" s="44" t="s">
        <v>993</v>
      </c>
      <c r="D404" s="6" t="s">
        <v>2886</v>
      </c>
      <c r="E404" s="6"/>
    </row>
    <row r="405" spans="1:5" ht="12.75">
      <c r="A405" s="6" t="s">
        <v>1330</v>
      </c>
      <c r="B405" s="44" t="s">
        <v>994</v>
      </c>
      <c r="C405" s="36" t="s">
        <v>995</v>
      </c>
      <c r="D405" s="6" t="s">
        <v>2887</v>
      </c>
      <c r="E405" s="6"/>
    </row>
    <row r="406" spans="1:5" ht="12.75">
      <c r="A406" s="6" t="s">
        <v>1330</v>
      </c>
      <c r="B406" s="44" t="s">
        <v>996</v>
      </c>
      <c r="C406" s="36" t="s">
        <v>997</v>
      </c>
      <c r="D406" s="6" t="s">
        <v>2888</v>
      </c>
      <c r="E406" s="6"/>
    </row>
    <row r="407" spans="1:5" ht="12.75">
      <c r="A407" s="6" t="s">
        <v>1330</v>
      </c>
      <c r="B407" s="44" t="s">
        <v>998</v>
      </c>
      <c r="C407" s="44" t="s">
        <v>999</v>
      </c>
      <c r="D407" s="6" t="s">
        <v>2889</v>
      </c>
      <c r="E407" s="6"/>
    </row>
    <row r="408" spans="1:5" ht="12.75">
      <c r="A408" s="6" t="s">
        <v>1330</v>
      </c>
      <c r="B408" s="44" t="s">
        <v>1000</v>
      </c>
      <c r="C408" s="44" t="s">
        <v>1001</v>
      </c>
      <c r="D408" s="6" t="s">
        <v>2890</v>
      </c>
      <c r="E408" s="6"/>
    </row>
    <row r="409" spans="1:5" ht="12.75">
      <c r="A409" s="6" t="s">
        <v>1330</v>
      </c>
      <c r="B409" s="44" t="s">
        <v>1002</v>
      </c>
      <c r="C409" s="36" t="s">
        <v>1003</v>
      </c>
      <c r="D409" s="6" t="s">
        <v>2891</v>
      </c>
      <c r="E409" s="6"/>
    </row>
    <row r="410" spans="1:5" ht="12.75">
      <c r="A410" s="6" t="s">
        <v>1330</v>
      </c>
      <c r="B410" s="44" t="s">
        <v>1004</v>
      </c>
      <c r="C410" s="36" t="s">
        <v>1005</v>
      </c>
      <c r="D410" s="6" t="s">
        <v>2892</v>
      </c>
      <c r="E410" s="6"/>
    </row>
    <row r="411" spans="1:5" ht="12.75">
      <c r="A411" s="6" t="s">
        <v>1330</v>
      </c>
      <c r="B411" s="44" t="s">
        <v>1006</v>
      </c>
      <c r="C411" s="36" t="s">
        <v>1007</v>
      </c>
      <c r="D411" s="6" t="s">
        <v>2893</v>
      </c>
      <c r="E411" s="6"/>
    </row>
    <row r="412" spans="1:5" ht="12.75">
      <c r="A412" s="6" t="s">
        <v>1330</v>
      </c>
      <c r="B412" s="44" t="s">
        <v>1008</v>
      </c>
      <c r="C412" s="36" t="s">
        <v>1009</v>
      </c>
      <c r="D412" s="6" t="s">
        <v>2894</v>
      </c>
      <c r="E412" s="6"/>
    </row>
    <row r="413" spans="1:5" ht="12.75">
      <c r="A413" s="6" t="s">
        <v>1330</v>
      </c>
      <c r="B413" s="44" t="s">
        <v>1010</v>
      </c>
      <c r="C413" s="36" t="s">
        <v>1011</v>
      </c>
      <c r="D413" s="6" t="s">
        <v>2895</v>
      </c>
      <c r="E413" s="6"/>
    </row>
    <row r="414" spans="1:5" ht="12.75">
      <c r="A414" s="6" t="s">
        <v>1330</v>
      </c>
      <c r="B414" s="44" t="s">
        <v>1012</v>
      </c>
      <c r="C414" s="36" t="s">
        <v>1013</v>
      </c>
      <c r="D414" s="6" t="s">
        <v>2896</v>
      </c>
      <c r="E414" s="6"/>
    </row>
    <row r="415" spans="1:5" ht="12.75">
      <c r="A415" s="6" t="s">
        <v>1330</v>
      </c>
      <c r="B415" s="44" t="s">
        <v>1014</v>
      </c>
      <c r="C415" s="36" t="s">
        <v>1015</v>
      </c>
      <c r="D415" s="6" t="s">
        <v>2897</v>
      </c>
      <c r="E415" s="6"/>
    </row>
    <row r="416" spans="1:5" ht="12.75">
      <c r="A416" s="6" t="s">
        <v>1330</v>
      </c>
      <c r="B416" s="44" t="s">
        <v>1016</v>
      </c>
      <c r="C416" s="36" t="s">
        <v>1017</v>
      </c>
      <c r="D416" s="6" t="s">
        <v>2898</v>
      </c>
      <c r="E416" s="6"/>
    </row>
    <row r="417" spans="1:5" ht="12.75">
      <c r="A417" s="6" t="s">
        <v>1330</v>
      </c>
      <c r="B417" s="44" t="s">
        <v>1018</v>
      </c>
      <c r="C417" s="36" t="s">
        <v>1019</v>
      </c>
      <c r="D417" s="6" t="s">
        <v>2899</v>
      </c>
      <c r="E417" s="6"/>
    </row>
    <row r="418" spans="1:5" ht="12.75">
      <c r="A418" s="6" t="s">
        <v>1330</v>
      </c>
      <c r="B418" s="44" t="s">
        <v>1020</v>
      </c>
      <c r="C418" s="36" t="s">
        <v>1021</v>
      </c>
      <c r="D418" s="6" t="s">
        <v>2900</v>
      </c>
      <c r="E418" s="6"/>
    </row>
    <row r="419" spans="1:5" ht="12.75">
      <c r="A419" s="6" t="s">
        <v>1330</v>
      </c>
      <c r="B419" s="44" t="s">
        <v>1022</v>
      </c>
      <c r="C419" s="36" t="s">
        <v>1023</v>
      </c>
      <c r="D419" s="6" t="s">
        <v>2901</v>
      </c>
      <c r="E419" s="6"/>
    </row>
    <row r="420" spans="1:5" ht="12.75">
      <c r="A420" s="6" t="s">
        <v>1330</v>
      </c>
      <c r="B420" s="44" t="s">
        <v>1024</v>
      </c>
      <c r="C420" s="44" t="s">
        <v>1025</v>
      </c>
      <c r="D420" s="6" t="s">
        <v>2902</v>
      </c>
      <c r="E420" s="6"/>
    </row>
    <row r="421" spans="1:5" ht="12.75">
      <c r="A421" s="6" t="s">
        <v>1330</v>
      </c>
      <c r="B421" s="44" t="s">
        <v>1026</v>
      </c>
      <c r="C421" s="36" t="s">
        <v>1027</v>
      </c>
      <c r="D421" s="6" t="s">
        <v>2903</v>
      </c>
      <c r="E421" s="6"/>
    </row>
    <row r="422" spans="1:5" ht="12.75">
      <c r="A422" s="6" t="s">
        <v>1330</v>
      </c>
      <c r="B422" s="44" t="s">
        <v>1028</v>
      </c>
      <c r="C422" s="36" t="s">
        <v>1029</v>
      </c>
      <c r="D422" s="6" t="s">
        <v>2904</v>
      </c>
      <c r="E422" s="6"/>
    </row>
    <row r="423" spans="1:5" ht="12.75">
      <c r="A423" s="6" t="s">
        <v>1330</v>
      </c>
      <c r="B423" s="44" t="s">
        <v>1030</v>
      </c>
      <c r="C423" s="36" t="s">
        <v>1031</v>
      </c>
      <c r="D423" s="6" t="s">
        <v>2905</v>
      </c>
      <c r="E423" s="6"/>
    </row>
    <row r="424" spans="1:5" ht="12.75">
      <c r="A424" s="6" t="s">
        <v>1330</v>
      </c>
      <c r="B424" s="44" t="s">
        <v>1032</v>
      </c>
      <c r="C424" s="44" t="s">
        <v>1033</v>
      </c>
      <c r="D424" s="6" t="s">
        <v>2906</v>
      </c>
      <c r="E424" s="6"/>
    </row>
    <row r="425" spans="1:5" ht="12.75">
      <c r="A425" s="6" t="s">
        <v>1330</v>
      </c>
      <c r="B425" s="44" t="s">
        <v>1034</v>
      </c>
      <c r="C425" s="36" t="s">
        <v>1035</v>
      </c>
      <c r="D425" s="6" t="s">
        <v>2907</v>
      </c>
      <c r="E425" s="6"/>
    </row>
    <row r="426" spans="1:5" ht="12.75">
      <c r="A426" s="6" t="s">
        <v>1330</v>
      </c>
      <c r="B426" s="44" t="s">
        <v>1036</v>
      </c>
      <c r="C426" s="36" t="s">
        <v>1037</v>
      </c>
      <c r="D426" s="6" t="s">
        <v>2907</v>
      </c>
      <c r="E426" s="6"/>
    </row>
    <row r="427" spans="1:5" ht="12.75">
      <c r="A427" s="6" t="s">
        <v>1330</v>
      </c>
      <c r="B427" s="44" t="s">
        <v>1038</v>
      </c>
      <c r="C427" s="44" t="s">
        <v>1039</v>
      </c>
      <c r="D427" s="6" t="s">
        <v>2908</v>
      </c>
      <c r="E427" s="6"/>
    </row>
    <row r="428" spans="1:5" ht="12.75">
      <c r="A428" s="6" t="s">
        <v>1330</v>
      </c>
      <c r="B428" s="44" t="s">
        <v>1040</v>
      </c>
      <c r="C428" s="36" t="s">
        <v>1041</v>
      </c>
      <c r="D428" s="6" t="s">
        <v>2909</v>
      </c>
      <c r="E428" s="6"/>
    </row>
    <row r="429" spans="1:5" ht="12.75">
      <c r="A429" s="6" t="s">
        <v>1330</v>
      </c>
      <c r="B429" s="44" t="s">
        <v>1042</v>
      </c>
      <c r="C429" s="44" t="s">
        <v>1043</v>
      </c>
      <c r="D429" s="6" t="s">
        <v>2910</v>
      </c>
      <c r="E429" s="6"/>
    </row>
    <row r="430" spans="1:5" ht="12.75">
      <c r="A430" s="6" t="s">
        <v>1330</v>
      </c>
      <c r="B430" s="44" t="s">
        <v>1044</v>
      </c>
      <c r="C430" s="36" t="s">
        <v>1045</v>
      </c>
      <c r="D430" s="6" t="s">
        <v>2911</v>
      </c>
      <c r="E430" s="6"/>
    </row>
    <row r="431" spans="1:5" ht="12.75">
      <c r="A431" s="6" t="s">
        <v>1330</v>
      </c>
      <c r="B431" s="44" t="s">
        <v>1046</v>
      </c>
      <c r="C431" s="44" t="s">
        <v>1047</v>
      </c>
      <c r="D431" s="6" t="s">
        <v>2912</v>
      </c>
      <c r="E431" s="6"/>
    </row>
    <row r="432" spans="1:5" ht="12.75">
      <c r="A432" s="6" t="s">
        <v>1330</v>
      </c>
      <c r="B432" s="44" t="s">
        <v>1048</v>
      </c>
      <c r="C432" s="36" t="s">
        <v>1049</v>
      </c>
      <c r="D432" s="6" t="s">
        <v>2913</v>
      </c>
      <c r="E432" s="6"/>
    </row>
    <row r="433" spans="1:5" ht="12.75">
      <c r="A433" s="6" t="s">
        <v>1330</v>
      </c>
      <c r="B433" s="44" t="s">
        <v>1050</v>
      </c>
      <c r="C433" s="44" t="s">
        <v>1051</v>
      </c>
      <c r="D433" s="6" t="s">
        <v>2914</v>
      </c>
      <c r="E433" s="6"/>
    </row>
    <row r="434" spans="1:5" ht="12.75">
      <c r="A434" s="6" t="s">
        <v>1330</v>
      </c>
      <c r="B434" s="44" t="s">
        <v>1052</v>
      </c>
      <c r="C434" s="36" t="s">
        <v>1053</v>
      </c>
      <c r="D434" s="6" t="s">
        <v>2915</v>
      </c>
      <c r="E434" s="6"/>
    </row>
    <row r="435" spans="1:5" ht="12.75">
      <c r="A435" s="6" t="s">
        <v>1330</v>
      </c>
      <c r="B435" s="44" t="s">
        <v>1054</v>
      </c>
      <c r="C435" s="36" t="s">
        <v>1055</v>
      </c>
      <c r="D435" s="6" t="s">
        <v>2916</v>
      </c>
      <c r="E435" s="6"/>
    </row>
    <row r="436" spans="1:5" ht="12.75">
      <c r="A436" s="6" t="s">
        <v>1330</v>
      </c>
      <c r="B436" s="44" t="s">
        <v>1056</v>
      </c>
      <c r="C436" s="36" t="s">
        <v>1057</v>
      </c>
      <c r="D436" s="6" t="s">
        <v>2917</v>
      </c>
      <c r="E436" s="6"/>
    </row>
    <row r="437" spans="1:5" ht="12.75">
      <c r="A437" s="6" t="s">
        <v>1330</v>
      </c>
      <c r="B437" s="44" t="s">
        <v>1058</v>
      </c>
      <c r="C437" s="44" t="s">
        <v>1059</v>
      </c>
      <c r="D437" s="6" t="s">
        <v>2918</v>
      </c>
      <c r="E437" s="6"/>
    </row>
    <row r="438" spans="1:5" ht="12.75">
      <c r="A438" s="6" t="s">
        <v>1330</v>
      </c>
      <c r="B438" s="44" t="s">
        <v>1060</v>
      </c>
      <c r="C438" s="36" t="s">
        <v>1061</v>
      </c>
      <c r="D438" s="6" t="s">
        <v>2919</v>
      </c>
      <c r="E438" s="6"/>
    </row>
    <row r="439" spans="1:5" ht="12.75">
      <c r="A439" s="6" t="s">
        <v>1330</v>
      </c>
      <c r="B439" s="44" t="s">
        <v>1062</v>
      </c>
      <c r="C439" s="36" t="s">
        <v>1063</v>
      </c>
      <c r="D439" s="6" t="s">
        <v>2920</v>
      </c>
      <c r="E439" s="6"/>
    </row>
    <row r="440" spans="1:5" ht="12.75">
      <c r="A440" s="6" t="s">
        <v>1330</v>
      </c>
      <c r="B440" s="44" t="s">
        <v>1064</v>
      </c>
      <c r="C440" s="36" t="s">
        <v>1065</v>
      </c>
      <c r="D440" s="6" t="s">
        <v>2921</v>
      </c>
      <c r="E440" s="6"/>
    </row>
    <row r="441" spans="1:5" ht="12.75">
      <c r="A441" s="6" t="s">
        <v>1330</v>
      </c>
      <c r="B441" s="44" t="s">
        <v>1066</v>
      </c>
      <c r="C441" s="36" t="s">
        <v>1067</v>
      </c>
      <c r="D441" s="6" t="s">
        <v>2922</v>
      </c>
      <c r="E441" s="6"/>
    </row>
    <row r="442" spans="1:5" ht="12.75">
      <c r="A442" s="6" t="s">
        <v>1330</v>
      </c>
      <c r="B442" s="44" t="s">
        <v>1068</v>
      </c>
      <c r="C442" s="36" t="s">
        <v>1069</v>
      </c>
      <c r="D442" s="6" t="s">
        <v>2923</v>
      </c>
      <c r="E442" s="6"/>
    </row>
    <row r="443" spans="1:5" ht="12.75">
      <c r="A443" s="6" t="s">
        <v>1330</v>
      </c>
      <c r="B443" s="44" t="s">
        <v>1070</v>
      </c>
      <c r="C443" s="36" t="s">
        <v>1071</v>
      </c>
      <c r="D443" s="6" t="s">
        <v>2924</v>
      </c>
      <c r="E443" s="6"/>
    </row>
    <row r="444" spans="1:5" ht="12.75">
      <c r="A444" s="6" t="s">
        <v>1330</v>
      </c>
      <c r="B444" s="44" t="s">
        <v>1072</v>
      </c>
      <c r="C444" s="36" t="s">
        <v>1073</v>
      </c>
      <c r="D444" s="6" t="s">
        <v>2925</v>
      </c>
      <c r="E444" s="6"/>
    </row>
    <row r="445" spans="1:5" ht="12.75">
      <c r="A445" s="6" t="s">
        <v>1330</v>
      </c>
      <c r="B445" s="44" t="s">
        <v>1074</v>
      </c>
      <c r="C445" s="36" t="s">
        <v>1075</v>
      </c>
      <c r="D445" s="6" t="s">
        <v>2926</v>
      </c>
      <c r="E445" s="6"/>
    </row>
    <row r="446" spans="1:5" ht="12.75">
      <c r="A446" s="6" t="s">
        <v>1330</v>
      </c>
      <c r="B446" s="44" t="s">
        <v>1076</v>
      </c>
      <c r="C446" s="36" t="s">
        <v>1077</v>
      </c>
      <c r="D446" s="6" t="s">
        <v>2927</v>
      </c>
      <c r="E446" s="6"/>
    </row>
    <row r="447" spans="1:5" ht="12.75">
      <c r="A447" s="6" t="s">
        <v>1330</v>
      </c>
      <c r="B447" s="44" t="s">
        <v>1078</v>
      </c>
      <c r="C447" s="36" t="s">
        <v>1079</v>
      </c>
      <c r="D447" s="6" t="s">
        <v>2928</v>
      </c>
      <c r="E447" s="6"/>
    </row>
    <row r="448" spans="1:5" ht="12.75">
      <c r="A448" s="6" t="s">
        <v>1330</v>
      </c>
      <c r="B448" s="44" t="s">
        <v>1080</v>
      </c>
      <c r="C448" s="44" t="s">
        <v>1081</v>
      </c>
      <c r="D448" s="6" t="s">
        <v>2929</v>
      </c>
      <c r="E448" s="6"/>
    </row>
    <row r="449" spans="1:5" ht="12.75">
      <c r="A449" s="6" t="s">
        <v>1330</v>
      </c>
      <c r="B449" s="44" t="s">
        <v>1082</v>
      </c>
      <c r="C449" s="36" t="s">
        <v>1083</v>
      </c>
      <c r="D449" s="6" t="s">
        <v>2930</v>
      </c>
      <c r="E449" s="6"/>
    </row>
    <row r="450" spans="1:5" ht="12.75">
      <c r="A450" s="6" t="s">
        <v>1330</v>
      </c>
      <c r="B450" s="44" t="s">
        <v>1084</v>
      </c>
      <c r="C450" s="36" t="s">
        <v>1085</v>
      </c>
      <c r="D450" s="6" t="s">
        <v>2931</v>
      </c>
      <c r="E450" s="6"/>
    </row>
    <row r="451" spans="1:5" ht="12.75">
      <c r="A451" s="6" t="s">
        <v>1330</v>
      </c>
      <c r="B451" s="44" t="s">
        <v>1086</v>
      </c>
      <c r="C451" s="36" t="s">
        <v>1087</v>
      </c>
      <c r="D451" s="6" t="s">
        <v>2932</v>
      </c>
      <c r="E451" s="6"/>
    </row>
    <row r="452" spans="1:5" ht="12.75">
      <c r="A452" s="6" t="s">
        <v>1330</v>
      </c>
      <c r="B452" s="44" t="s">
        <v>1088</v>
      </c>
      <c r="C452" s="36" t="s">
        <v>1089</v>
      </c>
      <c r="D452" s="6" t="s">
        <v>2933</v>
      </c>
      <c r="E452" s="6"/>
    </row>
    <row r="453" spans="1:5" ht="12.75">
      <c r="A453" s="6" t="s">
        <v>1330</v>
      </c>
      <c r="B453" s="44" t="s">
        <v>1090</v>
      </c>
      <c r="C453" s="36" t="s">
        <v>1091</v>
      </c>
      <c r="D453" s="6" t="s">
        <v>2934</v>
      </c>
      <c r="E453" s="6"/>
    </row>
    <row r="454" spans="1:5" ht="12.75">
      <c r="A454" s="6" t="s">
        <v>1330</v>
      </c>
      <c r="B454" s="44" t="s">
        <v>1092</v>
      </c>
      <c r="C454" s="36" t="s">
        <v>1093</v>
      </c>
      <c r="D454" s="6" t="s">
        <v>2935</v>
      </c>
      <c r="E454" s="6"/>
    </row>
    <row r="455" spans="1:5" ht="12.75">
      <c r="A455" s="6" t="s">
        <v>1330</v>
      </c>
      <c r="B455" s="44" t="s">
        <v>1094</v>
      </c>
      <c r="C455" s="36" t="s">
        <v>1095</v>
      </c>
      <c r="D455" s="6" t="s">
        <v>2936</v>
      </c>
      <c r="E455" s="6"/>
    </row>
    <row r="456" spans="1:5" ht="12.75">
      <c r="A456" s="6" t="s">
        <v>1330</v>
      </c>
      <c r="B456" s="44" t="s">
        <v>1096</v>
      </c>
      <c r="C456" s="44" t="s">
        <v>1097</v>
      </c>
      <c r="D456" s="6" t="s">
        <v>2937</v>
      </c>
      <c r="E456" s="6"/>
    </row>
    <row r="457" spans="1:5" ht="12.75">
      <c r="A457" s="6" t="s">
        <v>1330</v>
      </c>
      <c r="B457" s="44" t="s">
        <v>1098</v>
      </c>
      <c r="C457" s="44" t="s">
        <v>1099</v>
      </c>
      <c r="D457" s="6" t="s">
        <v>2938</v>
      </c>
      <c r="E457" s="6"/>
    </row>
    <row r="458" spans="1:5" ht="12.75">
      <c r="A458" s="6" t="s">
        <v>1330</v>
      </c>
      <c r="B458" s="44" t="s">
        <v>1100</v>
      </c>
      <c r="C458" s="36" t="s">
        <v>1101</v>
      </c>
      <c r="D458" s="6" t="s">
        <v>2939</v>
      </c>
      <c r="E458" s="6"/>
    </row>
    <row r="459" spans="1:5" ht="12.75">
      <c r="A459" s="6" t="s">
        <v>1330</v>
      </c>
      <c r="B459" s="44" t="s">
        <v>1102</v>
      </c>
      <c r="C459" s="44" t="s">
        <v>1103</v>
      </c>
      <c r="D459" s="6" t="s">
        <v>2940</v>
      </c>
      <c r="E459" s="6"/>
    </row>
    <row r="460" spans="1:5" ht="12.75">
      <c r="A460" s="6" t="s">
        <v>1330</v>
      </c>
      <c r="B460" s="44" t="s">
        <v>1104</v>
      </c>
      <c r="C460" s="44" t="s">
        <v>1105</v>
      </c>
      <c r="D460" s="6" t="s">
        <v>2941</v>
      </c>
      <c r="E460" s="6"/>
    </row>
    <row r="461" spans="1:5" ht="12.75">
      <c r="A461" s="6" t="s">
        <v>1330</v>
      </c>
      <c r="B461" s="44" t="s">
        <v>1106</v>
      </c>
      <c r="C461" s="36" t="s">
        <v>1107</v>
      </c>
      <c r="D461" s="6" t="s">
        <v>2942</v>
      </c>
      <c r="E461" s="6"/>
    </row>
    <row r="462" spans="1:5" ht="12.75">
      <c r="A462" s="6" t="s">
        <v>1330</v>
      </c>
      <c r="B462" s="44" t="s">
        <v>1108</v>
      </c>
      <c r="C462" s="36" t="s">
        <v>1109</v>
      </c>
      <c r="D462" s="6" t="s">
        <v>2943</v>
      </c>
      <c r="E462" s="6"/>
    </row>
    <row r="463" spans="1:5" ht="12.75">
      <c r="A463" s="6" t="s">
        <v>1330</v>
      </c>
      <c r="B463" s="44" t="s">
        <v>1110</v>
      </c>
      <c r="C463" s="36" t="s">
        <v>1111</v>
      </c>
      <c r="D463" s="6" t="s">
        <v>2944</v>
      </c>
      <c r="E463" s="6"/>
    </row>
    <row r="464" spans="1:5" ht="12.75">
      <c r="A464" s="6" t="s">
        <v>1330</v>
      </c>
      <c r="B464" s="44" t="s">
        <v>1112</v>
      </c>
      <c r="C464" s="36" t="s">
        <v>1113</v>
      </c>
      <c r="D464" s="6" t="s">
        <v>2945</v>
      </c>
      <c r="E464" s="6"/>
    </row>
    <row r="465" spans="1:5" ht="12.75">
      <c r="A465" s="6" t="s">
        <v>1330</v>
      </c>
      <c r="B465" s="44" t="s">
        <v>1114</v>
      </c>
      <c r="C465" s="36" t="s">
        <v>1115</v>
      </c>
      <c r="D465" s="6" t="s">
        <v>2946</v>
      </c>
      <c r="E465" s="6"/>
    </row>
    <row r="466" spans="1:5" ht="12.75">
      <c r="A466" s="6" t="s">
        <v>1330</v>
      </c>
      <c r="B466" s="44" t="s">
        <v>1116</v>
      </c>
      <c r="C466" s="36" t="s">
        <v>1117</v>
      </c>
      <c r="D466" s="6" t="s">
        <v>2947</v>
      </c>
      <c r="E466" s="6"/>
    </row>
    <row r="467" spans="1:5" ht="12.75">
      <c r="A467" s="6" t="s">
        <v>1330</v>
      </c>
      <c r="B467" s="44" t="s">
        <v>1118</v>
      </c>
      <c r="C467" s="36" t="s">
        <v>1119</v>
      </c>
      <c r="D467" s="6" t="s">
        <v>2948</v>
      </c>
      <c r="E467" s="6"/>
    </row>
    <row r="468" spans="1:5" ht="12.75">
      <c r="A468" s="6" t="s">
        <v>1330</v>
      </c>
      <c r="B468" s="44" t="s">
        <v>1120</v>
      </c>
      <c r="C468" s="91" t="s">
        <v>1121</v>
      </c>
      <c r="D468" s="6" t="s">
        <v>2949</v>
      </c>
      <c r="E468" s="6"/>
    </row>
    <row r="469" spans="1:5" ht="12.75">
      <c r="A469" s="6" t="s">
        <v>1330</v>
      </c>
      <c r="B469" s="44" t="s">
        <v>1122</v>
      </c>
      <c r="C469" s="36" t="s">
        <v>1123</v>
      </c>
      <c r="D469" s="6" t="s">
        <v>2950</v>
      </c>
      <c r="E469" s="6"/>
    </row>
    <row r="470" spans="1:5" ht="12.75">
      <c r="A470" s="6" t="s">
        <v>1330</v>
      </c>
      <c r="B470" s="44" t="s">
        <v>1124</v>
      </c>
      <c r="C470" s="36" t="s">
        <v>1125</v>
      </c>
      <c r="D470" s="6" t="s">
        <v>2951</v>
      </c>
      <c r="E470" s="6"/>
    </row>
    <row r="471" spans="1:5" ht="12.75">
      <c r="A471" s="6" t="s">
        <v>1330</v>
      </c>
      <c r="B471" s="44" t="s">
        <v>1126</v>
      </c>
      <c r="C471" s="44" t="s">
        <v>1127</v>
      </c>
      <c r="D471" s="6" t="s">
        <v>2952</v>
      </c>
      <c r="E471" s="6"/>
    </row>
    <row r="472" spans="1:5" ht="12.75">
      <c r="A472" s="6" t="s">
        <v>1330</v>
      </c>
      <c r="B472" s="44" t="s">
        <v>1128</v>
      </c>
      <c r="C472" s="44" t="s">
        <v>1129</v>
      </c>
      <c r="D472" s="6" t="s">
        <v>2953</v>
      </c>
      <c r="E472" s="6"/>
    </row>
    <row r="473" spans="1:5" ht="12.75">
      <c r="A473" s="6" t="s">
        <v>1330</v>
      </c>
      <c r="B473" s="44" t="s">
        <v>1130</v>
      </c>
      <c r="C473" s="36" t="s">
        <v>1131</v>
      </c>
      <c r="D473" s="6" t="s">
        <v>2954</v>
      </c>
      <c r="E473" s="6"/>
    </row>
    <row r="474" spans="1:5" ht="12.75">
      <c r="A474" s="6" t="s">
        <v>1330</v>
      </c>
      <c r="B474" s="44" t="s">
        <v>1132</v>
      </c>
      <c r="C474" s="53" t="s">
        <v>1133</v>
      </c>
      <c r="D474" s="6" t="s">
        <v>2955</v>
      </c>
      <c r="E474" s="6"/>
    </row>
    <row r="475" spans="1:5" ht="12.75">
      <c r="A475" s="6" t="s">
        <v>1330</v>
      </c>
      <c r="B475" s="44" t="s">
        <v>1134</v>
      </c>
      <c r="C475" s="44" t="s">
        <v>1135</v>
      </c>
      <c r="D475" s="6" t="s">
        <v>2956</v>
      </c>
      <c r="E475" s="6"/>
    </row>
    <row r="476" spans="1:5" ht="12.75">
      <c r="A476" s="6" t="s">
        <v>1330</v>
      </c>
      <c r="B476" s="44" t="s">
        <v>1136</v>
      </c>
      <c r="C476" s="36" t="s">
        <v>1137</v>
      </c>
      <c r="D476" s="6" t="s">
        <v>2957</v>
      </c>
      <c r="E476" s="6"/>
    </row>
    <row r="477" spans="1:5" ht="12.75">
      <c r="A477" s="6" t="s">
        <v>1330</v>
      </c>
      <c r="B477" s="44" t="s">
        <v>1138</v>
      </c>
      <c r="C477" s="44" t="s">
        <v>1139</v>
      </c>
      <c r="D477" s="6" t="s">
        <v>2958</v>
      </c>
      <c r="E477" s="6"/>
    </row>
    <row r="478" spans="1:5" ht="12.75">
      <c r="A478" s="6" t="s">
        <v>1330</v>
      </c>
      <c r="B478" s="44" t="s">
        <v>1140</v>
      </c>
      <c r="C478" s="44" t="s">
        <v>1141</v>
      </c>
      <c r="D478" s="6" t="s">
        <v>2959</v>
      </c>
      <c r="E478" s="6"/>
    </row>
    <row r="479" spans="1:5" ht="12.75">
      <c r="A479" s="6" t="s">
        <v>1330</v>
      </c>
      <c r="B479" s="44" t="s">
        <v>1142</v>
      </c>
      <c r="C479" s="36" t="s">
        <v>1143</v>
      </c>
      <c r="D479" s="6" t="s">
        <v>2960</v>
      </c>
      <c r="E479" s="6"/>
    </row>
    <row r="480" spans="1:5" ht="12.75">
      <c r="A480" s="6" t="s">
        <v>1330</v>
      </c>
      <c r="B480" s="44" t="s">
        <v>1144</v>
      </c>
      <c r="C480" s="44" t="s">
        <v>1145</v>
      </c>
      <c r="D480" s="6" t="s">
        <v>2961</v>
      </c>
      <c r="E480" s="6"/>
    </row>
    <row r="481" spans="1:5" ht="12.75">
      <c r="A481" s="6" t="s">
        <v>1330</v>
      </c>
      <c r="B481" s="44" t="s">
        <v>1146</v>
      </c>
      <c r="C481" s="36" t="s">
        <v>1147</v>
      </c>
      <c r="D481" s="6" t="s">
        <v>2962</v>
      </c>
      <c r="E481" s="6"/>
    </row>
    <row r="482" spans="1:5" ht="12.75">
      <c r="A482" s="6" t="s">
        <v>1330</v>
      </c>
      <c r="B482" s="44" t="s">
        <v>1148</v>
      </c>
      <c r="C482" s="36" t="s">
        <v>1149</v>
      </c>
      <c r="D482" s="6" t="s">
        <v>2963</v>
      </c>
      <c r="E482" s="6"/>
    </row>
    <row r="483" spans="1:5" ht="12.75">
      <c r="A483" s="6" t="s">
        <v>1330</v>
      </c>
      <c r="B483" s="44" t="s">
        <v>1150</v>
      </c>
      <c r="C483" s="44" t="s">
        <v>1151</v>
      </c>
      <c r="D483" s="6" t="s">
        <v>2964</v>
      </c>
      <c r="E483" s="6"/>
    </row>
    <row r="484" spans="1:5" ht="12.75">
      <c r="A484" s="6" t="s">
        <v>1330</v>
      </c>
      <c r="B484" s="44" t="s">
        <v>1152</v>
      </c>
      <c r="C484" s="36" t="s">
        <v>1153</v>
      </c>
      <c r="D484" s="6" t="s">
        <v>2965</v>
      </c>
      <c r="E484" s="6"/>
    </row>
    <row r="485" spans="1:5" ht="12.75">
      <c r="A485" s="6" t="s">
        <v>1330</v>
      </c>
      <c r="B485" s="44" t="s">
        <v>1154</v>
      </c>
      <c r="C485" s="36" t="s">
        <v>1155</v>
      </c>
      <c r="D485" s="6" t="s">
        <v>2966</v>
      </c>
      <c r="E485" s="6"/>
    </row>
    <row r="486" spans="1:5" ht="12.75">
      <c r="A486" s="6" t="s">
        <v>1330</v>
      </c>
      <c r="B486" s="44" t="s">
        <v>1156</v>
      </c>
      <c r="C486" s="36" t="s">
        <v>1157</v>
      </c>
      <c r="D486" s="6" t="s">
        <v>2967</v>
      </c>
      <c r="E486" s="6"/>
    </row>
    <row r="487" spans="1:5" ht="12.75">
      <c r="A487" s="6" t="s">
        <v>1330</v>
      </c>
      <c r="B487" s="44" t="s">
        <v>1158</v>
      </c>
      <c r="C487" s="44" t="s">
        <v>1159</v>
      </c>
      <c r="D487" s="6" t="s">
        <v>2968</v>
      </c>
      <c r="E487" s="6"/>
    </row>
    <row r="488" spans="1:5" ht="12.75">
      <c r="A488" s="6" t="s">
        <v>1330</v>
      </c>
      <c r="B488" s="44" t="s">
        <v>1160</v>
      </c>
      <c r="C488" s="36" t="s">
        <v>1161</v>
      </c>
      <c r="D488" s="6" t="s">
        <v>2969</v>
      </c>
      <c r="E488" s="6"/>
    </row>
    <row r="489" spans="1:5" ht="12.75">
      <c r="A489" s="6" t="s">
        <v>1330</v>
      </c>
      <c r="B489" s="44" t="s">
        <v>1162</v>
      </c>
      <c r="C489" s="36" t="s">
        <v>1163</v>
      </c>
      <c r="D489" s="6" t="s">
        <v>2970</v>
      </c>
      <c r="E489" s="6"/>
    </row>
    <row r="490" spans="1:5" ht="12.75">
      <c r="A490" s="6" t="s">
        <v>1330</v>
      </c>
      <c r="B490" s="44" t="s">
        <v>1164</v>
      </c>
      <c r="C490" s="36" t="s">
        <v>1165</v>
      </c>
      <c r="D490" s="6" t="s">
        <v>2971</v>
      </c>
      <c r="E490" s="6"/>
    </row>
    <row r="491" spans="1:5" ht="12.75">
      <c r="A491" s="6" t="s">
        <v>1330</v>
      </c>
      <c r="B491" s="44" t="s">
        <v>1166</v>
      </c>
      <c r="C491" s="36" t="s">
        <v>1167</v>
      </c>
      <c r="D491" s="6" t="s">
        <v>2972</v>
      </c>
      <c r="E491" s="6"/>
    </row>
    <row r="492" spans="1:5" ht="12.75">
      <c r="A492" s="6" t="s">
        <v>1330</v>
      </c>
      <c r="B492" s="44" t="s">
        <v>1168</v>
      </c>
      <c r="C492" s="36" t="s">
        <v>1169</v>
      </c>
      <c r="D492" s="6" t="s">
        <v>2973</v>
      </c>
      <c r="E492" s="6"/>
    </row>
    <row r="493" spans="1:5" ht="12.75">
      <c r="A493" s="6" t="s">
        <v>1330</v>
      </c>
      <c r="B493" s="44" t="s">
        <v>1170</v>
      </c>
      <c r="C493" s="36" t="s">
        <v>1171</v>
      </c>
      <c r="D493" s="6" t="s">
        <v>2974</v>
      </c>
      <c r="E493" s="6"/>
    </row>
    <row r="494" spans="1:5" ht="12.75">
      <c r="A494" s="6" t="s">
        <v>1330</v>
      </c>
      <c r="B494" s="44" t="s">
        <v>1172</v>
      </c>
      <c r="C494" s="36" t="s">
        <v>1173</v>
      </c>
      <c r="D494" s="6" t="s">
        <v>2975</v>
      </c>
      <c r="E494" s="6"/>
    </row>
    <row r="495" spans="1:5" ht="12.75">
      <c r="A495" s="6" t="s">
        <v>1330</v>
      </c>
      <c r="B495" s="44" t="s">
        <v>1174</v>
      </c>
      <c r="C495" s="44" t="s">
        <v>1175</v>
      </c>
      <c r="D495" s="6" t="s">
        <v>2976</v>
      </c>
      <c r="E495" s="6"/>
    </row>
    <row r="496" spans="1:5" ht="12.75">
      <c r="A496" s="6" t="s">
        <v>1330</v>
      </c>
      <c r="B496" s="44" t="s">
        <v>1176</v>
      </c>
      <c r="C496" s="36" t="s">
        <v>1177</v>
      </c>
      <c r="D496" s="6" t="s">
        <v>2977</v>
      </c>
      <c r="E496" s="6"/>
    </row>
    <row r="497" spans="1:5" ht="12.75">
      <c r="A497" s="6" t="s">
        <v>1330</v>
      </c>
      <c r="B497" s="44" t="s">
        <v>1178</v>
      </c>
      <c r="C497" s="36" t="s">
        <v>1179</v>
      </c>
      <c r="D497" s="6" t="s">
        <v>2978</v>
      </c>
      <c r="E497" s="6"/>
    </row>
    <row r="498" spans="1:5" ht="12.75">
      <c r="A498" s="6" t="s">
        <v>1330</v>
      </c>
      <c r="B498" s="44" t="s">
        <v>1180</v>
      </c>
      <c r="C498" s="36" t="s">
        <v>1181</v>
      </c>
      <c r="D498" s="6" t="s">
        <v>2979</v>
      </c>
      <c r="E498" s="6"/>
    </row>
    <row r="499" spans="1:5" ht="12.75">
      <c r="A499" s="6" t="s">
        <v>1330</v>
      </c>
      <c r="B499" s="44" t="s">
        <v>1182</v>
      </c>
      <c r="C499" s="44" t="s">
        <v>1183</v>
      </c>
      <c r="D499" s="6" t="s">
        <v>2980</v>
      </c>
      <c r="E499" s="6"/>
    </row>
    <row r="500" spans="1:5" ht="12.75">
      <c r="A500" s="6" t="s">
        <v>1330</v>
      </c>
      <c r="B500" s="44" t="s">
        <v>1184</v>
      </c>
      <c r="C500" s="36" t="s">
        <v>1185</v>
      </c>
      <c r="D500" s="6" t="s">
        <v>2981</v>
      </c>
      <c r="E500" s="6"/>
    </row>
    <row r="501" spans="1:5" ht="12.75">
      <c r="A501" s="6" t="s">
        <v>1330</v>
      </c>
      <c r="B501" s="44" t="s">
        <v>1186</v>
      </c>
      <c r="C501" s="36" t="s">
        <v>1187</v>
      </c>
      <c r="D501" s="6" t="s">
        <v>2982</v>
      </c>
      <c r="E501" s="6"/>
    </row>
    <row r="502" spans="1:5" ht="12.75">
      <c r="A502" s="6" t="s">
        <v>1330</v>
      </c>
      <c r="B502" s="44" t="s">
        <v>1188</v>
      </c>
      <c r="C502" s="36" t="s">
        <v>1189</v>
      </c>
      <c r="D502" s="6" t="s">
        <v>2983</v>
      </c>
      <c r="E502" s="6"/>
    </row>
    <row r="503" spans="1:5" ht="12.75">
      <c r="A503" s="6" t="s">
        <v>1330</v>
      </c>
      <c r="B503" s="44" t="s">
        <v>1190</v>
      </c>
      <c r="C503" s="44" t="s">
        <v>1191</v>
      </c>
      <c r="D503" s="6" t="s">
        <v>2984</v>
      </c>
      <c r="E503" s="6"/>
    </row>
    <row r="504" spans="1:5" ht="12.75">
      <c r="A504" s="6" t="s">
        <v>1330</v>
      </c>
      <c r="B504" s="44" t="s">
        <v>1192</v>
      </c>
      <c r="C504" s="91" t="s">
        <v>1193</v>
      </c>
      <c r="D504" s="6" t="s">
        <v>2985</v>
      </c>
      <c r="E504" s="6"/>
    </row>
    <row r="505" spans="1:5" ht="12.75">
      <c r="A505" s="6" t="s">
        <v>1330</v>
      </c>
      <c r="B505" s="44" t="s">
        <v>1194</v>
      </c>
      <c r="C505" s="36" t="s">
        <v>1195</v>
      </c>
      <c r="D505" s="6" t="s">
        <v>2986</v>
      </c>
      <c r="E505" s="6"/>
    </row>
    <row r="506" spans="1:5" ht="12.75">
      <c r="A506" s="6" t="s">
        <v>1330</v>
      </c>
      <c r="B506" s="44" t="s">
        <v>1196</v>
      </c>
      <c r="C506" s="36" t="s">
        <v>1197</v>
      </c>
      <c r="D506" s="6" t="s">
        <v>2987</v>
      </c>
      <c r="E506" s="6"/>
    </row>
    <row r="507" spans="1:5" ht="12.75">
      <c r="A507" s="6" t="s">
        <v>1330</v>
      </c>
      <c r="B507" s="44" t="s">
        <v>1198</v>
      </c>
      <c r="C507" s="53" t="s">
        <v>3257</v>
      </c>
      <c r="D507" s="6" t="s">
        <v>2988</v>
      </c>
      <c r="E507" s="6"/>
    </row>
    <row r="508" spans="1:5" ht="12.75">
      <c r="A508" s="6" t="s">
        <v>1330</v>
      </c>
      <c r="B508" s="44" t="s">
        <v>1199</v>
      </c>
      <c r="C508" s="44" t="s">
        <v>1200</v>
      </c>
      <c r="D508" s="6" t="s">
        <v>2989</v>
      </c>
      <c r="E508" s="6"/>
    </row>
    <row r="509" spans="1:5" ht="12.75">
      <c r="A509" s="6" t="s">
        <v>1330</v>
      </c>
      <c r="B509" s="44" t="s">
        <v>1201</v>
      </c>
      <c r="C509" s="36" t="s">
        <v>1202</v>
      </c>
      <c r="D509" s="6" t="s">
        <v>2990</v>
      </c>
      <c r="E509" s="6"/>
    </row>
    <row r="510" spans="1:5" ht="12.75">
      <c r="A510" s="6" t="s">
        <v>1330</v>
      </c>
      <c r="B510" s="53" t="s">
        <v>1203</v>
      </c>
      <c r="C510" s="44" t="s">
        <v>1204</v>
      </c>
      <c r="D510" s="6" t="s">
        <v>2991</v>
      </c>
      <c r="E510" s="6"/>
    </row>
    <row r="511" spans="1:5" ht="12.75">
      <c r="A511" s="6" t="s">
        <v>1330</v>
      </c>
      <c r="B511" s="44" t="s">
        <v>1205</v>
      </c>
      <c r="C511" s="36" t="s">
        <v>1206</v>
      </c>
      <c r="D511" s="6" t="s">
        <v>2992</v>
      </c>
      <c r="E511" s="6"/>
    </row>
    <row r="512" spans="1:5" ht="12.75">
      <c r="A512" s="6" t="s">
        <v>1330</v>
      </c>
      <c r="B512" s="44" t="s">
        <v>1207</v>
      </c>
      <c r="C512" s="44" t="s">
        <v>1208</v>
      </c>
      <c r="D512" s="6" t="s">
        <v>2993</v>
      </c>
      <c r="E512" s="6"/>
    </row>
    <row r="513" spans="1:5" ht="12.75">
      <c r="A513" s="6" t="s">
        <v>1330</v>
      </c>
      <c r="B513" s="44" t="s">
        <v>1209</v>
      </c>
      <c r="C513" s="44" t="s">
        <v>1210</v>
      </c>
      <c r="D513" s="6" t="s">
        <v>2994</v>
      </c>
      <c r="E513" s="6"/>
    </row>
    <row r="514" spans="1:5" ht="12.75">
      <c r="A514" s="6" t="s">
        <v>1330</v>
      </c>
      <c r="B514" s="44" t="s">
        <v>1211</v>
      </c>
      <c r="C514" s="44" t="s">
        <v>891</v>
      </c>
      <c r="D514" s="6" t="s">
        <v>2836</v>
      </c>
      <c r="E514" s="6"/>
    </row>
    <row r="515" spans="1:5" ht="12.75">
      <c r="A515" s="6" t="s">
        <v>1330</v>
      </c>
      <c r="B515" s="44" t="s">
        <v>1212</v>
      </c>
      <c r="C515" s="36" t="s">
        <v>1213</v>
      </c>
      <c r="D515" s="6" t="s">
        <v>2995</v>
      </c>
      <c r="E515" s="6"/>
    </row>
    <row r="516" spans="1:5" ht="12.75">
      <c r="A516" s="6" t="s">
        <v>1330</v>
      </c>
      <c r="B516" s="44" t="s">
        <v>1214</v>
      </c>
      <c r="C516" s="36" t="s">
        <v>1215</v>
      </c>
      <c r="D516" s="6" t="s">
        <v>2996</v>
      </c>
      <c r="E516" s="6"/>
    </row>
    <row r="517" spans="1:5" ht="12.75">
      <c r="A517" s="6" t="s">
        <v>1330</v>
      </c>
      <c r="B517" s="44" t="s">
        <v>1216</v>
      </c>
      <c r="C517" s="36" t="s">
        <v>1217</v>
      </c>
      <c r="D517" s="6" t="s">
        <v>2997</v>
      </c>
      <c r="E517" s="6"/>
    </row>
    <row r="518" spans="1:5" ht="12.75">
      <c r="A518" s="6" t="s">
        <v>1330</v>
      </c>
      <c r="B518" s="44" t="s">
        <v>1218</v>
      </c>
      <c r="C518" s="36" t="s">
        <v>1219</v>
      </c>
      <c r="D518" s="6" t="s">
        <v>2998</v>
      </c>
      <c r="E518" s="6"/>
    </row>
    <row r="519" spans="1:5" ht="12.75">
      <c r="A519" s="6" t="s">
        <v>1330</v>
      </c>
      <c r="B519" s="44" t="s">
        <v>1220</v>
      </c>
      <c r="C519" s="36" t="s">
        <v>1221</v>
      </c>
      <c r="D519" s="6" t="s">
        <v>2999</v>
      </c>
      <c r="E519" s="6"/>
    </row>
    <row r="520" spans="1:5" ht="12.75">
      <c r="A520" s="6" t="s">
        <v>1330</v>
      </c>
      <c r="B520" s="44" t="s">
        <v>1222</v>
      </c>
      <c r="C520" s="36" t="s">
        <v>1223</v>
      </c>
      <c r="D520" s="6" t="s">
        <v>3000</v>
      </c>
      <c r="E520" s="6"/>
    </row>
    <row r="521" spans="1:5" ht="12.75">
      <c r="A521" s="6" t="s">
        <v>1330</v>
      </c>
      <c r="B521" s="44" t="s">
        <v>1224</v>
      </c>
      <c r="C521" s="36" t="s">
        <v>1225</v>
      </c>
      <c r="D521" s="6" t="s">
        <v>3001</v>
      </c>
      <c r="E521" s="6"/>
    </row>
    <row r="522" spans="1:5" ht="12.75">
      <c r="A522" s="6" t="s">
        <v>1330</v>
      </c>
      <c r="B522" s="44" t="s">
        <v>1226</v>
      </c>
      <c r="C522" s="36" t="s">
        <v>1227</v>
      </c>
      <c r="D522" s="6" t="s">
        <v>3002</v>
      </c>
      <c r="E522" s="6"/>
    </row>
    <row r="523" spans="1:5" ht="12.75">
      <c r="A523" s="6" t="s">
        <v>1330</v>
      </c>
      <c r="B523" s="44" t="s">
        <v>1228</v>
      </c>
      <c r="C523" s="36" t="s">
        <v>1229</v>
      </c>
      <c r="D523" s="6" t="s">
        <v>3003</v>
      </c>
      <c r="E523" s="6"/>
    </row>
    <row r="524" spans="1:5" ht="12.75">
      <c r="A524" s="6" t="s">
        <v>1330</v>
      </c>
      <c r="B524" s="44" t="s">
        <v>1230</v>
      </c>
      <c r="C524" s="36" t="s">
        <v>1231</v>
      </c>
      <c r="D524" s="6" t="s">
        <v>3004</v>
      </c>
      <c r="E524" s="6"/>
    </row>
    <row r="525" spans="1:5" ht="12.75">
      <c r="A525" s="6" t="s">
        <v>1330</v>
      </c>
      <c r="B525" s="44" t="s">
        <v>1232</v>
      </c>
      <c r="C525" s="36" t="s">
        <v>1233</v>
      </c>
      <c r="D525" s="6" t="s">
        <v>3005</v>
      </c>
      <c r="E525" s="6"/>
    </row>
    <row r="526" spans="1:5" ht="12.75">
      <c r="A526" s="6" t="s">
        <v>1330</v>
      </c>
      <c r="B526" s="44" t="s">
        <v>1234</v>
      </c>
      <c r="C526" s="36" t="s">
        <v>1235</v>
      </c>
      <c r="D526" s="6" t="s">
        <v>3006</v>
      </c>
      <c r="E526" s="6"/>
    </row>
    <row r="527" spans="1:5" ht="12.75">
      <c r="A527" s="6" t="s">
        <v>1330</v>
      </c>
      <c r="B527" s="44" t="s">
        <v>1236</v>
      </c>
      <c r="C527" s="91" t="s">
        <v>1237</v>
      </c>
      <c r="D527" s="6" t="s">
        <v>3007</v>
      </c>
      <c r="E527" s="6"/>
    </row>
    <row r="528" spans="1:5" ht="12.75">
      <c r="A528" s="6" t="s">
        <v>1330</v>
      </c>
      <c r="B528" s="44" t="s">
        <v>1238</v>
      </c>
      <c r="C528" s="36" t="s">
        <v>1239</v>
      </c>
      <c r="D528" s="6" t="s">
        <v>3008</v>
      </c>
      <c r="E528" s="6"/>
    </row>
    <row r="529" spans="1:5" ht="12.75">
      <c r="A529" s="6" t="s">
        <v>1330</v>
      </c>
      <c r="B529" s="44" t="s">
        <v>1240</v>
      </c>
      <c r="C529" s="36" t="s">
        <v>1241</v>
      </c>
      <c r="D529" s="6" t="s">
        <v>3009</v>
      </c>
      <c r="E529" s="6"/>
    </row>
    <row r="530" spans="1:5" ht="12.75">
      <c r="A530" s="6" t="s">
        <v>1330</v>
      </c>
      <c r="B530" s="44" t="s">
        <v>1242</v>
      </c>
      <c r="C530" s="36" t="s">
        <v>1243</v>
      </c>
      <c r="D530" s="6" t="s">
        <v>3010</v>
      </c>
      <c r="E530" s="6"/>
    </row>
    <row r="531" spans="1:5" ht="12.75">
      <c r="A531" s="6" t="s">
        <v>1330</v>
      </c>
      <c r="B531" s="44" t="s">
        <v>1244</v>
      </c>
      <c r="C531" s="36" t="s">
        <v>1245</v>
      </c>
      <c r="D531" s="6" t="s">
        <v>3011</v>
      </c>
      <c r="E531" s="6"/>
    </row>
    <row r="532" spans="1:5" ht="12.75">
      <c r="A532" s="6" t="s">
        <v>1330</v>
      </c>
      <c r="B532" s="44" t="s">
        <v>1246</v>
      </c>
      <c r="C532" s="36" t="s">
        <v>1247</v>
      </c>
      <c r="D532" s="6" t="s">
        <v>3012</v>
      </c>
      <c r="E532" s="6"/>
    </row>
    <row r="533" spans="1:5" ht="12.75">
      <c r="A533" s="6" t="s">
        <v>1330</v>
      </c>
      <c r="B533" s="44" t="s">
        <v>1248</v>
      </c>
      <c r="C533" s="36" t="s">
        <v>1249</v>
      </c>
      <c r="D533" s="6" t="s">
        <v>3013</v>
      </c>
      <c r="E533" s="6"/>
    </row>
    <row r="534" spans="1:5" ht="12.75">
      <c r="A534" s="6" t="s">
        <v>1330</v>
      </c>
      <c r="B534" s="44" t="s">
        <v>1250</v>
      </c>
      <c r="C534" s="36" t="s">
        <v>1251</v>
      </c>
      <c r="D534" s="6" t="s">
        <v>3014</v>
      </c>
      <c r="E534" s="6"/>
    </row>
    <row r="535" spans="1:5" ht="12.75">
      <c r="A535" s="6" t="s">
        <v>1330</v>
      </c>
      <c r="B535" s="44" t="s">
        <v>1252</v>
      </c>
      <c r="C535" s="36" t="s">
        <v>1253</v>
      </c>
      <c r="D535" s="6" t="s">
        <v>3015</v>
      </c>
      <c r="E535" s="6"/>
    </row>
    <row r="536" spans="1:5" ht="12.75">
      <c r="A536" s="6" t="s">
        <v>1330</v>
      </c>
      <c r="B536" s="44" t="s">
        <v>1254</v>
      </c>
      <c r="C536" s="36" t="s">
        <v>1255</v>
      </c>
      <c r="D536" s="6" t="s">
        <v>3016</v>
      </c>
      <c r="E536" s="6"/>
    </row>
    <row r="537" spans="1:5" ht="12.75">
      <c r="A537" s="6" t="s">
        <v>1330</v>
      </c>
      <c r="B537" s="44" t="s">
        <v>1256</v>
      </c>
      <c r="C537" s="36" t="s">
        <v>1257</v>
      </c>
      <c r="D537" s="6" t="s">
        <v>3017</v>
      </c>
      <c r="E537" s="6"/>
    </row>
    <row r="538" spans="1:5" ht="12.75">
      <c r="A538" s="6" t="s">
        <v>1330</v>
      </c>
      <c r="B538" s="44" t="s">
        <v>1258</v>
      </c>
      <c r="C538" s="36" t="s">
        <v>1259</v>
      </c>
      <c r="D538" s="6" t="s">
        <v>3018</v>
      </c>
      <c r="E538" s="6"/>
    </row>
    <row r="539" spans="1:5" ht="12.75">
      <c r="A539" s="6" t="s">
        <v>1330</v>
      </c>
      <c r="B539" s="44" t="s">
        <v>1260</v>
      </c>
      <c r="C539" s="36" t="s">
        <v>1261</v>
      </c>
      <c r="D539" s="6" t="s">
        <v>3019</v>
      </c>
      <c r="E539" s="6"/>
    </row>
    <row r="540" spans="1:5" ht="12.75">
      <c r="A540" s="6" t="s">
        <v>1330</v>
      </c>
      <c r="B540" s="44" t="s">
        <v>1262</v>
      </c>
      <c r="C540" s="36" t="s">
        <v>1263</v>
      </c>
      <c r="D540" s="6" t="s">
        <v>3020</v>
      </c>
      <c r="E540" s="6"/>
    </row>
    <row r="541" spans="1:5" ht="12.75">
      <c r="A541" s="6" t="s">
        <v>1330</v>
      </c>
      <c r="B541" s="44" t="s">
        <v>1264</v>
      </c>
      <c r="C541" s="36" t="s">
        <v>1265</v>
      </c>
      <c r="D541" s="6" t="s">
        <v>3021</v>
      </c>
      <c r="E541" s="6"/>
    </row>
    <row r="542" spans="1:5" ht="12.75">
      <c r="A542" s="6" t="s">
        <v>1330</v>
      </c>
      <c r="B542" s="44" t="s">
        <v>1266</v>
      </c>
      <c r="C542" s="36" t="s">
        <v>1267</v>
      </c>
      <c r="D542" s="6" t="s">
        <v>3022</v>
      </c>
      <c r="E542" s="6"/>
    </row>
    <row r="543" spans="1:5" ht="12.75">
      <c r="A543" s="6" t="s">
        <v>1330</v>
      </c>
      <c r="B543" s="44" t="s">
        <v>1268</v>
      </c>
      <c r="C543" s="44" t="s">
        <v>1269</v>
      </c>
      <c r="D543" s="6" t="s">
        <v>3023</v>
      </c>
      <c r="E543" s="6"/>
    </row>
    <row r="544" spans="1:5" ht="12.75">
      <c r="A544" s="6" t="s">
        <v>1330</v>
      </c>
      <c r="B544" s="44" t="s">
        <v>1270</v>
      </c>
      <c r="C544" s="44" t="s">
        <v>1271</v>
      </c>
      <c r="D544" s="6" t="s">
        <v>3024</v>
      </c>
      <c r="E544" s="6"/>
    </row>
    <row r="545" spans="1:5" ht="12.75">
      <c r="A545" s="6" t="s">
        <v>1330</v>
      </c>
      <c r="B545" s="44" t="s">
        <v>1272</v>
      </c>
      <c r="C545" s="44" t="s">
        <v>1273</v>
      </c>
      <c r="D545" s="6" t="s">
        <v>3025</v>
      </c>
      <c r="E545" s="6"/>
    </row>
    <row r="546" spans="1:5" ht="12.75">
      <c r="A546" s="6" t="s">
        <v>1330</v>
      </c>
      <c r="B546" s="44" t="s">
        <v>1274</v>
      </c>
      <c r="C546" s="44" t="s">
        <v>1275</v>
      </c>
      <c r="D546" s="6" t="s">
        <v>3026</v>
      </c>
      <c r="E546" s="6"/>
    </row>
    <row r="547" spans="1:5" ht="12.75">
      <c r="A547" s="6" t="s">
        <v>1330</v>
      </c>
      <c r="B547" s="44" t="s">
        <v>1276</v>
      </c>
      <c r="C547" s="36" t="s">
        <v>1277</v>
      </c>
      <c r="D547" s="6" t="s">
        <v>3027</v>
      </c>
      <c r="E547" s="6"/>
    </row>
    <row r="548" spans="1:5" ht="12.75">
      <c r="A548" s="6" t="s">
        <v>1330</v>
      </c>
      <c r="B548" s="44" t="s">
        <v>1278</v>
      </c>
      <c r="C548" s="36" t="s">
        <v>1279</v>
      </c>
      <c r="D548" s="6" t="s">
        <v>3028</v>
      </c>
      <c r="E548" s="6"/>
    </row>
    <row r="549" spans="1:5" ht="12.75">
      <c r="A549" s="6" t="s">
        <v>1330</v>
      </c>
      <c r="B549" s="44" t="s">
        <v>1280</v>
      </c>
      <c r="C549" s="36" t="s">
        <v>1281</v>
      </c>
      <c r="D549" s="6" t="s">
        <v>3029</v>
      </c>
      <c r="E549" s="6"/>
    </row>
    <row r="550" spans="1:5" ht="12.75">
      <c r="A550" s="6" t="s">
        <v>1330</v>
      </c>
      <c r="B550" s="44" t="s">
        <v>1282</v>
      </c>
      <c r="C550" s="36" t="s">
        <v>1283</v>
      </c>
      <c r="D550" s="6" t="s">
        <v>3030</v>
      </c>
      <c r="E550" s="6"/>
    </row>
    <row r="551" spans="1:5" ht="12.75">
      <c r="A551" s="250" t="s">
        <v>1335</v>
      </c>
      <c r="B551" s="251"/>
      <c r="C551" s="252"/>
      <c r="D551" s="253"/>
      <c r="E551" s="253"/>
    </row>
    <row r="552" spans="1:5" ht="12.75">
      <c r="A552" s="6" t="s">
        <v>1335</v>
      </c>
      <c r="B552" s="53" t="s">
        <v>1560</v>
      </c>
      <c r="C552" s="44" t="s">
        <v>1559</v>
      </c>
      <c r="D552" s="6" t="s">
        <v>4171</v>
      </c>
      <c r="E552" s="6"/>
    </row>
    <row r="553" spans="1:5" ht="12.75">
      <c r="A553" s="6" t="s">
        <v>1335</v>
      </c>
      <c r="B553" s="54" t="s">
        <v>1562</v>
      </c>
      <c r="C553" s="53" t="s">
        <v>1561</v>
      </c>
      <c r="D553" s="6" t="s">
        <v>4172</v>
      </c>
      <c r="E553" s="6"/>
    </row>
    <row r="554" spans="1:5" ht="12.75">
      <c r="A554" s="6" t="s">
        <v>1335</v>
      </c>
      <c r="B554" s="53" t="s">
        <v>1564</v>
      </c>
      <c r="C554" s="53" t="s">
        <v>1563</v>
      </c>
      <c r="D554" s="6" t="s">
        <v>4173</v>
      </c>
      <c r="E554" s="6"/>
    </row>
    <row r="555" spans="1:5" ht="12.75">
      <c r="A555" s="6" t="s">
        <v>1335</v>
      </c>
      <c r="B555" s="53" t="s">
        <v>4174</v>
      </c>
      <c r="C555" s="53" t="s">
        <v>1565</v>
      </c>
      <c r="D555" s="6" t="s">
        <v>4175</v>
      </c>
      <c r="E555" s="6"/>
    </row>
    <row r="556" spans="1:5" ht="12.75">
      <c r="A556" s="6" t="s">
        <v>1335</v>
      </c>
      <c r="B556" s="53" t="s">
        <v>1567</v>
      </c>
      <c r="C556" s="53" t="s">
        <v>1566</v>
      </c>
      <c r="D556" s="6" t="s">
        <v>4176</v>
      </c>
      <c r="E556" s="6"/>
    </row>
    <row r="557" spans="1:5" ht="12.75">
      <c r="A557" s="6" t="s">
        <v>1335</v>
      </c>
      <c r="B557" s="53" t="s">
        <v>1569</v>
      </c>
      <c r="C557" s="53" t="s">
        <v>1568</v>
      </c>
      <c r="D557" s="6" t="s">
        <v>4177</v>
      </c>
      <c r="E557" s="6"/>
    </row>
    <row r="558" spans="1:5" ht="12.75">
      <c r="A558" s="6" t="s">
        <v>1335</v>
      </c>
      <c r="B558" s="53" t="s">
        <v>1571</v>
      </c>
      <c r="C558" s="53" t="s">
        <v>1570</v>
      </c>
      <c r="D558" s="6" t="s">
        <v>4178</v>
      </c>
      <c r="E558" s="6"/>
    </row>
    <row r="559" spans="1:5" ht="12.75">
      <c r="A559" s="6" t="s">
        <v>1335</v>
      </c>
      <c r="B559" s="53" t="s">
        <v>1573</v>
      </c>
      <c r="C559" s="53" t="s">
        <v>1572</v>
      </c>
      <c r="D559" s="6" t="s">
        <v>4179</v>
      </c>
      <c r="E559" s="6"/>
    </row>
    <row r="560" spans="1:5" ht="12.75">
      <c r="A560" s="6" t="s">
        <v>1335</v>
      </c>
      <c r="B560" s="53" t="s">
        <v>1575</v>
      </c>
      <c r="C560" s="53" t="s">
        <v>1574</v>
      </c>
      <c r="D560" s="6" t="s">
        <v>4180</v>
      </c>
      <c r="E560" s="6"/>
    </row>
    <row r="561" spans="1:5" ht="12.75">
      <c r="A561" s="6" t="s">
        <v>1335</v>
      </c>
      <c r="B561" s="53" t="s">
        <v>1577</v>
      </c>
      <c r="C561" s="53" t="s">
        <v>1576</v>
      </c>
      <c r="D561" s="6" t="s">
        <v>4181</v>
      </c>
      <c r="E561" s="6"/>
    </row>
    <row r="562" spans="1:5" ht="12.75">
      <c r="A562" s="6" t="s">
        <v>1335</v>
      </c>
      <c r="B562" s="53" t="s">
        <v>1593</v>
      </c>
      <c r="C562" s="53" t="s">
        <v>1592</v>
      </c>
      <c r="D562" s="6" t="s">
        <v>4182</v>
      </c>
      <c r="E562" s="6"/>
    </row>
    <row r="563" spans="1:5" ht="12.75">
      <c r="A563" s="6" t="s">
        <v>1335</v>
      </c>
      <c r="B563" s="44" t="s">
        <v>1579</v>
      </c>
      <c r="C563" s="53" t="s">
        <v>1578</v>
      </c>
      <c r="D563" s="6" t="s">
        <v>4183</v>
      </c>
      <c r="E563" s="6"/>
    </row>
    <row r="564" spans="1:5" ht="12.75">
      <c r="A564" s="6" t="s">
        <v>1335</v>
      </c>
      <c r="B564" s="44" t="s">
        <v>1581</v>
      </c>
      <c r="C564" s="53" t="s">
        <v>1580</v>
      </c>
      <c r="D564" s="6" t="s">
        <v>4184</v>
      </c>
      <c r="E564" s="6"/>
    </row>
    <row r="565" spans="1:5" ht="12.75">
      <c r="A565" s="6" t="s">
        <v>1335</v>
      </c>
      <c r="B565" s="44" t="s">
        <v>1583</v>
      </c>
      <c r="C565" s="53" t="s">
        <v>1582</v>
      </c>
      <c r="D565" s="6" t="s">
        <v>4185</v>
      </c>
      <c r="E565" s="6"/>
    </row>
    <row r="566" spans="1:5" ht="12.75">
      <c r="A566" s="6" t="s">
        <v>1335</v>
      </c>
      <c r="B566" s="53" t="s">
        <v>1585</v>
      </c>
      <c r="C566" s="53" t="s">
        <v>1584</v>
      </c>
      <c r="D566" s="6" t="s">
        <v>4186</v>
      </c>
      <c r="E566" s="6"/>
    </row>
    <row r="567" spans="1:5" ht="12.75">
      <c r="A567" s="6" t="s">
        <v>1335</v>
      </c>
      <c r="B567" s="53" t="s">
        <v>1587</v>
      </c>
      <c r="C567" s="44" t="s">
        <v>1586</v>
      </c>
      <c r="D567" s="6" t="s">
        <v>4187</v>
      </c>
      <c r="E567" s="6"/>
    </row>
    <row r="568" spans="1:5" ht="12.75">
      <c r="A568" s="6" t="s">
        <v>1335</v>
      </c>
      <c r="B568" s="44" t="s">
        <v>1589</v>
      </c>
      <c r="C568" s="53" t="s">
        <v>1588</v>
      </c>
      <c r="D568" s="6" t="s">
        <v>4188</v>
      </c>
      <c r="E568" s="6"/>
    </row>
    <row r="569" spans="1:5" ht="12.75">
      <c r="A569" s="6" t="s">
        <v>1335</v>
      </c>
      <c r="B569" s="53" t="s">
        <v>1591</v>
      </c>
      <c r="C569" s="53" t="s">
        <v>1590</v>
      </c>
      <c r="D569" s="53" t="s">
        <v>4189</v>
      </c>
      <c r="E569" s="6"/>
    </row>
    <row r="570" spans="1:5" ht="12.75">
      <c r="A570" s="6" t="s">
        <v>1335</v>
      </c>
      <c r="B570" s="44" t="s">
        <v>1595</v>
      </c>
      <c r="C570" s="53" t="s">
        <v>1594</v>
      </c>
      <c r="D570" s="6" t="s">
        <v>4190</v>
      </c>
      <c r="E570" s="6"/>
    </row>
    <row r="571" spans="1:5" ht="12.75">
      <c r="A571" s="6" t="s">
        <v>1335</v>
      </c>
      <c r="B571" s="44" t="s">
        <v>1597</v>
      </c>
      <c r="C571" s="53" t="s">
        <v>1596</v>
      </c>
      <c r="D571" s="6" t="s">
        <v>4191</v>
      </c>
      <c r="E571" s="6"/>
    </row>
    <row r="572" spans="1:5" ht="12.75">
      <c r="A572" s="6" t="s">
        <v>1335</v>
      </c>
      <c r="B572" s="44" t="s">
        <v>1599</v>
      </c>
      <c r="C572" s="53" t="s">
        <v>1598</v>
      </c>
      <c r="D572" s="6" t="s">
        <v>4192</v>
      </c>
      <c r="E572" s="6"/>
    </row>
    <row r="573" spans="1:5" ht="12.75">
      <c r="A573" s="6" t="s">
        <v>1335</v>
      </c>
      <c r="B573" s="44" t="s">
        <v>1601</v>
      </c>
      <c r="C573" s="53" t="s">
        <v>1600</v>
      </c>
      <c r="D573" s="6" t="s">
        <v>2560</v>
      </c>
      <c r="E573" s="6"/>
    </row>
    <row r="574" spans="1:5" ht="12.75">
      <c r="A574" s="6" t="s">
        <v>1335</v>
      </c>
      <c r="B574" s="53" t="s">
        <v>1603</v>
      </c>
      <c r="C574" s="53" t="s">
        <v>1602</v>
      </c>
      <c r="D574" s="6" t="s">
        <v>4193</v>
      </c>
      <c r="E574" s="6"/>
    </row>
    <row r="575" spans="1:5" ht="12.75">
      <c r="A575" s="6" t="s">
        <v>1335</v>
      </c>
      <c r="B575" s="53" t="s">
        <v>1605</v>
      </c>
      <c r="C575" s="53" t="s">
        <v>1604</v>
      </c>
      <c r="D575" s="6" t="s">
        <v>2561</v>
      </c>
      <c r="E575" s="6"/>
    </row>
    <row r="576" spans="1:5" ht="12.75">
      <c r="A576" s="6" t="s">
        <v>1335</v>
      </c>
      <c r="B576" s="53" t="s">
        <v>1607</v>
      </c>
      <c r="C576" s="53" t="s">
        <v>1606</v>
      </c>
      <c r="D576" s="6" t="s">
        <v>4054</v>
      </c>
      <c r="E576" s="6"/>
    </row>
    <row r="577" spans="1:5" ht="12.75">
      <c r="A577" s="6" t="s">
        <v>1335</v>
      </c>
      <c r="B577" s="53" t="s">
        <v>1609</v>
      </c>
      <c r="C577" s="53" t="s">
        <v>1608</v>
      </c>
      <c r="D577" s="6" t="s">
        <v>2562</v>
      </c>
      <c r="E577" s="6"/>
    </row>
    <row r="578" spans="1:5" ht="12.75">
      <c r="A578" s="6" t="s">
        <v>1335</v>
      </c>
      <c r="B578" s="53" t="s">
        <v>1611</v>
      </c>
      <c r="C578" s="53" t="s">
        <v>1610</v>
      </c>
      <c r="D578" s="6" t="s">
        <v>4194</v>
      </c>
      <c r="E578" s="6"/>
    </row>
    <row r="579" spans="1:5" ht="12.75">
      <c r="A579" s="6" t="s">
        <v>1335</v>
      </c>
      <c r="B579" s="44" t="s">
        <v>1613</v>
      </c>
      <c r="C579" s="53" t="s">
        <v>1612</v>
      </c>
      <c r="D579" s="6" t="s">
        <v>4195</v>
      </c>
      <c r="E579" s="6"/>
    </row>
    <row r="580" spans="1:5" ht="12.75">
      <c r="A580" s="6" t="s">
        <v>1335</v>
      </c>
      <c r="B580" s="53" t="s">
        <v>1615</v>
      </c>
      <c r="C580" s="53" t="s">
        <v>1614</v>
      </c>
      <c r="D580" s="6" t="s">
        <v>4196</v>
      </c>
      <c r="E580" s="6"/>
    </row>
    <row r="581" spans="1:5" ht="12.75">
      <c r="A581" s="6" t="s">
        <v>1335</v>
      </c>
      <c r="B581" s="53" t="s">
        <v>1617</v>
      </c>
      <c r="C581" s="53" t="s">
        <v>1616</v>
      </c>
      <c r="D581" s="6" t="s">
        <v>4197</v>
      </c>
      <c r="E581" s="6"/>
    </row>
    <row r="582" spans="1:5" ht="12.75">
      <c r="A582" s="6" t="s">
        <v>1335</v>
      </c>
      <c r="B582" s="53" t="s">
        <v>1619</v>
      </c>
      <c r="C582" s="53" t="s">
        <v>1618</v>
      </c>
      <c r="D582" s="6" t="s">
        <v>4198</v>
      </c>
      <c r="E582" s="6"/>
    </row>
    <row r="583" spans="1:5" ht="12.75">
      <c r="A583" s="6" t="s">
        <v>1335</v>
      </c>
      <c r="B583" s="53" t="s">
        <v>1621</v>
      </c>
      <c r="C583" s="44" t="s">
        <v>1620</v>
      </c>
      <c r="D583" s="6" t="s">
        <v>4199</v>
      </c>
      <c r="E583" s="6"/>
    </row>
    <row r="584" spans="1:5" ht="12.75">
      <c r="A584" s="6" t="s">
        <v>1335</v>
      </c>
      <c r="B584" s="53" t="s">
        <v>1623</v>
      </c>
      <c r="C584" s="44" t="s">
        <v>1622</v>
      </c>
      <c r="D584" s="6" t="s">
        <v>4200</v>
      </c>
      <c r="E584" s="6"/>
    </row>
    <row r="585" spans="1:5" ht="12.75">
      <c r="A585" s="6" t="s">
        <v>1335</v>
      </c>
      <c r="B585" s="53" t="s">
        <v>1625</v>
      </c>
      <c r="C585" s="44" t="s">
        <v>1624</v>
      </c>
      <c r="D585" s="6" t="s">
        <v>4199</v>
      </c>
      <c r="E585" s="6"/>
    </row>
    <row r="586" spans="1:5" ht="12.75">
      <c r="A586" s="6" t="s">
        <v>1335</v>
      </c>
      <c r="B586" s="53" t="s">
        <v>1627</v>
      </c>
      <c r="C586" s="44" t="s">
        <v>1626</v>
      </c>
      <c r="D586" s="6" t="s">
        <v>4201</v>
      </c>
      <c r="E586" s="6"/>
    </row>
    <row r="587" spans="1:5" ht="12.75">
      <c r="A587" s="6" t="s">
        <v>1335</v>
      </c>
      <c r="B587" s="44" t="s">
        <v>1629</v>
      </c>
      <c r="C587" s="53" t="s">
        <v>1628</v>
      </c>
      <c r="D587" s="6" t="s">
        <v>4202</v>
      </c>
      <c r="E587" s="6"/>
    </row>
    <row r="588" spans="1:5" ht="12.75">
      <c r="A588" s="6" t="s">
        <v>1335</v>
      </c>
      <c r="B588" s="53" t="s">
        <v>1631</v>
      </c>
      <c r="C588" s="53" t="s">
        <v>1630</v>
      </c>
      <c r="D588" s="6" t="s">
        <v>4203</v>
      </c>
      <c r="E588" s="6"/>
    </row>
    <row r="589" spans="1:5" ht="12.75">
      <c r="A589" s="6" t="s">
        <v>1335</v>
      </c>
      <c r="B589" s="53" t="s">
        <v>1633</v>
      </c>
      <c r="C589" s="53" t="s">
        <v>1632</v>
      </c>
      <c r="D589" s="6" t="s">
        <v>4204</v>
      </c>
      <c r="E589" s="6"/>
    </row>
    <row r="590" spans="1:5" ht="12.75">
      <c r="A590" s="6" t="s">
        <v>1335</v>
      </c>
      <c r="B590" s="44" t="s">
        <v>1635</v>
      </c>
      <c r="C590" s="53" t="s">
        <v>1634</v>
      </c>
      <c r="D590" s="6" t="s">
        <v>4205</v>
      </c>
      <c r="E590" s="6"/>
    </row>
    <row r="591" spans="1:5" ht="12.75">
      <c r="A591" s="6" t="s">
        <v>1335</v>
      </c>
      <c r="B591" s="44" t="s">
        <v>1637</v>
      </c>
      <c r="C591" s="53" t="s">
        <v>1636</v>
      </c>
      <c r="D591" s="6" t="s">
        <v>4206</v>
      </c>
      <c r="E591" s="6"/>
    </row>
    <row r="592" spans="1:5" ht="12.75">
      <c r="A592" s="6" t="s">
        <v>1335</v>
      </c>
      <c r="B592" s="44" t="s">
        <v>1639</v>
      </c>
      <c r="C592" s="53" t="s">
        <v>1638</v>
      </c>
      <c r="D592" s="6" t="s">
        <v>2563</v>
      </c>
      <c r="E592" s="6"/>
    </row>
    <row r="593" spans="1:5" ht="12.75">
      <c r="A593" s="6" t="s">
        <v>1335</v>
      </c>
      <c r="B593" s="53" t="s">
        <v>1641</v>
      </c>
      <c r="C593" s="53" t="s">
        <v>1640</v>
      </c>
      <c r="D593" s="6" t="s">
        <v>2564</v>
      </c>
      <c r="E593" s="6"/>
    </row>
    <row r="594" spans="1:5" ht="12.75">
      <c r="A594" s="6" t="s">
        <v>1335</v>
      </c>
      <c r="B594" s="53" t="s">
        <v>1643</v>
      </c>
      <c r="C594" s="44" t="s">
        <v>1642</v>
      </c>
      <c r="D594" s="6" t="s">
        <v>4207</v>
      </c>
      <c r="E594" s="6"/>
    </row>
    <row r="595" spans="1:5" ht="12.75">
      <c r="A595" s="6" t="s">
        <v>1335</v>
      </c>
      <c r="B595" s="44" t="s">
        <v>1645</v>
      </c>
      <c r="C595" s="53" t="s">
        <v>1644</v>
      </c>
      <c r="D595" s="6" t="s">
        <v>4208</v>
      </c>
      <c r="E595" s="6"/>
    </row>
    <row r="596" spans="1:5" ht="12.75">
      <c r="A596" s="6" t="s">
        <v>1335</v>
      </c>
      <c r="B596" s="44" t="s">
        <v>1647</v>
      </c>
      <c r="C596" s="44" t="s">
        <v>1646</v>
      </c>
      <c r="D596" s="6" t="s">
        <v>4209</v>
      </c>
      <c r="E596" s="6"/>
    </row>
    <row r="597" spans="1:5" ht="12.75">
      <c r="A597" s="6" t="s">
        <v>1335</v>
      </c>
      <c r="B597" s="44" t="s">
        <v>1649</v>
      </c>
      <c r="C597" s="53" t="s">
        <v>1648</v>
      </c>
      <c r="D597" s="6" t="s">
        <v>2565</v>
      </c>
      <c r="E597" s="6"/>
    </row>
    <row r="598" spans="1:5" ht="12.75">
      <c r="A598" s="6" t="s">
        <v>1335</v>
      </c>
      <c r="B598" s="53" t="s">
        <v>1651</v>
      </c>
      <c r="C598" s="53" t="s">
        <v>1650</v>
      </c>
      <c r="D598" s="6" t="s">
        <v>4210</v>
      </c>
      <c r="E598" s="6"/>
    </row>
    <row r="599" spans="1:5" ht="12.75">
      <c r="A599" s="6" t="s">
        <v>1335</v>
      </c>
      <c r="B599" s="44" t="s">
        <v>1653</v>
      </c>
      <c r="C599" s="53" t="s">
        <v>1652</v>
      </c>
      <c r="D599" s="6" t="s">
        <v>4211</v>
      </c>
      <c r="E599" s="6"/>
    </row>
    <row r="600" spans="1:5" ht="12.75">
      <c r="A600" s="6" t="s">
        <v>1335</v>
      </c>
      <c r="B600" s="44" t="s">
        <v>1655</v>
      </c>
      <c r="C600" s="53" t="s">
        <v>1654</v>
      </c>
      <c r="D600" s="6" t="s">
        <v>4212</v>
      </c>
      <c r="E600" s="6"/>
    </row>
    <row r="601" spans="1:5" ht="12.75">
      <c r="A601" s="6" t="s">
        <v>1335</v>
      </c>
      <c r="B601" s="44" t="s">
        <v>1657</v>
      </c>
      <c r="C601" s="53" t="s">
        <v>1656</v>
      </c>
      <c r="D601" s="6" t="s">
        <v>4213</v>
      </c>
      <c r="E601" s="6"/>
    </row>
    <row r="602" spans="1:5" ht="12.75">
      <c r="A602" s="6" t="s">
        <v>1335</v>
      </c>
      <c r="B602" s="44" t="s">
        <v>1659</v>
      </c>
      <c r="C602" s="44" t="s">
        <v>1658</v>
      </c>
      <c r="D602" s="6" t="s">
        <v>4214</v>
      </c>
      <c r="E602" s="6"/>
    </row>
    <row r="603" spans="1:5" ht="12.75">
      <c r="A603" s="6" t="s">
        <v>1335</v>
      </c>
      <c r="B603" s="44" t="s">
        <v>1661</v>
      </c>
      <c r="C603" s="53" t="s">
        <v>1660</v>
      </c>
      <c r="D603" s="6" t="s">
        <v>4215</v>
      </c>
      <c r="E603" s="6"/>
    </row>
    <row r="604" spans="1:5" ht="12.75">
      <c r="A604" s="6" t="s">
        <v>1335</v>
      </c>
      <c r="B604" s="44" t="s">
        <v>1663</v>
      </c>
      <c r="C604" s="53" t="s">
        <v>1662</v>
      </c>
      <c r="D604" s="6" t="s">
        <v>4216</v>
      </c>
      <c r="E604" s="6"/>
    </row>
    <row r="605" spans="1:5" ht="12.75">
      <c r="A605" s="6" t="s">
        <v>1335</v>
      </c>
      <c r="B605" s="44" t="s">
        <v>1665</v>
      </c>
      <c r="C605" s="53" t="s">
        <v>1664</v>
      </c>
      <c r="D605" s="6" t="s">
        <v>4217</v>
      </c>
      <c r="E605" s="6"/>
    </row>
    <row r="606" spans="1:5" ht="12.75">
      <c r="A606" s="6" t="s">
        <v>1335</v>
      </c>
      <c r="B606" s="44" t="s">
        <v>1667</v>
      </c>
      <c r="C606" s="53" t="s">
        <v>1666</v>
      </c>
      <c r="D606" s="6" t="s">
        <v>4218</v>
      </c>
      <c r="E606" s="6"/>
    </row>
    <row r="607" spans="1:5" ht="12.75">
      <c r="A607" s="6" t="s">
        <v>1335</v>
      </c>
      <c r="B607" s="44" t="s">
        <v>1669</v>
      </c>
      <c r="C607" s="53" t="s">
        <v>1668</v>
      </c>
      <c r="D607" s="6" t="s">
        <v>4219</v>
      </c>
      <c r="E607" s="6"/>
    </row>
    <row r="608" spans="1:5" ht="12.75">
      <c r="A608" s="6" t="s">
        <v>1335</v>
      </c>
      <c r="B608" s="44" t="s">
        <v>1671</v>
      </c>
      <c r="C608" s="53" t="s">
        <v>1670</v>
      </c>
      <c r="D608" s="6" t="s">
        <v>4220</v>
      </c>
      <c r="E608" s="6"/>
    </row>
    <row r="609" spans="1:5" ht="12.75">
      <c r="A609" s="6" t="s">
        <v>1335</v>
      </c>
      <c r="B609" s="44" t="s">
        <v>1673</v>
      </c>
      <c r="C609" s="53" t="s">
        <v>1672</v>
      </c>
      <c r="D609" s="6" t="s">
        <v>4221</v>
      </c>
      <c r="E609" s="6"/>
    </row>
    <row r="610" spans="1:5" ht="12.75">
      <c r="A610" s="6" t="s">
        <v>1335</v>
      </c>
      <c r="B610" s="53" t="s">
        <v>1675</v>
      </c>
      <c r="C610" s="53" t="s">
        <v>1674</v>
      </c>
      <c r="D610" s="6" t="s">
        <v>2567</v>
      </c>
      <c r="E610" s="6"/>
    </row>
    <row r="611" spans="1:5" ht="12.75">
      <c r="A611" s="6" t="s">
        <v>1335</v>
      </c>
      <c r="B611" s="53" t="s">
        <v>1677</v>
      </c>
      <c r="C611" s="53" t="s">
        <v>1676</v>
      </c>
      <c r="D611" s="6" t="s">
        <v>4222</v>
      </c>
      <c r="E611" s="6"/>
    </row>
    <row r="612" spans="1:5" ht="12.75">
      <c r="A612" s="6" t="s">
        <v>1335</v>
      </c>
      <c r="B612" s="53" t="s">
        <v>1679</v>
      </c>
      <c r="C612" s="44" t="s">
        <v>1678</v>
      </c>
      <c r="D612" s="6" t="s">
        <v>4223</v>
      </c>
      <c r="E612" s="6"/>
    </row>
    <row r="613" spans="1:5" ht="12.75">
      <c r="A613" s="6" t="s">
        <v>1335</v>
      </c>
      <c r="B613" s="53" t="s">
        <v>1681</v>
      </c>
      <c r="C613" s="53" t="s">
        <v>1680</v>
      </c>
      <c r="D613" s="6" t="s">
        <v>4224</v>
      </c>
      <c r="E613" s="6"/>
    </row>
    <row r="614" spans="1:5" ht="12.75">
      <c r="A614" s="6" t="s">
        <v>1335</v>
      </c>
      <c r="B614" s="53" t="s">
        <v>1683</v>
      </c>
      <c r="C614" s="53" t="s">
        <v>1682</v>
      </c>
      <c r="D614" s="6" t="s">
        <v>4225</v>
      </c>
      <c r="E614" s="6"/>
    </row>
    <row r="615" spans="1:5" ht="12.75">
      <c r="A615" s="6" t="s">
        <v>1335</v>
      </c>
      <c r="B615" s="44" t="s">
        <v>1685</v>
      </c>
      <c r="C615" s="53" t="s">
        <v>1684</v>
      </c>
      <c r="D615" s="6" t="s">
        <v>4226</v>
      </c>
      <c r="E615" s="6"/>
    </row>
    <row r="616" spans="1:5" ht="12.75">
      <c r="A616" s="6" t="s">
        <v>1335</v>
      </c>
      <c r="B616" s="44" t="s">
        <v>1687</v>
      </c>
      <c r="C616" s="53" t="s">
        <v>1686</v>
      </c>
      <c r="D616" s="6" t="s">
        <v>4227</v>
      </c>
      <c r="E616" s="6"/>
    </row>
    <row r="617" spans="1:5" ht="12.75">
      <c r="A617" s="6" t="s">
        <v>1335</v>
      </c>
      <c r="B617" s="44" t="s">
        <v>1689</v>
      </c>
      <c r="C617" s="53" t="s">
        <v>1688</v>
      </c>
      <c r="D617" s="6" t="s">
        <v>4228</v>
      </c>
      <c r="E617" s="6"/>
    </row>
    <row r="618" spans="1:5" ht="12.75">
      <c r="A618" s="6" t="s">
        <v>1335</v>
      </c>
      <c r="B618" s="44" t="s">
        <v>1691</v>
      </c>
      <c r="C618" s="53" t="s">
        <v>1690</v>
      </c>
      <c r="D618" s="6" t="s">
        <v>2566</v>
      </c>
      <c r="E618" s="6"/>
    </row>
    <row r="619" spans="1:5" ht="12.75">
      <c r="A619" s="6" t="s">
        <v>1335</v>
      </c>
      <c r="B619" s="44" t="s">
        <v>1693</v>
      </c>
      <c r="C619" s="53" t="s">
        <v>1692</v>
      </c>
      <c r="D619" s="6" t="s">
        <v>4229</v>
      </c>
      <c r="E619" s="6"/>
    </row>
    <row r="620" spans="1:5" ht="12.75">
      <c r="A620" s="6" t="s">
        <v>1335</v>
      </c>
      <c r="B620" s="44" t="s">
        <v>1695</v>
      </c>
      <c r="C620" s="44" t="s">
        <v>1694</v>
      </c>
      <c r="D620" s="6" t="s">
        <v>4230</v>
      </c>
      <c r="E620" s="6"/>
    </row>
    <row r="621" spans="1:5" ht="12.75">
      <c r="A621" s="6" t="s">
        <v>1335</v>
      </c>
      <c r="B621" s="44" t="s">
        <v>1697</v>
      </c>
      <c r="C621" s="53" t="s">
        <v>1696</v>
      </c>
      <c r="D621" s="6" t="s">
        <v>4231</v>
      </c>
      <c r="E621" s="6"/>
    </row>
    <row r="622" spans="1:5" ht="12.75">
      <c r="A622" s="6" t="s">
        <v>1335</v>
      </c>
      <c r="B622" s="44" t="s">
        <v>1699</v>
      </c>
      <c r="C622" s="53" t="s">
        <v>1698</v>
      </c>
      <c r="D622" s="6" t="s">
        <v>4232</v>
      </c>
      <c r="E622" s="6"/>
    </row>
    <row r="623" spans="1:5" ht="12.75">
      <c r="A623" s="6" t="s">
        <v>1335</v>
      </c>
      <c r="B623" s="44" t="s">
        <v>4233</v>
      </c>
      <c r="C623" s="44" t="s">
        <v>4234</v>
      </c>
      <c r="D623" s="6" t="s">
        <v>4235</v>
      </c>
      <c r="E623" s="6"/>
    </row>
    <row r="624" spans="1:5" ht="12.75">
      <c r="A624" s="6" t="s">
        <v>1335</v>
      </c>
      <c r="B624" s="44" t="s">
        <v>1701</v>
      </c>
      <c r="C624" s="53" t="s">
        <v>1700</v>
      </c>
      <c r="D624" s="6" t="s">
        <v>4236</v>
      </c>
      <c r="E624" s="6"/>
    </row>
    <row r="625" spans="1:5" ht="12.75">
      <c r="A625" s="6" t="s">
        <v>1335</v>
      </c>
      <c r="B625" s="53" t="s">
        <v>1703</v>
      </c>
      <c r="C625" s="44" t="s">
        <v>1702</v>
      </c>
      <c r="D625" s="6" t="s">
        <v>4237</v>
      </c>
      <c r="E625" s="6"/>
    </row>
    <row r="626" spans="1:5" ht="12.75">
      <c r="A626" s="6" t="s">
        <v>1335</v>
      </c>
      <c r="B626" s="53" t="s">
        <v>1705</v>
      </c>
      <c r="C626" s="44" t="s">
        <v>1704</v>
      </c>
      <c r="D626" s="6" t="s">
        <v>4238</v>
      </c>
      <c r="E626" s="6"/>
    </row>
    <row r="627" spans="1:5" ht="12.75">
      <c r="A627" s="6" t="s">
        <v>1335</v>
      </c>
      <c r="B627" s="53" t="s">
        <v>1707</v>
      </c>
      <c r="C627" s="53" t="s">
        <v>1706</v>
      </c>
      <c r="D627" s="6" t="s">
        <v>2568</v>
      </c>
      <c r="E627" s="6"/>
    </row>
    <row r="628" spans="1:5" ht="12.75">
      <c r="A628" s="6" t="s">
        <v>1335</v>
      </c>
      <c r="B628" s="53" t="s">
        <v>1709</v>
      </c>
      <c r="C628" s="53" t="s">
        <v>1708</v>
      </c>
      <c r="D628" s="6" t="s">
        <v>4239</v>
      </c>
      <c r="E628" s="6"/>
    </row>
    <row r="629" spans="1:5" ht="12.75">
      <c r="A629" s="6" t="s">
        <v>1335</v>
      </c>
      <c r="B629" s="44" t="s">
        <v>1711</v>
      </c>
      <c r="C629" s="53" t="s">
        <v>1710</v>
      </c>
      <c r="D629" s="6" t="s">
        <v>4240</v>
      </c>
      <c r="E629" s="6"/>
    </row>
    <row r="630" spans="1:5" ht="12.75">
      <c r="A630" s="6" t="s">
        <v>1335</v>
      </c>
      <c r="B630" s="44" t="s">
        <v>1713</v>
      </c>
      <c r="C630" s="53" t="s">
        <v>1712</v>
      </c>
      <c r="D630" s="6" t="s">
        <v>4241</v>
      </c>
      <c r="E630" s="6"/>
    </row>
    <row r="631" spans="1:5" ht="12.75">
      <c r="A631" s="6" t="s">
        <v>1335</v>
      </c>
      <c r="B631" s="53" t="s">
        <v>1715</v>
      </c>
      <c r="C631" s="53" t="s">
        <v>1714</v>
      </c>
      <c r="D631" s="6" t="s">
        <v>4242</v>
      </c>
      <c r="E631" s="6"/>
    </row>
    <row r="632" spans="1:5" ht="12.75">
      <c r="A632" s="6" t="s">
        <v>1335</v>
      </c>
      <c r="B632" s="44" t="s">
        <v>1717</v>
      </c>
      <c r="C632" s="53" t="s">
        <v>1716</v>
      </c>
      <c r="D632" s="6" t="s">
        <v>4243</v>
      </c>
      <c r="E632" s="6"/>
    </row>
    <row r="633" spans="1:5" ht="12.75">
      <c r="A633" s="6" t="s">
        <v>1335</v>
      </c>
      <c r="B633" s="44" t="s">
        <v>1719</v>
      </c>
      <c r="C633" s="53" t="s">
        <v>1718</v>
      </c>
      <c r="D633" s="6" t="s">
        <v>4244</v>
      </c>
      <c r="E633" s="6"/>
    </row>
    <row r="634" spans="1:5" ht="12.75">
      <c r="A634" s="6" t="s">
        <v>1335</v>
      </c>
      <c r="B634" s="44" t="s">
        <v>1721</v>
      </c>
      <c r="C634" s="53" t="s">
        <v>1720</v>
      </c>
      <c r="D634" s="6" t="s">
        <v>4245</v>
      </c>
      <c r="E634" s="6"/>
    </row>
    <row r="635" spans="1:5" ht="12.75">
      <c r="A635" s="6" t="s">
        <v>1335</v>
      </c>
      <c r="B635" s="44" t="s">
        <v>1723</v>
      </c>
      <c r="C635" s="53" t="s">
        <v>1722</v>
      </c>
      <c r="D635" s="6" t="s">
        <v>4246</v>
      </c>
      <c r="E635" s="6"/>
    </row>
    <row r="636" spans="1:5" ht="12.75">
      <c r="A636" s="6" t="s">
        <v>1335</v>
      </c>
      <c r="B636" s="44" t="s">
        <v>1725</v>
      </c>
      <c r="C636" s="53" t="s">
        <v>1724</v>
      </c>
      <c r="D636" s="6" t="s">
        <v>2569</v>
      </c>
      <c r="E636" s="6"/>
    </row>
    <row r="637" spans="1:5" ht="12.75">
      <c r="A637" s="6" t="s">
        <v>1335</v>
      </c>
      <c r="B637" s="53" t="s">
        <v>1727</v>
      </c>
      <c r="C637" s="53" t="s">
        <v>1726</v>
      </c>
      <c r="D637" s="6" t="s">
        <v>4247</v>
      </c>
      <c r="E637" s="6"/>
    </row>
    <row r="638" spans="1:5" ht="12.75">
      <c r="A638" s="6" t="s">
        <v>1335</v>
      </c>
      <c r="B638" s="44" t="s">
        <v>1729</v>
      </c>
      <c r="C638" s="53" t="s">
        <v>1728</v>
      </c>
      <c r="D638" s="6" t="s">
        <v>4248</v>
      </c>
      <c r="E638" s="6"/>
    </row>
    <row r="639" spans="1:5" ht="12.75">
      <c r="A639" s="6" t="s">
        <v>1335</v>
      </c>
      <c r="B639" s="44" t="s">
        <v>1731</v>
      </c>
      <c r="C639" s="53" t="s">
        <v>1730</v>
      </c>
      <c r="D639" s="6" t="s">
        <v>2570</v>
      </c>
      <c r="E639" s="6"/>
    </row>
    <row r="640" spans="1:5" ht="12.75">
      <c r="A640" s="250" t="s">
        <v>1338</v>
      </c>
      <c r="B640" s="251"/>
      <c r="C640" s="252"/>
      <c r="D640" s="253"/>
      <c r="E640" s="253"/>
    </row>
    <row r="641" spans="1:5" ht="12.75">
      <c r="A641" s="44" t="s">
        <v>1338</v>
      </c>
      <c r="B641" s="44" t="s">
        <v>1743</v>
      </c>
      <c r="C641" s="44" t="s">
        <v>1742</v>
      </c>
      <c r="D641" s="6" t="s">
        <v>4249</v>
      </c>
      <c r="E641" s="6"/>
    </row>
    <row r="642" spans="1:5" ht="12.75">
      <c r="A642" s="44" t="s">
        <v>1338</v>
      </c>
      <c r="B642" s="44" t="s">
        <v>1745</v>
      </c>
      <c r="C642" s="53" t="s">
        <v>1744</v>
      </c>
      <c r="D642" s="6" t="s">
        <v>4250</v>
      </c>
      <c r="E642" s="6"/>
    </row>
    <row r="643" spans="1:5" ht="12.75">
      <c r="A643" s="44" t="s">
        <v>1338</v>
      </c>
      <c r="B643" s="44" t="s">
        <v>1747</v>
      </c>
      <c r="C643" s="53" t="s">
        <v>1746</v>
      </c>
      <c r="D643" s="6" t="s">
        <v>4251</v>
      </c>
      <c r="E643" s="6"/>
    </row>
    <row r="644" spans="1:5" ht="12.75">
      <c r="A644" s="44" t="s">
        <v>1338</v>
      </c>
      <c r="B644" s="124" t="s">
        <v>1749</v>
      </c>
      <c r="C644" s="53" t="s">
        <v>1748</v>
      </c>
      <c r="D644" s="6" t="s">
        <v>4252</v>
      </c>
      <c r="E644" s="6"/>
    </row>
    <row r="645" spans="1:5" ht="12.75">
      <c r="A645" s="44" t="s">
        <v>1338</v>
      </c>
      <c r="B645" s="124" t="s">
        <v>1751</v>
      </c>
      <c r="C645" s="53" t="s">
        <v>1750</v>
      </c>
      <c r="D645" s="6" t="s">
        <v>4253</v>
      </c>
      <c r="E645" s="6"/>
    </row>
    <row r="646" spans="1:5" ht="12.75">
      <c r="A646" s="44" t="s">
        <v>1338</v>
      </c>
      <c r="B646" s="124" t="s">
        <v>1753</v>
      </c>
      <c r="C646" s="53" t="s">
        <v>1752</v>
      </c>
      <c r="D646" s="6" t="s">
        <v>2582</v>
      </c>
      <c r="E646" s="6"/>
    </row>
    <row r="647" spans="1:5" ht="12.75">
      <c r="A647" s="44" t="s">
        <v>1338</v>
      </c>
      <c r="B647" s="124" t="s">
        <v>1755</v>
      </c>
      <c r="C647" s="53" t="s">
        <v>1754</v>
      </c>
      <c r="D647" s="6" t="s">
        <v>4254</v>
      </c>
      <c r="E647" s="6"/>
    </row>
    <row r="648" spans="1:5" ht="12.75">
      <c r="A648" s="44" t="s">
        <v>1338</v>
      </c>
      <c r="B648" s="124" t="s">
        <v>1757</v>
      </c>
      <c r="C648" s="53" t="s">
        <v>1756</v>
      </c>
      <c r="D648" s="6" t="s">
        <v>4255</v>
      </c>
      <c r="E648" s="6"/>
    </row>
    <row r="649" spans="1:5" ht="12.75">
      <c r="A649" s="44" t="s">
        <v>1338</v>
      </c>
      <c r="B649" s="124" t="s">
        <v>4256</v>
      </c>
      <c r="C649" s="53" t="s">
        <v>1758</v>
      </c>
      <c r="D649" s="6" t="s">
        <v>4257</v>
      </c>
      <c r="E649" s="6"/>
    </row>
    <row r="650" spans="1:5" ht="12.75">
      <c r="A650" s="44" t="s">
        <v>1338</v>
      </c>
      <c r="B650" s="124" t="s">
        <v>1760</v>
      </c>
      <c r="C650" s="53" t="s">
        <v>1759</v>
      </c>
      <c r="D650" s="6" t="s">
        <v>4258</v>
      </c>
      <c r="E650" s="6"/>
    </row>
    <row r="651" spans="1:5" ht="12.75">
      <c r="A651" s="44" t="s">
        <v>1338</v>
      </c>
      <c r="B651" s="124" t="s">
        <v>1762</v>
      </c>
      <c r="C651" s="53" t="s">
        <v>1761</v>
      </c>
      <c r="D651" s="6" t="s">
        <v>4259</v>
      </c>
      <c r="E651" s="6"/>
    </row>
    <row r="652" spans="1:5" ht="12.75">
      <c r="A652" s="44" t="s">
        <v>1338</v>
      </c>
      <c r="B652" s="124" t="s">
        <v>1764</v>
      </c>
      <c r="C652" s="53" t="s">
        <v>1763</v>
      </c>
      <c r="D652" s="6" t="s">
        <v>2590</v>
      </c>
      <c r="E652" s="6"/>
    </row>
    <row r="653" spans="1:5" ht="12.75">
      <c r="A653" s="44" t="s">
        <v>1338</v>
      </c>
      <c r="B653" s="124" t="s">
        <v>1766</v>
      </c>
      <c r="C653" s="53" t="s">
        <v>1765</v>
      </c>
      <c r="D653" s="6" t="s">
        <v>4260</v>
      </c>
      <c r="E653" s="6"/>
    </row>
    <row r="654" spans="1:5" ht="12.75">
      <c r="A654" s="44" t="s">
        <v>1338</v>
      </c>
      <c r="B654" s="124" t="s">
        <v>1768</v>
      </c>
      <c r="C654" s="53" t="s">
        <v>1767</v>
      </c>
      <c r="D654" s="6" t="s">
        <v>2591</v>
      </c>
      <c r="E654" s="6"/>
    </row>
    <row r="655" spans="1:5" ht="12.75">
      <c r="A655" s="44" t="s">
        <v>1338</v>
      </c>
      <c r="B655" s="124" t="s">
        <v>1770</v>
      </c>
      <c r="C655" s="53" t="s">
        <v>1769</v>
      </c>
      <c r="D655" s="6" t="s">
        <v>4261</v>
      </c>
      <c r="E655" s="6"/>
    </row>
    <row r="656" spans="1:5" ht="12.75">
      <c r="A656" s="44" t="s">
        <v>1338</v>
      </c>
      <c r="B656" s="124" t="s">
        <v>1772</v>
      </c>
      <c r="C656" s="53" t="s">
        <v>1771</v>
      </c>
      <c r="D656" s="6" t="s">
        <v>4262</v>
      </c>
      <c r="E656" s="6"/>
    </row>
    <row r="657" spans="1:5" ht="12.75">
      <c r="A657" s="44" t="s">
        <v>1338</v>
      </c>
      <c r="B657" s="44" t="s">
        <v>1593</v>
      </c>
      <c r="C657" s="53" t="s">
        <v>1592</v>
      </c>
      <c r="D657" s="6" t="s">
        <v>4182</v>
      </c>
      <c r="E657" s="6"/>
    </row>
    <row r="658" spans="1:5" ht="12.75">
      <c r="A658" s="44" t="s">
        <v>1338</v>
      </c>
      <c r="B658" s="124" t="s">
        <v>1774</v>
      </c>
      <c r="C658" s="53" t="s">
        <v>1773</v>
      </c>
      <c r="D658" s="6" t="s">
        <v>4263</v>
      </c>
      <c r="E658" s="6"/>
    </row>
    <row r="659" spans="1:5" ht="12.75">
      <c r="A659" s="44" t="s">
        <v>1338</v>
      </c>
      <c r="B659" s="53" t="s">
        <v>1776</v>
      </c>
      <c r="C659" s="53" t="s">
        <v>1775</v>
      </c>
      <c r="D659" s="6" t="s">
        <v>4264</v>
      </c>
      <c r="E659" s="6"/>
    </row>
    <row r="660" spans="1:5" ht="12.75">
      <c r="A660" s="44" t="s">
        <v>1338</v>
      </c>
      <c r="B660" s="124" t="s">
        <v>1778</v>
      </c>
      <c r="C660" s="53" t="s">
        <v>1777</v>
      </c>
      <c r="D660" s="6" t="s">
        <v>4265</v>
      </c>
      <c r="E660" s="6"/>
    </row>
    <row r="661" spans="1:5" ht="12.75">
      <c r="A661" s="44" t="s">
        <v>1338</v>
      </c>
      <c r="B661" s="124" t="s">
        <v>1780</v>
      </c>
      <c r="C661" s="53" t="s">
        <v>1779</v>
      </c>
      <c r="D661" s="6" t="s">
        <v>4266</v>
      </c>
      <c r="E661" s="6"/>
    </row>
    <row r="662" spans="1:5" ht="12.75">
      <c r="A662" s="44" t="s">
        <v>1338</v>
      </c>
      <c r="B662" s="44" t="s">
        <v>1655</v>
      </c>
      <c r="C662" s="53" t="s">
        <v>1654</v>
      </c>
      <c r="D662" s="6" t="s">
        <v>4212</v>
      </c>
      <c r="E662" s="6"/>
    </row>
    <row r="663" spans="1:5" ht="12.75">
      <c r="A663" s="44" t="s">
        <v>1338</v>
      </c>
      <c r="B663" s="124" t="s">
        <v>1782</v>
      </c>
      <c r="C663" s="53" t="s">
        <v>1781</v>
      </c>
      <c r="D663" s="6" t="s">
        <v>4267</v>
      </c>
      <c r="E663" s="6"/>
    </row>
    <row r="664" spans="1:5" ht="12.75">
      <c r="A664" s="44" t="s">
        <v>1338</v>
      </c>
      <c r="B664" s="124" t="s">
        <v>1784</v>
      </c>
      <c r="C664" s="44" t="s">
        <v>1783</v>
      </c>
      <c r="D664" s="6" t="s">
        <v>4268</v>
      </c>
      <c r="E664" s="6"/>
    </row>
    <row r="665" spans="1:5" ht="12.75">
      <c r="A665" s="44" t="s">
        <v>1338</v>
      </c>
      <c r="B665" s="124" t="s">
        <v>1786</v>
      </c>
      <c r="C665" s="44" t="s">
        <v>1785</v>
      </c>
      <c r="D665" s="6" t="s">
        <v>4269</v>
      </c>
      <c r="E665" s="6"/>
    </row>
    <row r="666" spans="1:5" ht="12.75">
      <c r="A666" s="44" t="s">
        <v>1338</v>
      </c>
      <c r="B666" s="124" t="s">
        <v>1788</v>
      </c>
      <c r="C666" s="53" t="s">
        <v>1787</v>
      </c>
      <c r="D666" s="6" t="s">
        <v>4270</v>
      </c>
      <c r="E666" s="6"/>
    </row>
    <row r="667" spans="1:5" ht="12.75">
      <c r="A667" s="44" t="s">
        <v>1338</v>
      </c>
      <c r="B667" s="124" t="s">
        <v>1790</v>
      </c>
      <c r="C667" s="53" t="s">
        <v>1789</v>
      </c>
      <c r="D667" s="6" t="s">
        <v>4271</v>
      </c>
      <c r="E667" s="6"/>
    </row>
    <row r="668" spans="1:5" ht="12.75">
      <c r="A668" s="44" t="s">
        <v>1338</v>
      </c>
      <c r="B668" s="44" t="s">
        <v>1792</v>
      </c>
      <c r="C668" s="53" t="s">
        <v>1791</v>
      </c>
      <c r="D668" s="6" t="s">
        <v>2583</v>
      </c>
      <c r="E668" s="6"/>
    </row>
    <row r="669" spans="1:5" ht="12.75">
      <c r="A669" s="44" t="s">
        <v>1338</v>
      </c>
      <c r="B669" s="44" t="s">
        <v>1794</v>
      </c>
      <c r="C669" s="53" t="s">
        <v>1793</v>
      </c>
      <c r="D669" s="6" t="s">
        <v>2584</v>
      </c>
      <c r="E669" s="6"/>
    </row>
    <row r="670" spans="1:5" ht="12.75">
      <c r="A670" s="44" t="s">
        <v>1338</v>
      </c>
      <c r="B670" s="44" t="s">
        <v>1796</v>
      </c>
      <c r="C670" s="53" t="s">
        <v>1795</v>
      </c>
      <c r="D670" s="6" t="s">
        <v>2585</v>
      </c>
      <c r="E670" s="6"/>
    </row>
    <row r="671" spans="1:5" ht="12.75">
      <c r="A671" s="44" t="s">
        <v>1338</v>
      </c>
      <c r="B671" s="124" t="s">
        <v>1798</v>
      </c>
      <c r="C671" s="53" t="s">
        <v>1797</v>
      </c>
      <c r="D671" s="6" t="s">
        <v>4272</v>
      </c>
      <c r="E671" s="6"/>
    </row>
    <row r="672" spans="1:5" ht="12.75">
      <c r="A672" s="44" t="s">
        <v>1338</v>
      </c>
      <c r="B672" s="44" t="s">
        <v>1800</v>
      </c>
      <c r="C672" s="53" t="s">
        <v>1799</v>
      </c>
      <c r="D672" s="6" t="s">
        <v>4273</v>
      </c>
      <c r="E672" s="6"/>
    </row>
    <row r="673" spans="1:5" ht="12.75">
      <c r="A673" s="44" t="s">
        <v>1338</v>
      </c>
      <c r="B673" s="44" t="s">
        <v>1802</v>
      </c>
      <c r="C673" s="53" t="s">
        <v>1801</v>
      </c>
      <c r="D673" s="6" t="s">
        <v>4274</v>
      </c>
      <c r="E673" s="6"/>
    </row>
    <row r="674" spans="1:5" ht="12.75">
      <c r="A674" s="44" t="s">
        <v>1338</v>
      </c>
      <c r="B674" s="44" t="s">
        <v>1804</v>
      </c>
      <c r="C674" s="53" t="s">
        <v>1803</v>
      </c>
      <c r="D674" s="6" t="s">
        <v>4275</v>
      </c>
      <c r="E674" s="6"/>
    </row>
    <row r="675" spans="1:5" ht="12.75">
      <c r="A675" s="44" t="s">
        <v>1338</v>
      </c>
      <c r="B675" s="44" t="s">
        <v>1806</v>
      </c>
      <c r="C675" s="53" t="s">
        <v>1805</v>
      </c>
      <c r="D675" s="6" t="s">
        <v>4276</v>
      </c>
      <c r="E675" s="6"/>
    </row>
    <row r="676" spans="1:5" ht="12.75">
      <c r="A676" s="44" t="s">
        <v>1338</v>
      </c>
      <c r="B676" s="44" t="s">
        <v>1635</v>
      </c>
      <c r="C676" s="53" t="s">
        <v>1634</v>
      </c>
      <c r="D676" s="6" t="s">
        <v>4277</v>
      </c>
      <c r="E676" s="6"/>
    </row>
    <row r="677" spans="1:5" ht="12.75">
      <c r="A677" s="44" t="s">
        <v>1338</v>
      </c>
      <c r="B677" s="44" t="s">
        <v>1808</v>
      </c>
      <c r="C677" s="53" t="s">
        <v>1807</v>
      </c>
      <c r="D677" s="6" t="s">
        <v>4278</v>
      </c>
      <c r="E677" s="6"/>
    </row>
    <row r="678" spans="1:5" ht="12.75">
      <c r="A678" s="44" t="s">
        <v>1338</v>
      </c>
      <c r="B678" s="124" t="s">
        <v>1810</v>
      </c>
      <c r="C678" s="53" t="s">
        <v>1809</v>
      </c>
      <c r="D678" s="6" t="s">
        <v>4279</v>
      </c>
      <c r="E678" s="6"/>
    </row>
    <row r="679" spans="1:5" ht="12.75">
      <c r="A679" s="44" t="s">
        <v>1338</v>
      </c>
      <c r="B679" s="124" t="s">
        <v>1812</v>
      </c>
      <c r="C679" s="53" t="s">
        <v>1811</v>
      </c>
      <c r="D679" s="6" t="s">
        <v>4280</v>
      </c>
      <c r="E679" s="6"/>
    </row>
    <row r="680" spans="1:5" ht="12.75">
      <c r="A680" s="44" t="s">
        <v>1338</v>
      </c>
      <c r="B680" s="124" t="s">
        <v>1814</v>
      </c>
      <c r="C680" s="53" t="s">
        <v>1813</v>
      </c>
      <c r="D680" s="6" t="s">
        <v>2587</v>
      </c>
      <c r="E680" s="6"/>
    </row>
    <row r="681" spans="1:5" ht="12.75">
      <c r="A681" s="44" t="s">
        <v>1338</v>
      </c>
      <c r="B681" s="44" t="s">
        <v>1816</v>
      </c>
      <c r="C681" s="53" t="s">
        <v>1815</v>
      </c>
      <c r="D681" s="6" t="s">
        <v>4281</v>
      </c>
      <c r="E681" s="6"/>
    </row>
    <row r="682" spans="1:5" ht="12.75">
      <c r="A682" s="44" t="s">
        <v>1338</v>
      </c>
      <c r="B682" s="124" t="s">
        <v>1818</v>
      </c>
      <c r="C682" s="53" t="s">
        <v>1817</v>
      </c>
      <c r="D682" s="6" t="s">
        <v>2592</v>
      </c>
      <c r="E682" s="6"/>
    </row>
    <row r="683" spans="1:5" ht="12.75">
      <c r="A683" s="44" t="s">
        <v>1338</v>
      </c>
      <c r="B683" s="124" t="s">
        <v>1820</v>
      </c>
      <c r="C683" s="53" t="s">
        <v>1819</v>
      </c>
      <c r="D683" s="6" t="s">
        <v>2586</v>
      </c>
      <c r="E683" s="6"/>
    </row>
    <row r="684" spans="1:5" ht="12.75">
      <c r="A684" s="44" t="s">
        <v>1338</v>
      </c>
      <c r="B684" s="124" t="s">
        <v>1822</v>
      </c>
      <c r="C684" s="53" t="s">
        <v>1821</v>
      </c>
      <c r="D684" s="6" t="s">
        <v>2588</v>
      </c>
      <c r="E684" s="6"/>
    </row>
    <row r="685" spans="1:5" ht="12.75">
      <c r="A685" s="44" t="s">
        <v>1338</v>
      </c>
      <c r="B685" s="124" t="s">
        <v>1824</v>
      </c>
      <c r="C685" s="53" t="s">
        <v>1823</v>
      </c>
      <c r="D685" s="6" t="s">
        <v>4282</v>
      </c>
      <c r="E685" s="6"/>
    </row>
    <row r="686" spans="1:5" ht="12.75">
      <c r="A686" s="44" t="s">
        <v>1338</v>
      </c>
      <c r="B686" s="124" t="s">
        <v>1826</v>
      </c>
      <c r="C686" s="53" t="s">
        <v>1825</v>
      </c>
      <c r="D686" s="6" t="s">
        <v>4283</v>
      </c>
      <c r="E686" s="6"/>
    </row>
    <row r="687" spans="1:5" ht="12.75">
      <c r="A687" s="44" t="s">
        <v>1338</v>
      </c>
      <c r="B687" s="124" t="s">
        <v>1828</v>
      </c>
      <c r="C687" s="53" t="s">
        <v>1827</v>
      </c>
      <c r="D687" s="6" t="s">
        <v>4284</v>
      </c>
      <c r="E687" s="6"/>
    </row>
    <row r="688" spans="1:5" ht="12.75">
      <c r="A688" s="44" t="s">
        <v>1338</v>
      </c>
      <c r="B688" s="124" t="s">
        <v>1830</v>
      </c>
      <c r="C688" s="53" t="s">
        <v>1829</v>
      </c>
      <c r="D688" s="6" t="s">
        <v>4285</v>
      </c>
      <c r="E688" s="6"/>
    </row>
    <row r="689" spans="1:5" ht="12.75">
      <c r="A689" s="44" t="s">
        <v>1338</v>
      </c>
      <c r="B689" s="124" t="s">
        <v>1832</v>
      </c>
      <c r="C689" s="53" t="s">
        <v>1831</v>
      </c>
      <c r="D689" s="6" t="s">
        <v>4286</v>
      </c>
      <c r="E689" s="6"/>
    </row>
    <row r="690" spans="1:5" ht="12.75">
      <c r="A690" s="44" t="s">
        <v>1338</v>
      </c>
      <c r="B690" s="124" t="s">
        <v>1834</v>
      </c>
      <c r="C690" s="53" t="s">
        <v>1833</v>
      </c>
      <c r="D690" s="6" t="s">
        <v>4287</v>
      </c>
      <c r="E690" s="6"/>
    </row>
    <row r="691" spans="1:5" ht="12.75">
      <c r="A691" s="44" t="s">
        <v>1338</v>
      </c>
      <c r="B691" s="124" t="s">
        <v>1836</v>
      </c>
      <c r="C691" s="53" t="s">
        <v>1835</v>
      </c>
      <c r="D691" s="6" t="s">
        <v>4288</v>
      </c>
      <c r="E691" s="6"/>
    </row>
    <row r="692" spans="1:5" ht="12.75">
      <c r="A692" s="44" t="s">
        <v>1338</v>
      </c>
      <c r="B692" s="124" t="s">
        <v>1838</v>
      </c>
      <c r="C692" s="53" t="s">
        <v>1837</v>
      </c>
      <c r="D692" s="6" t="s">
        <v>4289</v>
      </c>
      <c r="E692" s="6"/>
    </row>
    <row r="693" spans="1:5" ht="12.75">
      <c r="A693" s="44" t="s">
        <v>1338</v>
      </c>
      <c r="B693" s="124" t="s">
        <v>1840</v>
      </c>
      <c r="C693" s="53" t="s">
        <v>1839</v>
      </c>
      <c r="D693" s="6" t="s">
        <v>4290</v>
      </c>
      <c r="E693" s="6"/>
    </row>
    <row r="694" spans="1:5" ht="12.75">
      <c r="A694" s="44" t="s">
        <v>1338</v>
      </c>
      <c r="B694" s="124" t="s">
        <v>1842</v>
      </c>
      <c r="C694" s="53" t="s">
        <v>1841</v>
      </c>
      <c r="D694" s="6" t="s">
        <v>4291</v>
      </c>
      <c r="E694" s="6"/>
    </row>
    <row r="695" spans="1:5" ht="12.75">
      <c r="A695" s="44" t="s">
        <v>1338</v>
      </c>
      <c r="B695" s="124" t="s">
        <v>1844</v>
      </c>
      <c r="C695" s="53" t="s">
        <v>1843</v>
      </c>
      <c r="D695" s="6" t="s">
        <v>4292</v>
      </c>
      <c r="E695" s="6"/>
    </row>
    <row r="696" spans="1:5" ht="12.75">
      <c r="A696" s="44" t="s">
        <v>1338</v>
      </c>
      <c r="B696" s="44" t="s">
        <v>1691</v>
      </c>
      <c r="C696" s="53" t="s">
        <v>1690</v>
      </c>
      <c r="D696" s="6" t="s">
        <v>2566</v>
      </c>
      <c r="E696" s="6"/>
    </row>
    <row r="697" spans="1:5" ht="12.75">
      <c r="A697" s="44" t="s">
        <v>1338</v>
      </c>
      <c r="B697" s="53" t="s">
        <v>1846</v>
      </c>
      <c r="C697" s="53" t="s">
        <v>1845</v>
      </c>
      <c r="D697" s="6" t="s">
        <v>4293</v>
      </c>
      <c r="E697" s="6"/>
    </row>
    <row r="698" spans="1:5" ht="12.75">
      <c r="A698" s="44" t="s">
        <v>1338</v>
      </c>
      <c r="B698" s="44" t="s">
        <v>1848</v>
      </c>
      <c r="C698" s="53" t="s">
        <v>1847</v>
      </c>
      <c r="D698" s="6" t="s">
        <v>4294</v>
      </c>
      <c r="E698" s="6"/>
    </row>
    <row r="699" spans="1:5" ht="12.75">
      <c r="A699" s="44" t="s">
        <v>1338</v>
      </c>
      <c r="B699" s="44" t="s">
        <v>1850</v>
      </c>
      <c r="C699" s="53" t="s">
        <v>1849</v>
      </c>
      <c r="D699" s="6" t="s">
        <v>4295</v>
      </c>
      <c r="E699" s="6"/>
    </row>
    <row r="700" spans="1:5" ht="12.75">
      <c r="A700" s="44" t="s">
        <v>1338</v>
      </c>
      <c r="B700" s="124" t="s">
        <v>1852</v>
      </c>
      <c r="C700" s="53" t="s">
        <v>1851</v>
      </c>
      <c r="D700" s="6" t="s">
        <v>4296</v>
      </c>
      <c r="E700" s="6"/>
    </row>
    <row r="701" spans="1:5" ht="12.75">
      <c r="A701" s="44" t="s">
        <v>1338</v>
      </c>
      <c r="B701" s="124" t="s">
        <v>1854</v>
      </c>
      <c r="C701" s="53" t="s">
        <v>1853</v>
      </c>
      <c r="D701" s="6" t="s">
        <v>4297</v>
      </c>
      <c r="E701" s="6"/>
    </row>
    <row r="702" spans="1:5" ht="12.75">
      <c r="A702" s="44" t="s">
        <v>1338</v>
      </c>
      <c r="B702" s="124" t="s">
        <v>1856</v>
      </c>
      <c r="C702" s="53" t="s">
        <v>1855</v>
      </c>
      <c r="D702" s="6" t="s">
        <v>4298</v>
      </c>
      <c r="E702" s="6"/>
    </row>
    <row r="703" spans="1:5" ht="12.75">
      <c r="A703" s="44" t="s">
        <v>1338</v>
      </c>
      <c r="B703" s="124" t="s">
        <v>1858</v>
      </c>
      <c r="C703" s="53" t="s">
        <v>1857</v>
      </c>
      <c r="D703" s="6" t="s">
        <v>4299</v>
      </c>
      <c r="E703" s="6"/>
    </row>
    <row r="704" spans="1:5" ht="12.75">
      <c r="A704" s="44" t="s">
        <v>1338</v>
      </c>
      <c r="B704" s="124" t="s">
        <v>1860</v>
      </c>
      <c r="C704" s="53" t="s">
        <v>1859</v>
      </c>
      <c r="D704" s="6" t="s">
        <v>4300</v>
      </c>
      <c r="E704" s="6"/>
    </row>
    <row r="705" spans="1:5" ht="12.75">
      <c r="A705" s="44" t="s">
        <v>1338</v>
      </c>
      <c r="B705" s="124" t="s">
        <v>4301</v>
      </c>
      <c r="C705" s="53" t="s">
        <v>1787</v>
      </c>
      <c r="D705" s="6" t="s">
        <v>4270</v>
      </c>
      <c r="E705" s="6"/>
    </row>
    <row r="706" spans="1:5" ht="12.75">
      <c r="A706" s="44" t="s">
        <v>1338</v>
      </c>
      <c r="B706" s="124" t="s">
        <v>1862</v>
      </c>
      <c r="C706" s="53" t="s">
        <v>1861</v>
      </c>
      <c r="D706" s="6" t="s">
        <v>4302</v>
      </c>
      <c r="E706" s="6"/>
    </row>
    <row r="707" spans="1:5" ht="12.75">
      <c r="A707" s="44" t="s">
        <v>1338</v>
      </c>
      <c r="B707" s="124" t="s">
        <v>1864</v>
      </c>
      <c r="C707" s="53" t="s">
        <v>1863</v>
      </c>
      <c r="D707" s="6" t="s">
        <v>4303</v>
      </c>
      <c r="E707" s="6"/>
    </row>
    <row r="708" spans="1:5" ht="12.75">
      <c r="A708" s="44" t="s">
        <v>1338</v>
      </c>
      <c r="B708" s="124" t="s">
        <v>1866</v>
      </c>
      <c r="C708" s="53" t="s">
        <v>1865</v>
      </c>
      <c r="D708" s="6" t="s">
        <v>4304</v>
      </c>
      <c r="E708" s="6"/>
    </row>
    <row r="709" spans="1:5" ht="12.75">
      <c r="A709" s="44" t="s">
        <v>1338</v>
      </c>
      <c r="B709" s="124" t="s">
        <v>1788</v>
      </c>
      <c r="C709" s="53" t="s">
        <v>1787</v>
      </c>
      <c r="D709" s="6" t="s">
        <v>4270</v>
      </c>
      <c r="E709" s="6"/>
    </row>
    <row r="710" spans="1:5" ht="12.75">
      <c r="A710" s="44" t="s">
        <v>1338</v>
      </c>
      <c r="B710" s="124" t="s">
        <v>1868</v>
      </c>
      <c r="C710" s="53" t="s">
        <v>1867</v>
      </c>
      <c r="D710" s="6" t="s">
        <v>4305</v>
      </c>
      <c r="E710" s="6"/>
    </row>
    <row r="711" spans="1:5" ht="12.75">
      <c r="A711" s="44" t="s">
        <v>1338</v>
      </c>
      <c r="B711" s="44" t="s">
        <v>1699</v>
      </c>
      <c r="C711" s="53" t="s">
        <v>1698</v>
      </c>
      <c r="D711" s="6" t="s">
        <v>4232</v>
      </c>
      <c r="E711" s="6"/>
    </row>
    <row r="712" spans="1:5" ht="12.75">
      <c r="A712" s="44" t="s">
        <v>1338</v>
      </c>
      <c r="B712" s="124" t="s">
        <v>1870</v>
      </c>
      <c r="C712" s="53" t="s">
        <v>1869</v>
      </c>
      <c r="D712" s="6" t="s">
        <v>4306</v>
      </c>
      <c r="E712" s="6"/>
    </row>
    <row r="713" spans="1:5" ht="12.75">
      <c r="A713" s="44" t="s">
        <v>1338</v>
      </c>
      <c r="B713" s="124" t="s">
        <v>1871</v>
      </c>
      <c r="C713" s="53" t="s">
        <v>1574</v>
      </c>
      <c r="D713" s="6" t="s">
        <v>4180</v>
      </c>
      <c r="E713" s="6"/>
    </row>
    <row r="714" spans="1:5" ht="12.75">
      <c r="A714" s="44" t="s">
        <v>1338</v>
      </c>
      <c r="B714" s="124" t="s">
        <v>1873</v>
      </c>
      <c r="C714" s="53" t="s">
        <v>1872</v>
      </c>
      <c r="D714" s="6" t="s">
        <v>4307</v>
      </c>
      <c r="E714" s="6"/>
    </row>
    <row r="715" spans="1:5" ht="12.75">
      <c r="A715" s="44" t="s">
        <v>1338</v>
      </c>
      <c r="B715" s="124" t="s">
        <v>1875</v>
      </c>
      <c r="C715" s="53" t="s">
        <v>1874</v>
      </c>
      <c r="D715" s="6" t="s">
        <v>4308</v>
      </c>
      <c r="E715" s="6"/>
    </row>
    <row r="716" spans="1:5" ht="12.75">
      <c r="A716" s="44" t="s">
        <v>1338</v>
      </c>
      <c r="B716" s="53" t="s">
        <v>1877</v>
      </c>
      <c r="C716" s="44" t="s">
        <v>1876</v>
      </c>
      <c r="D716" s="6" t="s">
        <v>4309</v>
      </c>
      <c r="E716" s="6"/>
    </row>
    <row r="717" spans="1:5" ht="12.75">
      <c r="A717" s="44" t="s">
        <v>1338</v>
      </c>
      <c r="B717" s="53" t="s">
        <v>1879</v>
      </c>
      <c r="C717" s="44" t="s">
        <v>1878</v>
      </c>
      <c r="D717" s="6" t="s">
        <v>2589</v>
      </c>
      <c r="E717" s="6"/>
    </row>
    <row r="718" spans="1:5" ht="12.75">
      <c r="A718" s="44" t="s">
        <v>1338</v>
      </c>
      <c r="B718" s="124" t="s">
        <v>1881</v>
      </c>
      <c r="C718" s="53" t="s">
        <v>1880</v>
      </c>
      <c r="D718" s="6" t="s">
        <v>4310</v>
      </c>
      <c r="E718" s="6"/>
    </row>
    <row r="719" spans="1:5" ht="12.75">
      <c r="A719" s="44" t="s">
        <v>1338</v>
      </c>
      <c r="B719" s="124" t="s">
        <v>1883</v>
      </c>
      <c r="C719" s="53" t="s">
        <v>1882</v>
      </c>
      <c r="D719" s="6" t="s">
        <v>4311</v>
      </c>
      <c r="E719" s="6"/>
    </row>
    <row r="720" spans="1:5" ht="12.75">
      <c r="A720" s="44" t="s">
        <v>1338</v>
      </c>
      <c r="B720" s="53" t="s">
        <v>1885</v>
      </c>
      <c r="C720" s="53" t="s">
        <v>1884</v>
      </c>
      <c r="D720" s="6" t="s">
        <v>4312</v>
      </c>
      <c r="E720" s="6"/>
    </row>
    <row r="721" spans="1:5" ht="12.75">
      <c r="A721" s="44" t="s">
        <v>1338</v>
      </c>
      <c r="B721" s="53" t="s">
        <v>1887</v>
      </c>
      <c r="C721" s="53" t="s">
        <v>1886</v>
      </c>
      <c r="D721" s="6" t="s">
        <v>4313</v>
      </c>
      <c r="E721" s="6"/>
    </row>
    <row r="722" spans="1:5" ht="12.75">
      <c r="A722" s="44" t="s">
        <v>1338</v>
      </c>
      <c r="B722" s="53" t="s">
        <v>1889</v>
      </c>
      <c r="C722" s="44" t="s">
        <v>1888</v>
      </c>
      <c r="D722" s="6" t="s">
        <v>4314</v>
      </c>
      <c r="E722" s="6"/>
    </row>
    <row r="723" spans="1:5" ht="12.75">
      <c r="A723" s="44" t="s">
        <v>1338</v>
      </c>
      <c r="B723" s="53" t="s">
        <v>1891</v>
      </c>
      <c r="C723" s="44" t="s">
        <v>1890</v>
      </c>
      <c r="D723" s="6" t="s">
        <v>4315</v>
      </c>
      <c r="E723" s="6"/>
    </row>
    <row r="724" spans="1:5" ht="12.75">
      <c r="A724" s="44" t="s">
        <v>1338</v>
      </c>
      <c r="B724" s="53" t="s">
        <v>1893</v>
      </c>
      <c r="C724" s="53" t="s">
        <v>1892</v>
      </c>
      <c r="D724" s="6" t="s">
        <v>4316</v>
      </c>
      <c r="E724" s="6"/>
    </row>
    <row r="725" spans="1:5" ht="12.75">
      <c r="A725" s="44" t="s">
        <v>1338</v>
      </c>
      <c r="B725" s="53" t="s">
        <v>1895</v>
      </c>
      <c r="C725" s="53" t="s">
        <v>1894</v>
      </c>
      <c r="D725" s="6" t="s">
        <v>4317</v>
      </c>
      <c r="E725" s="6"/>
    </row>
    <row r="726" spans="1:5" ht="12.75">
      <c r="A726" s="44" t="s">
        <v>1338</v>
      </c>
      <c r="B726" s="53" t="s">
        <v>1727</v>
      </c>
      <c r="C726" s="53" t="s">
        <v>1726</v>
      </c>
      <c r="D726" s="6" t="s">
        <v>4247</v>
      </c>
      <c r="E726" s="6"/>
    </row>
    <row r="727" spans="1:5" ht="12.75">
      <c r="A727" s="44" t="s">
        <v>1338</v>
      </c>
      <c r="B727" s="53" t="s">
        <v>1897</v>
      </c>
      <c r="C727" s="53" t="s">
        <v>1896</v>
      </c>
      <c r="D727" s="6" t="s">
        <v>2593</v>
      </c>
      <c r="E727" s="6"/>
    </row>
    <row r="728" spans="1:5" ht="12.75">
      <c r="A728" s="44" t="s">
        <v>1338</v>
      </c>
      <c r="B728" s="124" t="s">
        <v>1901</v>
      </c>
      <c r="C728" s="44" t="s">
        <v>1900</v>
      </c>
      <c r="D728" s="6" t="s">
        <v>4318</v>
      </c>
      <c r="E728" s="6"/>
    </row>
    <row r="729" spans="1:5" ht="12.75">
      <c r="A729" s="44" t="s">
        <v>1338</v>
      </c>
      <c r="B729" s="124" t="s">
        <v>1899</v>
      </c>
      <c r="C729" s="53" t="s">
        <v>1898</v>
      </c>
      <c r="D729" s="6" t="s">
        <v>4319</v>
      </c>
      <c r="E729" s="6"/>
    </row>
    <row r="730" spans="1:5" ht="12.75">
      <c r="A730" s="44" t="s">
        <v>1338</v>
      </c>
      <c r="B730" s="124" t="s">
        <v>1903</v>
      </c>
      <c r="C730" s="53" t="s">
        <v>1902</v>
      </c>
      <c r="D730" s="6" t="s">
        <v>4320</v>
      </c>
      <c r="E730" s="6"/>
    </row>
    <row r="731" spans="1:5" ht="12.75">
      <c r="A731" s="44" t="s">
        <v>1338</v>
      </c>
      <c r="B731" s="124" t="s">
        <v>1905</v>
      </c>
      <c r="C731" s="44" t="s">
        <v>1904</v>
      </c>
      <c r="D731" s="6" t="s">
        <v>4321</v>
      </c>
      <c r="E731" s="6"/>
    </row>
    <row r="732" spans="1:5" ht="12.75">
      <c r="A732" s="250" t="s">
        <v>1531</v>
      </c>
      <c r="B732" s="251"/>
      <c r="C732" s="252"/>
      <c r="D732" s="253"/>
      <c r="E732" s="253"/>
    </row>
    <row r="733" spans="1:5" ht="173.25" customHeight="1">
      <c r="A733" s="10" t="s">
        <v>1531</v>
      </c>
      <c r="B733" s="10" t="s">
        <v>1908</v>
      </c>
      <c r="C733" s="44" t="s">
        <v>1907</v>
      </c>
      <c r="D733" s="6" t="s">
        <v>4322</v>
      </c>
      <c r="E733" s="237" t="s">
        <v>4323</v>
      </c>
    </row>
    <row r="734" spans="1:5" ht="12.75">
      <c r="A734" s="10" t="s">
        <v>1531</v>
      </c>
      <c r="B734" s="10" t="s">
        <v>1910</v>
      </c>
      <c r="C734" s="44" t="s">
        <v>1909</v>
      </c>
      <c r="D734" s="6" t="s">
        <v>4324</v>
      </c>
      <c r="E734" s="237" t="s">
        <v>4325</v>
      </c>
    </row>
    <row r="735" spans="1:5" ht="12.75">
      <c r="A735" s="250" t="s">
        <v>1341</v>
      </c>
      <c r="B735" s="251"/>
      <c r="C735" s="252"/>
      <c r="D735" s="253"/>
      <c r="E735" s="253"/>
    </row>
    <row r="736" spans="1:5" ht="12.75">
      <c r="A736" s="6" t="s">
        <v>1341</v>
      </c>
      <c r="B736" s="53" t="s">
        <v>1914</v>
      </c>
      <c r="C736" s="53" t="s">
        <v>1913</v>
      </c>
      <c r="D736" s="10" t="s">
        <v>4326</v>
      </c>
      <c r="E736" s="6"/>
    </row>
    <row r="737" spans="1:5" ht="12.75">
      <c r="A737" s="6" t="s">
        <v>1341</v>
      </c>
      <c r="B737" s="53" t="s">
        <v>1922</v>
      </c>
      <c r="C737" s="53" t="s">
        <v>1921</v>
      </c>
      <c r="D737" s="10" t="s">
        <v>4327</v>
      </c>
      <c r="E737" s="6"/>
    </row>
    <row r="738" spans="1:5" ht="12.75">
      <c r="A738" s="6" t="s">
        <v>1341</v>
      </c>
      <c r="B738" s="53" t="s">
        <v>1923</v>
      </c>
      <c r="C738" s="53" t="s">
        <v>1592</v>
      </c>
      <c r="D738" s="10" t="s">
        <v>4182</v>
      </c>
      <c r="E738" s="6"/>
    </row>
    <row r="739" spans="1:5" ht="12.75">
      <c r="A739" s="6" t="s">
        <v>1341</v>
      </c>
      <c r="B739" s="53" t="s">
        <v>1925</v>
      </c>
      <c r="C739" s="53" t="s">
        <v>1924</v>
      </c>
      <c r="D739" s="6" t="s">
        <v>4328</v>
      </c>
      <c r="E739" s="6"/>
    </row>
    <row r="740" spans="1:5" ht="12.75">
      <c r="A740" s="6" t="s">
        <v>1341</v>
      </c>
      <c r="B740" s="53" t="s">
        <v>1927</v>
      </c>
      <c r="C740" s="53" t="s">
        <v>1926</v>
      </c>
      <c r="D740" s="6" t="s">
        <v>4329</v>
      </c>
      <c r="E740" s="6"/>
    </row>
    <row r="741" spans="1:5" ht="12.75">
      <c r="A741" s="6" t="s">
        <v>1341</v>
      </c>
      <c r="B741" s="53" t="s">
        <v>1929</v>
      </c>
      <c r="C741" s="44" t="s">
        <v>1928</v>
      </c>
      <c r="D741" s="6" t="s">
        <v>4330</v>
      </c>
      <c r="E741" s="6"/>
    </row>
    <row r="742" spans="1:5" ht="12.75">
      <c r="A742" s="6" t="s">
        <v>1341</v>
      </c>
      <c r="B742" s="53" t="s">
        <v>2000</v>
      </c>
      <c r="C742" s="44" t="s">
        <v>1999</v>
      </c>
      <c r="D742" s="6" t="s">
        <v>4331</v>
      </c>
      <c r="E742" s="6"/>
    </row>
    <row r="743" spans="1:5" ht="12.75">
      <c r="A743" s="6" t="s">
        <v>1341</v>
      </c>
      <c r="B743" s="53" t="s">
        <v>2001</v>
      </c>
      <c r="C743" s="53" t="s">
        <v>1574</v>
      </c>
      <c r="D743" s="6" t="s">
        <v>4180</v>
      </c>
      <c r="E743" s="6"/>
    </row>
    <row r="744" spans="1:5" ht="12.75">
      <c r="A744" s="6" t="s">
        <v>1341</v>
      </c>
      <c r="B744" s="53" t="s">
        <v>2003</v>
      </c>
      <c r="C744" s="44" t="s">
        <v>2002</v>
      </c>
      <c r="D744" s="6" t="s">
        <v>4332</v>
      </c>
      <c r="E744" s="6"/>
    </row>
    <row r="745" spans="1:5" ht="12.75">
      <c r="A745" s="6" t="s">
        <v>1341</v>
      </c>
      <c r="B745" s="53" t="s">
        <v>2005</v>
      </c>
      <c r="C745" s="44" t="s">
        <v>2004</v>
      </c>
      <c r="D745" s="6" t="s">
        <v>4333</v>
      </c>
      <c r="E745" s="6"/>
    </row>
    <row r="746" spans="1:5" ht="12.75">
      <c r="A746" s="6" t="s">
        <v>1341</v>
      </c>
      <c r="B746" s="53" t="s">
        <v>1778</v>
      </c>
      <c r="C746" s="53" t="s">
        <v>3662</v>
      </c>
      <c r="D746" s="6" t="s">
        <v>4265</v>
      </c>
      <c r="E746" s="6"/>
    </row>
    <row r="747" spans="1:5" ht="12.75">
      <c r="A747" s="6" t="s">
        <v>1341</v>
      </c>
      <c r="B747" s="53" t="s">
        <v>1931</v>
      </c>
      <c r="C747" s="53" t="s">
        <v>1930</v>
      </c>
      <c r="D747" s="6" t="s">
        <v>4334</v>
      </c>
      <c r="E747" s="6"/>
    </row>
    <row r="748" spans="1:5" ht="12.75">
      <c r="A748" s="6" t="s">
        <v>1341</v>
      </c>
      <c r="B748" s="53" t="s">
        <v>1933</v>
      </c>
      <c r="C748" s="53" t="s">
        <v>1932</v>
      </c>
      <c r="D748" s="6" t="s">
        <v>4335</v>
      </c>
      <c r="E748" s="6"/>
    </row>
    <row r="749" spans="1:5" ht="12.75">
      <c r="A749" s="6" t="s">
        <v>1341</v>
      </c>
      <c r="B749" s="53" t="s">
        <v>1935</v>
      </c>
      <c r="C749" s="53" t="s">
        <v>1934</v>
      </c>
      <c r="D749" s="6" t="s">
        <v>2348</v>
      </c>
      <c r="E749" s="6"/>
    </row>
    <row r="750" spans="1:5" ht="12.75">
      <c r="A750" s="6" t="s">
        <v>1341</v>
      </c>
      <c r="B750" s="53" t="s">
        <v>1937</v>
      </c>
      <c r="C750" s="53" t="s">
        <v>1936</v>
      </c>
      <c r="D750" s="6" t="s">
        <v>4336</v>
      </c>
      <c r="E750" s="6"/>
    </row>
    <row r="751" spans="1:5" ht="12.75">
      <c r="A751" s="6" t="s">
        <v>1341</v>
      </c>
      <c r="B751" s="53" t="s">
        <v>1939</v>
      </c>
      <c r="C751" s="53" t="s">
        <v>1938</v>
      </c>
      <c r="D751" s="6" t="s">
        <v>4337</v>
      </c>
      <c r="E751" s="6"/>
    </row>
    <row r="752" spans="1:5" ht="12.75">
      <c r="A752" s="6" t="s">
        <v>1341</v>
      </c>
      <c r="B752" s="53" t="s">
        <v>1941</v>
      </c>
      <c r="C752" s="53" t="s">
        <v>1940</v>
      </c>
      <c r="D752" s="6" t="s">
        <v>4338</v>
      </c>
      <c r="E752" s="6"/>
    </row>
    <row r="753" spans="1:5" ht="12.75">
      <c r="A753" s="6" t="s">
        <v>1341</v>
      </c>
      <c r="B753" s="53" t="s">
        <v>1776</v>
      </c>
      <c r="C753" s="53" t="s">
        <v>1775</v>
      </c>
      <c r="D753" s="6" t="s">
        <v>4264</v>
      </c>
      <c r="E753" s="6"/>
    </row>
    <row r="754" spans="1:5" ht="12.75">
      <c r="A754" s="6" t="s">
        <v>1341</v>
      </c>
      <c r="B754" s="53" t="s">
        <v>1943</v>
      </c>
      <c r="C754" s="53" t="s">
        <v>1942</v>
      </c>
      <c r="D754" s="6" t="s">
        <v>4339</v>
      </c>
      <c r="E754" s="6"/>
    </row>
    <row r="755" spans="1:5" ht="12.75">
      <c r="A755" s="6" t="s">
        <v>1341</v>
      </c>
      <c r="B755" s="53" t="s">
        <v>1944</v>
      </c>
      <c r="C755" s="53" t="s">
        <v>1722</v>
      </c>
      <c r="D755" s="6" t="s">
        <v>4246</v>
      </c>
      <c r="E755" s="6"/>
    </row>
    <row r="756" spans="1:5" ht="12.75">
      <c r="A756" s="6" t="s">
        <v>1341</v>
      </c>
      <c r="B756" s="53" t="s">
        <v>1946</v>
      </c>
      <c r="C756" s="53" t="s">
        <v>1945</v>
      </c>
      <c r="D756" s="6" t="s">
        <v>4340</v>
      </c>
      <c r="E756" s="6"/>
    </row>
    <row r="757" spans="1:5" ht="12.75">
      <c r="A757" s="6" t="s">
        <v>1341</v>
      </c>
      <c r="B757" s="53" t="s">
        <v>1948</v>
      </c>
      <c r="C757" s="53" t="s">
        <v>1947</v>
      </c>
      <c r="D757" s="6" t="s">
        <v>4341</v>
      </c>
      <c r="E757" s="6"/>
    </row>
    <row r="758" spans="1:5" ht="12.75">
      <c r="A758" s="6" t="s">
        <v>1341</v>
      </c>
      <c r="B758" s="53" t="s">
        <v>1581</v>
      </c>
      <c r="C758" s="53" t="s">
        <v>1580</v>
      </c>
      <c r="D758" s="6" t="s">
        <v>4184</v>
      </c>
      <c r="E758" s="6"/>
    </row>
    <row r="759" spans="1:5" ht="12.75">
      <c r="A759" s="6" t="s">
        <v>1341</v>
      </c>
      <c r="B759" s="53" t="s">
        <v>1950</v>
      </c>
      <c r="C759" s="53" t="s">
        <v>1949</v>
      </c>
      <c r="D759" s="6" t="s">
        <v>4342</v>
      </c>
      <c r="E759" s="6"/>
    </row>
    <row r="760" spans="1:5" ht="12.75">
      <c r="A760" s="6" t="s">
        <v>1341</v>
      </c>
      <c r="B760" s="53" t="s">
        <v>1952</v>
      </c>
      <c r="C760" s="44" t="s">
        <v>1951</v>
      </c>
      <c r="D760" s="6" t="s">
        <v>4343</v>
      </c>
      <c r="E760" s="6"/>
    </row>
    <row r="761" spans="1:5" ht="12.75">
      <c r="A761" s="6" t="s">
        <v>1341</v>
      </c>
      <c r="B761" s="53" t="s">
        <v>1954</v>
      </c>
      <c r="C761" s="53" t="s">
        <v>1953</v>
      </c>
      <c r="D761" s="6" t="s">
        <v>4344</v>
      </c>
      <c r="E761" s="6"/>
    </row>
    <row r="762" spans="1:5" ht="12.75">
      <c r="A762" s="6" t="s">
        <v>1341</v>
      </c>
      <c r="B762" s="53" t="s">
        <v>1956</v>
      </c>
      <c r="C762" s="53" t="s">
        <v>1955</v>
      </c>
      <c r="D762" s="6" t="s">
        <v>4345</v>
      </c>
      <c r="E762" s="6"/>
    </row>
    <row r="763" spans="1:5" ht="12.75">
      <c r="A763" s="6" t="s">
        <v>1341</v>
      </c>
      <c r="B763" s="53" t="s">
        <v>1958</v>
      </c>
      <c r="C763" s="44" t="s">
        <v>1957</v>
      </c>
      <c r="D763" s="6" t="s">
        <v>4346</v>
      </c>
      <c r="E763" s="6"/>
    </row>
    <row r="764" spans="1:5" ht="12.75">
      <c r="A764" s="6" t="s">
        <v>1341</v>
      </c>
      <c r="B764" s="53" t="s">
        <v>1637</v>
      </c>
      <c r="C764" s="53" t="s">
        <v>1636</v>
      </c>
      <c r="D764" s="6" t="s">
        <v>4206</v>
      </c>
      <c r="E764" s="6"/>
    </row>
    <row r="765" spans="1:5" ht="12.75">
      <c r="A765" s="6" t="s">
        <v>1341</v>
      </c>
      <c r="B765" s="53" t="s">
        <v>1960</v>
      </c>
      <c r="C765" s="44" t="s">
        <v>1959</v>
      </c>
      <c r="D765" s="6" t="s">
        <v>4347</v>
      </c>
      <c r="E765" s="6"/>
    </row>
    <row r="766" spans="1:5" ht="12.75">
      <c r="A766" s="6" t="s">
        <v>1341</v>
      </c>
      <c r="B766" s="53" t="s">
        <v>1962</v>
      </c>
      <c r="C766" s="53" t="s">
        <v>1961</v>
      </c>
      <c r="D766" s="6" t="s">
        <v>4348</v>
      </c>
      <c r="E766" s="6"/>
    </row>
    <row r="767" spans="1:5" ht="12.75">
      <c r="A767" s="6" t="s">
        <v>1341</v>
      </c>
      <c r="B767" s="53" t="s">
        <v>1963</v>
      </c>
      <c r="C767" s="53" t="s">
        <v>1660</v>
      </c>
      <c r="D767" s="6" t="s">
        <v>4215</v>
      </c>
      <c r="E767" s="6"/>
    </row>
    <row r="768" spans="1:5" ht="12.75">
      <c r="A768" s="6" t="s">
        <v>1341</v>
      </c>
      <c r="B768" s="53" t="s">
        <v>1965</v>
      </c>
      <c r="C768" s="53" t="s">
        <v>1964</v>
      </c>
      <c r="D768" s="6" t="s">
        <v>4349</v>
      </c>
      <c r="E768" s="6"/>
    </row>
    <row r="769" spans="1:5" ht="12.75">
      <c r="A769" s="6" t="s">
        <v>1341</v>
      </c>
      <c r="B769" s="53" t="s">
        <v>1967</v>
      </c>
      <c r="C769" s="53" t="s">
        <v>1966</v>
      </c>
      <c r="D769" s="6" t="s">
        <v>4350</v>
      </c>
      <c r="E769" s="6"/>
    </row>
    <row r="770" spans="1:5" ht="12.75">
      <c r="A770" s="6" t="s">
        <v>1341</v>
      </c>
      <c r="B770" s="53" t="s">
        <v>1969</v>
      </c>
      <c r="C770" s="44" t="s">
        <v>1968</v>
      </c>
      <c r="D770" s="6" t="s">
        <v>4351</v>
      </c>
      <c r="E770" s="6"/>
    </row>
    <row r="771" spans="1:5" ht="12.75">
      <c r="A771" s="6" t="s">
        <v>1341</v>
      </c>
      <c r="B771" s="53" t="s">
        <v>1971</v>
      </c>
      <c r="C771" s="44" t="s">
        <v>1970</v>
      </c>
      <c r="D771" s="6" t="s">
        <v>4352</v>
      </c>
      <c r="E771" s="6"/>
    </row>
    <row r="772" spans="1:5" ht="12.75">
      <c r="A772" s="6" t="s">
        <v>1341</v>
      </c>
      <c r="B772" s="53" t="s">
        <v>1916</v>
      </c>
      <c r="C772" s="53" t="s">
        <v>1915</v>
      </c>
      <c r="D772" s="6" t="s">
        <v>4353</v>
      </c>
      <c r="E772" s="6"/>
    </row>
    <row r="773" spans="1:5" ht="12.75">
      <c r="A773" s="6" t="s">
        <v>1341</v>
      </c>
      <c r="B773" s="53" t="s">
        <v>1973</v>
      </c>
      <c r="C773" s="53" t="s">
        <v>1972</v>
      </c>
      <c r="D773" s="6" t="s">
        <v>4354</v>
      </c>
      <c r="E773" s="6"/>
    </row>
    <row r="774" spans="1:5" ht="12.75">
      <c r="A774" s="6" t="s">
        <v>1341</v>
      </c>
      <c r="B774" s="53" t="s">
        <v>1977</v>
      </c>
      <c r="C774" s="53" t="s">
        <v>1976</v>
      </c>
      <c r="D774" s="6" t="s">
        <v>4355</v>
      </c>
      <c r="E774" s="6"/>
    </row>
    <row r="775" spans="1:5" ht="12.75">
      <c r="A775" s="6" t="s">
        <v>1341</v>
      </c>
      <c r="B775" s="53" t="s">
        <v>1975</v>
      </c>
      <c r="C775" s="44" t="s">
        <v>1974</v>
      </c>
      <c r="D775" s="6" t="s">
        <v>4356</v>
      </c>
      <c r="E775" s="6"/>
    </row>
    <row r="776" spans="1:5" ht="12.75">
      <c r="A776" s="6" t="s">
        <v>1341</v>
      </c>
      <c r="B776" s="53" t="s">
        <v>1918</v>
      </c>
      <c r="C776" s="53" t="s">
        <v>1917</v>
      </c>
      <c r="D776" s="6" t="s">
        <v>4357</v>
      </c>
      <c r="E776" s="6"/>
    </row>
    <row r="777" spans="1:5" ht="12.75">
      <c r="A777" s="6" t="s">
        <v>1341</v>
      </c>
      <c r="B777" s="44" t="s">
        <v>1920</v>
      </c>
      <c r="C777" s="44" t="s">
        <v>1919</v>
      </c>
      <c r="D777" s="6" t="s">
        <v>4358</v>
      </c>
      <c r="E777" s="6"/>
    </row>
    <row r="778" spans="1:5" ht="12.75">
      <c r="A778" s="6" t="s">
        <v>1341</v>
      </c>
      <c r="B778" s="53" t="s">
        <v>1979</v>
      </c>
      <c r="C778" s="53" t="s">
        <v>1978</v>
      </c>
      <c r="D778" s="6" t="s">
        <v>4359</v>
      </c>
      <c r="E778" s="6"/>
    </row>
    <row r="779" spans="1:5" ht="12.75">
      <c r="A779" s="6" t="s">
        <v>1341</v>
      </c>
      <c r="B779" s="53" t="s">
        <v>1981</v>
      </c>
      <c r="C779" s="53" t="s">
        <v>1980</v>
      </c>
      <c r="D779" s="6" t="s">
        <v>4360</v>
      </c>
      <c r="E779" s="6"/>
    </row>
    <row r="780" spans="1:5" ht="12.75">
      <c r="A780" s="6" t="s">
        <v>1341</v>
      </c>
      <c r="B780" s="53" t="s">
        <v>1983</v>
      </c>
      <c r="C780" s="53" t="s">
        <v>1982</v>
      </c>
      <c r="D780" s="6" t="s">
        <v>4361</v>
      </c>
      <c r="E780" s="6"/>
    </row>
    <row r="781" spans="1:5" ht="12.75">
      <c r="A781" s="6" t="s">
        <v>1341</v>
      </c>
      <c r="B781" s="53" t="s">
        <v>1985</v>
      </c>
      <c r="C781" s="53" t="s">
        <v>1984</v>
      </c>
      <c r="D781" s="6" t="s">
        <v>4362</v>
      </c>
      <c r="E781" s="6"/>
    </row>
    <row r="782" spans="1:5" ht="12.75">
      <c r="A782" s="6" t="s">
        <v>1341</v>
      </c>
      <c r="B782" s="53" t="s">
        <v>1988</v>
      </c>
      <c r="C782" s="44" t="s">
        <v>1987</v>
      </c>
      <c r="D782" s="6" t="s">
        <v>4363</v>
      </c>
      <c r="E782" s="6"/>
    </row>
    <row r="783" spans="1:5" ht="12.75">
      <c r="A783" s="6" t="s">
        <v>1341</v>
      </c>
      <c r="B783" s="126" t="s">
        <v>1846</v>
      </c>
      <c r="C783" s="53" t="s">
        <v>1845</v>
      </c>
      <c r="D783" s="6" t="s">
        <v>4293</v>
      </c>
      <c r="E783" s="6"/>
    </row>
    <row r="784" spans="1:5" ht="12.75">
      <c r="A784" s="6" t="s">
        <v>1341</v>
      </c>
      <c r="B784" s="53" t="s">
        <v>1990</v>
      </c>
      <c r="C784" s="53" t="s">
        <v>1989</v>
      </c>
      <c r="D784" s="6" t="s">
        <v>4364</v>
      </c>
      <c r="E784" s="6"/>
    </row>
    <row r="785" spans="1:5" ht="12.75">
      <c r="A785" s="6" t="s">
        <v>1341</v>
      </c>
      <c r="B785" s="53" t="s">
        <v>1992</v>
      </c>
      <c r="C785" s="53" t="s">
        <v>1991</v>
      </c>
      <c r="D785" s="6" t="s">
        <v>4365</v>
      </c>
      <c r="E785" s="6"/>
    </row>
    <row r="786" spans="1:5" ht="12.75">
      <c r="A786" s="6" t="s">
        <v>1341</v>
      </c>
      <c r="B786" s="53" t="s">
        <v>1994</v>
      </c>
      <c r="C786" s="53" t="s">
        <v>1993</v>
      </c>
      <c r="D786" s="6" t="s">
        <v>4366</v>
      </c>
      <c r="E786" s="6"/>
    </row>
    <row r="787" spans="1:5" ht="12.75">
      <c r="A787" s="6" t="s">
        <v>1341</v>
      </c>
      <c r="B787" s="53" t="s">
        <v>1996</v>
      </c>
      <c r="C787" s="44" t="s">
        <v>1995</v>
      </c>
      <c r="D787" s="6" t="s">
        <v>4367</v>
      </c>
      <c r="E787" s="6"/>
    </row>
    <row r="788" spans="1:5" ht="12.75">
      <c r="A788" s="6" t="s">
        <v>1341</v>
      </c>
      <c r="B788" s="53" t="s">
        <v>1998</v>
      </c>
      <c r="C788" s="53" t="s">
        <v>1997</v>
      </c>
      <c r="D788" s="6" t="s">
        <v>4368</v>
      </c>
      <c r="E788" s="6"/>
    </row>
    <row r="789" spans="1:5" ht="12.75">
      <c r="A789" s="6" t="s">
        <v>1341</v>
      </c>
      <c r="B789" s="53" t="s">
        <v>2007</v>
      </c>
      <c r="C789" s="44" t="s">
        <v>2006</v>
      </c>
      <c r="D789" s="6" t="s">
        <v>4369</v>
      </c>
      <c r="E789" s="6"/>
    </row>
    <row r="790" spans="1:5" ht="12.75">
      <c r="A790" s="6" t="s">
        <v>1341</v>
      </c>
      <c r="B790" s="53" t="s">
        <v>2009</v>
      </c>
      <c r="C790" s="53" t="s">
        <v>2008</v>
      </c>
      <c r="D790" s="6" t="s">
        <v>4370</v>
      </c>
      <c r="E790" s="6"/>
    </row>
    <row r="791" spans="1:5" ht="12.75">
      <c r="A791" s="6" t="s">
        <v>1341</v>
      </c>
      <c r="B791" s="53" t="s">
        <v>2011</v>
      </c>
      <c r="C791" s="53" t="s">
        <v>2010</v>
      </c>
      <c r="D791" s="6" t="s">
        <v>4371</v>
      </c>
      <c r="E791" s="6"/>
    </row>
    <row r="792" spans="1:5" ht="12.75">
      <c r="A792" s="6" t="s">
        <v>1341</v>
      </c>
      <c r="B792" s="53" t="s">
        <v>2013</v>
      </c>
      <c r="C792" s="53" t="s">
        <v>2012</v>
      </c>
      <c r="D792" s="6" t="s">
        <v>4372</v>
      </c>
      <c r="E792" s="6"/>
    </row>
    <row r="793" spans="1:5" ht="12.75">
      <c r="A793" s="6" t="s">
        <v>1341</v>
      </c>
      <c r="B793" s="53" t="s">
        <v>2015</v>
      </c>
      <c r="C793" s="53" t="s">
        <v>2014</v>
      </c>
      <c r="D793" s="6" t="s">
        <v>4373</v>
      </c>
      <c r="E793" s="6"/>
    </row>
    <row r="794" spans="1:5" ht="12.75">
      <c r="A794" s="6" t="s">
        <v>1341</v>
      </c>
      <c r="B794" s="53" t="s">
        <v>2017</v>
      </c>
      <c r="C794" s="53" t="s">
        <v>2016</v>
      </c>
      <c r="D794" s="6" t="s">
        <v>4374</v>
      </c>
      <c r="E794" s="6"/>
    </row>
    <row r="795" spans="1:5" ht="12.75">
      <c r="A795" s="6" t="s">
        <v>1341</v>
      </c>
      <c r="B795" s="53" t="s">
        <v>4375</v>
      </c>
      <c r="C795" s="53" t="s">
        <v>2018</v>
      </c>
      <c r="D795" s="6" t="s">
        <v>4376</v>
      </c>
      <c r="E795" s="6"/>
    </row>
    <row r="796" spans="1:5" ht="12.75">
      <c r="A796" s="6" t="s">
        <v>1341</v>
      </c>
      <c r="B796" s="53" t="s">
        <v>2019</v>
      </c>
      <c r="C796" s="53" t="s">
        <v>1698</v>
      </c>
      <c r="D796" s="6" t="s">
        <v>4232</v>
      </c>
      <c r="E796" s="6"/>
    </row>
    <row r="797" spans="1:5" ht="12.75">
      <c r="A797" s="6" t="s">
        <v>1341</v>
      </c>
      <c r="B797" s="53" t="s">
        <v>2021</v>
      </c>
      <c r="C797" s="53" t="s">
        <v>2020</v>
      </c>
      <c r="D797" s="6" t="s">
        <v>4377</v>
      </c>
      <c r="E797" s="6"/>
    </row>
    <row r="798" spans="1:5" ht="12.75">
      <c r="A798" s="6" t="s">
        <v>1341</v>
      </c>
      <c r="B798" s="53" t="s">
        <v>2023</v>
      </c>
      <c r="C798" s="53" t="s">
        <v>2022</v>
      </c>
      <c r="D798" s="6" t="s">
        <v>4378</v>
      </c>
      <c r="E798" s="6" t="s">
        <v>4379</v>
      </c>
    </row>
    <row r="799" spans="1:5" ht="12.75">
      <c r="A799" s="6" t="s">
        <v>1341</v>
      </c>
      <c r="B799" s="53" t="s">
        <v>2025</v>
      </c>
      <c r="C799" s="53" t="s">
        <v>2024</v>
      </c>
      <c r="D799" s="6" t="s">
        <v>4380</v>
      </c>
      <c r="E799" s="6"/>
    </row>
    <row r="800" spans="1:5" ht="12.75">
      <c r="A800" s="6" t="s">
        <v>1341</v>
      </c>
      <c r="B800" s="53" t="s">
        <v>2027</v>
      </c>
      <c r="C800" s="53" t="s">
        <v>2026</v>
      </c>
      <c r="D800" s="6" t="s">
        <v>2606</v>
      </c>
      <c r="E800" s="6" t="s">
        <v>4381</v>
      </c>
    </row>
    <row r="801" spans="1:5" ht="12.75">
      <c r="A801" s="6" t="s">
        <v>1341</v>
      </c>
      <c r="B801" s="53" t="s">
        <v>2029</v>
      </c>
      <c r="C801" s="44" t="s">
        <v>2028</v>
      </c>
      <c r="D801" s="6" t="s">
        <v>4382</v>
      </c>
      <c r="E801" s="6" t="s">
        <v>4383</v>
      </c>
    </row>
    <row r="802" spans="1:5" ht="12.75">
      <c r="A802" s="6" t="s">
        <v>1341</v>
      </c>
      <c r="B802" s="53" t="s">
        <v>2031</v>
      </c>
      <c r="C802" s="44" t="s">
        <v>2030</v>
      </c>
      <c r="D802" s="6" t="s">
        <v>4384</v>
      </c>
      <c r="E802" s="6" t="s">
        <v>4385</v>
      </c>
    </row>
    <row r="803" spans="1:5" ht="12.75">
      <c r="A803" s="6" t="s">
        <v>1341</v>
      </c>
      <c r="B803" s="44" t="s">
        <v>2032</v>
      </c>
      <c r="C803" s="53" t="s">
        <v>1710</v>
      </c>
      <c r="D803" s="6" t="s">
        <v>4240</v>
      </c>
      <c r="E803" s="6"/>
    </row>
    <row r="804" spans="1:5" ht="12.75">
      <c r="A804" s="6" t="s">
        <v>1341</v>
      </c>
      <c r="B804" s="44" t="s">
        <v>1713</v>
      </c>
      <c r="C804" s="53" t="s">
        <v>1712</v>
      </c>
      <c r="D804" s="6" t="s">
        <v>4241</v>
      </c>
      <c r="E804" s="6"/>
    </row>
    <row r="805" spans="1:5" ht="12.75">
      <c r="A805" s="6" t="s">
        <v>1341</v>
      </c>
      <c r="B805" s="53" t="s">
        <v>2034</v>
      </c>
      <c r="C805" s="53" t="s">
        <v>2033</v>
      </c>
      <c r="D805" s="6" t="s">
        <v>2607</v>
      </c>
      <c r="E805" s="238" t="s">
        <v>4386</v>
      </c>
    </row>
    <row r="806" spans="1:5" ht="12.75">
      <c r="A806" s="6" t="s">
        <v>1341</v>
      </c>
      <c r="B806" s="53" t="s">
        <v>4387</v>
      </c>
      <c r="C806" s="53" t="s">
        <v>2035</v>
      </c>
      <c r="D806" s="6" t="s">
        <v>4388</v>
      </c>
      <c r="E806" s="238" t="s">
        <v>4389</v>
      </c>
    </row>
    <row r="807" spans="1:5" ht="12.75">
      <c r="A807" s="6" t="s">
        <v>1341</v>
      </c>
      <c r="B807" s="53" t="s">
        <v>4390</v>
      </c>
      <c r="C807" s="44" t="s">
        <v>2036</v>
      </c>
      <c r="D807" s="6" t="s">
        <v>4391</v>
      </c>
      <c r="E807" s="238" t="s">
        <v>4392</v>
      </c>
    </row>
    <row r="808" spans="1:5" ht="12.75">
      <c r="A808" s="6" t="s">
        <v>1341</v>
      </c>
      <c r="B808" s="53" t="s">
        <v>2038</v>
      </c>
      <c r="C808" s="53" t="s">
        <v>2037</v>
      </c>
      <c r="D808" s="6" t="s">
        <v>4393</v>
      </c>
      <c r="E808" s="6"/>
    </row>
    <row r="809" spans="1:5" ht="12.75">
      <c r="A809" s="6" t="s">
        <v>1341</v>
      </c>
      <c r="B809" s="53" t="s">
        <v>2040</v>
      </c>
      <c r="C809" s="53" t="s">
        <v>2039</v>
      </c>
      <c r="D809" s="6" t="s">
        <v>4394</v>
      </c>
      <c r="E809" s="6" t="s">
        <v>4395</v>
      </c>
    </row>
    <row r="810" spans="1:5" ht="12.75">
      <c r="A810" s="6" t="s">
        <v>1341</v>
      </c>
      <c r="B810" s="53" t="s">
        <v>2042</v>
      </c>
      <c r="C810" s="53" t="s">
        <v>2041</v>
      </c>
      <c r="D810" s="6" t="s">
        <v>4396</v>
      </c>
      <c r="E810" s="6"/>
    </row>
    <row r="811" spans="1:5" ht="12.75">
      <c r="A811" s="6" t="s">
        <v>1341</v>
      </c>
      <c r="B811" s="53" t="s">
        <v>2044</v>
      </c>
      <c r="C811" s="53" t="s">
        <v>2043</v>
      </c>
      <c r="D811" s="6" t="s">
        <v>4397</v>
      </c>
      <c r="E811" s="6"/>
    </row>
    <row r="812" spans="1:5" ht="12.75">
      <c r="A812" s="6" t="s">
        <v>1341</v>
      </c>
      <c r="B812" s="53" t="s">
        <v>2046</v>
      </c>
      <c r="C812" s="44" t="s">
        <v>2045</v>
      </c>
      <c r="D812" s="238" t="s">
        <v>4398</v>
      </c>
      <c r="E812" s="238" t="s">
        <v>4399</v>
      </c>
    </row>
    <row r="813" spans="1:5" ht="12.75">
      <c r="A813" s="6" t="s">
        <v>1341</v>
      </c>
      <c r="B813" s="44" t="s">
        <v>2048</v>
      </c>
      <c r="C813" s="53" t="s">
        <v>2047</v>
      </c>
      <c r="D813" s="6" t="s">
        <v>4400</v>
      </c>
      <c r="E813" s="6"/>
    </row>
    <row r="814" spans="1:5" ht="12.75">
      <c r="A814" s="250" t="s">
        <v>1347</v>
      </c>
      <c r="B814" s="251"/>
      <c r="C814" s="252"/>
      <c r="D814" s="253"/>
      <c r="E814" s="253"/>
    </row>
    <row r="815" spans="1:5" ht="12.75">
      <c r="A815" s="6" t="s">
        <v>1347</v>
      </c>
      <c r="B815" s="44" t="s">
        <v>1351</v>
      </c>
      <c r="C815" s="44" t="s">
        <v>1733</v>
      </c>
      <c r="D815" s="6" t="s">
        <v>2609</v>
      </c>
      <c r="E815" s="237" t="s">
        <v>4401</v>
      </c>
    </row>
    <row r="816" spans="1:5" ht="12.75">
      <c r="A816" s="6" t="s">
        <v>1347</v>
      </c>
      <c r="B816" s="44" t="s">
        <v>1735</v>
      </c>
      <c r="C816" s="44" t="s">
        <v>1734</v>
      </c>
      <c r="D816" s="6" t="s">
        <v>4402</v>
      </c>
      <c r="E816" s="238" t="s">
        <v>4403</v>
      </c>
    </row>
    <row r="817" spans="1:5" ht="12.75">
      <c r="A817" s="6" t="s">
        <v>1347</v>
      </c>
      <c r="B817" s="44" t="s">
        <v>1737</v>
      </c>
      <c r="C817" s="44" t="s">
        <v>1736</v>
      </c>
      <c r="D817" s="8" t="s">
        <v>4404</v>
      </c>
      <c r="E817" s="238" t="s">
        <v>4405</v>
      </c>
    </row>
  </sheetData>
  <hyperlinks>
    <hyperlink ref="E733" r:id="rId1" xr:uid="{00000000-0004-0000-2800-000000000000}"/>
    <hyperlink ref="E734" r:id="rId2" xr:uid="{00000000-0004-0000-2800-000001000000}"/>
    <hyperlink ref="E815" r:id="rId3" location="b1" xr:uid="{00000000-0004-0000-2800-000002000000}"/>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outlinePr summaryBelow="0" summaryRight="0"/>
  </sheetPr>
  <dimension ref="A1:Z12"/>
  <sheetViews>
    <sheetView workbookViewId="0"/>
  </sheetViews>
  <sheetFormatPr defaultColWidth="12.5703125" defaultRowHeight="15.75" customHeight="1"/>
  <sheetData>
    <row r="1" spans="1:26" ht="15.75" customHeight="1">
      <c r="A1" s="243" t="s">
        <v>18</v>
      </c>
      <c r="B1" s="239" t="s">
        <v>20</v>
      </c>
      <c r="C1" s="243" t="s">
        <v>24</v>
      </c>
      <c r="D1" s="239" t="s">
        <v>26</v>
      </c>
      <c r="E1" s="243" t="s">
        <v>30</v>
      </c>
      <c r="F1" s="239" t="s">
        <v>32</v>
      </c>
      <c r="G1" s="243" t="s">
        <v>34</v>
      </c>
      <c r="H1" s="243" t="s">
        <v>36</v>
      </c>
      <c r="I1" s="244" t="s">
        <v>38</v>
      </c>
      <c r="J1" s="241" t="s">
        <v>40</v>
      </c>
      <c r="K1" s="241" t="s">
        <v>42</v>
      </c>
      <c r="L1" s="243" t="s">
        <v>44</v>
      </c>
      <c r="M1" s="243" t="s">
        <v>46</v>
      </c>
      <c r="N1" s="244" t="s">
        <v>48</v>
      </c>
      <c r="O1" s="241" t="s">
        <v>50</v>
      </c>
      <c r="P1" s="243" t="s">
        <v>51</v>
      </c>
      <c r="Q1" s="243" t="s">
        <v>54</v>
      </c>
      <c r="R1" s="240" t="s">
        <v>57</v>
      </c>
      <c r="S1" s="241" t="s">
        <v>60</v>
      </c>
      <c r="T1" s="241" t="s">
        <v>62</v>
      </c>
      <c r="U1" s="241" t="s">
        <v>64</v>
      </c>
      <c r="V1" s="241" t="s">
        <v>65</v>
      </c>
      <c r="W1" s="241" t="s">
        <v>66</v>
      </c>
      <c r="X1" s="10"/>
      <c r="Y1" s="10"/>
      <c r="Z1" s="10"/>
    </row>
    <row r="2" spans="1:26" ht="15.75" customHeight="1">
      <c r="D2" s="8" t="s">
        <v>4043</v>
      </c>
    </row>
    <row r="3" spans="1:26" ht="15.75" customHeight="1">
      <c r="D3" s="8" t="s">
        <v>4044</v>
      </c>
    </row>
    <row r="4" spans="1:26" ht="15.75" customHeight="1">
      <c r="D4" s="8" t="s">
        <v>4031</v>
      </c>
    </row>
    <row r="5" spans="1:26" ht="15.75" customHeight="1">
      <c r="D5" s="8" t="s">
        <v>4034</v>
      </c>
    </row>
    <row r="6" spans="1:26" ht="15.75" customHeight="1">
      <c r="D6" s="8" t="s">
        <v>4032</v>
      </c>
    </row>
    <row r="7" spans="1:26" ht="15.75" customHeight="1">
      <c r="D7" s="8" t="s">
        <v>4033</v>
      </c>
    </row>
    <row r="8" spans="1:26" ht="15.75" customHeight="1">
      <c r="D8" s="8" t="s">
        <v>4035</v>
      </c>
    </row>
    <row r="9" spans="1:26" ht="15.75" customHeight="1">
      <c r="D9" s="8" t="s">
        <v>4036</v>
      </c>
    </row>
    <row r="10" spans="1:26" ht="15.75" customHeight="1">
      <c r="D10" s="8" t="s">
        <v>4037</v>
      </c>
    </row>
    <row r="11" spans="1:26" ht="15.75" customHeight="1">
      <c r="D11" s="8" t="s">
        <v>4406</v>
      </c>
    </row>
    <row r="12" spans="1:26" ht="15.75" customHeight="1">
      <c r="D12" s="8" t="s">
        <v>4038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outlinePr summaryBelow="0" summaryRight="0"/>
  </sheetPr>
  <dimension ref="A1:Z1"/>
  <sheetViews>
    <sheetView workbookViewId="0"/>
  </sheetViews>
  <sheetFormatPr defaultColWidth="12.5703125" defaultRowHeight="15.75" customHeight="1"/>
  <sheetData>
    <row r="1" spans="1:26" ht="15.75" customHeight="1">
      <c r="A1" s="242" t="s">
        <v>26</v>
      </c>
      <c r="B1" s="245" t="s">
        <v>71</v>
      </c>
      <c r="C1" s="241" t="s">
        <v>73</v>
      </c>
      <c r="D1" s="243" t="s">
        <v>75</v>
      </c>
      <c r="E1" s="244" t="s">
        <v>76</v>
      </c>
      <c r="F1" s="241" t="s">
        <v>77</v>
      </c>
      <c r="G1" s="246" t="s">
        <v>78</v>
      </c>
      <c r="H1" s="247" t="s">
        <v>51</v>
      </c>
      <c r="I1" s="32"/>
      <c r="J1" s="32"/>
      <c r="K1" s="32"/>
      <c r="L1" s="32"/>
      <c r="M1" s="32"/>
      <c r="N1" s="32"/>
      <c r="O1" s="32"/>
      <c r="P1" s="32"/>
      <c r="Q1" s="32"/>
      <c r="R1" s="32"/>
      <c r="S1" s="32"/>
      <c r="T1" s="32"/>
      <c r="U1" s="32"/>
      <c r="V1" s="32"/>
      <c r="W1" s="32"/>
      <c r="X1" s="32"/>
      <c r="Y1" s="32"/>
      <c r="Z1" s="3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Version Control</vt:lpstr>
      <vt:lpstr>Curation Guide</vt:lpstr>
      <vt:lpstr>demo-slots</vt:lpstr>
      <vt:lpstr>demo-enums</vt:lpstr>
      <vt:lpstr>PHA4GE-slots</vt:lpstr>
      <vt:lpstr>PHA4GE-enums</vt:lpstr>
      <vt:lpstr>Term-level Reference Guide</vt:lpstr>
      <vt:lpstr>NCBIAntibiogram-slots</vt:lpstr>
      <vt:lpstr>NCBIAntibiogram-enums</vt:lpstr>
      <vt:lpstr>ENAAntibiogram-slots</vt:lpstr>
      <vt:lpstr>ENAAntibiogram-enums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Charlie Barclay</cp:lastModifiedBy>
  <dcterms:modified xsi:type="dcterms:W3CDTF">2025-10-20T00:45:52Z</dcterms:modified>
</cp:coreProperties>
</file>