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ate1904="1" codeName="ThisWorkbook"/>
  <mc:AlternateContent xmlns:mc="http://schemas.openxmlformats.org/markup-compatibility/2006">
    <mc:Choice Requires="x15">
      <x15ac:absPath xmlns:x15ac="http://schemas.microsoft.com/office/spreadsheetml/2010/11/ac" url="/Users/kaichen/Desktop/valuations/"/>
    </mc:Choice>
  </mc:AlternateContent>
  <xr:revisionPtr revIDLastSave="0" documentId="13_ncr:1_{E072299D-F4AB-CC4D-A6E6-76A4637BB9D4}" xr6:coauthVersionLast="46" xr6:coauthVersionMax="46" xr10:uidLastSave="{00000000-0000-0000-0000-000000000000}"/>
  <bookViews>
    <workbookView xWindow="0" yWindow="620" windowWidth="28800" windowHeight="16300" tabRatio="772" activeTab="2"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8" l="1"/>
  <c r="C9" i="28"/>
  <c r="H28" i="19" l="1"/>
  <c r="B193" i="23" l="1"/>
  <c r="B192" i="23"/>
  <c r="B191" i="23"/>
  <c r="B190" i="23"/>
  <c r="B189" i="23"/>
  <c r="B188" i="23"/>
  <c r="B187" i="23"/>
  <c r="B186" i="23"/>
  <c r="B185" i="23"/>
  <c r="D176" i="23" l="1"/>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l="1"/>
  <c r="I29" i="19"/>
  <c r="I23" i="19"/>
  <c r="C4" i="13"/>
  <c r="D2" i="13"/>
  <c r="E2" i="13" s="1"/>
  <c r="F2" i="13" s="1"/>
  <c r="G2" i="13" s="1"/>
  <c r="C2" i="13"/>
  <c r="C3" i="29" s="1"/>
  <c r="H32" i="19"/>
  <c r="K24" i="11"/>
  <c r="K23" i="11"/>
  <c r="M2" i="13"/>
  <c r="F9" i="28" s="1"/>
  <c r="E9" i="28" s="1"/>
  <c r="J23" i="11"/>
  <c r="D12" i="20"/>
  <c r="C4" i="20"/>
  <c r="H52" i="19"/>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K52" i="19"/>
  <c r="J64" i="19"/>
  <c r="K64"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s="1"/>
  <c r="B12" i="19"/>
  <c r="J15" i="19"/>
  <c r="K15" i="19" s="1"/>
  <c r="J14" i="19"/>
  <c r="K14" i="19" s="1"/>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26" i="25"/>
  <c r="B26" i="25"/>
  <c r="D26" i="25" s="1"/>
  <c r="A13" i="25"/>
  <c r="A14" i="25" s="1"/>
  <c r="B27" i="25"/>
  <c r="C24" i="25"/>
  <c r="B28" i="25"/>
  <c r="B29" i="25"/>
  <c r="B30" i="25"/>
  <c r="B31" i="25"/>
  <c r="B32" i="25"/>
  <c r="B33" i="25"/>
  <c r="B34" i="25"/>
  <c r="B6" i="19"/>
  <c r="B7" i="19"/>
  <c r="E5" i="24"/>
  <c r="B19" i="19"/>
  <c r="B18" i="19"/>
  <c r="D48" i="19"/>
  <c r="B26" i="19"/>
  <c r="H18" i="19"/>
  <c r="J5" i="19" s="1"/>
  <c r="J9" i="19"/>
  <c r="K9" i="19" s="1"/>
  <c r="J10" i="19"/>
  <c r="K10" i="19" s="1"/>
  <c r="J11" i="19"/>
  <c r="K11" i="19" s="1"/>
  <c r="J12" i="19"/>
  <c r="K12" i="19" s="1"/>
  <c r="J13" i="19"/>
  <c r="K13" i="19" s="1"/>
  <c r="J17" i="19"/>
  <c r="K17" i="19" s="1"/>
  <c r="D50" i="19"/>
  <c r="M6" i="13"/>
  <c r="F11" i="28" s="1"/>
  <c r="E11" i="28" s="1"/>
  <c r="B26" i="13"/>
  <c r="B27" i="13"/>
  <c r="D35" i="28" s="1"/>
  <c r="B28" i="13"/>
  <c r="B32" i="13"/>
  <c r="D38" i="28" s="1"/>
  <c r="D9" i="28"/>
  <c r="A1" i="28"/>
  <c r="F7" i="20"/>
  <c r="I36" i="19"/>
  <c r="J36" i="19" s="1"/>
  <c r="I47" i="19"/>
  <c r="K47" i="19"/>
  <c r="I46" i="19"/>
  <c r="J46" i="19"/>
  <c r="I45" i="19"/>
  <c r="J45" i="19"/>
  <c r="I44" i="19"/>
  <c r="K44" i="19"/>
  <c r="I43" i="19"/>
  <c r="K43" i="19"/>
  <c r="I42" i="19"/>
  <c r="J42" i="19"/>
  <c r="I41" i="19"/>
  <c r="J41" i="19"/>
  <c r="I40" i="19"/>
  <c r="K40" i="19"/>
  <c r="I39" i="19"/>
  <c r="J39" i="19" s="1"/>
  <c r="I38" i="19"/>
  <c r="K38" i="19" s="1"/>
  <c r="I37" i="19"/>
  <c r="K37" i="19" s="1"/>
  <c r="K27" i="11"/>
  <c r="K26" i="11"/>
  <c r="J27" i="11"/>
  <c r="J26" i="11"/>
  <c r="K25" i="11"/>
  <c r="K22" i="11"/>
  <c r="J22" i="11"/>
  <c r="H48" i="19"/>
  <c r="J25" i="11"/>
  <c r="A27" i="18"/>
  <c r="B34" i="13"/>
  <c r="D9" i="14"/>
  <c r="F14" i="14" s="1"/>
  <c r="D8" i="14"/>
  <c r="F13" i="14" s="1"/>
  <c r="D5" i="14"/>
  <c r="F16" i="14" s="1"/>
  <c r="D4" i="14"/>
  <c r="C17" i="14" s="1"/>
  <c r="D3" i="14"/>
  <c r="C14" i="14" s="1"/>
  <c r="C16" i="14" s="1"/>
  <c r="D2" i="14"/>
  <c r="C13" i="14" s="1"/>
  <c r="D7" i="14"/>
  <c r="F15" i="14" s="1"/>
  <c r="F18" i="14" s="1"/>
  <c r="F17" i="14"/>
  <c r="I22" i="11"/>
  <c r="B3" i="13"/>
  <c r="B9" i="28" s="1"/>
  <c r="C25" i="25"/>
  <c r="C26" i="25"/>
  <c r="B24" i="25"/>
  <c r="D24" i="25" s="1"/>
  <c r="J44" i="19"/>
  <c r="J43" i="19"/>
  <c r="J47" i="19"/>
  <c r="K42" i="19"/>
  <c r="K46" i="19"/>
  <c r="K45" i="19"/>
  <c r="K41" i="19"/>
  <c r="J40" i="19"/>
  <c r="I5" i="19"/>
  <c r="D3" i="29" l="1"/>
  <c r="L4" i="13"/>
  <c r="K4" i="13"/>
  <c r="I4" i="13"/>
  <c r="H4" i="13"/>
  <c r="J4" i="13"/>
  <c r="E25" i="25"/>
  <c r="B48" i="19"/>
  <c r="J16" i="19"/>
  <c r="K16" i="19" s="1"/>
  <c r="J8" i="19"/>
  <c r="J38" i="19"/>
  <c r="J37" i="19"/>
  <c r="J7" i="19"/>
  <c r="K7" i="19" s="1"/>
  <c r="J6" i="19"/>
  <c r="K8" i="19"/>
  <c r="K5" i="19"/>
  <c r="K39" i="19"/>
  <c r="J48" i="19"/>
  <c r="K36" i="19"/>
  <c r="E26" i="25"/>
  <c r="A15" i="25"/>
  <c r="A28" i="25"/>
  <c r="A27" i="25"/>
  <c r="C17" i="28"/>
  <c r="H6" i="13"/>
  <c r="I6" i="13" s="1"/>
  <c r="J6" i="13" s="1"/>
  <c r="K6" i="13" s="1"/>
  <c r="L6" i="13" s="1"/>
  <c r="J30" i="19"/>
  <c r="K30" i="19" s="1"/>
  <c r="J27" i="19"/>
  <c r="K27" i="19" s="1"/>
  <c r="J22" i="19"/>
  <c r="K22" i="19" s="1"/>
  <c r="J29" i="19"/>
  <c r="K29" i="19" s="1"/>
  <c r="J28" i="19"/>
  <c r="K28" i="19" s="1"/>
  <c r="J24" i="19"/>
  <c r="K24" i="19" s="1"/>
  <c r="J21" i="19"/>
  <c r="K21" i="19" s="1"/>
  <c r="J31" i="19"/>
  <c r="K31" i="19" s="1"/>
  <c r="J26" i="19"/>
  <c r="K26" i="19" s="1"/>
  <c r="J25" i="19"/>
  <c r="K25" i="19" s="1"/>
  <c r="J23" i="19"/>
  <c r="K23" i="19" s="1"/>
  <c r="I2" i="13"/>
  <c r="B11" i="28"/>
  <c r="D11" i="28" s="1"/>
  <c r="L2" i="13"/>
  <c r="H2" i="13"/>
  <c r="G4" i="13"/>
  <c r="F4" i="13"/>
  <c r="E4" i="13"/>
  <c r="D4" i="13"/>
  <c r="C3" i="13"/>
  <c r="B2" i="29"/>
  <c r="J2" i="13"/>
  <c r="K2" i="13"/>
  <c r="J18" i="19" l="1"/>
  <c r="K6" i="19"/>
  <c r="K18" i="19" s="1"/>
  <c r="K48" i="19"/>
  <c r="B11" i="19" s="1"/>
  <c r="E27" i="25"/>
  <c r="C27" i="25"/>
  <c r="D27" i="25" s="1"/>
  <c r="C28" i="25"/>
  <c r="D28" i="25" s="1"/>
  <c r="E28" i="25"/>
  <c r="A16" i="25"/>
  <c r="A29" i="25"/>
  <c r="K32" i="19"/>
  <c r="J32" i="19"/>
  <c r="C19" i="28"/>
  <c r="D5" i="29"/>
  <c r="D7" i="29"/>
  <c r="C21" i="28"/>
  <c r="D6" i="29"/>
  <c r="C20" i="28"/>
  <c r="D3" i="13"/>
  <c r="B3" i="29"/>
  <c r="C5" i="13"/>
  <c r="B17" i="28"/>
  <c r="D17" i="28" s="1"/>
  <c r="C18" i="28"/>
  <c r="D4" i="29"/>
  <c r="F6" i="20"/>
  <c r="B25" i="13"/>
  <c r="D34" i="28" s="1"/>
  <c r="B15" i="19" l="1"/>
  <c r="C29" i="25"/>
  <c r="D29" i="25" s="1"/>
  <c r="E29" i="25"/>
  <c r="A17" i="25"/>
  <c r="A30" i="25"/>
  <c r="C10" i="13"/>
  <c r="F3" i="29" s="1"/>
  <c r="C7" i="13"/>
  <c r="E3" i="29"/>
  <c r="C16" i="29"/>
  <c r="E3" i="13"/>
  <c r="B4" i="29"/>
  <c r="B18" i="28"/>
  <c r="D18" i="28" s="1"/>
  <c r="D5" i="13"/>
  <c r="F5" i="20"/>
  <c r="D9" i="20" s="1"/>
  <c r="B33" i="19"/>
  <c r="C43" i="19" s="1"/>
  <c r="C30" i="25" l="1"/>
  <c r="D30" i="25" s="1"/>
  <c r="E30" i="25"/>
  <c r="A31" i="25"/>
  <c r="A18" i="25"/>
  <c r="B19" i="28"/>
  <c r="D19" i="28" s="1"/>
  <c r="B5" i="29"/>
  <c r="F3" i="13"/>
  <c r="E5" i="13"/>
  <c r="E4" i="29"/>
  <c r="C17" i="29"/>
  <c r="C4" i="29"/>
  <c r="E17" i="28"/>
  <c r="H3" i="29"/>
  <c r="B16" i="29" s="1"/>
  <c r="D7" i="13"/>
  <c r="D10" i="13"/>
  <c r="F4" i="29" s="1"/>
  <c r="D10" i="20"/>
  <c r="D11" i="20"/>
  <c r="D13" i="20" s="1"/>
  <c r="B25" i="19" s="1"/>
  <c r="C15" i="18" l="1"/>
  <c r="C50" i="19"/>
  <c r="C41" i="19"/>
  <c r="C42" i="19"/>
  <c r="C44" i="19" s="1"/>
  <c r="A19" i="25"/>
  <c r="A32" i="25"/>
  <c r="C31" i="25"/>
  <c r="D31" i="25" s="1"/>
  <c r="E31" i="25"/>
  <c r="G3" i="29"/>
  <c r="E18" i="28"/>
  <c r="H4" i="29"/>
  <c r="B17" i="29" s="1"/>
  <c r="B6" i="29"/>
  <c r="G3" i="13"/>
  <c r="B20" i="28"/>
  <c r="D20" i="28" s="1"/>
  <c r="F5" i="13"/>
  <c r="C18" i="29"/>
  <c r="E5" i="29"/>
  <c r="C5" i="29"/>
  <c r="E10" i="13"/>
  <c r="F5" i="29" s="1"/>
  <c r="E7" i="13"/>
  <c r="C48" i="19" l="1"/>
  <c r="E48" i="19" s="1"/>
  <c r="C49" i="19" s="1"/>
  <c r="C27" i="18"/>
  <c r="C24" i="18"/>
  <c r="C25" i="18"/>
  <c r="C22" i="18"/>
  <c r="C23" i="18"/>
  <c r="C26" i="18"/>
  <c r="E32" i="25"/>
  <c r="C32" i="25"/>
  <c r="D32" i="25" s="1"/>
  <c r="A33" i="25"/>
  <c r="A20" i="25"/>
  <c r="A34" i="25" s="1"/>
  <c r="H5" i="29"/>
  <c r="B18" i="29" s="1"/>
  <c r="E19" i="28"/>
  <c r="E6" i="29"/>
  <c r="C6" i="29"/>
  <c r="C19" i="29"/>
  <c r="B7" i="29"/>
  <c r="B21" i="28"/>
  <c r="D21" i="28" s="1"/>
  <c r="H3" i="13"/>
  <c r="G5" i="13"/>
  <c r="F10" i="13"/>
  <c r="F6" i="29" s="1"/>
  <c r="F7" i="13"/>
  <c r="G4" i="29"/>
  <c r="C45" i="19" l="1"/>
  <c r="B50" i="19" s="1"/>
  <c r="D49" i="19"/>
  <c r="B49" i="19"/>
  <c r="C28" i="18"/>
  <c r="E33" i="25"/>
  <c r="C33" i="25"/>
  <c r="D33" i="25" s="1"/>
  <c r="E34" i="25"/>
  <c r="C34" i="25"/>
  <c r="D34" i="25" s="1"/>
  <c r="D35" i="25" s="1"/>
  <c r="B39" i="13" s="1"/>
  <c r="G5" i="29"/>
  <c r="B8" i="29"/>
  <c r="I3" i="13"/>
  <c r="B22" i="28"/>
  <c r="C7" i="29"/>
  <c r="E7" i="29"/>
  <c r="C20" i="29"/>
  <c r="E20" i="28"/>
  <c r="H6" i="29"/>
  <c r="B19" i="29" s="1"/>
  <c r="G7" i="13"/>
  <c r="G10" i="13"/>
  <c r="F7" i="29" s="1"/>
  <c r="F34" i="18" l="1"/>
  <c r="F33" i="18"/>
  <c r="F31" i="18"/>
  <c r="F32" i="18" s="1"/>
  <c r="E50" i="19"/>
  <c r="E49" i="19"/>
  <c r="G15" i="29"/>
  <c r="I24" i="11"/>
  <c r="B2" i="12"/>
  <c r="E35" i="25"/>
  <c r="D37" i="25" s="1"/>
  <c r="D39" i="25" s="1"/>
  <c r="E21" i="28"/>
  <c r="H7" i="29"/>
  <c r="B20" i="29" s="1"/>
  <c r="G6" i="29"/>
  <c r="B23" i="28"/>
  <c r="J3" i="13"/>
  <c r="B9" i="29"/>
  <c r="C8" i="29"/>
  <c r="C21" i="29"/>
  <c r="C12" i="13" l="1"/>
  <c r="C13" i="13" s="1"/>
  <c r="M12" i="13"/>
  <c r="D40" i="25"/>
  <c r="B5" i="13"/>
  <c r="C8" i="13"/>
  <c r="E12" i="28"/>
  <c r="C38" i="13"/>
  <c r="C22" i="29"/>
  <c r="C9" i="29"/>
  <c r="K3" i="13"/>
  <c r="B24" i="28"/>
  <c r="B10" i="29"/>
  <c r="G7" i="29"/>
  <c r="D14" i="28" l="1"/>
  <c r="D12" i="13"/>
  <c r="H28" i="29"/>
  <c r="B40" i="29" s="1"/>
  <c r="C40" i="29" s="1"/>
  <c r="B17" i="13"/>
  <c r="F14" i="28"/>
  <c r="E14" i="28" s="1"/>
  <c r="D13" i="13"/>
  <c r="H29" i="29"/>
  <c r="B41" i="29" s="1"/>
  <c r="E12" i="13"/>
  <c r="D16" i="29"/>
  <c r="E16" i="29" s="1"/>
  <c r="D38" i="13"/>
  <c r="C9" i="13"/>
  <c r="C14" i="13" s="1"/>
  <c r="F17" i="28"/>
  <c r="G17" i="28" s="1"/>
  <c r="C39" i="13"/>
  <c r="B7" i="13"/>
  <c r="B4" i="13"/>
  <c r="C23" i="29"/>
  <c r="C10" i="29"/>
  <c r="B25" i="28"/>
  <c r="B11" i="29"/>
  <c r="L3" i="13"/>
  <c r="C41" i="29" l="1"/>
  <c r="F12" i="13"/>
  <c r="H30" i="29"/>
  <c r="B42" i="29" s="1"/>
  <c r="E13" i="13"/>
  <c r="I23" i="11"/>
  <c r="B10" i="28"/>
  <c r="D10" i="28" s="1"/>
  <c r="D2" i="29"/>
  <c r="E2" i="29" s="1"/>
  <c r="B40" i="13"/>
  <c r="B13" i="28" s="1"/>
  <c r="H2" i="29"/>
  <c r="B15" i="29" s="1"/>
  <c r="H15" i="29" s="1"/>
  <c r="I25" i="11"/>
  <c r="C40" i="13"/>
  <c r="D8" i="13"/>
  <c r="D39" i="13" s="1"/>
  <c r="E38" i="13"/>
  <c r="D17" i="29"/>
  <c r="E17" i="29" s="1"/>
  <c r="F17" i="29" s="1"/>
  <c r="D41" i="29" s="1"/>
  <c r="F16" i="29"/>
  <c r="D40" i="29" s="1"/>
  <c r="F40" i="29" s="1"/>
  <c r="G16" i="29"/>
  <c r="B12" i="29"/>
  <c r="B26" i="28"/>
  <c r="M3" i="13"/>
  <c r="C11" i="29"/>
  <c r="C24" i="29"/>
  <c r="D10" i="29" l="1"/>
  <c r="E10" i="29" s="1"/>
  <c r="C24" i="28"/>
  <c r="D24" i="28" s="1"/>
  <c r="J5" i="13"/>
  <c r="D8" i="29"/>
  <c r="E8" i="29" s="1"/>
  <c r="C22" i="28"/>
  <c r="D22" i="28" s="1"/>
  <c r="H5" i="13"/>
  <c r="C25" i="28"/>
  <c r="D25" i="28" s="1"/>
  <c r="D11" i="29"/>
  <c r="E11" i="29" s="1"/>
  <c r="K5" i="13"/>
  <c r="D9" i="29"/>
  <c r="E9" i="29" s="1"/>
  <c r="C23" i="28"/>
  <c r="D23" i="28" s="1"/>
  <c r="I5" i="13"/>
  <c r="M4" i="13"/>
  <c r="D12" i="29"/>
  <c r="E12" i="29" s="1"/>
  <c r="C26" i="28"/>
  <c r="D26" i="28" s="1"/>
  <c r="L5" i="13"/>
  <c r="B5" i="12" s="1"/>
  <c r="F41" i="29"/>
  <c r="F13" i="13"/>
  <c r="C42" i="29"/>
  <c r="H31" i="29"/>
  <c r="B43" i="29" s="1"/>
  <c r="G12" i="13"/>
  <c r="H16" i="29"/>
  <c r="G17" i="29"/>
  <c r="D40" i="13"/>
  <c r="G2" i="29"/>
  <c r="F38" i="13"/>
  <c r="D18" i="29"/>
  <c r="E18" i="29" s="1"/>
  <c r="F18" i="29" s="1"/>
  <c r="D42" i="29" s="1"/>
  <c r="E8" i="13"/>
  <c r="D9" i="13"/>
  <c r="D14" i="13" s="1"/>
  <c r="F18" i="28"/>
  <c r="G18" i="28" s="1"/>
  <c r="C25" i="29"/>
  <c r="C12" i="29"/>
  <c r="B27" i="28"/>
  <c r="J30" i="11"/>
  <c r="C27" i="28" l="1"/>
  <c r="D27" i="28" s="1"/>
  <c r="F10" i="28"/>
  <c r="E10" i="28" s="1"/>
  <c r="H10" i="13"/>
  <c r="F8" i="29" s="1"/>
  <c r="H7" i="13"/>
  <c r="M5" i="13"/>
  <c r="M7" i="13" s="1"/>
  <c r="C43" i="29"/>
  <c r="F42" i="29"/>
  <c r="H32" i="29"/>
  <c r="B44" i="29" s="1"/>
  <c r="C44" i="29" s="1"/>
  <c r="H12" i="13"/>
  <c r="G13" i="13"/>
  <c r="E9" i="13"/>
  <c r="E14" i="13" s="1"/>
  <c r="F19" i="28"/>
  <c r="G19" i="28" s="1"/>
  <c r="G38" i="13"/>
  <c r="F8" i="13"/>
  <c r="D19" i="29"/>
  <c r="E19" i="29" s="1"/>
  <c r="F19" i="29" s="1"/>
  <c r="D43" i="29" s="1"/>
  <c r="E39" i="13"/>
  <c r="G18" i="29"/>
  <c r="H17" i="29"/>
  <c r="F43" i="29" l="1"/>
  <c r="H8" i="29"/>
  <c r="E22" i="28"/>
  <c r="N5" i="13"/>
  <c r="I7" i="13"/>
  <c r="I10" i="13"/>
  <c r="J31" i="11"/>
  <c r="H13" i="13"/>
  <c r="H33" i="29"/>
  <c r="B45" i="29" s="1"/>
  <c r="C45" i="29" s="1"/>
  <c r="I12" i="13"/>
  <c r="E40" i="13"/>
  <c r="F39" i="13"/>
  <c r="G19" i="29"/>
  <c r="H18" i="29"/>
  <c r="F20" i="28"/>
  <c r="G20" i="28" s="1"/>
  <c r="F9" i="13"/>
  <c r="F14" i="13" s="1"/>
  <c r="H38" i="13"/>
  <c r="G8" i="13"/>
  <c r="D20" i="29"/>
  <c r="E20" i="29" s="1"/>
  <c r="F20" i="29" s="1"/>
  <c r="D44" i="29" s="1"/>
  <c r="F44" i="29" s="1"/>
  <c r="E27" i="28"/>
  <c r="F9" i="29" l="1"/>
  <c r="J10" i="13"/>
  <c r="J7" i="13"/>
  <c r="E23" i="28"/>
  <c r="H9" i="29"/>
  <c r="B21" i="29"/>
  <c r="G8" i="29"/>
  <c r="H34" i="29"/>
  <c r="B46" i="29" s="1"/>
  <c r="C46" i="29" s="1"/>
  <c r="J12" i="13"/>
  <c r="I13" i="13"/>
  <c r="F40" i="13"/>
  <c r="G39" i="13"/>
  <c r="G9" i="13"/>
  <c r="G14" i="13" s="1"/>
  <c r="F21" i="28"/>
  <c r="G21" i="28" s="1"/>
  <c r="H8" i="13"/>
  <c r="D21" i="29"/>
  <c r="E21" i="29" s="1"/>
  <c r="I38" i="13"/>
  <c r="G20" i="29"/>
  <c r="H19" i="29"/>
  <c r="F21" i="29" l="1"/>
  <c r="D45" i="29" s="1"/>
  <c r="F45" i="29" s="1"/>
  <c r="B22" i="29"/>
  <c r="G9" i="29"/>
  <c r="H10" i="29"/>
  <c r="E24" i="28"/>
  <c r="F10" i="29"/>
  <c r="K7" i="13"/>
  <c r="K10" i="13"/>
  <c r="J13" i="13"/>
  <c r="H35" i="29"/>
  <c r="B47" i="29" s="1"/>
  <c r="C47" i="29" s="1"/>
  <c r="K12" i="13"/>
  <c r="D22" i="29"/>
  <c r="E22" i="29" s="1"/>
  <c r="J38" i="13"/>
  <c r="I8" i="13"/>
  <c r="G21" i="29"/>
  <c r="H20" i="29"/>
  <c r="H39" i="13"/>
  <c r="G40" i="13"/>
  <c r="F22" i="28"/>
  <c r="G22" i="28" s="1"/>
  <c r="H9" i="13"/>
  <c r="H14" i="13" s="1"/>
  <c r="M40" i="13"/>
  <c r="F22" i="29" l="1"/>
  <c r="D46" i="29" s="1"/>
  <c r="F46" i="29" s="1"/>
  <c r="H11" i="29"/>
  <c r="E25" i="28"/>
  <c r="B23" i="29"/>
  <c r="G10" i="29"/>
  <c r="F11" i="29"/>
  <c r="L10" i="13"/>
  <c r="L7" i="13"/>
  <c r="H36" i="29"/>
  <c r="B48" i="29" s="1"/>
  <c r="C48" i="29" s="1"/>
  <c r="L12" i="13"/>
  <c r="H37" i="29" s="1"/>
  <c r="B49" i="29" s="1"/>
  <c r="K13" i="13"/>
  <c r="F23" i="28"/>
  <c r="G23" i="28" s="1"/>
  <c r="I9" i="13"/>
  <c r="I14" i="13" s="1"/>
  <c r="J8" i="13"/>
  <c r="D23" i="29"/>
  <c r="E23" i="29" s="1"/>
  <c r="K38" i="13"/>
  <c r="I39" i="13"/>
  <c r="H40" i="13"/>
  <c r="H21" i="29"/>
  <c r="G22" i="29"/>
  <c r="F13" i="28"/>
  <c r="F12" i="28"/>
  <c r="M8" i="13"/>
  <c r="H12" i="29" l="1"/>
  <c r="E26" i="28"/>
  <c r="F23" i="29"/>
  <c r="D47" i="29" s="1"/>
  <c r="F47" i="29" s="1"/>
  <c r="F12" i="29"/>
  <c r="M10" i="13"/>
  <c r="B24" i="29"/>
  <c r="G11" i="29"/>
  <c r="C49" i="29"/>
  <c r="L13" i="13"/>
  <c r="B8" i="12" s="1"/>
  <c r="I40" i="13"/>
  <c r="J39" i="13"/>
  <c r="K8" i="13"/>
  <c r="D24" i="29"/>
  <c r="E24" i="29" s="1"/>
  <c r="L38" i="13"/>
  <c r="J9" i="13"/>
  <c r="J14" i="13" s="1"/>
  <c r="F24" i="28"/>
  <c r="G24" i="28" s="1"/>
  <c r="G23" i="29"/>
  <c r="H22" i="29"/>
  <c r="F27" i="28"/>
  <c r="G27" i="28" s="1"/>
  <c r="M9" i="13"/>
  <c r="B16" i="13" s="1"/>
  <c r="B18" i="13" s="1"/>
  <c r="F24" i="29" l="1"/>
  <c r="D48" i="29" s="1"/>
  <c r="F48" i="29" s="1"/>
  <c r="B25" i="29"/>
  <c r="G12" i="29"/>
  <c r="H23" i="29"/>
  <c r="G24" i="29"/>
  <c r="L8" i="13"/>
  <c r="D25" i="29"/>
  <c r="E25" i="29" s="1"/>
  <c r="F25" i="28"/>
  <c r="G25" i="28" s="1"/>
  <c r="K9" i="13"/>
  <c r="K14" i="13" s="1"/>
  <c r="K39" i="13"/>
  <c r="J40" i="13"/>
  <c r="D29" i="28"/>
  <c r="E49" i="29"/>
  <c r="B19" i="13"/>
  <c r="F25" i="29" l="1"/>
  <c r="D49" i="29" s="1"/>
  <c r="F49" i="29" s="1"/>
  <c r="F50" i="29" s="1"/>
  <c r="L39" i="13"/>
  <c r="K40" i="13"/>
  <c r="H24" i="29"/>
  <c r="G25" i="29"/>
  <c r="H25" i="29" s="1"/>
  <c r="L9" i="13"/>
  <c r="L14" i="13" s="1"/>
  <c r="B20" i="13" s="1"/>
  <c r="D31" i="28" s="1"/>
  <c r="F26" i="28"/>
  <c r="G26" i="28" s="1"/>
  <c r="N8" i="13"/>
  <c r="D30" i="28"/>
  <c r="B21" i="13" l="1"/>
  <c r="D32" i="28" s="1"/>
  <c r="B3" i="12"/>
  <c r="B4" i="12" s="1"/>
  <c r="B6" i="12" s="1"/>
  <c r="E13" i="28" s="1"/>
  <c r="L40" i="13"/>
  <c r="B23" i="13" l="1"/>
  <c r="B24" i="13" s="1"/>
  <c r="B29" i="13" s="1"/>
  <c r="B7" i="12"/>
  <c r="J32" i="11"/>
  <c r="D33" i="28" l="1"/>
  <c r="D36" i="28" s="1"/>
  <c r="B9" i="12" l="1"/>
  <c r="B10" i="12"/>
  <c r="C15" i="14"/>
  <c r="B20" i="14"/>
  <c r="B21" i="14"/>
  <c r="B23" i="14"/>
  <c r="B24" i="14"/>
  <c r="C26" i="14"/>
  <c r="D27" i="14"/>
  <c r="D37" i="28"/>
  <c r="D39" i="28"/>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rPr>
          <t>Aswath Damodaran:</t>
        </r>
        <r>
          <rPr>
            <sz val="9"/>
            <color rgb="FF000000"/>
            <rFont val="Geneva"/>
            <family val="2"/>
          </rPr>
          <t xml:space="preserve">
</t>
        </r>
        <r>
          <rPr>
            <sz val="9"/>
            <color rgb="FF000000"/>
            <rFont val="Geneva"/>
            <family val="2"/>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rgb="FF000000"/>
            <rFont val="Calibri"/>
            <family val="2"/>
          </rPr>
          <t>Aswath Damodaran:</t>
        </r>
        <r>
          <rPr>
            <sz val="10"/>
            <color rgb="FF000000"/>
            <rFont val="Calibri"/>
            <family val="2"/>
          </rPr>
          <t xml:space="preserve">
</t>
        </r>
        <r>
          <rPr>
            <sz val="10"/>
            <color rgb="FF000000"/>
            <rFont val="Calibri"/>
            <family val="2"/>
          </rPr>
          <t xml:space="preserve">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6"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7"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15"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<sst xmlns="http://schemas.openxmlformats.org/spreadsheetml/2006/main" count="1247" uniqueCount="776">
  <si>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</si>
  <si>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</si>
  <si>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</si>
  <si>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</si>
  <si>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</si>
  <si>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</si>
  <si>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</si>
  <si>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</si>
  <si>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</si>
  <si>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</si>
  <si>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</si>
  <si>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</si>
  <si>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</si>
  <si>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</si>
  <si>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</si>
  <si>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</si>
  <si>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</si>
  <si>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</si>
  <si>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</si>
  <si>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</si>
  <si>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</si>
  <si>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</si>
  <si>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</si>
  <si>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</si>
  <si>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</si>
  <si>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</si>
  <si>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</si>
  <si>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</si>
  <si>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</si>
  <si>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</si>
  <si>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</si>
  <si>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</si>
  <si>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</si>
  <si>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</si>
  <si>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</si>
  <si>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</si>
  <si>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</si>
  <si>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</si>
  <si>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</si>
  <si>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</si>
  <si>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</si>
  <si>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</si>
  <si>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</si>
  <si>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</si>
  <si>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</si>
  <si>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</si>
  <si>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</si>
  <si>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</si>
  <si>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</si>
  <si>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</si>
  <si>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</si>
  <si>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</si>
  <si>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</si>
  <si>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</si>
  <si>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</si>
  <si>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</si>
  <si>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</si>
  <si>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</si>
  <si>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</si>
  <si>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</si>
  <si>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</si>
  <si>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</si>
  <si>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</si>
  <si>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</si>
  <si>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</si>
  <si>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</si>
  <si>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</si>
  <si>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</si>
  <si>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</si>
  <si>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</si>
  <si>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</si>
  <si>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</si>
  <si>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</si>
  <si>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</si>
  <si>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</si>
  <si>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</si>
  <si>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</si>
  <si>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</si>
  <si>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</si>
  <si>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</si>
  <si>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</si>
  <si>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</si>
  <si>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</si>
  <si>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</si>
  <si>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</si>
  <si>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</si>
  <si>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</si>
  <si>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</si>
  <si>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</si>
  <si>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</si>
  <si>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</si>
  <si>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</si>
  <si>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</si>
  <si>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</si>
  <si>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</si>
  <si>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</si>
  <si>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</si>
  <si>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</si>
  <si>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</si>
  <si>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</si>
  <si>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</si>
  <si>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</si>
  <si>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</si>
  <si>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</si>
  <si>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</si>
  <si>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</si>
  <si>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</si>
  <si>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</si>
  <si>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</si>
  <si>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</si>
  <si>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</si>
  <si>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</si>
  <si>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</si>
  <si>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</si>
  <si>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</si>
  <si>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</si>
  <si>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</si>
  <si>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</si>
  <si>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</si>
  <si>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</si>
  <si>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</si>
  <si>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</si>
  <si>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</si>
  <si>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</si>
  <si>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</si>
  <si>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</si>
  <si>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</si>
  <si>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</si>
  <si>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</si>
  <si>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</si>
  <si>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</si>
  <si>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</si>
  <si>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</si>
  <si>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</si>
  <si>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</si>
  <si>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</si>
  <si>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</si>
  <si>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</si>
  <si>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</si>
  <si>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</si>
  <si>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</si>
  <si>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</si>
  <si>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</si>
  <si>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</si>
  <si>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</si>
  <si>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</si>
  <si>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</si>
  <si>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</si>
  <si>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</si>
  <si>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</si>
  <si>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</si>
  <si>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</si>
  <si>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</si>
  <si>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</si>
  <si>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</si>
  <si>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</si>
  <si>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</si>
  <si>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</si>
  <si>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</si>
  <si>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</si>
  <si>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</si>
  <si>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</si>
  <si>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</si>
  <si>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</si>
  <si>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</si>
  <si>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</si>
  <si>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</si>
  <si>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</si>
  <si>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</si>
  <si>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</si>
  <si>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</si>
  <si>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</si>
  <si>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</si>
  <si>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</si>
  <si>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</si>
  <si>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</si>
  <si>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</si>
  <si>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</si>
  <si>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</si>
  <si>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</si>
  <si>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</si>
  <si>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</si>
  <si>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</si>
  <si>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</si>
  <si>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</si>
  <si>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</si>
  <si>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</si>
  <si>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</si>
  <si>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</si>
  <si>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</si>
  <si>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</si>
  <si>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</si>
  <si>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</si>
  <si>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</si>
  <si>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</si>
  <si>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</si>
  <si>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</si>
  <si>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</si>
  <si>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</si>
  <si>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</si>
  <si>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</si>
  <si>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</si>
  <si>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</si>
  <si>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</si>
  <si>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</si>
  <si>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</si>
  <si>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</si>
  <si>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</si>
  <si>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</si>
  <si>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</si>
  <si>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</si>
  <si>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</si>
  <si>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</si>
  <si>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</si>
  <si>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</si>
  <si>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</si>
  <si>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</si>
  <si>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</si>
  <si>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</si>
  <si>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</si>
  <si>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</si>
  <si>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</si>
  <si>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</si>
  <si>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</si>
  <si>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</si>
  <si>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</si>
  <si>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</si>
  <si>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</si>
  <si>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</si>
  <si>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</si>
  <si>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</si>
  <si>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</si>
  <si>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</si>
  <si>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</si>
  <si>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</si>
  <si>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</si>
  <si>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</si>
  <si>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</si>
  <si>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</si>
  <si>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</si>
  <si>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</si>
  <si>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</si>
  <si>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</si>
  <si>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</si>
  <si>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</si>
  <si>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</si>
  <si>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</si>
  <si>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</si>
  <si>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</si>
  <si>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</si>
  <si>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</si>
  <si>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</si>
  <si>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</si>
  <si>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</si>
  <si>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</si>
  <si>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</si>
  <si>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</si>
  <si>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</si>
  <si>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</si>
  <si>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</si>
  <si>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</si>
  <si>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</si>
  <si>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</si>
  <si>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</si>
  <si>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</si>
  <si>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</si>
  <si>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</si>
  <si>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</si>
  <si>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</si>
  <si>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</si>
  <si>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</si>
  <si>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</si>
  <si>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</si>
  <si>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</si>
  <si>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</si>
  <si>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</si>
  <si>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</si>
  <si>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</si>
  <si>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</si>
  <si>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</si>
  <si>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</si>
  <si>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</si>
  <si>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</si>
  <si>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</si>
  <si>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</si>
  <si>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</si>
  <si>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</si>
  <si>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</si>
  <si>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</si>
  <si>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</si>
  <si>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</si>
  <si>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</si>
  <si>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</si>
  <si>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</si>
  <si>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</si>
  <si>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</si>
  <si>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</si>
  <si>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</si>
  <si>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</si>
  <si>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</si>
  <si>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</si>
  <si>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</si>
  <si>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</si>
  <si>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</si>
  <si>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</si>
  <si>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</si>
  <si>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</si>
  <si>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</si>
  <si>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</si>
  <si>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</si>
  <si>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</si>
  <si>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</si>
  <si>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</si>
  <si>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</si>
  <si>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</si>
  <si>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</si>
  <si>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</si>
  <si>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</si>
  <si>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</si>
  <si>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</si>
  <si>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</si>
  <si>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</si>
  <si>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</si>
  <si>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</si>
  <si>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</si>
  <si>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</si>
  <si>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</si>
  <si>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</si>
  <si>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</si>
  <si>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</si>
  <si>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</si>
  <si>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</si>
  <si>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</si>
  <si>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</si>
  <si>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</si>
  <si>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</si>
  <si>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</si>
  <si>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</si>
  <si>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</si>
  <si>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</si>
  <si>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</si>
  <si>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</si>
  <si>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</si>
  <si>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</si>
  <si>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</si>
  <si>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</si>
  <si>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</si>
  <si>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</si>
  <si>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</si>
  <si>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</si>
  <si>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</si>
  <si>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</si>
  <si>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</si>
  <si>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</si>
  <si>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</si>
  <si>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</si>
  <si>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</si>
  <si>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</si>
  <si>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</si>
  <si>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</si>
  <si>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</si>
  <si>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</si>
  <si>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</si>
  <si>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</si>
  <si>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</si>
  <si>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</si>
  <si>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</si>
  <si>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</si>
  <si>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</si>
  <si>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</si>
  <si>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</si>
  <si>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</si>
  <si>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</si>
  <si>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</si>
  <si>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</si>
  <si>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</si>
  <si>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</si>
  <si>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</si>
  <si>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</si>
  <si>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</si>
  <si>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</si>
  <si>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</si>
  <si>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</si>
  <si>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</si>
  <si>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</si>
  <si>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</si>
  <si>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</si>
  <si>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</si>
  <si>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</si>
  <si>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</si>
  <si>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</si>
  <si>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</si>
  <si>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</si>
  <si>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</si>
  <si>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</si>
  <si>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</si>
  <si>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</si>
  <si>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</si>
  <si>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</si>
  <si>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</si>
  <si>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</si>
  <si>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</si>
  <si>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</si>
  <si>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</si>
  <si>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</si>
  <si>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</si>
  <si>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</si>
  <si>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</si>
  <si>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</si>
  <si>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</si>
  <si>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</si>
  <si>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</si>
  <si>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</si>
  <si>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</si>
  <si>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</si>
  <si>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</si>
  <si>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</si>
  <si>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</si>
  <si>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</si>
  <si>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</si>
  <si>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</si>
  <si>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</si>
  <si>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</si>
  <si>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</si>
  <si>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</si>
  <si>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</si>
  <si>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</si>
  <si>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</si>
  <si>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</si>
  <si>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</si>
  <si>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</si>
  <si>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</si>
  <si>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</si>
  <si>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</si>
  <si>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</si>
  <si>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</si>
  <si>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</si>
  <si>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</si>
  <si>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</si>
  <si>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</si>
  <si>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</si>
  <si>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</si>
  <si>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</si>
  <si>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</si>
  <si>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</si>
  <si>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</si>
  <si>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</si>
  <si>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</si>
  <si>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</si>
  <si>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</si>
  <si>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</si>
  <si>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</si>
  <si>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</si>
  <si>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</si>
  <si>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</si>
  <si>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</si>
  <si>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</si>
  <si>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</si>
  <si>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</si>
  <si>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</si>
  <si>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</si>
  <si>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</si>
  <si>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</si>
  <si>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</si>
  <si>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</si>
  <si>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</si>
  <si>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</si>
  <si>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</si>
  <si>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</si>
  <si>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</si>
  <si>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</si>
  <si>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</si>
  <si>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</si>
  <si>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</si>
  <si>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</si>
  <si>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</si>
  <si>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</si>
  <si>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</si>
  <si>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</si>
  <si>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</si>
  <si>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</si>
  <si>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</si>
  <si>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</si>
  <si>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</si>
  <si>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</si>
  <si>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</si>
  <si>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</si>
  <si>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</si>
  <si>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</si>
  <si>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</si>
  <si>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</si>
  <si>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</si>
  <si>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</si>
  <si>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</si>
  <si>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</si>
  <si>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</si>
  <si>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</si>
  <si>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</si>
  <si>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</si>
  <si>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</si>
  <si>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</si>
  <si>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</si>
  <si>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</si>
  <si>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</si>
  <si>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</si>
  <si>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</si>
  <si>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</si>
  <si>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</si>
  <si>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</si>
  <si>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</si>
  <si>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</si>
  <si>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</si>
  <si>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</si>
  <si>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</si>
  <si>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</si>
  <si>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</si>
  <si>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</si>
  <si>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</si>
  <si>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</si>
  <si>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</si>
  <si>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</si>
  <si>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</si>
  <si>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</si>
  <si>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</si>
  <si>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</si>
  <si>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</si>
  <si>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</si>
  <si>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</si>
  <si>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</si>
  <si>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</si>
  <si>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</si>
  <si>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</si>
  <si>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</si>
  <si>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</si>
  <si>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</si>
  <si>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</si>
  <si>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</si>
  <si>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</si>
  <si>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</si>
  <si>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</si>
  <si>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</si>
  <si>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</si>
  <si>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</si>
  <si>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</si>
  <si>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</si>
  <si>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</si>
  <si>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</si>
  <si>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</si>
  <si>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</si>
  <si>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</si>
  <si>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</si>
  <si>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</si>
  <si>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</si>
  <si>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</si>
  <si>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</si>
  <si>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</si>
  <si>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</si>
  <si>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</si>
  <si>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</si>
  <si>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</si>
  <si>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</si>
  <si>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</si>
  <si>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</si>
  <si>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</si>
  <si>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</si>
  <si>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</si>
  <si>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</si>
  <si>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</si>
  <si>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</si>
  <si>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</si>
  <si>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</si>
  <si>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</si>
  <si>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</si>
  <si>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</si>
  <si>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</si>
  <si>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</si>
  <si>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</si>
  <si>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</si>
  <si>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</si>
  <si>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</si>
  <si>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</si>
  <si>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</si>
  <si>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</si>
  <si>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</si>
  <si>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</si>
  <si>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</si>
  <si>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</si>
  <si>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</si>
  <si>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</si>
  <si>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</si>
  <si>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</si>
  <si>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</si>
  <si>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</si>
  <si>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</si>
  <si>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</si>
  <si>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</si>
  <si>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</si>
  <si>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</si>
  <si>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</si>
  <si>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</si>
  <si>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</si>
  <si>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</si>
  <si>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</si>
  <si>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</si>
  <si>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</si>
  <si>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</si>
  <si>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</si>
  <si>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</si>
  <si>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</si>
  <si>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</si>
  <si>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</si>
  <si>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</si>
  <si>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</si>
  <si>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</si>
  <si>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</si>
  <si>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</si>
  <si>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</si>
  <si>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</si>
  <si>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</si>
  <si>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</si>
  <si>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</si>
  <si>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</si>
  <si>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</si>
  <si>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</si>
  <si>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</si>
  <si>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</si>
  <si>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</si>
  <si>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</si>
  <si>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</si>
  <si>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</si>
  <si>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</si>
  <si>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</si>
  <si>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</si>
  <si>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</si>
  <si>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</si>
  <si>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</si>
  <si>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</si>
  <si>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</si>
  <si>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</si>
  <si>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</si>
  <si>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</si>
  <si>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</si>
  <si>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</si>
  <si>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</si>
  <si>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</si>
  <si>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</si>
  <si>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</si>
  <si>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</si>
  <si>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</si>
  <si>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</si>
  <si>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</si>
  <si>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</si>
  <si>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</si>
  <si>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</si>
  <si>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</si>
  <si>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</si>
  <si>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</si>
  <si>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</si>
  <si>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</si>
  <si>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</si>
  <si>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</si>
  <si>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</si>
  <si>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</si>
  <si>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</si>
  <si>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</si>
  <si>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</si>
  <si>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</si>
  <si>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</si>
  <si>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</si>
  <si>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</si>
  <si>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</si>
  <si>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</si>
  <si>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</si>
  <si>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</si>
  <si>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</si>
  <si>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</si>
  <si>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</si>
  <si>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</si>
  <si>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</si>
  <si>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</si>
  <si>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</si>
  <si>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</si>
  <si>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</si>
  <si>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</si>
  <si>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</si>
  <si>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</si>
  <si>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</si>
  <si>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</si>
  <si>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</si>
  <si>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</si>
  <si>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</si>
  <si>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</si>
  <si>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</si>
  <si>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</si>
  <si>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</si>
  <si>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</si>
  <si>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</si>
  <si>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</si>
  <si>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</si>
  <si>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</si>
  <si>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</si>
  <si>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</si>
  <si>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</si>
  <si>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</si>
  <si>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</si>
  <si>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</si>
  <si>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</si>
  <si>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</si>
  <si>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</si>
  <si>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</si>
  <si>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</si>
  <si>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</si>
  <si>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</si>
  <si>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</si>
  <si>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</si>
  <si>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</si>
  <si>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</si>
  <si>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</si>
  <si>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</si>
  <si>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</si>
  <si>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</si>
  <si>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</si>
  <si>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</si>
  <si>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</si>
  <si>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</si>
  <si>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</si>
  <si>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</si>
  <si>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</si>
  <si>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</si>
  <si>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</si>
  <si>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</si>
  <si>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</si>
  <si>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</si>
  <si>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</si>
  <si>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</si>
  <si>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</si>
  <si>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</si>
  <si>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</si>
  <si>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</si>
  <si>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</si>
  <si>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</si>
  <si>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</si>
  <si>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</si>
  <si>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</si>
  <si>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</si>
  <si>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</si>
  <si>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</si>
  <si>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</si>
  <si>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</si>
  <si>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</si>
  <si>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</si>
  <si>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</si>
  <si>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</si>
  <si>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</si>
  <si>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</si>
  <si>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</si>
  <si>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</si>
  <si>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</si>
  <si>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</si>
  <si>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</si>
  <si>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</si>
  <si>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</si>
  <si>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Global/US marginal tax rate over time</t>
  </si>
  <si>
    <t>Côte d'Ivoire</t>
  </si>
  <si>
    <t>Korea</t>
  </si>
  <si>
    <t>Maldives</t>
  </si>
  <si>
    <t>Uzbekistan</t>
  </si>
  <si>
    <t>Spread July 2020</t>
  </si>
  <si>
    <t>Updated August 1, 2020</t>
  </si>
  <si>
    <t>Tesla</t>
  </si>
  <si>
    <t>Operating leverage &amp; margin expansion due to software revenue.</t>
  </si>
  <si>
    <t>Last year, Tesla spent $9020 for each additional unit of capacity</t>
  </si>
  <si>
    <t>Some level of durable competitive advantage in the long term.</t>
  </si>
  <si>
    <t>Beta reduces to 1 over time</t>
  </si>
  <si>
    <t>Consistent with company's guidance, capacity and demand.</t>
  </si>
  <si>
    <t>Imagine BMW, except that it can sell as many cars as Toyota, and that it can sell a $10K software option on top of the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</si>
</sst>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3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44"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9"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44" fontId="27" fillId="4" borderId="14" xfId="2" applyFont="1" applyFill="1" applyBorder="1" applyAlignment="1">
      <alignment horizontal="center"/>
    </xf>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2" xfId="0" applyNumberFormat="1"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8"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44" fontId="47" fillId="0" borderId="34" xfId="2" applyFont="1" applyBorder="1"/>
    <xf numFmtId="0" fontId="54" fillId="0" borderId="35" xfId="0" applyFont="1" applyBorder="1"/>
    <xf numFmtId="0" fontId="54" fillId="0" borderId="36" xfId="0" applyFont="1" applyBorder="1"/>
    <xf numFmtId="168"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2"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2" fontId="54" fillId="0" borderId="25" xfId="2" applyNumberFormat="1" applyFont="1" applyBorder="1"/>
    <xf numFmtId="10" fontId="54" fillId="0" borderId="25" xfId="3" applyNumberFormat="1" applyFont="1" applyBorder="1" applyAlignment="1">
      <alignment horizontal="center"/>
    </xf>
    <xf numFmtId="168" fontId="54" fillId="0" borderId="33" xfId="2" applyNumberFormat="1" applyFont="1" applyFill="1" applyBorder="1"/>
    <xf numFmtId="168" fontId="54" fillId="0" borderId="6" xfId="2" applyNumberFormat="1" applyFont="1" applyFill="1" applyBorder="1"/>
    <xf numFmtId="0" fontId="54" fillId="0" borderId="6" xfId="0" applyFont="1" applyBorder="1"/>
    <xf numFmtId="0" fontId="54" fillId="0" borderId="7" xfId="0" applyFont="1" applyBorder="1"/>
    <xf numFmtId="168" fontId="54" fillId="0" borderId="1" xfId="2" applyNumberFormat="1" applyFont="1" applyFill="1" applyBorder="1"/>
    <xf numFmtId="168"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4" fontId="54" fillId="0" borderId="40" xfId="0" applyNumberFormat="1" applyFont="1" applyBorder="1" applyAlignment="1">
      <alignment horizontal="left"/>
    </xf>
    <xf numFmtId="0" fontId="53" fillId="0" borderId="41" xfId="0" applyFont="1" applyBorder="1" applyAlignment="1">
      <alignment horizontal="left"/>
    </xf>
    <xf numFmtId="172" fontId="54" fillId="0" borderId="13" xfId="2" applyNumberFormat="1" applyFont="1" applyBorder="1" applyAlignment="1">
      <alignment horizontal="left"/>
    </xf>
    <xf numFmtId="168"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1" fillId="4" borderId="1" xfId="0" applyFont="1" applyFill="1" applyBorder="1"/>
    <xf numFmtId="170"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44" fontId="56" fillId="0" borderId="0" xfId="0" applyNumberFormat="1" applyFont="1"/>
    <xf numFmtId="10" fontId="56" fillId="0" borderId="0" xfId="0" applyNumberFormat="1" applyFont="1"/>
    <xf numFmtId="44" fontId="0" fillId="0" borderId="0" xfId="0" applyNumberFormat="1"/>
    <xf numFmtId="44" fontId="44" fillId="0" borderId="0" xfId="0" applyNumberFormat="1" applyFont="1"/>
    <xf numFmtId="2" fontId="56" fillId="0" borderId="0" xfId="0" applyNumberFormat="1" applyFont="1"/>
    <xf numFmtId="44" fontId="56" fillId="0" borderId="0" xfId="2" applyFont="1"/>
    <xf numFmtId="10" fontId="56" fillId="0" borderId="0" xfId="3" applyNumberFormat="1" applyFont="1"/>
    <xf numFmtId="10" fontId="0" fillId="0" borderId="0" xfId="3" applyNumberFormat="1" applyFont="1"/>
    <xf numFmtId="169"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3"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2" fillId="0" borderId="1" xfId="3" applyNumberFormat="1" applyFont="1" applyBorder="1" applyAlignment="1">
      <alignment horizontal="center"/>
    </xf>
    <xf numFmtId="10" fontId="51" fillId="0" borderId="30" xfId="3" applyNumberFormat="1" applyFont="1" applyBorder="1" applyAlignment="1">
      <alignment horizontal="center"/>
    </xf>
    <xf numFmtId="0" fontId="54" fillId="0" borderId="38" xfId="0" applyFont="1" applyBorder="1" applyAlignment="1">
      <alignment wrapText="1"/>
    </xf>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68" fontId="54" fillId="0" borderId="13" xfId="2" applyNumberFormat="1" applyFont="1" applyFill="1" applyBorder="1" applyAlignment="1">
      <alignment horizontal="right"/>
    </xf>
    <xf numFmtId="168"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4" fontId="0" fillId="0" borderId="20" xfId="0" applyNumberFormat="1" applyBorder="1" applyAlignment="1">
      <alignment horizontal="center" vertical="center" wrapText="1"/>
    </xf>
    <xf numFmtId="0" fontId="1" fillId="0" borderId="15" xfId="0" applyFont="1" applyBorder="1" applyAlignment="1">
      <alignment horizontal="left" vertical="top"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1039668</xdr:colOff>
      <xdr:row>9</xdr:row>
      <xdr:rowOff>334240</xdr:rowOff>
    </xdr:from>
    <xdr:to>
      <xdr:col>4</xdr:col>
      <xdr:colOff>173182</xdr:colOff>
      <xdr:row>9</xdr:row>
      <xdr:rowOff>346363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07395" y="278764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951345</xdr:colOff>
      <xdr:row>13</xdr:row>
      <xdr:rowOff>321541</xdr:rowOff>
    </xdr:from>
    <xdr:to>
      <xdr:col>4</xdr:col>
      <xdr:colOff>265545</xdr:colOff>
      <xdr:row>13</xdr:row>
      <xdr:rowOff>321541</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819072" y="3814041"/>
          <a:ext cx="569768"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opLeftCell="A5" zoomScaleNormal="100" workbookViewId="0">
      <selection activeCell="B31" sqref="B31"/>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8" t="s">
        <v>385</v>
      </c>
      <c r="B1" s="228">
        <v>42826</v>
      </c>
      <c r="C1" s="169" t="s">
        <v>386</v>
      </c>
      <c r="D1" s="170"/>
      <c r="E1" s="170"/>
      <c r="F1" s="170"/>
      <c r="G1" s="170"/>
      <c r="H1" s="170"/>
      <c r="I1" s="170"/>
      <c r="J1" s="171"/>
    </row>
    <row r="2" spans="1:10" s="56" customFormat="1" ht="14" thickBot="1">
      <c r="A2" s="53" t="s">
        <v>34</v>
      </c>
      <c r="B2" s="229" t="s">
        <v>769</v>
      </c>
      <c r="C2" s="209" t="s">
        <v>101</v>
      </c>
      <c r="D2" s="82"/>
      <c r="E2" s="82"/>
      <c r="F2" s="82"/>
      <c r="G2" s="82"/>
      <c r="H2" s="82"/>
      <c r="I2" s="82"/>
      <c r="J2" s="210"/>
    </row>
    <row r="3" spans="1:10" s="56" customFormat="1" ht="14" thickBot="1">
      <c r="A3" s="363" t="s">
        <v>430</v>
      </c>
      <c r="B3" s="364"/>
      <c r="C3" s="365"/>
      <c r="D3" s="365"/>
      <c r="E3" s="365"/>
      <c r="F3" s="365"/>
      <c r="G3" s="365"/>
      <c r="H3" s="365"/>
      <c r="I3" s="365"/>
      <c r="J3" s="366"/>
    </row>
    <row r="4" spans="1:10" s="56" customFormat="1" ht="13">
      <c r="A4" s="57"/>
      <c r="B4" s="57" t="s">
        <v>178</v>
      </c>
      <c r="C4" s="172" t="s">
        <v>179</v>
      </c>
      <c r="D4" s="82"/>
      <c r="E4" s="82"/>
      <c r="F4" s="82"/>
      <c r="G4" s="82"/>
      <c r="H4" s="82"/>
      <c r="I4" s="82"/>
    </row>
    <row r="5" spans="1:10" s="56" customFormat="1" ht="13">
      <c r="A5" s="156" t="s">
        <v>445</v>
      </c>
      <c r="B5" s="232" t="s">
        <v>347</v>
      </c>
      <c r="C5" s="172"/>
      <c r="D5" s="82"/>
      <c r="E5" s="82"/>
      <c r="F5" s="82"/>
      <c r="G5" s="82"/>
      <c r="H5" s="82"/>
      <c r="I5" s="82"/>
    </row>
    <row r="6" spans="1:10" s="56" customFormat="1" ht="13">
      <c r="A6" s="156" t="s">
        <v>435</v>
      </c>
      <c r="B6" s="157" t="s">
        <v>511</v>
      </c>
      <c r="C6" s="82"/>
      <c r="D6" s="82"/>
      <c r="E6" s="82"/>
      <c r="F6" s="82"/>
      <c r="G6" s="82"/>
      <c r="H6" s="82"/>
      <c r="I6" s="82"/>
    </row>
    <row r="7" spans="1:10" s="56" customFormat="1" ht="13">
      <c r="A7" s="156" t="s">
        <v>436</v>
      </c>
      <c r="B7" s="157" t="s">
        <v>511</v>
      </c>
      <c r="C7" s="246" t="s">
        <v>395</v>
      </c>
      <c r="D7" s="246" t="s">
        <v>618</v>
      </c>
      <c r="E7" s="82"/>
      <c r="F7" s="82"/>
      <c r="G7" s="82"/>
      <c r="H7" s="82"/>
      <c r="I7" s="82"/>
    </row>
    <row r="8" spans="1:10" s="56" customFormat="1" ht="13">
      <c r="A8" s="60" t="s">
        <v>11</v>
      </c>
      <c r="B8" s="61">
        <v>31536</v>
      </c>
      <c r="C8" s="85">
        <v>24578</v>
      </c>
      <c r="D8" s="245">
        <v>1</v>
      </c>
    </row>
    <row r="9" spans="1:10" s="56" customFormat="1" ht="13">
      <c r="A9" s="60" t="s">
        <v>29</v>
      </c>
      <c r="B9" s="61">
        <v>1952.08</v>
      </c>
      <c r="C9" s="85">
        <v>80</v>
      </c>
      <c r="D9" s="245">
        <v>1</v>
      </c>
    </row>
    <row r="10" spans="1:10" s="56" customFormat="1" ht="13">
      <c r="A10" s="60" t="s">
        <v>438</v>
      </c>
      <c r="B10" s="85">
        <v>0</v>
      </c>
      <c r="C10" s="85">
        <v>0</v>
      </c>
      <c r="D10" s="62"/>
    </row>
    <row r="11" spans="1:10" s="56" customFormat="1" ht="13">
      <c r="A11" s="60" t="s">
        <v>30</v>
      </c>
      <c r="B11" s="61">
        <v>22225</v>
      </c>
      <c r="C11" s="85">
        <v>6618</v>
      </c>
      <c r="D11" s="62"/>
    </row>
    <row r="12" spans="1:10" s="56" customFormat="1" ht="13">
      <c r="A12" s="60" t="s">
        <v>31</v>
      </c>
      <c r="B12" s="61">
        <v>13337</v>
      </c>
      <c r="C12" s="85">
        <v>14576</v>
      </c>
      <c r="D12" s="62"/>
    </row>
    <row r="13" spans="1:10" s="56" customFormat="1" ht="13">
      <c r="A13" s="160" t="s">
        <v>425</v>
      </c>
      <c r="B13" s="198" t="s">
        <v>58</v>
      </c>
      <c r="C13" s="199" t="s">
        <v>426</v>
      </c>
      <c r="D13" s="62"/>
    </row>
    <row r="14" spans="1:10" s="56" customFormat="1" ht="13">
      <c r="A14" s="60" t="s">
        <v>244</v>
      </c>
      <c r="B14" s="85" t="s">
        <v>52</v>
      </c>
      <c r="C14" s="62" t="s">
        <v>247</v>
      </c>
      <c r="D14" s="62"/>
    </row>
    <row r="15" spans="1:10" s="56" customFormat="1" ht="13">
      <c r="A15" s="60" t="s">
        <v>601</v>
      </c>
      <c r="B15" s="85">
        <v>19384</v>
      </c>
      <c r="C15" s="85">
        <v>6268</v>
      </c>
      <c r="D15" s="62"/>
    </row>
    <row r="16" spans="1:10" s="56" customFormat="1" ht="13">
      <c r="A16" s="60" t="s">
        <v>602</v>
      </c>
      <c r="B16" s="173">
        <v>0</v>
      </c>
      <c r="C16" s="85">
        <v>0</v>
      </c>
      <c r="D16" s="62"/>
    </row>
    <row r="17" spans="1:11" s="56" customFormat="1" ht="13">
      <c r="A17" s="60" t="s">
        <v>391</v>
      </c>
      <c r="B17" s="173">
        <v>0</v>
      </c>
      <c r="C17" s="85">
        <v>0</v>
      </c>
      <c r="D17" s="62"/>
    </row>
    <row r="18" spans="1:11" s="56" customFormat="1" ht="14" thickBot="1">
      <c r="A18" s="60" t="s">
        <v>32</v>
      </c>
      <c r="B18" s="158">
        <v>959.85</v>
      </c>
      <c r="C18" s="62"/>
    </row>
    <row r="19" spans="1:11" s="56" customFormat="1" ht="13">
      <c r="A19" s="60" t="s">
        <v>33</v>
      </c>
      <c r="B19" s="61">
        <v>661.75</v>
      </c>
      <c r="C19" s="62"/>
      <c r="E19" s="86" t="s">
        <v>243</v>
      </c>
      <c r="F19" s="54"/>
      <c r="G19" s="54"/>
      <c r="H19" s="54"/>
      <c r="I19" s="54"/>
      <c r="J19" s="54"/>
      <c r="K19" s="55"/>
    </row>
    <row r="20" spans="1:11" s="56" customFormat="1" ht="13">
      <c r="A20" s="63" t="s">
        <v>105</v>
      </c>
      <c r="B20" s="64">
        <v>0.25</v>
      </c>
      <c r="C20" s="62"/>
      <c r="E20" s="207" t="s">
        <v>429</v>
      </c>
      <c r="F20" s="82"/>
      <c r="G20" s="82"/>
      <c r="H20" s="82"/>
      <c r="I20" s="82"/>
      <c r="J20" s="82"/>
      <c r="K20" s="88"/>
    </row>
    <row r="21" spans="1:11" s="56" customFormat="1" ht="13">
      <c r="A21" s="63" t="s">
        <v>106</v>
      </c>
      <c r="B21" s="64">
        <v>0.25</v>
      </c>
      <c r="C21" s="62"/>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0.28309870615998056</v>
      </c>
      <c r="J22" s="258">
        <f>VLOOKUP(B6,'Industry Average Beta (US)'!A2:S95,3)</f>
        <v>0.1431333333</v>
      </c>
      <c r="K22" s="259">
        <f>VLOOKUP(B7,'Industry Average Beta (Global)'!A2:N95,3)</f>
        <v>4.9735151515151524E-2</v>
      </c>
    </row>
    <row r="23" spans="1:11" s="56" customFormat="1" ht="13">
      <c r="A23" s="350" t="s">
        <v>750</v>
      </c>
      <c r="B23" s="351">
        <v>0.5</v>
      </c>
      <c r="C23" s="62"/>
      <c r="E23" s="87" t="s">
        <v>175</v>
      </c>
      <c r="F23" s="82"/>
      <c r="G23" s="82"/>
      <c r="H23" s="82"/>
      <c r="I23" s="258">
        <f>'Valuation output'!B4</f>
        <v>6.4986470488753584E-2</v>
      </c>
      <c r="J23" s="259">
        <f>VLOOKUP(B6,'Industry Average Beta (US)'!A2:AA95,4)</f>
        <v>3.4075445431577721E-2</v>
      </c>
      <c r="K23" s="259">
        <f>VLOOKUP(B7,'Industry Average Beta (Global)'!A2:N95,4)</f>
        <v>4.7862416234419683E-2</v>
      </c>
    </row>
    <row r="24" spans="1:11" s="56" customFormat="1" ht="13">
      <c r="A24" s="350" t="s">
        <v>752</v>
      </c>
      <c r="B24" s="351">
        <v>7.0000000000000007E-2</v>
      </c>
      <c r="C24" s="62"/>
      <c r="E24" s="87" t="s">
        <v>176</v>
      </c>
      <c r="F24" s="82"/>
      <c r="G24" s="82"/>
      <c r="H24" s="82"/>
      <c r="I24" s="260">
        <f>B8/'Valuation output'!B39</f>
        <v>1.6553461760537505</v>
      </c>
      <c r="J24" s="260">
        <f>VLOOKUP(B6,'Industry Average Beta (US)'!A2:S95,14)</f>
        <v>0.87444822818687473</v>
      </c>
      <c r="K24" s="260">
        <f>VLOOKUP(B7,'Industry Average Beta (Global)'!A2:N95,14)</f>
        <v>1.0556727665465442</v>
      </c>
    </row>
    <row r="25" spans="1:11" s="56" customFormat="1" ht="13">
      <c r="A25" s="60" t="s">
        <v>751</v>
      </c>
      <c r="B25" s="67">
        <v>0.5</v>
      </c>
      <c r="C25" s="62" t="s">
        <v>605</v>
      </c>
      <c r="E25" s="87" t="s">
        <v>177</v>
      </c>
      <c r="F25" s="82"/>
      <c r="G25" s="82"/>
      <c r="H25" s="82"/>
      <c r="I25" s="259">
        <f>'Valuation output'!B7/'Valuation output'!B39</f>
        <v>8.0681329064091103E-2</v>
      </c>
      <c r="J25" s="259">
        <f>VLOOKUP(B6,'Industry Average Beta (US)'!A2:S95,5)</f>
        <v>2.8910253439599635E-2</v>
      </c>
      <c r="K25" s="259">
        <f>VLOOKUP(B7,'Industry Average Beta (Global)'!A2:N95,5)</f>
        <v>4.5965789058890594E-2</v>
      </c>
    </row>
    <row r="26" spans="1:11" s="56" customFormat="1" ht="13">
      <c r="A26" s="60" t="s">
        <v>50</v>
      </c>
      <c r="B26" s="67">
        <v>0.2</v>
      </c>
      <c r="C26" s="62" t="s">
        <v>603</v>
      </c>
      <c r="E26" s="87" t="s">
        <v>384</v>
      </c>
      <c r="F26" s="82"/>
      <c r="G26" s="82"/>
      <c r="H26" s="82"/>
      <c r="I26" s="168"/>
      <c r="J26" s="261">
        <f>VLOOKUP(B6,'Industry Average Beta (US)'!A2:S95,10)</f>
        <v>0.35018877700000001</v>
      </c>
      <c r="K26" s="259">
        <f>VLOOKUP(B6,'Industry Average Beta (Global)'!A2:Z95,10)</f>
        <v>0.33624173982581934</v>
      </c>
    </row>
    <row r="27" spans="1:11" s="56" customFormat="1" ht="14" thickBot="1">
      <c r="A27" s="60" t="s">
        <v>677</v>
      </c>
      <c r="B27" s="68">
        <v>10</v>
      </c>
      <c r="C27" s="62" t="s">
        <v>678</v>
      </c>
      <c r="E27" s="58" t="s">
        <v>383</v>
      </c>
      <c r="F27" s="59"/>
      <c r="G27" s="59"/>
      <c r="H27" s="59"/>
      <c r="I27" s="59"/>
      <c r="J27" s="262">
        <f>VLOOKUP(B6,'Industry Average Beta (US)'!A2:S95,13)</f>
        <v>4.4009134928218542E-2</v>
      </c>
      <c r="K27" s="259">
        <f>VLOOKUP(B6,'Industry Average Beta (Global)'!A2:Z95,13)</f>
        <v>6.4761373597236049E-2</v>
      </c>
    </row>
    <row r="28" spans="1:11" s="56" customFormat="1" ht="14" thickBot="1">
      <c r="A28" s="60" t="s">
        <v>37</v>
      </c>
      <c r="B28" s="68">
        <v>5</v>
      </c>
      <c r="C28" s="62" t="s">
        <v>604</v>
      </c>
    </row>
    <row r="29" spans="1:11" s="56" customFormat="1" ht="13">
      <c r="A29" s="65" t="s">
        <v>36</v>
      </c>
      <c r="B29" s="69"/>
      <c r="C29" s="62"/>
      <c r="E29" s="367" t="s">
        <v>606</v>
      </c>
      <c r="F29" s="368"/>
      <c r="G29" s="368"/>
      <c r="H29" s="368"/>
      <c r="I29" s="368"/>
      <c r="J29" s="369"/>
    </row>
    <row r="30" spans="1:11" s="56" customFormat="1" ht="13">
      <c r="A30" s="60" t="s">
        <v>27</v>
      </c>
      <c r="B30" s="67">
        <v>0.02</v>
      </c>
      <c r="C30" s="62"/>
      <c r="E30" s="247" t="s">
        <v>607</v>
      </c>
      <c r="F30" s="63"/>
      <c r="G30" s="63"/>
      <c r="H30" s="63"/>
      <c r="I30" s="63"/>
      <c r="J30" s="257">
        <f>'Valuation output'!M3</f>
        <v>618877.81100274646</v>
      </c>
    </row>
    <row r="31" spans="1:11" s="56" customFormat="1" ht="13">
      <c r="A31" s="60" t="s">
        <v>39</v>
      </c>
      <c r="B31" s="159">
        <v>0.08</v>
      </c>
      <c r="C31" s="62"/>
      <c r="E31" s="247" t="s">
        <v>609</v>
      </c>
      <c r="F31" s="63"/>
      <c r="G31" s="63"/>
      <c r="H31" s="63"/>
      <c r="I31" s="63"/>
      <c r="J31" s="257">
        <f>'Valuation output'!M5</f>
        <v>123775.56220054929</v>
      </c>
    </row>
    <row r="32" spans="1:11" s="56" customFormat="1" ht="13">
      <c r="A32" s="65" t="s">
        <v>90</v>
      </c>
      <c r="B32" s="70"/>
      <c r="C32" s="70"/>
      <c r="D32" s="62"/>
      <c r="E32" s="247" t="s">
        <v>608</v>
      </c>
      <c r="F32" s="63"/>
      <c r="G32" s="63"/>
      <c r="H32" s="63"/>
      <c r="I32" s="63"/>
      <c r="J32" s="258">
        <f>'Valuation output'!L40</f>
        <v>0.67872190605291316</v>
      </c>
    </row>
    <row r="33" spans="1:14" s="56" customFormat="1" ht="15" thickBot="1">
      <c r="A33" s="63" t="s">
        <v>246</v>
      </c>
      <c r="B33" s="159" t="s">
        <v>58</v>
      </c>
      <c r="C33"/>
      <c r="D33" s="62"/>
      <c r="E33" s="248" t="s">
        <v>610</v>
      </c>
      <c r="F33" s="59"/>
      <c r="G33" s="59"/>
      <c r="H33" s="59"/>
      <c r="I33" s="59"/>
      <c r="J33" s="249"/>
    </row>
    <row r="34" spans="1:14" s="56" customFormat="1" ht="13">
      <c r="A34" s="63" t="s">
        <v>91</v>
      </c>
      <c r="B34" s="68">
        <v>160</v>
      </c>
      <c r="C34" s="256"/>
      <c r="D34" s="62"/>
    </row>
    <row r="35" spans="1:14" s="56" customFormat="1" ht="13">
      <c r="A35" s="63" t="s">
        <v>92</v>
      </c>
      <c r="B35" s="71">
        <v>70</v>
      </c>
      <c r="C35" s="255"/>
      <c r="D35" s="62"/>
    </row>
    <row r="36" spans="1:14" s="56" customFormat="1" ht="13">
      <c r="A36" s="63" t="s">
        <v>93</v>
      </c>
      <c r="B36" s="68">
        <v>5</v>
      </c>
      <c r="C36" s="256"/>
      <c r="D36" s="62"/>
    </row>
    <row r="37" spans="1:14" s="74" customFormat="1" ht="13">
      <c r="A37" s="63" t="s">
        <v>94</v>
      </c>
      <c r="B37" s="67">
        <v>0.4</v>
      </c>
      <c r="C37" s="62"/>
      <c r="D37" s="56"/>
      <c r="H37" s="56"/>
      <c r="I37" s="56"/>
      <c r="J37" s="56"/>
      <c r="K37" s="56"/>
      <c r="L37" s="56"/>
      <c r="M37" s="56"/>
      <c r="N37" s="56"/>
    </row>
    <row r="38" spans="1:14" s="56" customFormat="1" ht="13">
      <c r="A38" s="63"/>
      <c r="B38" s="72"/>
      <c r="C38" s="70"/>
      <c r="D38" s="62"/>
    </row>
    <row r="39" spans="1:14" s="56" customFormat="1" ht="13">
      <c r="A39" s="362" t="s">
        <v>107</v>
      </c>
      <c r="B39" s="362"/>
      <c r="C39" s="83"/>
      <c r="D39" s="62"/>
      <c r="N39" s="74"/>
    </row>
    <row r="40" spans="1:14" s="74" customFormat="1" ht="13">
      <c r="A40" s="73" t="s">
        <v>108</v>
      </c>
      <c r="B40" s="73"/>
      <c r="C40" s="84"/>
      <c r="D40" s="62"/>
      <c r="N40" s="56"/>
    </row>
    <row r="41" spans="1:14" s="56" customFormat="1" ht="13">
      <c r="A41" s="75" t="s">
        <v>40</v>
      </c>
      <c r="B41" s="76" t="s">
        <v>58</v>
      </c>
      <c r="C41" s="62" t="s">
        <v>55</v>
      </c>
    </row>
    <row r="42" spans="1:14" s="56" customFormat="1" ht="13">
      <c r="A42" s="75" t="s">
        <v>42</v>
      </c>
      <c r="B42" s="159">
        <v>7.0000000000000007E-2</v>
      </c>
      <c r="C42" s="62" t="s">
        <v>761</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row>
    <row r="45" spans="1:14" s="56" customFormat="1" ht="13">
      <c r="A45" s="56" t="s">
        <v>41</v>
      </c>
      <c r="B45" s="77">
        <v>0.12</v>
      </c>
      <c r="C45" s="62" t="s">
        <v>144</v>
      </c>
    </row>
    <row r="46" spans="1:14" s="56" customFormat="1" ht="13">
      <c r="A46" s="74" t="s">
        <v>140</v>
      </c>
      <c r="C46" s="62"/>
    </row>
    <row r="47" spans="1:14" s="56" customFormat="1" ht="13">
      <c r="A47" s="56" t="s">
        <v>40</v>
      </c>
      <c r="B47" s="76" t="s">
        <v>52</v>
      </c>
      <c r="C47" s="62" t="s">
        <v>115</v>
      </c>
    </row>
    <row r="48" spans="1:14" s="56" customFormat="1" ht="13">
      <c r="A48" s="56" t="s">
        <v>110</v>
      </c>
      <c r="B48" s="77">
        <v>0.2</v>
      </c>
      <c r="C48" s="62" t="s">
        <v>56</v>
      </c>
    </row>
    <row r="49" spans="1:14" s="56" customFormat="1" ht="13">
      <c r="A49" s="56" t="s">
        <v>113</v>
      </c>
      <c r="B49" s="77" t="s">
        <v>236</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52</v>
      </c>
      <c r="C54" s="62" t="s">
        <v>57</v>
      </c>
    </row>
    <row r="55" spans="1:14" s="56" customFormat="1" ht="13">
      <c r="A55" s="56" t="s">
        <v>49</v>
      </c>
      <c r="B55" s="71">
        <v>250</v>
      </c>
      <c r="C55" s="62" t="s">
        <v>145</v>
      </c>
    </row>
    <row r="56" spans="1:14" s="56" customFormat="1" ht="13">
      <c r="A56" s="56" t="s">
        <v>745</v>
      </c>
      <c r="B56" s="349"/>
      <c r="C56" s="62"/>
    </row>
    <row r="57" spans="1:14" s="56" customFormat="1" ht="13">
      <c r="A57" s="56" t="s">
        <v>40</v>
      </c>
      <c r="B57" s="71" t="s">
        <v>58</v>
      </c>
      <c r="C57" s="62" t="s">
        <v>747</v>
      </c>
    </row>
    <row r="58" spans="1:14" s="56" customFormat="1" ht="13">
      <c r="A58" s="56" t="s">
        <v>746</v>
      </c>
      <c r="B58" s="254">
        <v>0.02</v>
      </c>
      <c r="C58" s="62" t="s">
        <v>748</v>
      </c>
    </row>
    <row r="59" spans="1:14" s="250" customFormat="1" ht="13">
      <c r="A59" s="56" t="s">
        <v>614</v>
      </c>
      <c r="B59" s="255"/>
      <c r="C59" s="62"/>
      <c r="D59" s="56"/>
      <c r="H59" s="74"/>
      <c r="I59" s="74"/>
      <c r="J59" s="74"/>
      <c r="K59" s="74"/>
      <c r="L59" s="74"/>
      <c r="M59" s="74"/>
      <c r="N59" s="74"/>
    </row>
    <row r="60" spans="1:14" ht="13">
      <c r="A60" s="56" t="s">
        <v>40</v>
      </c>
      <c r="B60" s="71" t="s">
        <v>52</v>
      </c>
      <c r="C60" s="62" t="s">
        <v>749</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3">
      <c r="A65" s="263" t="s">
        <v>612</v>
      </c>
      <c r="B65" s="252">
        <v>0.15</v>
      </c>
      <c r="C65" s="264" t="s">
        <v>621</v>
      </c>
    </row>
    <row r="66" spans="1:3">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topLeftCell="A132" workbookViewId="0">
      <selection activeCell="B2" sqref="B2"/>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727</v>
      </c>
      <c r="B1" s="334">
        <v>5.0099999999999999E-2</v>
      </c>
      <c r="C1" t="s">
        <v>768</v>
      </c>
    </row>
    <row r="4" spans="1:6" ht="16">
      <c r="A4" s="337" t="s">
        <v>352</v>
      </c>
      <c r="B4" s="50" t="s">
        <v>679</v>
      </c>
      <c r="C4" s="337" t="s">
        <v>353</v>
      </c>
      <c r="D4" s="43" t="s">
        <v>680</v>
      </c>
      <c r="E4" s="43" t="s">
        <v>354</v>
      </c>
      <c r="F4" s="331" t="s">
        <v>613</v>
      </c>
    </row>
    <row r="5" spans="1:6" ht="16">
      <c r="A5" s="44" t="s">
        <v>484</v>
      </c>
      <c r="B5" s="50" t="s">
        <v>681</v>
      </c>
      <c r="C5" s="338">
        <v>5.8229604364363613E-3</v>
      </c>
      <c r="D5" s="338">
        <f>$B$1+E5</f>
        <v>5.7390703655369198E-2</v>
      </c>
      <c r="E5" s="340">
        <v>7.2907036553691998E-3</v>
      </c>
      <c r="F5" s="340">
        <v>0.55000000000000004</v>
      </c>
    </row>
    <row r="6" spans="1:6" ht="16">
      <c r="A6" s="44" t="s">
        <v>248</v>
      </c>
      <c r="B6" s="50" t="s">
        <v>682</v>
      </c>
      <c r="C6" s="338">
        <v>5.2830131959668084E-2</v>
      </c>
      <c r="D6" s="338">
        <f t="shared" ref="D6:D69" si="0">$B$1+E6</f>
        <v>0.11624656589144056</v>
      </c>
      <c r="E6" s="340">
        <v>6.6146565891440565E-2</v>
      </c>
      <c r="F6" s="340">
        <v>0.15</v>
      </c>
    </row>
    <row r="7" spans="1:6" ht="16">
      <c r="A7" s="339" t="s">
        <v>683</v>
      </c>
      <c r="B7" s="161" t="s">
        <v>99</v>
      </c>
      <c r="C7" s="284">
        <v>0.14080977055382476</v>
      </c>
      <c r="D7" s="338">
        <f t="shared" si="0"/>
        <v>0.22640247021165524</v>
      </c>
      <c r="E7" s="284">
        <v>0.17630247021165524</v>
      </c>
      <c r="F7" s="359">
        <v>0.26</v>
      </c>
    </row>
    <row r="8" spans="1:6" ht="16">
      <c r="A8" s="44" t="s">
        <v>502</v>
      </c>
      <c r="B8" s="50" t="s">
        <v>684</v>
      </c>
      <c r="C8" s="338">
        <v>2.2338993674328587E-2</v>
      </c>
      <c r="D8" s="338">
        <f t="shared" si="0"/>
        <v>7.8069790386961838E-2</v>
      </c>
      <c r="E8" s="340">
        <v>2.7969790386961842E-2</v>
      </c>
      <c r="F8" s="340">
        <v>0.1</v>
      </c>
    </row>
    <row r="9" spans="1:6" ht="16">
      <c r="A9" s="44" t="s">
        <v>249</v>
      </c>
      <c r="B9" s="50" t="s">
        <v>694</v>
      </c>
      <c r="C9" s="338">
        <v>7.6333717721283945E-2</v>
      </c>
      <c r="D9" s="338">
        <f t="shared" si="0"/>
        <v>0.14567449700947624</v>
      </c>
      <c r="E9" s="340">
        <v>9.5574497009476247E-2</v>
      </c>
      <c r="F9" s="340">
        <v>0.3</v>
      </c>
    </row>
    <row r="10" spans="1:6" ht="16">
      <c r="A10" s="44" t="s">
        <v>250</v>
      </c>
      <c r="B10" s="50" t="s">
        <v>753</v>
      </c>
      <c r="C10" s="338">
        <v>0.14080977055382476</v>
      </c>
      <c r="D10" s="338">
        <f t="shared" si="0"/>
        <v>0.22640247021165524</v>
      </c>
      <c r="E10" s="340">
        <v>0.17630247021165524</v>
      </c>
      <c r="F10" s="340">
        <v>0.3</v>
      </c>
    </row>
    <row r="11" spans="1:6" ht="16">
      <c r="A11" s="44" t="s">
        <v>251</v>
      </c>
      <c r="B11" s="50" t="s">
        <v>691</v>
      </c>
      <c r="C11" s="338">
        <v>4.2242931166147427E-2</v>
      </c>
      <c r="D11" s="338">
        <f t="shared" si="0"/>
        <v>0.10299074106349657</v>
      </c>
      <c r="E11" s="340">
        <v>5.2890741063496567E-2</v>
      </c>
      <c r="F11" s="340">
        <v>0.2</v>
      </c>
    </row>
    <row r="12" spans="1:6" ht="16">
      <c r="A12" s="44" t="s">
        <v>252</v>
      </c>
      <c r="B12" s="50" t="s">
        <v>686</v>
      </c>
      <c r="C12" s="338">
        <v>1.8739345404531565E-2</v>
      </c>
      <c r="D12" s="338">
        <f t="shared" si="0"/>
        <v>7.3562809945460883E-2</v>
      </c>
      <c r="E12" s="340">
        <v>2.3462809945460884E-2</v>
      </c>
      <c r="F12" s="340">
        <v>0.25</v>
      </c>
    </row>
    <row r="13" spans="1:6" ht="16">
      <c r="A13" s="44" t="s">
        <v>253</v>
      </c>
      <c r="B13" s="50" t="s">
        <v>687</v>
      </c>
      <c r="C13" s="338">
        <v>0</v>
      </c>
      <c r="D13" s="338">
        <f t="shared" si="0"/>
        <v>5.0099999999999999E-2</v>
      </c>
      <c r="E13" s="340">
        <v>0</v>
      </c>
      <c r="F13" s="340">
        <v>0.3</v>
      </c>
    </row>
    <row r="14" spans="1:6" ht="16">
      <c r="A14" s="44" t="s">
        <v>254</v>
      </c>
      <c r="B14" s="50" t="s">
        <v>688</v>
      </c>
      <c r="C14" s="338">
        <v>4.6583683491490885E-3</v>
      </c>
      <c r="D14" s="338">
        <f t="shared" si="0"/>
        <v>5.5932562924295361E-2</v>
      </c>
      <c r="E14" s="340">
        <v>5.8325629242953593E-3</v>
      </c>
      <c r="F14" s="340">
        <v>0.25</v>
      </c>
    </row>
    <row r="15" spans="1:6" ht="16">
      <c r="A15" s="44" t="s">
        <v>361</v>
      </c>
      <c r="B15" s="50" t="s">
        <v>689</v>
      </c>
      <c r="C15" s="338">
        <v>3.5255378642423785E-2</v>
      </c>
      <c r="D15" s="338">
        <f t="shared" si="0"/>
        <v>9.4241896677053516E-2</v>
      </c>
      <c r="E15" s="340">
        <v>4.4141896677053517E-2</v>
      </c>
      <c r="F15" s="340">
        <v>0.2</v>
      </c>
    </row>
    <row r="16" spans="1:6" ht="16">
      <c r="A16" s="44" t="s">
        <v>255</v>
      </c>
      <c r="B16" s="50" t="s">
        <v>689</v>
      </c>
      <c r="C16" s="338">
        <v>3.5255378642423785E-2</v>
      </c>
      <c r="D16" s="338">
        <f t="shared" si="0"/>
        <v>9.4241896677053516E-2</v>
      </c>
      <c r="E16" s="340">
        <v>4.4141896677053517E-2</v>
      </c>
      <c r="F16" s="340">
        <v>0</v>
      </c>
    </row>
    <row r="17" spans="1:6" ht="16">
      <c r="A17" s="44" t="s">
        <v>256</v>
      </c>
      <c r="B17" s="50" t="s">
        <v>685</v>
      </c>
      <c r="C17" s="338">
        <v>6.4581924840476007E-2</v>
      </c>
      <c r="D17" s="338">
        <f t="shared" si="0"/>
        <v>0.13096053145045841</v>
      </c>
      <c r="E17" s="340">
        <v>8.0860531450458406E-2</v>
      </c>
      <c r="F17" s="340">
        <v>0</v>
      </c>
    </row>
    <row r="18" spans="1:6" ht="16">
      <c r="A18" s="44" t="s">
        <v>257</v>
      </c>
      <c r="B18" s="50" t="s">
        <v>691</v>
      </c>
      <c r="C18" s="338">
        <v>4.2242931166147427E-2</v>
      </c>
      <c r="D18" s="338">
        <f t="shared" si="0"/>
        <v>0.10299074106349657</v>
      </c>
      <c r="E18" s="340">
        <v>5.2890741063496567E-2</v>
      </c>
      <c r="F18" s="340">
        <v>0.25</v>
      </c>
    </row>
    <row r="19" spans="1:6" ht="16">
      <c r="A19" s="44" t="s">
        <v>258</v>
      </c>
      <c r="B19" s="50" t="s">
        <v>692</v>
      </c>
      <c r="C19" s="338">
        <v>8.7979638594156681E-2</v>
      </c>
      <c r="D19" s="338">
        <f t="shared" si="0"/>
        <v>0.16025590432021466</v>
      </c>
      <c r="E19" s="340">
        <v>0.11015590432021467</v>
      </c>
      <c r="F19" s="340">
        <v>5.5E-2</v>
      </c>
    </row>
    <row r="20" spans="1:6" ht="16">
      <c r="A20" s="44" t="s">
        <v>259</v>
      </c>
      <c r="B20" s="50" t="s">
        <v>694</v>
      </c>
      <c r="C20" s="338">
        <v>7.6333717721283945E-2</v>
      </c>
      <c r="D20" s="338">
        <f t="shared" si="0"/>
        <v>0.14567449700947624</v>
      </c>
      <c r="E20" s="340">
        <v>9.5574497009476247E-2</v>
      </c>
      <c r="F20" s="340">
        <v>0.18</v>
      </c>
    </row>
    <row r="21" spans="1:6" ht="16">
      <c r="A21" s="44" t="s">
        <v>260</v>
      </c>
      <c r="B21" s="50" t="s">
        <v>693</v>
      </c>
      <c r="C21" s="338">
        <v>7.0934245316588403E-3</v>
      </c>
      <c r="D21" s="338">
        <f t="shared" si="0"/>
        <v>5.8981402634722478E-2</v>
      </c>
      <c r="E21" s="340">
        <v>8.8814026347224795E-3</v>
      </c>
      <c r="F21" s="340">
        <v>0.28999999999999998</v>
      </c>
    </row>
    <row r="22" spans="1:6" ht="16">
      <c r="A22" s="44" t="s">
        <v>364</v>
      </c>
      <c r="B22" s="50" t="s">
        <v>692</v>
      </c>
      <c r="C22" s="338">
        <v>8.7979638594156681E-2</v>
      </c>
      <c r="D22" s="338">
        <f t="shared" si="0"/>
        <v>0.16025590432021466</v>
      </c>
      <c r="E22" s="340">
        <v>0.11015590432021467</v>
      </c>
      <c r="F22" s="340">
        <v>0.3236</v>
      </c>
    </row>
    <row r="23" spans="1:6" ht="16">
      <c r="A23" s="44" t="s">
        <v>695</v>
      </c>
      <c r="B23" s="50" t="s">
        <v>685</v>
      </c>
      <c r="C23" s="338">
        <v>6.4581924840476007E-2</v>
      </c>
      <c r="D23" s="338">
        <f t="shared" si="0"/>
        <v>0.13096053145045841</v>
      </c>
      <c r="E23" s="340">
        <v>8.0860531450458406E-2</v>
      </c>
      <c r="F23" s="340">
        <v>0.3</v>
      </c>
    </row>
    <row r="24" spans="1:6" ht="16">
      <c r="A24" s="44" t="s">
        <v>261</v>
      </c>
      <c r="B24" s="50" t="s">
        <v>696</v>
      </c>
      <c r="C24" s="338">
        <v>9.9519687459094178E-3</v>
      </c>
      <c r="D24" s="338">
        <f t="shared" si="0"/>
        <v>6.2560475338267363E-2</v>
      </c>
      <c r="E24" s="340">
        <v>1.2460475338267361E-2</v>
      </c>
      <c r="F24" s="340">
        <v>0</v>
      </c>
    </row>
    <row r="25" spans="1:6" ht="16">
      <c r="A25" s="44" t="s">
        <v>262</v>
      </c>
      <c r="B25" s="50" t="s">
        <v>682</v>
      </c>
      <c r="C25" s="338">
        <v>5.2830131959668084E-2</v>
      </c>
      <c r="D25" s="338">
        <f t="shared" si="0"/>
        <v>0.11624656589144056</v>
      </c>
      <c r="E25" s="340">
        <v>6.6146565891440565E-2</v>
      </c>
      <c r="F25" s="340">
        <v>0.25</v>
      </c>
    </row>
    <row r="26" spans="1:6" ht="16">
      <c r="A26" s="44" t="s">
        <v>263</v>
      </c>
      <c r="B26" s="50" t="s">
        <v>694</v>
      </c>
      <c r="C26" s="338">
        <v>7.6333717721283945E-2</v>
      </c>
      <c r="D26" s="338">
        <f t="shared" si="0"/>
        <v>0.14567449700947624</v>
      </c>
      <c r="E26" s="340">
        <v>9.5574497009476247E-2</v>
      </c>
      <c r="F26" s="340">
        <v>0.1</v>
      </c>
    </row>
    <row r="27" spans="1:6" ht="16">
      <c r="A27" s="44" t="s">
        <v>264</v>
      </c>
      <c r="B27" s="50" t="s">
        <v>696</v>
      </c>
      <c r="C27" s="338">
        <v>9.9519687459094178E-3</v>
      </c>
      <c r="D27" s="338">
        <f t="shared" si="0"/>
        <v>6.2560475338267363E-2</v>
      </c>
      <c r="E27" s="340">
        <v>1.2460475338267361E-2</v>
      </c>
      <c r="F27" s="340">
        <v>0.22</v>
      </c>
    </row>
    <row r="28" spans="1:6" ht="16">
      <c r="A28" s="44" t="s">
        <v>265</v>
      </c>
      <c r="B28" s="50" t="s">
        <v>689</v>
      </c>
      <c r="C28" s="338">
        <v>3.5255378642423785E-2</v>
      </c>
      <c r="D28" s="338">
        <f t="shared" si="0"/>
        <v>9.4241896677053516E-2</v>
      </c>
      <c r="E28" s="340">
        <v>4.4141896677053517E-2</v>
      </c>
      <c r="F28" s="340">
        <v>0.34</v>
      </c>
    </row>
    <row r="29" spans="1:6" ht="16">
      <c r="A29" s="339" t="s">
        <v>697</v>
      </c>
      <c r="B29" s="161" t="s">
        <v>99</v>
      </c>
      <c r="C29" s="284">
        <v>9.9519687459094161E-3</v>
      </c>
      <c r="D29" s="338">
        <f t="shared" si="0"/>
        <v>6.2560475338267363E-2</v>
      </c>
      <c r="E29" s="284">
        <v>1.2460475338267357E-2</v>
      </c>
      <c r="F29" s="284">
        <v>0.185</v>
      </c>
    </row>
    <row r="30" spans="1:6" ht="16">
      <c r="A30" s="44" t="s">
        <v>266</v>
      </c>
      <c r="B30" s="50" t="s">
        <v>684</v>
      </c>
      <c r="C30" s="338">
        <v>2.2338993674328587E-2</v>
      </c>
      <c r="D30" s="338">
        <f t="shared" si="0"/>
        <v>7.8069790386961838E-2</v>
      </c>
      <c r="E30" s="340">
        <v>2.7969790386961842E-2</v>
      </c>
      <c r="F30" s="340">
        <v>0.1</v>
      </c>
    </row>
    <row r="31" spans="1:6" ht="16">
      <c r="A31" s="44" t="s">
        <v>485</v>
      </c>
      <c r="B31" s="50" t="s">
        <v>685</v>
      </c>
      <c r="C31" s="338">
        <v>6.4581924840476007E-2</v>
      </c>
      <c r="D31" s="338">
        <f t="shared" si="0"/>
        <v>0.13096053145045841</v>
      </c>
      <c r="E31" s="340">
        <v>8.0860531450458406E-2</v>
      </c>
      <c r="F31" s="340">
        <v>0.28000000000000003</v>
      </c>
    </row>
    <row r="32" spans="1:6" ht="16">
      <c r="A32" s="44" t="s">
        <v>267</v>
      </c>
      <c r="B32" s="50" t="s">
        <v>685</v>
      </c>
      <c r="C32" s="338">
        <v>6.4581924840476007E-2</v>
      </c>
      <c r="D32" s="338">
        <f t="shared" si="0"/>
        <v>0.13096053145045841</v>
      </c>
      <c r="E32" s="340">
        <v>8.0860531450458406E-2</v>
      </c>
      <c r="F32" s="340">
        <v>0.2</v>
      </c>
    </row>
    <row r="33" spans="1:6" ht="16">
      <c r="A33" s="44" t="s">
        <v>486</v>
      </c>
      <c r="B33" s="50" t="s">
        <v>685</v>
      </c>
      <c r="C33" s="338">
        <v>6.4581924840476007E-2</v>
      </c>
      <c r="D33" s="338">
        <f t="shared" si="0"/>
        <v>0.13096053145045841</v>
      </c>
      <c r="E33" s="340">
        <v>8.0860531450458406E-2</v>
      </c>
      <c r="F33" s="340">
        <v>0.33</v>
      </c>
    </row>
    <row r="34" spans="1:6" ht="16">
      <c r="A34" s="44" t="s">
        <v>268</v>
      </c>
      <c r="B34" s="50" t="s">
        <v>687</v>
      </c>
      <c r="C34" s="338">
        <v>0</v>
      </c>
      <c r="D34" s="338">
        <f t="shared" si="0"/>
        <v>5.0099999999999999E-2</v>
      </c>
      <c r="E34" s="340">
        <v>0</v>
      </c>
      <c r="F34" s="340">
        <v>0.26500000000000001</v>
      </c>
    </row>
    <row r="35" spans="1:6" ht="16">
      <c r="A35" s="44" t="s">
        <v>487</v>
      </c>
      <c r="B35" s="50" t="s">
        <v>685</v>
      </c>
      <c r="C35" s="338">
        <v>6.4581924840476007E-2</v>
      </c>
      <c r="D35" s="338">
        <f t="shared" si="0"/>
        <v>0.13096053145045841</v>
      </c>
      <c r="E35" s="340">
        <v>8.0860531450458406E-2</v>
      </c>
      <c r="F35" s="340">
        <v>0</v>
      </c>
    </row>
    <row r="36" spans="1:6" ht="16">
      <c r="A36" s="44" t="s">
        <v>269</v>
      </c>
      <c r="B36" s="50" t="s">
        <v>693</v>
      </c>
      <c r="C36" s="338">
        <v>7.0934245316588403E-3</v>
      </c>
      <c r="D36" s="338">
        <f t="shared" si="0"/>
        <v>5.8981402634722478E-2</v>
      </c>
      <c r="E36" s="340">
        <v>8.8814026347224795E-3</v>
      </c>
      <c r="F36" s="340">
        <v>0</v>
      </c>
    </row>
    <row r="37" spans="1:6" ht="16">
      <c r="A37" s="44" t="s">
        <v>270</v>
      </c>
      <c r="B37" s="50" t="s">
        <v>698</v>
      </c>
      <c r="C37" s="338">
        <v>8.2580166189461131E-3</v>
      </c>
      <c r="D37" s="338">
        <f t="shared" si="0"/>
        <v>6.0439543365796322E-2</v>
      </c>
      <c r="E37" s="340">
        <v>1.0339543365796322E-2</v>
      </c>
      <c r="F37" s="340">
        <v>0.27</v>
      </c>
    </row>
    <row r="38" spans="1:6" ht="16">
      <c r="A38" s="44" t="s">
        <v>271</v>
      </c>
      <c r="B38" s="50" t="s">
        <v>698</v>
      </c>
      <c r="C38" s="338">
        <v>8.2580166189461131E-3</v>
      </c>
      <c r="D38" s="338">
        <f t="shared" si="0"/>
        <v>6.0439543365796322E-2</v>
      </c>
      <c r="E38" s="340">
        <v>1.0339543365796322E-2</v>
      </c>
      <c r="F38" s="340">
        <v>0.25</v>
      </c>
    </row>
    <row r="39" spans="1:6" ht="16">
      <c r="A39" s="44" t="s">
        <v>272</v>
      </c>
      <c r="B39" s="50" t="s">
        <v>684</v>
      </c>
      <c r="C39" s="338">
        <v>2.2338993674328587E-2</v>
      </c>
      <c r="D39" s="338">
        <f t="shared" si="0"/>
        <v>7.8069790386961838E-2</v>
      </c>
      <c r="E39" s="340">
        <v>2.7969790386961842E-2</v>
      </c>
      <c r="F39" s="340">
        <v>0.33</v>
      </c>
    </row>
    <row r="40" spans="1:6" ht="16">
      <c r="A40" s="44" t="s">
        <v>503</v>
      </c>
      <c r="B40" s="50" t="s">
        <v>692</v>
      </c>
      <c r="C40" s="338">
        <v>8.7979638594156681E-2</v>
      </c>
      <c r="D40" s="338">
        <f t="shared" si="0"/>
        <v>0.16025590432021466</v>
      </c>
      <c r="E40" s="340">
        <v>0.11015590432021467</v>
      </c>
      <c r="F40" s="340">
        <v>0.35</v>
      </c>
    </row>
    <row r="41" spans="1:6" ht="16">
      <c r="A41" s="44" t="s">
        <v>504</v>
      </c>
      <c r="B41" s="50" t="s">
        <v>699</v>
      </c>
      <c r="C41" s="338">
        <v>0.10566026391933617</v>
      </c>
      <c r="D41" s="338">
        <f t="shared" si="0"/>
        <v>0.18239313178288113</v>
      </c>
      <c r="E41" s="340">
        <v>0.13229313178288113</v>
      </c>
      <c r="F41" s="340">
        <v>0.3236</v>
      </c>
    </row>
    <row r="42" spans="1:6" ht="16">
      <c r="A42" s="44" t="s">
        <v>488</v>
      </c>
      <c r="B42" s="50" t="s">
        <v>682</v>
      </c>
      <c r="C42" s="338">
        <v>5.2830131959668084E-2</v>
      </c>
      <c r="D42" s="338">
        <f t="shared" si="0"/>
        <v>0.11624656589144056</v>
      </c>
      <c r="E42" s="340">
        <v>6.6146565891440565E-2</v>
      </c>
      <c r="F42" s="340">
        <v>0.2843</v>
      </c>
    </row>
    <row r="43" spans="1:6" ht="16">
      <c r="A43" s="44" t="s">
        <v>273</v>
      </c>
      <c r="B43" s="50" t="s">
        <v>685</v>
      </c>
      <c r="C43" s="338">
        <v>6.4581924840476007E-2</v>
      </c>
      <c r="D43" s="338">
        <f t="shared" si="0"/>
        <v>0.13096053145045841</v>
      </c>
      <c r="E43" s="340">
        <v>8.0860531450458406E-2</v>
      </c>
      <c r="F43" s="340">
        <v>0.3</v>
      </c>
    </row>
    <row r="44" spans="1:6" ht="16">
      <c r="A44" s="44" t="s">
        <v>763</v>
      </c>
      <c r="B44" s="50" t="s">
        <v>691</v>
      </c>
      <c r="C44" s="338">
        <v>4.2242931166147427E-2</v>
      </c>
      <c r="D44" s="338">
        <f t="shared" si="0"/>
        <v>0.10299074106349657</v>
      </c>
      <c r="E44" s="340">
        <v>5.2890741063496567E-2</v>
      </c>
      <c r="F44" s="340">
        <v>0.25</v>
      </c>
    </row>
    <row r="45" spans="1:6" ht="16">
      <c r="A45" s="44" t="s">
        <v>274</v>
      </c>
      <c r="B45" s="50" t="s">
        <v>689</v>
      </c>
      <c r="C45" s="338">
        <v>3.5255378642423785E-2</v>
      </c>
      <c r="D45" s="338">
        <f t="shared" si="0"/>
        <v>9.4241896677053516E-2</v>
      </c>
      <c r="E45" s="340">
        <v>4.4141896677053517E-2</v>
      </c>
      <c r="F45" s="340">
        <v>0.18</v>
      </c>
    </row>
    <row r="46" spans="1:6" ht="16">
      <c r="A46" s="44" t="s">
        <v>366</v>
      </c>
      <c r="B46" s="50" t="s">
        <v>699</v>
      </c>
      <c r="C46" s="338">
        <v>0.10566026391933617</v>
      </c>
      <c r="D46" s="338">
        <f t="shared" si="0"/>
        <v>0.18239313178288113</v>
      </c>
      <c r="E46" s="340">
        <v>0.13229313178288113</v>
      </c>
      <c r="F46" s="340">
        <v>0.27239999999999998</v>
      </c>
    </row>
    <row r="47" spans="1:6" ht="16">
      <c r="A47" s="44" t="s">
        <v>754</v>
      </c>
      <c r="B47" s="50" t="s">
        <v>684</v>
      </c>
      <c r="C47" s="338">
        <v>2.2338993674328587E-2</v>
      </c>
      <c r="D47" s="338">
        <f t="shared" si="0"/>
        <v>7.8069790386961838E-2</v>
      </c>
      <c r="E47" s="340">
        <v>2.7969790386961842E-2</v>
      </c>
      <c r="F47" s="340">
        <v>0.22</v>
      </c>
    </row>
    <row r="48" spans="1:6" ht="16">
      <c r="A48" s="44" t="s">
        <v>275</v>
      </c>
      <c r="B48" s="50" t="s">
        <v>689</v>
      </c>
      <c r="C48" s="338">
        <v>3.5255378642423785E-2</v>
      </c>
      <c r="D48" s="338">
        <f t="shared" si="0"/>
        <v>9.4241896677053516E-2</v>
      </c>
      <c r="E48" s="340">
        <v>4.4141896677053517E-2</v>
      </c>
      <c r="F48" s="340">
        <v>0.125</v>
      </c>
    </row>
    <row r="49" spans="1:6" ht="16">
      <c r="A49" s="44" t="s">
        <v>276</v>
      </c>
      <c r="B49" s="50" t="s">
        <v>693</v>
      </c>
      <c r="C49" s="338">
        <v>7.0934245316588403E-3</v>
      </c>
      <c r="D49" s="338">
        <f t="shared" si="0"/>
        <v>5.8981402634722478E-2</v>
      </c>
      <c r="E49" s="340">
        <v>8.8814026347224795E-3</v>
      </c>
      <c r="F49" s="340">
        <v>0.19</v>
      </c>
    </row>
    <row r="50" spans="1:6" ht="16">
      <c r="A50" s="44" t="s">
        <v>277</v>
      </c>
      <c r="B50" s="50" t="s">
        <v>687</v>
      </c>
      <c r="C50" s="338">
        <v>0</v>
      </c>
      <c r="D50" s="338">
        <f t="shared" si="0"/>
        <v>5.0099999999999999E-2</v>
      </c>
      <c r="E50" s="340">
        <v>0</v>
      </c>
      <c r="F50" s="340">
        <v>0.22</v>
      </c>
    </row>
    <row r="51" spans="1:6" ht="16">
      <c r="A51" s="44" t="s">
        <v>278</v>
      </c>
      <c r="B51" s="50" t="s">
        <v>691</v>
      </c>
      <c r="C51" s="338">
        <v>4.2242931166147427E-2</v>
      </c>
      <c r="D51" s="338">
        <f t="shared" si="0"/>
        <v>0.10299074106349657</v>
      </c>
      <c r="E51" s="340">
        <v>5.2890741063496567E-2</v>
      </c>
      <c r="F51" s="340">
        <v>0.27</v>
      </c>
    </row>
    <row r="52" spans="1:6" ht="16">
      <c r="A52" s="44" t="s">
        <v>279</v>
      </c>
      <c r="B52" s="50" t="s">
        <v>755</v>
      </c>
      <c r="C52" s="338">
        <v>0.1173061847922089</v>
      </c>
      <c r="D52" s="338">
        <f t="shared" si="0"/>
        <v>0.19697453909361956</v>
      </c>
      <c r="E52" s="340">
        <v>0.14687453909361955</v>
      </c>
      <c r="F52" s="340">
        <v>0.25</v>
      </c>
    </row>
    <row r="53" spans="1:6" ht="16">
      <c r="A53" s="44" t="s">
        <v>280</v>
      </c>
      <c r="B53" s="50" t="s">
        <v>685</v>
      </c>
      <c r="C53" s="338">
        <v>6.4581924840476007E-2</v>
      </c>
      <c r="D53" s="338">
        <f t="shared" si="0"/>
        <v>0.13096053145045841</v>
      </c>
      <c r="E53" s="340">
        <v>8.0860531450458406E-2</v>
      </c>
      <c r="F53" s="340">
        <v>0.22500000000000001</v>
      </c>
    </row>
    <row r="54" spans="1:6" ht="16">
      <c r="A54" s="44" t="s">
        <v>367</v>
      </c>
      <c r="B54" s="50" t="s">
        <v>694</v>
      </c>
      <c r="C54" s="338">
        <v>7.6333717721283945E-2</v>
      </c>
      <c r="D54" s="338">
        <f t="shared" si="0"/>
        <v>0.14567449700947624</v>
      </c>
      <c r="E54" s="340">
        <v>9.5574497009476247E-2</v>
      </c>
      <c r="F54" s="340">
        <v>0.3</v>
      </c>
    </row>
    <row r="55" spans="1:6" ht="16">
      <c r="A55" s="44" t="s">
        <v>281</v>
      </c>
      <c r="B55" s="50" t="s">
        <v>698</v>
      </c>
      <c r="C55" s="338">
        <v>8.2580166189461131E-3</v>
      </c>
      <c r="D55" s="338">
        <f t="shared" si="0"/>
        <v>6.0439543365796322E-2</v>
      </c>
      <c r="E55" s="340">
        <v>1.0339543365796322E-2</v>
      </c>
      <c r="F55" s="340">
        <v>0.2</v>
      </c>
    </row>
    <row r="56" spans="1:6" ht="16">
      <c r="A56" s="44" t="s">
        <v>505</v>
      </c>
      <c r="B56" s="50" t="s">
        <v>685</v>
      </c>
      <c r="C56" s="338">
        <v>6.4581924840476007E-2</v>
      </c>
      <c r="D56" s="338">
        <f t="shared" si="0"/>
        <v>0.13096053145045841</v>
      </c>
      <c r="E56" s="340">
        <v>8.0860531450458406E-2</v>
      </c>
      <c r="F56" s="340">
        <v>0.3</v>
      </c>
    </row>
    <row r="57" spans="1:6" ht="16">
      <c r="A57" s="44" t="s">
        <v>282</v>
      </c>
      <c r="B57" s="50" t="s">
        <v>691</v>
      </c>
      <c r="C57" s="338">
        <v>4.2242931166147427E-2</v>
      </c>
      <c r="D57" s="338">
        <f t="shared" si="0"/>
        <v>0.10299074106349657</v>
      </c>
      <c r="E57" s="340">
        <v>5.2890741063496567E-2</v>
      </c>
      <c r="F57" s="340">
        <v>0.2</v>
      </c>
    </row>
    <row r="58" spans="1:6" ht="16">
      <c r="A58" s="44" t="s">
        <v>283</v>
      </c>
      <c r="B58" s="50" t="s">
        <v>688</v>
      </c>
      <c r="C58" s="338">
        <v>4.6583683491490885E-3</v>
      </c>
      <c r="D58" s="338">
        <f t="shared" si="0"/>
        <v>5.5932562924295361E-2</v>
      </c>
      <c r="E58" s="340">
        <v>5.8325629242953593E-3</v>
      </c>
      <c r="F58" s="340">
        <v>0.2</v>
      </c>
    </row>
    <row r="59" spans="1:6" ht="16">
      <c r="A59" s="44" t="s">
        <v>284</v>
      </c>
      <c r="B59" s="50" t="s">
        <v>681</v>
      </c>
      <c r="C59" s="338">
        <v>5.8229604364363613E-3</v>
      </c>
      <c r="D59" s="338">
        <f t="shared" si="0"/>
        <v>5.7390703655369198E-2</v>
      </c>
      <c r="E59" s="340">
        <v>7.2907036553691998E-3</v>
      </c>
      <c r="F59" s="340">
        <v>0.31</v>
      </c>
    </row>
    <row r="60" spans="1:6" ht="16">
      <c r="A60" s="44" t="s">
        <v>489</v>
      </c>
      <c r="B60" s="50" t="s">
        <v>692</v>
      </c>
      <c r="C60" s="338">
        <v>8.7979638594156681E-2</v>
      </c>
      <c r="D60" s="338">
        <f t="shared" si="0"/>
        <v>0.16025590432021466</v>
      </c>
      <c r="E60" s="340">
        <v>0.11015590432021467</v>
      </c>
      <c r="F60" s="340">
        <v>0.3</v>
      </c>
    </row>
    <row r="61" spans="1:6" ht="16">
      <c r="A61" s="339" t="s">
        <v>701</v>
      </c>
      <c r="B61" s="161" t="s">
        <v>99</v>
      </c>
      <c r="C61" s="284">
        <v>7.6333717721283945E-2</v>
      </c>
      <c r="D61" s="338">
        <f t="shared" si="0"/>
        <v>0.14567449700947624</v>
      </c>
      <c r="E61" s="284">
        <v>9.5574497009476247E-2</v>
      </c>
      <c r="F61" s="284">
        <v>0.31</v>
      </c>
    </row>
    <row r="62" spans="1:6" ht="16">
      <c r="A62" s="44" t="s">
        <v>368</v>
      </c>
      <c r="B62" s="50" t="s">
        <v>689</v>
      </c>
      <c r="C62" s="338">
        <v>3.5255378642423785E-2</v>
      </c>
      <c r="D62" s="338">
        <f t="shared" si="0"/>
        <v>9.4241896677053516E-2</v>
      </c>
      <c r="E62" s="340">
        <v>4.4141896677053517E-2</v>
      </c>
      <c r="F62" s="340">
        <v>0.15</v>
      </c>
    </row>
    <row r="63" spans="1:6" ht="16">
      <c r="A63" s="44" t="s">
        <v>285</v>
      </c>
      <c r="B63" s="50" t="s">
        <v>687</v>
      </c>
      <c r="C63" s="338">
        <v>0</v>
      </c>
      <c r="D63" s="338">
        <f t="shared" si="0"/>
        <v>5.0099999999999999E-2</v>
      </c>
      <c r="E63" s="340">
        <v>0</v>
      </c>
      <c r="F63" s="340">
        <v>0.3</v>
      </c>
    </row>
    <row r="64" spans="1:6" ht="16">
      <c r="A64" s="44" t="s">
        <v>490</v>
      </c>
      <c r="B64" s="50" t="s">
        <v>694</v>
      </c>
      <c r="C64" s="338">
        <v>7.6333717721283945E-2</v>
      </c>
      <c r="D64" s="338">
        <f t="shared" si="0"/>
        <v>0.14567449700947624</v>
      </c>
      <c r="E64" s="340">
        <v>9.5574497009476247E-2</v>
      </c>
      <c r="F64" s="340">
        <v>0.25</v>
      </c>
    </row>
    <row r="65" spans="1:6" ht="16">
      <c r="A65" s="44" t="s">
        <v>286</v>
      </c>
      <c r="B65" s="50" t="s">
        <v>682</v>
      </c>
      <c r="C65" s="338">
        <v>5.2830131959668084E-2</v>
      </c>
      <c r="D65" s="338">
        <f t="shared" si="0"/>
        <v>0.11624656589144056</v>
      </c>
      <c r="E65" s="340">
        <v>6.6146565891440565E-2</v>
      </c>
      <c r="F65" s="340">
        <v>0.28000000000000003</v>
      </c>
    </row>
    <row r="66" spans="1:6" ht="16">
      <c r="A66" s="44" t="s">
        <v>287</v>
      </c>
      <c r="B66" s="50" t="s">
        <v>702</v>
      </c>
      <c r="C66" s="338">
        <v>2.9326546198052226E-2</v>
      </c>
      <c r="D66" s="338">
        <f t="shared" si="0"/>
        <v>8.6818634773404887E-2</v>
      </c>
      <c r="E66" s="340">
        <v>3.6718634773404889E-2</v>
      </c>
      <c r="F66" s="340">
        <v>0.25</v>
      </c>
    </row>
    <row r="67" spans="1:6" ht="16">
      <c r="A67" s="44" t="s">
        <v>756</v>
      </c>
      <c r="B67" s="50" t="s">
        <v>693</v>
      </c>
      <c r="C67" s="338">
        <v>7.0934245316588403E-3</v>
      </c>
      <c r="D67" s="338">
        <f t="shared" si="0"/>
        <v>5.8981402634722478E-2</v>
      </c>
      <c r="E67" s="340">
        <v>8.8814026347224795E-3</v>
      </c>
      <c r="F67" s="340">
        <v>0</v>
      </c>
    </row>
    <row r="68" spans="1:6" ht="16">
      <c r="A68" s="339" t="s">
        <v>703</v>
      </c>
      <c r="B68" s="161" t="s">
        <v>99</v>
      </c>
      <c r="C68" s="284">
        <v>0.14080977055382476</v>
      </c>
      <c r="D68" s="338">
        <f t="shared" si="0"/>
        <v>0.22640247021165524</v>
      </c>
      <c r="E68" s="284">
        <v>0.17630247021165524</v>
      </c>
      <c r="F68" s="284">
        <v>0.29149999999999998</v>
      </c>
    </row>
    <row r="69" spans="1:6" ht="16">
      <c r="A69" s="339" t="s">
        <v>704</v>
      </c>
      <c r="B69" s="161" t="s">
        <v>99</v>
      </c>
      <c r="C69" s="284">
        <v>8.7979638594156681E-2</v>
      </c>
      <c r="D69" s="338">
        <f t="shared" si="0"/>
        <v>0.16025590432021466</v>
      </c>
      <c r="E69" s="284">
        <v>0.11015590432021467</v>
      </c>
      <c r="F69" s="284">
        <v>0.29149999999999998</v>
      </c>
    </row>
    <row r="70" spans="1:6" ht="16">
      <c r="A70" s="339" t="s">
        <v>705</v>
      </c>
      <c r="B70" s="161" t="s">
        <v>99</v>
      </c>
      <c r="C70" s="284">
        <v>6.4581924840476021E-2</v>
      </c>
      <c r="D70" s="338">
        <f t="shared" ref="D70:D133" si="1">$B$1+E70</f>
        <v>0.13096053145045841</v>
      </c>
      <c r="E70" s="284">
        <v>8.086053145045842E-2</v>
      </c>
      <c r="F70" s="284">
        <v>0.18640000000000001</v>
      </c>
    </row>
    <row r="71" spans="1:6" ht="16">
      <c r="A71" s="339" t="s">
        <v>706</v>
      </c>
      <c r="B71" s="161" t="s">
        <v>99</v>
      </c>
      <c r="C71" s="284">
        <v>0.14080977055382476</v>
      </c>
      <c r="D71" s="338">
        <f t="shared" si="1"/>
        <v>0.22640247021165524</v>
      </c>
      <c r="E71" s="284">
        <v>0.17630247021165524</v>
      </c>
      <c r="F71" s="284">
        <v>0.18640000000000001</v>
      </c>
    </row>
    <row r="72" spans="1:6" ht="16">
      <c r="A72" s="44" t="s">
        <v>288</v>
      </c>
      <c r="B72" s="50" t="s">
        <v>682</v>
      </c>
      <c r="C72" s="338">
        <v>5.2830131959668084E-2</v>
      </c>
      <c r="D72" s="338">
        <f t="shared" si="1"/>
        <v>0.11624656589144056</v>
      </c>
      <c r="E72" s="340">
        <v>6.6146565891440565E-2</v>
      </c>
      <c r="F72" s="340">
        <v>0.25</v>
      </c>
    </row>
    <row r="73" spans="1:6" ht="16">
      <c r="A73" s="44" t="s">
        <v>289</v>
      </c>
      <c r="B73" s="50" t="s">
        <v>693</v>
      </c>
      <c r="C73" s="338">
        <v>7.0934245316588403E-3</v>
      </c>
      <c r="D73" s="338">
        <f t="shared" si="1"/>
        <v>5.8981402634722478E-2</v>
      </c>
      <c r="E73" s="340">
        <v>8.8814026347224795E-3</v>
      </c>
      <c r="F73" s="340">
        <v>0.16500000000000001</v>
      </c>
    </row>
    <row r="74" spans="1:6" ht="16">
      <c r="A74" s="44" t="s">
        <v>290</v>
      </c>
      <c r="B74" s="50" t="s">
        <v>690</v>
      </c>
      <c r="C74" s="338">
        <v>2.5832769936190408E-2</v>
      </c>
      <c r="D74" s="338">
        <f t="shared" si="1"/>
        <v>8.2444212580183363E-2</v>
      </c>
      <c r="E74" s="340">
        <v>3.2344212580183364E-2</v>
      </c>
      <c r="F74" s="340">
        <v>0.09</v>
      </c>
    </row>
    <row r="75" spans="1:6" ht="16">
      <c r="A75" s="44" t="s">
        <v>291</v>
      </c>
      <c r="B75" s="50" t="s">
        <v>696</v>
      </c>
      <c r="C75" s="338">
        <v>9.9519687459094178E-3</v>
      </c>
      <c r="D75" s="338">
        <f t="shared" si="1"/>
        <v>6.2560475338267363E-2</v>
      </c>
      <c r="E75" s="340">
        <v>1.2460475338267361E-2</v>
      </c>
      <c r="F75" s="340">
        <v>0.2</v>
      </c>
    </row>
    <row r="76" spans="1:6" ht="16">
      <c r="A76" s="44" t="s">
        <v>292</v>
      </c>
      <c r="B76" s="50" t="s">
        <v>690</v>
      </c>
      <c r="C76" s="338">
        <v>2.5832769936190408E-2</v>
      </c>
      <c r="D76" s="338">
        <f t="shared" si="1"/>
        <v>8.2444212580183363E-2</v>
      </c>
      <c r="E76" s="340">
        <v>3.2344212580183364E-2</v>
      </c>
      <c r="F76" s="340">
        <v>0.3</v>
      </c>
    </row>
    <row r="77" spans="1:6" ht="16">
      <c r="A77" s="44" t="s">
        <v>293</v>
      </c>
      <c r="B77" s="50" t="s">
        <v>684</v>
      </c>
      <c r="C77" s="338">
        <v>2.2338993674328587E-2</v>
      </c>
      <c r="D77" s="338">
        <f t="shared" si="1"/>
        <v>7.8069790386961838E-2</v>
      </c>
      <c r="E77" s="340">
        <v>2.7969790386961842E-2</v>
      </c>
      <c r="F77" s="340">
        <v>0.25</v>
      </c>
    </row>
    <row r="78" spans="1:6" ht="16">
      <c r="A78" s="339" t="s">
        <v>707</v>
      </c>
      <c r="B78" s="161" t="s">
        <v>99</v>
      </c>
      <c r="C78" s="284">
        <v>0.10566026391933614</v>
      </c>
      <c r="D78" s="338">
        <f t="shared" si="1"/>
        <v>0.18239313178288111</v>
      </c>
      <c r="E78" s="284">
        <v>0.1322931317828811</v>
      </c>
      <c r="F78" s="284">
        <v>0.20230000000000001</v>
      </c>
    </row>
    <row r="79" spans="1:6" ht="16">
      <c r="A79" s="44" t="s">
        <v>654</v>
      </c>
      <c r="B79" s="50" t="s">
        <v>692</v>
      </c>
      <c r="C79" s="338">
        <v>8.7979638594156681E-2</v>
      </c>
      <c r="D79" s="338">
        <f t="shared" si="1"/>
        <v>0.16025590432021466</v>
      </c>
      <c r="E79" s="340">
        <v>0.11015590432021467</v>
      </c>
      <c r="F79" s="340">
        <v>0.15</v>
      </c>
    </row>
    <row r="80" spans="1:6" ht="16">
      <c r="A80" s="44" t="s">
        <v>294</v>
      </c>
      <c r="B80" s="50" t="s">
        <v>696</v>
      </c>
      <c r="C80" s="338">
        <v>9.9519687459094178E-3</v>
      </c>
      <c r="D80" s="338">
        <f t="shared" si="1"/>
        <v>6.2560475338267363E-2</v>
      </c>
      <c r="E80" s="340">
        <v>1.2460475338267361E-2</v>
      </c>
      <c r="F80" s="340">
        <v>0.125</v>
      </c>
    </row>
    <row r="81" spans="1:6" ht="16">
      <c r="A81" s="44" t="s">
        <v>295</v>
      </c>
      <c r="B81" s="50" t="s">
        <v>681</v>
      </c>
      <c r="C81" s="338">
        <v>5.8229604364363613E-3</v>
      </c>
      <c r="D81" s="338">
        <f t="shared" si="1"/>
        <v>5.7390703655369198E-2</v>
      </c>
      <c r="E81" s="340">
        <v>7.2907036553691998E-3</v>
      </c>
      <c r="F81" s="340">
        <v>0</v>
      </c>
    </row>
    <row r="82" spans="1:6" ht="16">
      <c r="A82" s="44" t="s">
        <v>296</v>
      </c>
      <c r="B82" s="50" t="s">
        <v>698</v>
      </c>
      <c r="C82" s="338">
        <v>8.2580166189461131E-3</v>
      </c>
      <c r="D82" s="338">
        <f t="shared" si="1"/>
        <v>6.0439543365796322E-2</v>
      </c>
      <c r="E82" s="340">
        <v>1.0339543365796322E-2</v>
      </c>
      <c r="F82" s="340">
        <v>0.23</v>
      </c>
    </row>
    <row r="83" spans="1:6" ht="16">
      <c r="A83" s="44" t="s">
        <v>297</v>
      </c>
      <c r="B83" s="50" t="s">
        <v>690</v>
      </c>
      <c r="C83" s="338">
        <v>2.5832769936190408E-2</v>
      </c>
      <c r="D83" s="338">
        <f t="shared" si="1"/>
        <v>8.2444212580183363E-2</v>
      </c>
      <c r="E83" s="340">
        <v>3.2344212580183364E-2</v>
      </c>
      <c r="F83" s="340">
        <v>0.24</v>
      </c>
    </row>
    <row r="84" spans="1:6" ht="16">
      <c r="A84" s="44" t="s">
        <v>298</v>
      </c>
      <c r="B84" s="50" t="s">
        <v>685</v>
      </c>
      <c r="C84" s="338">
        <v>6.4581924840476007E-2</v>
      </c>
      <c r="D84" s="338">
        <f t="shared" si="1"/>
        <v>0.13096053145045841</v>
      </c>
      <c r="E84" s="340">
        <v>8.0860531450458406E-2</v>
      </c>
      <c r="F84" s="340">
        <v>0.25</v>
      </c>
    </row>
    <row r="85" spans="1:6" ht="16">
      <c r="A85" s="44" t="s">
        <v>299</v>
      </c>
      <c r="B85" s="50" t="s">
        <v>698</v>
      </c>
      <c r="C85" s="338">
        <v>8.2580166189461131E-3</v>
      </c>
      <c r="D85" s="338">
        <f t="shared" si="1"/>
        <v>6.0439543365796322E-2</v>
      </c>
      <c r="E85" s="340">
        <v>1.0339543365796322E-2</v>
      </c>
      <c r="F85" s="340">
        <v>0.30620000000000003</v>
      </c>
    </row>
    <row r="86" spans="1:6" ht="16">
      <c r="A86" s="44" t="s">
        <v>757</v>
      </c>
      <c r="B86" s="50" t="s">
        <v>693</v>
      </c>
      <c r="C86" s="338">
        <v>7.0934245316588403E-3</v>
      </c>
      <c r="D86" s="338">
        <f t="shared" si="1"/>
        <v>5.8981402634722478E-2</v>
      </c>
      <c r="E86" s="340">
        <v>8.8814026347224795E-3</v>
      </c>
      <c r="F86" s="340">
        <v>0</v>
      </c>
    </row>
    <row r="87" spans="1:6" ht="16">
      <c r="A87" s="44" t="s">
        <v>300</v>
      </c>
      <c r="B87" s="50" t="s">
        <v>682</v>
      </c>
      <c r="C87" s="338">
        <v>5.2830131959668084E-2</v>
      </c>
      <c r="D87" s="338">
        <f t="shared" si="1"/>
        <v>0.11624656589144056</v>
      </c>
      <c r="E87" s="340">
        <v>6.6146565891440565E-2</v>
      </c>
      <c r="F87" s="340">
        <v>0.2</v>
      </c>
    </row>
    <row r="88" spans="1:6" ht="16">
      <c r="A88" s="44" t="s">
        <v>301</v>
      </c>
      <c r="B88" s="50" t="s">
        <v>690</v>
      </c>
      <c r="C88" s="338">
        <v>2.5832769936190408E-2</v>
      </c>
      <c r="D88" s="338">
        <f t="shared" si="1"/>
        <v>8.2444212580183363E-2</v>
      </c>
      <c r="E88" s="340">
        <v>3.2344212580183364E-2</v>
      </c>
      <c r="F88" s="340">
        <v>0.2</v>
      </c>
    </row>
    <row r="89" spans="1:6" ht="16">
      <c r="A89" s="44" t="s">
        <v>432</v>
      </c>
      <c r="B89" s="50" t="s">
        <v>685</v>
      </c>
      <c r="C89" s="338">
        <v>6.4581924840476007E-2</v>
      </c>
      <c r="D89" s="338">
        <f t="shared" si="1"/>
        <v>0.13096053145045841</v>
      </c>
      <c r="E89" s="340">
        <v>8.0860531450458406E-2</v>
      </c>
      <c r="F89" s="340">
        <v>0.3</v>
      </c>
    </row>
    <row r="90" spans="1:6" ht="16">
      <c r="A90" s="44" t="s">
        <v>764</v>
      </c>
      <c r="B90" s="50" t="s">
        <v>681</v>
      </c>
      <c r="C90" s="338">
        <v>5.8229604364363613E-3</v>
      </c>
      <c r="D90" s="338">
        <f t="shared" si="1"/>
        <v>5.7390703655369198E-2</v>
      </c>
      <c r="E90" s="340">
        <v>7.2907036553691998E-3</v>
      </c>
      <c r="F90" s="340">
        <v>0.25</v>
      </c>
    </row>
    <row r="91" spans="1:6" ht="16">
      <c r="A91" s="339" t="s">
        <v>708</v>
      </c>
      <c r="B91" s="161" t="s">
        <v>99</v>
      </c>
      <c r="C91" s="284">
        <v>0.14080977055382476</v>
      </c>
      <c r="D91" s="338">
        <f t="shared" si="1"/>
        <v>0.22640247021165524</v>
      </c>
      <c r="E91" s="284">
        <v>0.17630247021165524</v>
      </c>
      <c r="F91" s="284">
        <v>0.23100000000000001</v>
      </c>
    </row>
    <row r="92" spans="1:6" ht="16">
      <c r="A92" s="44" t="s">
        <v>302</v>
      </c>
      <c r="B92" s="50" t="s">
        <v>681</v>
      </c>
      <c r="C92" s="338">
        <v>5.8229604364363613E-3</v>
      </c>
      <c r="D92" s="338">
        <f t="shared" si="1"/>
        <v>5.7390703655369198E-2</v>
      </c>
      <c r="E92" s="340">
        <v>7.2907036553691998E-3</v>
      </c>
      <c r="F92" s="340">
        <v>0.15</v>
      </c>
    </row>
    <row r="93" spans="1:6" ht="16">
      <c r="A93" s="44" t="s">
        <v>491</v>
      </c>
      <c r="B93" s="50" t="s">
        <v>685</v>
      </c>
      <c r="C93" s="338">
        <v>6.4581924840476007E-2</v>
      </c>
      <c r="D93" s="338">
        <f t="shared" si="1"/>
        <v>0.13096053145045841</v>
      </c>
      <c r="E93" s="340">
        <v>8.0860531450458406E-2</v>
      </c>
      <c r="F93" s="340">
        <v>0.1</v>
      </c>
    </row>
    <row r="94" spans="1:6" ht="16">
      <c r="A94" s="44" t="s">
        <v>742</v>
      </c>
      <c r="B94" s="50" t="s">
        <v>694</v>
      </c>
      <c r="C94" s="338">
        <v>1.4080977055382476E-2</v>
      </c>
      <c r="D94" s="338">
        <f t="shared" si="1"/>
        <v>6.7730247021165521E-2</v>
      </c>
      <c r="E94" s="340">
        <v>1.7630247021165522E-2</v>
      </c>
      <c r="F94" s="340">
        <v>0.3019</v>
      </c>
    </row>
    <row r="95" spans="1:6" ht="16">
      <c r="A95" s="44" t="s">
        <v>303</v>
      </c>
      <c r="B95" s="50" t="s">
        <v>700</v>
      </c>
      <c r="C95" s="338">
        <v>1.4080977055382476E-2</v>
      </c>
      <c r="D95" s="338">
        <f t="shared" si="1"/>
        <v>6.7730247021165521E-2</v>
      </c>
      <c r="E95" s="340">
        <v>1.7630247021165522E-2</v>
      </c>
      <c r="F95" s="340">
        <v>0.2</v>
      </c>
    </row>
    <row r="96" spans="1:6" ht="16">
      <c r="A96" s="44" t="s">
        <v>369</v>
      </c>
      <c r="B96" s="50" t="s">
        <v>753</v>
      </c>
      <c r="C96" s="338">
        <v>0.14080977055382476</v>
      </c>
      <c r="D96" s="338">
        <f t="shared" si="1"/>
        <v>0.22640247021165524</v>
      </c>
      <c r="E96" s="340">
        <v>0.17630247021165524</v>
      </c>
      <c r="F96" s="340">
        <v>0.17</v>
      </c>
    </row>
    <row r="97" spans="1:6" ht="16">
      <c r="A97" s="339" t="s">
        <v>709</v>
      </c>
      <c r="B97" s="161" t="s">
        <v>99</v>
      </c>
      <c r="C97" s="284">
        <v>0.14080977055382476</v>
      </c>
      <c r="D97" s="338">
        <f t="shared" si="1"/>
        <v>0.22640247021165524</v>
      </c>
      <c r="E97" s="284">
        <v>0.17630247021165524</v>
      </c>
      <c r="F97" s="284">
        <v>0.29149999999999998</v>
      </c>
    </row>
    <row r="98" spans="1:6" ht="16">
      <c r="A98" s="339" t="s">
        <v>710</v>
      </c>
      <c r="B98" s="161" t="s">
        <v>99</v>
      </c>
      <c r="C98" s="284">
        <v>0.10566026391933614</v>
      </c>
      <c r="D98" s="338">
        <f t="shared" si="1"/>
        <v>0.18239313178288111</v>
      </c>
      <c r="E98" s="284">
        <v>0.1322931317828811</v>
      </c>
      <c r="F98" s="359">
        <v>0.2</v>
      </c>
    </row>
    <row r="99" spans="1:6" ht="16">
      <c r="A99" s="44" t="s">
        <v>304</v>
      </c>
      <c r="B99" s="50" t="s">
        <v>687</v>
      </c>
      <c r="C99" s="338">
        <v>0</v>
      </c>
      <c r="D99" s="338">
        <f t="shared" si="1"/>
        <v>5.0099999999999999E-2</v>
      </c>
      <c r="E99" s="340">
        <v>0</v>
      </c>
      <c r="F99" s="340">
        <v>0.125</v>
      </c>
    </row>
    <row r="100" spans="1:6" ht="16">
      <c r="A100" s="44" t="s">
        <v>305</v>
      </c>
      <c r="B100" s="50" t="s">
        <v>700</v>
      </c>
      <c r="C100" s="338">
        <v>1.4080977055382476E-2</v>
      </c>
      <c r="D100" s="338">
        <f t="shared" si="1"/>
        <v>6.7730247021165521E-2</v>
      </c>
      <c r="E100" s="340">
        <v>1.7630247021165522E-2</v>
      </c>
      <c r="F100" s="340">
        <v>0.15</v>
      </c>
    </row>
    <row r="101" spans="1:6" ht="16">
      <c r="A101" s="44" t="s">
        <v>306</v>
      </c>
      <c r="B101" s="50" t="s">
        <v>687</v>
      </c>
      <c r="C101" s="338">
        <v>0</v>
      </c>
      <c r="D101" s="338">
        <f t="shared" si="1"/>
        <v>5.0099999999999999E-2</v>
      </c>
      <c r="E101" s="340">
        <v>0</v>
      </c>
      <c r="F101" s="340">
        <v>0.2601</v>
      </c>
    </row>
    <row r="102" spans="1:6" ht="16">
      <c r="A102" s="44" t="s">
        <v>730</v>
      </c>
      <c r="B102" s="50" t="s">
        <v>693</v>
      </c>
      <c r="C102" s="338">
        <v>7.0934245316588403E-3</v>
      </c>
      <c r="D102" s="338">
        <f t="shared" si="1"/>
        <v>5.8981402634722478E-2</v>
      </c>
      <c r="E102" s="340">
        <v>8.8814026347224795E-3</v>
      </c>
      <c r="F102" s="340">
        <v>0.12</v>
      </c>
    </row>
    <row r="103" spans="1:6" ht="16">
      <c r="A103" s="44" t="s">
        <v>307</v>
      </c>
      <c r="B103" s="50" t="s">
        <v>691</v>
      </c>
      <c r="C103" s="338">
        <v>4.2242931166147427E-2</v>
      </c>
      <c r="D103" s="338">
        <f t="shared" si="1"/>
        <v>0.10299074106349657</v>
      </c>
      <c r="E103" s="340">
        <v>5.2890741063496567E-2</v>
      </c>
      <c r="F103" s="340">
        <v>0.1</v>
      </c>
    </row>
    <row r="104" spans="1:6" ht="16">
      <c r="A104" s="339" t="s">
        <v>711</v>
      </c>
      <c r="B104" s="161" t="s">
        <v>99</v>
      </c>
      <c r="C104" s="284">
        <v>7.6333717721283945E-2</v>
      </c>
      <c r="D104" s="338">
        <f t="shared" si="1"/>
        <v>0.14567449700947624</v>
      </c>
      <c r="E104" s="284">
        <v>9.5574497009476247E-2</v>
      </c>
      <c r="F104" s="284">
        <v>0.2</v>
      </c>
    </row>
    <row r="105" spans="1:6" ht="16">
      <c r="A105" s="339" t="s">
        <v>712</v>
      </c>
      <c r="B105" s="161" t="s">
        <v>99</v>
      </c>
      <c r="C105" s="284">
        <v>0.10566026391933614</v>
      </c>
      <c r="D105" s="338">
        <f t="shared" si="1"/>
        <v>0.18239313178288111</v>
      </c>
      <c r="E105" s="284">
        <v>0.1322931317828811</v>
      </c>
      <c r="F105" s="284">
        <v>0.3</v>
      </c>
    </row>
    <row r="106" spans="1:6" ht="16">
      <c r="A106" s="44" t="s">
        <v>308</v>
      </c>
      <c r="B106" s="50" t="s">
        <v>700</v>
      </c>
      <c r="C106" s="338">
        <v>1.4080977055382476E-2</v>
      </c>
      <c r="D106" s="338">
        <f t="shared" si="1"/>
        <v>6.7730247021165521E-2</v>
      </c>
      <c r="E106" s="340">
        <v>1.7630247021165522E-2</v>
      </c>
      <c r="F106" s="340">
        <v>0.24</v>
      </c>
    </row>
    <row r="107" spans="1:6" ht="16">
      <c r="A107" s="44" t="s">
        <v>765</v>
      </c>
      <c r="B107" s="50" t="s">
        <v>694</v>
      </c>
      <c r="C107" s="338">
        <v>7.6333717721283945E-2</v>
      </c>
      <c r="D107" s="338">
        <f t="shared" si="1"/>
        <v>0.14567449700947624</v>
      </c>
      <c r="E107" s="340">
        <v>9.5574497009476247E-2</v>
      </c>
      <c r="F107" s="340">
        <v>0.3019</v>
      </c>
    </row>
    <row r="108" spans="1:6" ht="16">
      <c r="A108" s="44" t="s">
        <v>713</v>
      </c>
      <c r="B108" s="50" t="s">
        <v>694</v>
      </c>
      <c r="C108" s="338">
        <v>7.6333717721283945E-2</v>
      </c>
      <c r="D108" s="338">
        <f t="shared" si="1"/>
        <v>0.14567449700947624</v>
      </c>
      <c r="E108" s="340">
        <v>9.5574497009476247E-2</v>
      </c>
      <c r="F108" s="340">
        <v>0.28239999999999998</v>
      </c>
    </row>
    <row r="109" spans="1:6" ht="16">
      <c r="A109" s="44" t="s">
        <v>309</v>
      </c>
      <c r="B109" s="50" t="s">
        <v>696</v>
      </c>
      <c r="C109" s="338">
        <v>9.9519687459094178E-3</v>
      </c>
      <c r="D109" s="338">
        <f t="shared" si="1"/>
        <v>6.2560475338267363E-2</v>
      </c>
      <c r="E109" s="340">
        <v>1.2460475338267361E-2</v>
      </c>
      <c r="F109" s="340">
        <v>0.35</v>
      </c>
    </row>
    <row r="110" spans="1:6" ht="16">
      <c r="A110" s="44" t="s">
        <v>310</v>
      </c>
      <c r="B110" s="50" t="s">
        <v>686</v>
      </c>
      <c r="C110" s="338">
        <v>1.8739345404531565E-2</v>
      </c>
      <c r="D110" s="338">
        <f t="shared" si="1"/>
        <v>7.3562809945460883E-2</v>
      </c>
      <c r="E110" s="340">
        <v>2.3462809945460884E-2</v>
      </c>
      <c r="F110" s="340">
        <v>0.15</v>
      </c>
    </row>
    <row r="111" spans="1:6" ht="16">
      <c r="A111" s="44" t="s">
        <v>311</v>
      </c>
      <c r="B111" s="50" t="s">
        <v>686</v>
      </c>
      <c r="C111" s="338">
        <v>1.8739345404531565E-2</v>
      </c>
      <c r="D111" s="338">
        <f t="shared" si="1"/>
        <v>7.3562809945460883E-2</v>
      </c>
      <c r="E111" s="340">
        <v>2.3462809945460884E-2</v>
      </c>
      <c r="F111" s="340">
        <v>0.3</v>
      </c>
    </row>
    <row r="112" spans="1:6" ht="16">
      <c r="A112" s="44" t="s">
        <v>370</v>
      </c>
      <c r="B112" s="50" t="s">
        <v>694</v>
      </c>
      <c r="C112" s="338">
        <v>7.6333717721283945E-2</v>
      </c>
      <c r="D112" s="338">
        <f t="shared" si="1"/>
        <v>0.14567449700947624</v>
      </c>
      <c r="E112" s="340">
        <v>9.5574497009476247E-2</v>
      </c>
      <c r="F112" s="340">
        <v>0.12</v>
      </c>
    </row>
    <row r="113" spans="1:6" ht="16">
      <c r="A113" s="44" t="s">
        <v>371</v>
      </c>
      <c r="B113" s="50" t="s">
        <v>694</v>
      </c>
      <c r="C113" s="338">
        <v>7.6333717721283945E-2</v>
      </c>
      <c r="D113" s="338">
        <f t="shared" si="1"/>
        <v>0.14567449700947624</v>
      </c>
      <c r="E113" s="340">
        <v>9.5574497009476247E-2</v>
      </c>
      <c r="F113" s="340">
        <v>0.25</v>
      </c>
    </row>
    <row r="114" spans="1:6" ht="16">
      <c r="A114" s="44" t="s">
        <v>312</v>
      </c>
      <c r="B114" s="50" t="s">
        <v>682</v>
      </c>
      <c r="C114" s="338">
        <v>5.2830131959668084E-2</v>
      </c>
      <c r="D114" s="338">
        <f t="shared" si="1"/>
        <v>0.11624656589144056</v>
      </c>
      <c r="E114" s="340">
        <v>6.6146565891440565E-2</v>
      </c>
      <c r="F114" s="340">
        <v>0.09</v>
      </c>
    </row>
    <row r="115" spans="1:6" ht="16">
      <c r="A115" s="44" t="s">
        <v>492</v>
      </c>
      <c r="B115" s="50" t="s">
        <v>690</v>
      </c>
      <c r="C115" s="338">
        <v>2.5832769936190408E-2</v>
      </c>
      <c r="D115" s="338">
        <f t="shared" si="1"/>
        <v>8.2444212580183363E-2</v>
      </c>
      <c r="E115" s="340">
        <v>3.2344212580183364E-2</v>
      </c>
      <c r="F115" s="340">
        <v>0.27239999999999998</v>
      </c>
    </row>
    <row r="116" spans="1:6" ht="16">
      <c r="A116" s="44" t="s">
        <v>372</v>
      </c>
      <c r="B116" s="50" t="s">
        <v>702</v>
      </c>
      <c r="C116" s="338">
        <v>2.9326546198052226E-2</v>
      </c>
      <c r="D116" s="338">
        <f t="shared" si="1"/>
        <v>8.6818634773404887E-2</v>
      </c>
      <c r="E116" s="340">
        <v>3.6718634773404889E-2</v>
      </c>
      <c r="F116" s="340">
        <v>0.31</v>
      </c>
    </row>
    <row r="117" spans="1:6" ht="16">
      <c r="A117" s="44" t="s">
        <v>313</v>
      </c>
      <c r="B117" s="50" t="s">
        <v>699</v>
      </c>
      <c r="C117" s="338">
        <v>0.10566026391933617</v>
      </c>
      <c r="D117" s="338">
        <f t="shared" si="1"/>
        <v>0.18239313178288113</v>
      </c>
      <c r="E117" s="340">
        <v>0.13229313178288113</v>
      </c>
      <c r="F117" s="340">
        <v>0.32</v>
      </c>
    </row>
    <row r="118" spans="1:6" ht="16">
      <c r="A118" s="339" t="s">
        <v>714</v>
      </c>
      <c r="B118" s="161" t="s">
        <v>99</v>
      </c>
      <c r="C118" s="284">
        <v>7.6333717721283945E-2</v>
      </c>
      <c r="D118" s="338">
        <f t="shared" si="1"/>
        <v>0.14567449700947624</v>
      </c>
      <c r="E118" s="284">
        <v>9.5574497009476247E-2</v>
      </c>
      <c r="F118" s="284">
        <v>0.25</v>
      </c>
    </row>
    <row r="119" spans="1:6" ht="16">
      <c r="A119" s="44" t="s">
        <v>314</v>
      </c>
      <c r="B119" s="50" t="s">
        <v>689</v>
      </c>
      <c r="C119" s="338">
        <v>3.5255378642423785E-2</v>
      </c>
      <c r="D119" s="338">
        <f t="shared" si="1"/>
        <v>9.4241896677053516E-2</v>
      </c>
      <c r="E119" s="340">
        <v>4.4141896677053517E-2</v>
      </c>
      <c r="F119" s="340">
        <v>0.32</v>
      </c>
    </row>
    <row r="120" spans="1:6" ht="16">
      <c r="A120" s="44" t="s">
        <v>315</v>
      </c>
      <c r="B120" s="50" t="s">
        <v>687</v>
      </c>
      <c r="C120" s="338">
        <v>0</v>
      </c>
      <c r="D120" s="338">
        <f t="shared" si="1"/>
        <v>5.0099999999999999E-2</v>
      </c>
      <c r="E120" s="340">
        <v>0</v>
      </c>
      <c r="F120" s="340">
        <v>0.25</v>
      </c>
    </row>
    <row r="121" spans="1:6" ht="16">
      <c r="A121" s="44" t="s">
        <v>316</v>
      </c>
      <c r="B121" s="50" t="s">
        <v>687</v>
      </c>
      <c r="C121" s="338">
        <v>0</v>
      </c>
      <c r="D121" s="338">
        <f t="shared" si="1"/>
        <v>5.0099999999999999E-2</v>
      </c>
      <c r="E121" s="340">
        <v>0</v>
      </c>
      <c r="F121" s="340">
        <v>0.28000000000000003</v>
      </c>
    </row>
    <row r="122" spans="1:6" ht="16">
      <c r="A122" s="44" t="s">
        <v>373</v>
      </c>
      <c r="B122" s="50" t="s">
        <v>694</v>
      </c>
      <c r="C122" s="338">
        <v>7.6333717721283945E-2</v>
      </c>
      <c r="D122" s="338">
        <f t="shared" si="1"/>
        <v>0.14567449700947624</v>
      </c>
      <c r="E122" s="340">
        <v>9.5574497009476247E-2</v>
      </c>
      <c r="F122" s="340">
        <v>0.3</v>
      </c>
    </row>
    <row r="123" spans="1:6" ht="16">
      <c r="A123" s="44" t="s">
        <v>715</v>
      </c>
      <c r="B123" s="50" t="s">
        <v>694</v>
      </c>
      <c r="C123" s="338">
        <v>7.6333717721283945E-2</v>
      </c>
      <c r="D123" s="338">
        <f t="shared" si="1"/>
        <v>0.14567449700947624</v>
      </c>
      <c r="E123" s="340">
        <v>9.5574497009476247E-2</v>
      </c>
      <c r="F123" s="340">
        <v>0.3236</v>
      </c>
    </row>
    <row r="124" spans="1:6" ht="16">
      <c r="A124" s="44" t="s">
        <v>317</v>
      </c>
      <c r="B124" s="50" t="s">
        <v>685</v>
      </c>
      <c r="C124" s="338">
        <v>6.4581924840476007E-2</v>
      </c>
      <c r="D124" s="338">
        <f t="shared" si="1"/>
        <v>0.13096053145045841</v>
      </c>
      <c r="E124" s="340">
        <v>8.0860531450458406E-2</v>
      </c>
      <c r="F124" s="340">
        <v>0.3</v>
      </c>
    </row>
    <row r="125" spans="1:6" ht="16">
      <c r="A125" s="44" t="s">
        <v>318</v>
      </c>
      <c r="B125" s="50" t="s">
        <v>687</v>
      </c>
      <c r="C125" s="338">
        <v>0</v>
      </c>
      <c r="D125" s="338">
        <f t="shared" si="1"/>
        <v>5.0099999999999999E-2</v>
      </c>
      <c r="E125" s="340">
        <v>0</v>
      </c>
      <c r="F125" s="340">
        <v>0.22</v>
      </c>
    </row>
    <row r="126" spans="1:6" ht="16">
      <c r="A126" s="44" t="s">
        <v>319</v>
      </c>
      <c r="B126" s="50" t="s">
        <v>691</v>
      </c>
      <c r="C126" s="338">
        <v>4.2242931166147427E-2</v>
      </c>
      <c r="D126" s="338">
        <f t="shared" si="1"/>
        <v>0.10299074106349657</v>
      </c>
      <c r="E126" s="340">
        <v>5.2890741063496567E-2</v>
      </c>
      <c r="F126" s="340">
        <v>0.15</v>
      </c>
    </row>
    <row r="127" spans="1:6" ht="16">
      <c r="A127" s="44" t="s">
        <v>320</v>
      </c>
      <c r="B127" s="50" t="s">
        <v>694</v>
      </c>
      <c r="C127" s="338">
        <v>7.6333717721283945E-2</v>
      </c>
      <c r="D127" s="338">
        <f t="shared" si="1"/>
        <v>0.14567449700947624</v>
      </c>
      <c r="E127" s="340">
        <v>9.5574497009476247E-2</v>
      </c>
      <c r="F127" s="340">
        <v>0.3</v>
      </c>
    </row>
    <row r="128" spans="1:6" ht="16">
      <c r="A128" s="44" t="s">
        <v>321</v>
      </c>
      <c r="B128" s="50" t="s">
        <v>686</v>
      </c>
      <c r="C128" s="338">
        <v>1.8739345404531565E-2</v>
      </c>
      <c r="D128" s="338">
        <f t="shared" si="1"/>
        <v>7.3562809945460883E-2</v>
      </c>
      <c r="E128" s="340">
        <v>2.3462809945460884E-2</v>
      </c>
      <c r="F128" s="340">
        <v>0.25</v>
      </c>
    </row>
    <row r="129" spans="1:6" ht="16">
      <c r="A129" s="44" t="s">
        <v>322</v>
      </c>
      <c r="B129" s="50" t="s">
        <v>685</v>
      </c>
      <c r="C129" s="338">
        <v>6.4581924840476007E-2</v>
      </c>
      <c r="D129" s="338">
        <f t="shared" si="1"/>
        <v>0.13096053145045841</v>
      </c>
      <c r="E129" s="340">
        <v>8.0860531450458406E-2</v>
      </c>
      <c r="F129" s="340">
        <v>0.3</v>
      </c>
    </row>
    <row r="130" spans="1:6" ht="16">
      <c r="A130" s="44" t="s">
        <v>323</v>
      </c>
      <c r="B130" s="50" t="s">
        <v>702</v>
      </c>
      <c r="C130" s="338">
        <v>2.9326546198052226E-2</v>
      </c>
      <c r="D130" s="338">
        <f t="shared" si="1"/>
        <v>8.6818634773404887E-2</v>
      </c>
      <c r="E130" s="340">
        <v>3.6718634773404889E-2</v>
      </c>
      <c r="F130" s="340">
        <v>0.1</v>
      </c>
    </row>
    <row r="131" spans="1:6" ht="16">
      <c r="A131" s="44" t="s">
        <v>324</v>
      </c>
      <c r="B131" s="50" t="s">
        <v>700</v>
      </c>
      <c r="C131" s="338">
        <v>1.4080977055382476E-2</v>
      </c>
      <c r="D131" s="338">
        <f t="shared" si="1"/>
        <v>6.7730247021165521E-2</v>
      </c>
      <c r="E131" s="340">
        <v>1.7630247021165522E-2</v>
      </c>
      <c r="F131" s="340">
        <v>0.29499999999999998</v>
      </c>
    </row>
    <row r="132" spans="1:6" ht="16">
      <c r="A132" s="44" t="s">
        <v>325</v>
      </c>
      <c r="B132" s="50" t="s">
        <v>684</v>
      </c>
      <c r="C132" s="338">
        <v>2.2338993674328587E-2</v>
      </c>
      <c r="D132" s="338">
        <f t="shared" si="1"/>
        <v>7.8069790386961838E-2</v>
      </c>
      <c r="E132" s="340">
        <v>2.7969790386961842E-2</v>
      </c>
      <c r="F132" s="340">
        <v>0.3</v>
      </c>
    </row>
    <row r="133" spans="1:6" ht="16">
      <c r="A133" s="44" t="s">
        <v>326</v>
      </c>
      <c r="B133" s="50" t="s">
        <v>696</v>
      </c>
      <c r="C133" s="338">
        <v>9.9519687459094178E-3</v>
      </c>
      <c r="D133" s="338">
        <f t="shared" si="1"/>
        <v>6.2560475338267363E-2</v>
      </c>
      <c r="E133" s="340">
        <v>1.2460475338267361E-2</v>
      </c>
      <c r="F133" s="340">
        <v>0.19</v>
      </c>
    </row>
    <row r="134" spans="1:6" ht="16">
      <c r="A134" s="44" t="s">
        <v>327</v>
      </c>
      <c r="B134" s="50" t="s">
        <v>690</v>
      </c>
      <c r="C134" s="338">
        <v>2.5832769936190408E-2</v>
      </c>
      <c r="D134" s="338">
        <f t="shared" ref="D134:D181" si="2">$B$1+E134</f>
        <v>8.2444212580183363E-2</v>
      </c>
      <c r="E134" s="340">
        <v>3.2344212580183364E-2</v>
      </c>
      <c r="F134" s="340">
        <v>0.21</v>
      </c>
    </row>
    <row r="135" spans="1:6" ht="16">
      <c r="A135" s="44" t="s">
        <v>328</v>
      </c>
      <c r="B135" s="50" t="s">
        <v>693</v>
      </c>
      <c r="C135" s="338">
        <v>7.0934245316588403E-3</v>
      </c>
      <c r="D135" s="338">
        <f t="shared" si="2"/>
        <v>5.8981402634722478E-2</v>
      </c>
      <c r="E135" s="340">
        <v>8.8814026347224795E-3</v>
      </c>
      <c r="F135" s="340">
        <v>0.1</v>
      </c>
    </row>
    <row r="136" spans="1:6" ht="16">
      <c r="A136" s="44" t="s">
        <v>506</v>
      </c>
      <c r="B136" s="50" t="s">
        <v>696</v>
      </c>
      <c r="C136" s="338">
        <v>9.9519687459094178E-3</v>
      </c>
      <c r="D136" s="338">
        <f t="shared" si="2"/>
        <v>6.2560475338267363E-2</v>
      </c>
      <c r="E136" s="340">
        <v>1.2460475338267361E-2</v>
      </c>
      <c r="F136" s="340">
        <v>0</v>
      </c>
    </row>
    <row r="137" spans="1:6" ht="16">
      <c r="A137" s="44" t="s">
        <v>329</v>
      </c>
      <c r="B137" s="50" t="s">
        <v>690</v>
      </c>
      <c r="C137" s="338">
        <v>2.5832769936190408E-2</v>
      </c>
      <c r="D137" s="338">
        <f t="shared" si="2"/>
        <v>8.2444212580183363E-2</v>
      </c>
      <c r="E137" s="340">
        <v>3.2344212580183364E-2</v>
      </c>
      <c r="F137" s="340">
        <v>0.16</v>
      </c>
    </row>
    <row r="138" spans="1:6" ht="16">
      <c r="A138" s="44" t="s">
        <v>330</v>
      </c>
      <c r="B138" s="50" t="s">
        <v>690</v>
      </c>
      <c r="C138" s="338">
        <v>2.5832769936190408E-2</v>
      </c>
      <c r="D138" s="338">
        <f t="shared" si="2"/>
        <v>8.2444212580183363E-2</v>
      </c>
      <c r="E138" s="340">
        <v>3.2344212580183364E-2</v>
      </c>
      <c r="F138" s="340">
        <v>0.2</v>
      </c>
    </row>
    <row r="139" spans="1:6" ht="16">
      <c r="A139" s="44" t="s">
        <v>493</v>
      </c>
      <c r="B139" s="50" t="s">
        <v>685</v>
      </c>
      <c r="C139" s="338">
        <v>6.4581924840476007E-2</v>
      </c>
      <c r="D139" s="338">
        <f t="shared" si="2"/>
        <v>0.13096053145045841</v>
      </c>
      <c r="E139" s="340">
        <v>8.0860531450458406E-2</v>
      </c>
      <c r="F139" s="340">
        <v>0.3</v>
      </c>
    </row>
    <row r="140" spans="1:6" ht="16">
      <c r="A140" s="44" t="s">
        <v>331</v>
      </c>
      <c r="B140" s="50" t="s">
        <v>698</v>
      </c>
      <c r="C140" s="338">
        <v>8.2580166189461131E-3</v>
      </c>
      <c r="D140" s="338">
        <f t="shared" si="2"/>
        <v>6.0439543365796322E-2</v>
      </c>
      <c r="E140" s="340">
        <v>1.0339543365796322E-2</v>
      </c>
      <c r="F140" s="340">
        <v>0.2</v>
      </c>
    </row>
    <row r="141" spans="1:6" ht="16">
      <c r="A141" s="44" t="s">
        <v>374</v>
      </c>
      <c r="B141" s="50" t="s">
        <v>691</v>
      </c>
      <c r="C141" s="338">
        <v>4.2242931166147427E-2</v>
      </c>
      <c r="D141" s="338">
        <f t="shared" si="2"/>
        <v>0.10299074106349657</v>
      </c>
      <c r="E141" s="340">
        <v>5.2890741063496567E-2</v>
      </c>
      <c r="F141" s="340">
        <v>0.3</v>
      </c>
    </row>
    <row r="142" spans="1:6" ht="16">
      <c r="A142" s="44" t="s">
        <v>332</v>
      </c>
      <c r="B142" s="50" t="s">
        <v>691</v>
      </c>
      <c r="C142" s="338">
        <v>4.2242931166147427E-2</v>
      </c>
      <c r="D142" s="338">
        <f t="shared" si="2"/>
        <v>0.10299074106349657</v>
      </c>
      <c r="E142" s="340">
        <v>5.2890741063496567E-2</v>
      </c>
      <c r="F142" s="340">
        <v>0.15</v>
      </c>
    </row>
    <row r="143" spans="1:6" ht="16">
      <c r="A143" s="44" t="s">
        <v>507</v>
      </c>
      <c r="B143" s="50" t="s">
        <v>684</v>
      </c>
      <c r="C143" s="338">
        <v>2.2338993674328587E-2</v>
      </c>
      <c r="D143" s="338">
        <f t="shared" si="2"/>
        <v>7.8069790386961838E-2</v>
      </c>
      <c r="E143" s="340">
        <v>2.7969790386961842E-2</v>
      </c>
      <c r="F143" s="340">
        <v>0</v>
      </c>
    </row>
    <row r="144" spans="1:6" ht="16">
      <c r="A144" s="339" t="s">
        <v>716</v>
      </c>
      <c r="B144" s="161" t="s">
        <v>99</v>
      </c>
      <c r="C144" s="284">
        <v>0.10566026391933614</v>
      </c>
      <c r="D144" s="338">
        <f t="shared" si="2"/>
        <v>0.18239313178288111</v>
      </c>
      <c r="E144" s="284">
        <v>0.1322931317828811</v>
      </c>
      <c r="F144" s="284">
        <v>0.3</v>
      </c>
    </row>
    <row r="145" spans="1:6" ht="16">
      <c r="A145" s="44" t="s">
        <v>333</v>
      </c>
      <c r="B145" s="50" t="s">
        <v>687</v>
      </c>
      <c r="C145" s="338">
        <v>0</v>
      </c>
      <c r="D145" s="338">
        <f t="shared" si="2"/>
        <v>5.0099999999999999E-2</v>
      </c>
      <c r="E145" s="340">
        <v>0</v>
      </c>
      <c r="F145" s="340">
        <v>0.17</v>
      </c>
    </row>
    <row r="146" spans="1:6" ht="16">
      <c r="A146" s="44" t="s">
        <v>375</v>
      </c>
      <c r="B146" s="50" t="s">
        <v>696</v>
      </c>
      <c r="C146" s="338">
        <v>9.9519687459094178E-3</v>
      </c>
      <c r="D146" s="338">
        <f t="shared" si="2"/>
        <v>6.2560475338267363E-2</v>
      </c>
      <c r="E146" s="340">
        <v>1.2460475338267361E-2</v>
      </c>
      <c r="F146" s="340">
        <v>0.21</v>
      </c>
    </row>
    <row r="147" spans="1:6" ht="16">
      <c r="A147" s="44" t="s">
        <v>334</v>
      </c>
      <c r="B147" s="50" t="s">
        <v>686</v>
      </c>
      <c r="C147" s="338">
        <v>1.8739345404531565E-2</v>
      </c>
      <c r="D147" s="338">
        <f t="shared" si="2"/>
        <v>7.3562809945460883E-2</v>
      </c>
      <c r="E147" s="340">
        <v>2.3462809945460884E-2</v>
      </c>
      <c r="F147" s="340">
        <v>0.19</v>
      </c>
    </row>
    <row r="148" spans="1:6" ht="16">
      <c r="A148" s="44" t="s">
        <v>717</v>
      </c>
      <c r="B148" s="50" t="s">
        <v>694</v>
      </c>
      <c r="C148" s="338">
        <v>7.6333717721283945E-2</v>
      </c>
      <c r="D148" s="338">
        <f t="shared" si="2"/>
        <v>0.14567449700947624</v>
      </c>
      <c r="E148" s="340">
        <v>9.5574497009476247E-2</v>
      </c>
      <c r="F148" s="340">
        <v>0.3</v>
      </c>
    </row>
    <row r="149" spans="1:6" ht="16">
      <c r="A149" s="339" t="s">
        <v>718</v>
      </c>
      <c r="B149" s="161" t="s">
        <v>99</v>
      </c>
      <c r="C149" s="284">
        <v>0.14080977055382476</v>
      </c>
      <c r="D149" s="338">
        <f t="shared" si="2"/>
        <v>0.22640247021165524</v>
      </c>
      <c r="E149" s="284">
        <v>0.17630247021165524</v>
      </c>
      <c r="F149" s="284">
        <v>0.29149999999999998</v>
      </c>
    </row>
    <row r="150" spans="1:6" ht="16">
      <c r="A150" s="44" t="s">
        <v>335</v>
      </c>
      <c r="B150" s="50" t="s">
        <v>702</v>
      </c>
      <c r="C150" s="338">
        <v>2.9326546198052226E-2</v>
      </c>
      <c r="D150" s="338">
        <f t="shared" si="2"/>
        <v>8.6818634773404887E-2</v>
      </c>
      <c r="E150" s="340">
        <v>3.6718634773404889E-2</v>
      </c>
      <c r="F150" s="340">
        <v>0.28000000000000003</v>
      </c>
    </row>
    <row r="151" spans="1:6" ht="16">
      <c r="A151" s="44" t="s">
        <v>336</v>
      </c>
      <c r="B151" s="50" t="s">
        <v>686</v>
      </c>
      <c r="C151" s="338">
        <v>1.8739345404531565E-2</v>
      </c>
      <c r="D151" s="338">
        <f t="shared" si="2"/>
        <v>7.3562809945460883E-2</v>
      </c>
      <c r="E151" s="340">
        <v>2.3462809945460884E-2</v>
      </c>
      <c r="F151" s="340">
        <v>0.25</v>
      </c>
    </row>
    <row r="152" spans="1:6" ht="16">
      <c r="A152" s="44" t="s">
        <v>337</v>
      </c>
      <c r="B152" s="50" t="s">
        <v>685</v>
      </c>
      <c r="C152" s="338">
        <v>6.4581924840476007E-2</v>
      </c>
      <c r="D152" s="338">
        <f t="shared" si="2"/>
        <v>0.13096053145045841</v>
      </c>
      <c r="E152" s="340">
        <v>8.0860531450458406E-2</v>
      </c>
      <c r="F152" s="340">
        <v>0.28000000000000003</v>
      </c>
    </row>
    <row r="153" spans="1:6" ht="16">
      <c r="A153" s="44" t="s">
        <v>433</v>
      </c>
      <c r="B153" s="50" t="s">
        <v>690</v>
      </c>
      <c r="C153" s="338">
        <v>2.5832769936190408E-2</v>
      </c>
      <c r="D153" s="338">
        <f t="shared" si="2"/>
        <v>8.2444212580183363E-2</v>
      </c>
      <c r="E153" s="340">
        <v>3.2344212580183364E-2</v>
      </c>
      <c r="F153" s="340">
        <v>0.35</v>
      </c>
    </row>
    <row r="154" spans="1:6" ht="16">
      <c r="A154" s="44" t="s">
        <v>376</v>
      </c>
      <c r="B154" s="50" t="s">
        <v>694</v>
      </c>
      <c r="C154" s="338">
        <v>7.6333717721283945E-2</v>
      </c>
      <c r="D154" s="338">
        <f t="shared" si="2"/>
        <v>0.14567449700947624</v>
      </c>
      <c r="E154" s="340">
        <v>9.5574497009476247E-2</v>
      </c>
      <c r="F154" s="340">
        <v>0.3</v>
      </c>
    </row>
    <row r="155" spans="1:6" ht="16">
      <c r="A155" s="339" t="s">
        <v>719</v>
      </c>
      <c r="B155" s="161" t="s">
        <v>99</v>
      </c>
      <c r="C155" s="284">
        <v>0.17499999999999999</v>
      </c>
      <c r="D155" s="338">
        <f t="shared" si="2"/>
        <v>0.26921073475718843</v>
      </c>
      <c r="E155" s="284">
        <v>0.21911073475718845</v>
      </c>
      <c r="F155" s="284">
        <v>0.35</v>
      </c>
    </row>
    <row r="156" spans="1:6" ht="16">
      <c r="A156" s="44" t="s">
        <v>377</v>
      </c>
      <c r="B156" s="50" t="s">
        <v>694</v>
      </c>
      <c r="C156" s="338">
        <v>7.6333717721283945E-2</v>
      </c>
      <c r="D156" s="338">
        <f t="shared" si="2"/>
        <v>0.14567449700947624</v>
      </c>
      <c r="E156" s="340">
        <v>9.5574497009476247E-2</v>
      </c>
      <c r="F156" s="340">
        <v>0.36</v>
      </c>
    </row>
    <row r="157" spans="1:6" ht="16">
      <c r="A157" s="44" t="s">
        <v>720</v>
      </c>
      <c r="B157" s="50" t="s">
        <v>685</v>
      </c>
      <c r="C157" s="338">
        <v>6.4581924840476007E-2</v>
      </c>
      <c r="D157" s="338">
        <f t="shared" si="2"/>
        <v>0.13096053145045841</v>
      </c>
      <c r="E157" s="340">
        <v>8.0860531450458406E-2</v>
      </c>
      <c r="F157" s="340">
        <v>0.27500000000000002</v>
      </c>
    </row>
    <row r="158" spans="1:6" ht="16">
      <c r="A158" s="44" t="s">
        <v>338</v>
      </c>
      <c r="B158" s="50" t="s">
        <v>687</v>
      </c>
      <c r="C158" s="338">
        <v>0</v>
      </c>
      <c r="D158" s="338">
        <f t="shared" si="2"/>
        <v>5.0099999999999999E-2</v>
      </c>
      <c r="E158" s="340">
        <v>0</v>
      </c>
      <c r="F158" s="340">
        <v>0.214</v>
      </c>
    </row>
    <row r="159" spans="1:6" ht="16">
      <c r="A159" s="44" t="s">
        <v>339</v>
      </c>
      <c r="B159" s="50" t="s">
        <v>687</v>
      </c>
      <c r="C159" s="338">
        <v>0</v>
      </c>
      <c r="D159" s="338">
        <f t="shared" si="2"/>
        <v>5.0099999999999999E-2</v>
      </c>
      <c r="E159" s="340">
        <v>0</v>
      </c>
      <c r="F159" s="340">
        <v>0.18</v>
      </c>
    </row>
    <row r="160" spans="1:6" ht="16">
      <c r="A160" s="339" t="s">
        <v>721</v>
      </c>
      <c r="B160" s="161" t="s">
        <v>99</v>
      </c>
      <c r="C160" s="284">
        <v>0.14080977055382476</v>
      </c>
      <c r="D160" s="338">
        <f t="shared" si="2"/>
        <v>0.22640247021165524</v>
      </c>
      <c r="E160" s="284">
        <v>0.17630247021165524</v>
      </c>
      <c r="F160" s="284">
        <v>0.28000000000000003</v>
      </c>
    </row>
    <row r="161" spans="1:6" ht="16">
      <c r="A161" s="44" t="s">
        <v>340</v>
      </c>
      <c r="B161" s="50" t="s">
        <v>693</v>
      </c>
      <c r="C161" s="338">
        <v>7.0934245316588403E-3</v>
      </c>
      <c r="D161" s="338">
        <f t="shared" si="2"/>
        <v>5.8981402634722478E-2</v>
      </c>
      <c r="E161" s="340">
        <v>8.8814026347224795E-3</v>
      </c>
      <c r="F161" s="340">
        <v>0.2</v>
      </c>
    </row>
    <row r="162" spans="1:6" ht="16">
      <c r="A162" s="44" t="s">
        <v>722</v>
      </c>
      <c r="B162" s="50" t="s">
        <v>694</v>
      </c>
      <c r="C162" s="338">
        <v>7.6333717721283945E-2</v>
      </c>
      <c r="D162" s="338">
        <f t="shared" si="2"/>
        <v>0.14567449700947624</v>
      </c>
      <c r="E162" s="340">
        <v>9.5574497009476247E-2</v>
      </c>
      <c r="F162" s="340">
        <v>0.3019</v>
      </c>
    </row>
    <row r="163" spans="1:6" ht="16">
      <c r="A163" s="44" t="s">
        <v>723</v>
      </c>
      <c r="B163" s="50" t="s">
        <v>682</v>
      </c>
      <c r="C163" s="338">
        <v>5.2830131959668084E-2</v>
      </c>
      <c r="D163" s="338">
        <f t="shared" si="2"/>
        <v>0.11624656589144056</v>
      </c>
      <c r="E163" s="340">
        <v>6.6146565891440565E-2</v>
      </c>
      <c r="F163" s="340">
        <v>0.3</v>
      </c>
    </row>
    <row r="164" spans="1:6" ht="16">
      <c r="A164" s="44" t="s">
        <v>341</v>
      </c>
      <c r="B164" s="50" t="s">
        <v>686</v>
      </c>
      <c r="C164" s="338">
        <v>1.8739345404531565E-2</v>
      </c>
      <c r="D164" s="338">
        <f t="shared" si="2"/>
        <v>7.3562809945460883E-2</v>
      </c>
      <c r="E164" s="340">
        <v>2.3462809945460884E-2</v>
      </c>
      <c r="F164" s="340">
        <v>0.2</v>
      </c>
    </row>
    <row r="165" spans="1:6" ht="16">
      <c r="A165" s="44" t="s">
        <v>724</v>
      </c>
      <c r="B165" s="50" t="s">
        <v>694</v>
      </c>
      <c r="C165" s="338">
        <v>7.6333717721283945E-2</v>
      </c>
      <c r="D165" s="338">
        <f t="shared" si="2"/>
        <v>0.14567449700947624</v>
      </c>
      <c r="E165" s="340">
        <v>9.5574497009476247E-2</v>
      </c>
      <c r="F165" s="340">
        <v>0.3236</v>
      </c>
    </row>
    <row r="166" spans="1:6" ht="16">
      <c r="A166" s="44" t="s">
        <v>731</v>
      </c>
      <c r="B166" s="50" t="s">
        <v>702</v>
      </c>
      <c r="C166" s="338">
        <v>2.9326546198052226E-2</v>
      </c>
      <c r="D166" s="338">
        <f t="shared" si="2"/>
        <v>8.6818634773404887E-2</v>
      </c>
      <c r="E166" s="340">
        <v>3.6718634773404889E-2</v>
      </c>
      <c r="F166" s="340">
        <v>0.25</v>
      </c>
    </row>
    <row r="167" spans="1:6" ht="16">
      <c r="A167" s="44" t="s">
        <v>342</v>
      </c>
      <c r="B167" s="50" t="s">
        <v>685</v>
      </c>
      <c r="C167" s="338">
        <v>6.4581924840476007E-2</v>
      </c>
      <c r="D167" s="338">
        <f t="shared" si="2"/>
        <v>0.13096053145045841</v>
      </c>
      <c r="E167" s="340">
        <v>8.0860531450458406E-2</v>
      </c>
      <c r="F167" s="340">
        <v>0.25</v>
      </c>
    </row>
    <row r="168" spans="1:6" ht="16">
      <c r="A168" s="44" t="s">
        <v>343</v>
      </c>
      <c r="B168" s="50" t="s">
        <v>682</v>
      </c>
      <c r="C168" s="338">
        <v>5.2830131959668084E-2</v>
      </c>
      <c r="D168" s="338">
        <f t="shared" si="2"/>
        <v>0.11624656589144056</v>
      </c>
      <c r="E168" s="340">
        <v>6.6146565891440565E-2</v>
      </c>
      <c r="F168" s="340">
        <v>0.22</v>
      </c>
    </row>
    <row r="169" spans="1:6" ht="16">
      <c r="A169" s="44" t="s">
        <v>732</v>
      </c>
      <c r="B169" s="50" t="s">
        <v>686</v>
      </c>
      <c r="C169" s="338">
        <v>1.8739345404531565E-2</v>
      </c>
      <c r="D169" s="338">
        <f t="shared" si="2"/>
        <v>7.3562809945460883E-2</v>
      </c>
      <c r="E169" s="340">
        <v>2.3462809945460884E-2</v>
      </c>
      <c r="F169" s="340">
        <v>0</v>
      </c>
    </row>
    <row r="170" spans="1:6" ht="16">
      <c r="A170" s="44" t="s">
        <v>434</v>
      </c>
      <c r="B170" s="50" t="s">
        <v>685</v>
      </c>
      <c r="C170" s="338">
        <v>6.4581924840476007E-2</v>
      </c>
      <c r="D170" s="338">
        <f t="shared" si="2"/>
        <v>0.13096053145045841</v>
      </c>
      <c r="E170" s="340">
        <v>8.0860531450458406E-2</v>
      </c>
      <c r="F170" s="340">
        <v>0.3</v>
      </c>
    </row>
    <row r="171" spans="1:6" ht="16">
      <c r="A171" s="44" t="s">
        <v>344</v>
      </c>
      <c r="B171" s="50" t="s">
        <v>694</v>
      </c>
      <c r="C171" s="338">
        <v>7.6333717721283945E-2</v>
      </c>
      <c r="D171" s="338">
        <f t="shared" si="2"/>
        <v>0.14567449700947624</v>
      </c>
      <c r="E171" s="340">
        <v>9.5574497009476247E-2</v>
      </c>
      <c r="F171" s="340">
        <v>0.18</v>
      </c>
    </row>
    <row r="172" spans="1:6" ht="16">
      <c r="A172" s="44" t="s">
        <v>345</v>
      </c>
      <c r="B172" s="50" t="s">
        <v>681</v>
      </c>
      <c r="C172" s="338">
        <v>5.8229604364363613E-3</v>
      </c>
      <c r="D172" s="338">
        <f t="shared" si="2"/>
        <v>5.7390703655369198E-2</v>
      </c>
      <c r="E172" s="340">
        <v>7.2907036553691998E-3</v>
      </c>
      <c r="F172" s="340">
        <v>0.55000000000000004</v>
      </c>
    </row>
    <row r="173" spans="1:6" ht="16">
      <c r="A173" s="44" t="s">
        <v>346</v>
      </c>
      <c r="B173" s="50" t="s">
        <v>681</v>
      </c>
      <c r="C173" s="338">
        <v>5.8229604364363613E-3</v>
      </c>
      <c r="D173" s="338">
        <f t="shared" si="2"/>
        <v>5.7390703655369198E-2</v>
      </c>
      <c r="E173" s="340">
        <v>7.2907036553691998E-3</v>
      </c>
      <c r="F173" s="340">
        <v>0.19</v>
      </c>
    </row>
    <row r="174" spans="1:6" ht="16">
      <c r="A174" s="44" t="s">
        <v>347</v>
      </c>
      <c r="B174" s="50" t="s">
        <v>687</v>
      </c>
      <c r="C174" s="338">
        <v>0</v>
      </c>
      <c r="D174" s="338">
        <f t="shared" si="2"/>
        <v>5.0099999999999999E-2</v>
      </c>
      <c r="E174" s="340">
        <v>0</v>
      </c>
      <c r="F174" s="340">
        <v>0.25</v>
      </c>
    </row>
    <row r="175" spans="1:6" ht="16">
      <c r="A175" s="44" t="s">
        <v>348</v>
      </c>
      <c r="B175" s="50" t="s">
        <v>684</v>
      </c>
      <c r="C175" s="338">
        <v>2.2338993674328587E-2</v>
      </c>
      <c r="D175" s="338">
        <f t="shared" si="2"/>
        <v>7.8069790386961838E-2</v>
      </c>
      <c r="E175" s="340">
        <v>2.7969790386961842E-2</v>
      </c>
      <c r="F175" s="340">
        <v>0.25</v>
      </c>
    </row>
    <row r="176" spans="1:6" ht="16">
      <c r="A176" s="44" t="s">
        <v>766</v>
      </c>
      <c r="B176" s="50" t="s">
        <v>682</v>
      </c>
      <c r="C176" s="338">
        <v>5.2830131959668084E-2</v>
      </c>
      <c r="D176" s="338">
        <f t="shared" si="2"/>
        <v>0.11624656589144056</v>
      </c>
      <c r="E176" s="340">
        <v>6.6146565891440565E-2</v>
      </c>
      <c r="F176" s="340">
        <v>7.4999999999999997E-2</v>
      </c>
    </row>
    <row r="177" spans="1:6" ht="16">
      <c r="A177" s="44" t="s">
        <v>349</v>
      </c>
      <c r="B177" s="50" t="s">
        <v>733</v>
      </c>
      <c r="C177" s="338">
        <v>0.17499999999999999</v>
      </c>
      <c r="D177" s="338">
        <f t="shared" si="2"/>
        <v>0.26921073475718843</v>
      </c>
      <c r="E177" s="340">
        <v>0.21911073475718845</v>
      </c>
      <c r="F177" s="340">
        <v>0.34</v>
      </c>
    </row>
    <row r="178" spans="1:6" ht="16">
      <c r="A178" s="44" t="s">
        <v>350</v>
      </c>
      <c r="B178" s="50" t="s">
        <v>691</v>
      </c>
      <c r="C178" s="338">
        <v>4.2242931166147427E-2</v>
      </c>
      <c r="D178" s="338">
        <f t="shared" si="2"/>
        <v>0.10299074106349657</v>
      </c>
      <c r="E178" s="340">
        <v>5.2890741063496567E-2</v>
      </c>
      <c r="F178" s="340">
        <v>0.2</v>
      </c>
    </row>
    <row r="179" spans="1:6" ht="16">
      <c r="A179" s="339" t="s">
        <v>758</v>
      </c>
      <c r="B179" s="161" t="s">
        <v>99</v>
      </c>
      <c r="C179" s="284">
        <v>0.17499999999999999</v>
      </c>
      <c r="D179" s="338">
        <f t="shared" si="2"/>
        <v>0.26921073475718843</v>
      </c>
      <c r="E179" s="284">
        <v>0.21911073475718845</v>
      </c>
      <c r="F179" s="284">
        <v>0.2</v>
      </c>
    </row>
    <row r="180" spans="1:6" ht="16">
      <c r="A180" s="44" t="s">
        <v>351</v>
      </c>
      <c r="B180" s="50" t="s">
        <v>753</v>
      </c>
      <c r="C180" s="338">
        <v>0.14080977055382476</v>
      </c>
      <c r="D180" s="338">
        <f t="shared" si="2"/>
        <v>0.22640247021165524</v>
      </c>
      <c r="E180" s="340">
        <v>0.17630247021165524</v>
      </c>
      <c r="F180" s="340">
        <v>0.35</v>
      </c>
    </row>
    <row r="181" spans="1:6" ht="16">
      <c r="A181" s="339" t="s">
        <v>725</v>
      </c>
      <c r="B181" s="161" t="s">
        <v>99</v>
      </c>
      <c r="C181" s="284">
        <v>0.14080977055382476</v>
      </c>
      <c r="D181" s="338">
        <f t="shared" si="2"/>
        <v>0.22640247021165524</v>
      </c>
      <c r="E181" s="284">
        <v>0.17630247021165524</v>
      </c>
      <c r="F181" s="284">
        <v>0.25</v>
      </c>
    </row>
    <row r="184" spans="1:6">
      <c r="A184" s="253"/>
      <c r="B184" s="332" t="s">
        <v>379</v>
      </c>
      <c r="C184" s="332" t="s">
        <v>726</v>
      </c>
      <c r="D184" s="332" t="s">
        <v>141</v>
      </c>
      <c r="E184" s="335" t="s">
        <v>728</v>
      </c>
    </row>
    <row r="185" spans="1:6">
      <c r="A185" s="1" t="s">
        <v>358</v>
      </c>
      <c r="B185" s="3">
        <f>$B$1+E185</f>
        <v>0.12203055515219111</v>
      </c>
      <c r="C185" s="3">
        <v>5.7449705353701148E-2</v>
      </c>
      <c r="D185" s="3">
        <v>0.28491627824785853</v>
      </c>
      <c r="E185" s="3">
        <v>7.1930555152191114E-2</v>
      </c>
    </row>
    <row r="186" spans="1:6">
      <c r="A186" s="1" t="s">
        <v>431</v>
      </c>
      <c r="B186" s="3">
        <f t="shared" ref="B186:B193" si="3">$B$1+E186</f>
        <v>6.5648639425947938E-2</v>
      </c>
      <c r="C186" s="3">
        <v>1.2418432636612842E-2</v>
      </c>
      <c r="D186" s="3">
        <v>0.26117492980590945</v>
      </c>
      <c r="E186" s="3">
        <v>1.554863942594794E-2</v>
      </c>
    </row>
    <row r="187" spans="1:6">
      <c r="A187" s="1" t="s">
        <v>360</v>
      </c>
      <c r="B187" s="3">
        <f t="shared" si="3"/>
        <v>5.0148399092075066E-2</v>
      </c>
      <c r="C187" s="3">
        <v>3.865552786595667E-5</v>
      </c>
      <c r="D187" s="3">
        <v>0.29748948329622293</v>
      </c>
      <c r="E187" s="3">
        <v>4.8399092075067082E-5</v>
      </c>
    </row>
    <row r="188" spans="1:6">
      <c r="A188" s="1" t="s">
        <v>362</v>
      </c>
      <c r="B188" s="3">
        <f t="shared" si="3"/>
        <v>0.13146240608476523</v>
      </c>
      <c r="C188" s="3">
        <v>6.4982763535581578E-2</v>
      </c>
      <c r="D188" s="3">
        <v>0.23880784381827033</v>
      </c>
      <c r="E188" s="3">
        <v>8.1362406084765221E-2</v>
      </c>
    </row>
    <row r="189" spans="1:6">
      <c r="A189" s="1" t="s">
        <v>359</v>
      </c>
      <c r="B189" s="3">
        <f t="shared" si="3"/>
        <v>0.10477565534475422</v>
      </c>
      <c r="C189" s="3">
        <v>4.3668511704527888E-2</v>
      </c>
      <c r="D189" s="3">
        <v>0.30956473496523385</v>
      </c>
      <c r="E189" s="3">
        <v>5.4675655344754229E-2</v>
      </c>
    </row>
    <row r="190" spans="1:6">
      <c r="A190" s="1" t="s">
        <v>357</v>
      </c>
      <c r="B190" s="3">
        <f t="shared" si="3"/>
        <v>8.1962832218168608E-2</v>
      </c>
      <c r="C190" s="3">
        <v>2.5448299666187734E-2</v>
      </c>
      <c r="D190" s="3">
        <v>0.18359794253833478</v>
      </c>
      <c r="E190" s="3">
        <v>3.1862832218168616E-2</v>
      </c>
    </row>
    <row r="191" spans="1:6">
      <c r="A191" s="1" t="s">
        <v>363</v>
      </c>
      <c r="B191" s="3">
        <f t="shared" si="3"/>
        <v>7.4837844888540311E-2</v>
      </c>
      <c r="C191" s="3">
        <v>1.9757694027597285E-2</v>
      </c>
      <c r="D191" s="3">
        <v>0.27365796295286726</v>
      </c>
      <c r="E191" s="3">
        <v>2.473784488854032E-2</v>
      </c>
    </row>
    <row r="192" spans="1:6">
      <c r="A192" s="1" t="s">
        <v>365</v>
      </c>
      <c r="B192" s="3">
        <f t="shared" si="3"/>
        <v>5.0099999999999999E-2</v>
      </c>
      <c r="C192" s="3">
        <v>0</v>
      </c>
      <c r="D192" s="3">
        <v>0.25115466300229849</v>
      </c>
      <c r="E192" s="3">
        <v>0</v>
      </c>
    </row>
    <row r="193" spans="1:5">
      <c r="A193" s="1" t="s">
        <v>356</v>
      </c>
      <c r="B193" s="3">
        <f t="shared" si="3"/>
        <v>6.2180333576250565E-2</v>
      </c>
      <c r="C193" s="3">
        <v>9.6483560159048385E-3</v>
      </c>
      <c r="D193" s="3">
        <v>0.25037012452417917</v>
      </c>
      <c r="E193" s="3">
        <v>1.2080333576250563E-2</v>
      </c>
    </row>
    <row r="194" spans="1:5">
      <c r="A194" s="1"/>
      <c r="C194" s="316"/>
    </row>
    <row r="195" spans="1:5">
      <c r="A195" s="1" t="s">
        <v>494</v>
      </c>
      <c r="B195" s="3">
        <f>$B$1+E195</f>
        <v>6.54E-2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F20" sqref="F20"/>
    </sheetView>
  </sheetViews>
  <sheetFormatPr baseColWidth="10" defaultRowHeight="13"/>
  <sheetData>
    <row r="1" spans="1:12" ht="19">
      <c r="A1" s="6" t="s">
        <v>212</v>
      </c>
    </row>
    <row r="2" spans="1:12" ht="19">
      <c r="A2" s="6" t="s">
        <v>213</v>
      </c>
    </row>
    <row r="3" spans="1:12" s="130" customFormat="1" ht="17"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1952.08</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0</v>
      </c>
      <c r="G6" s="8" t="s">
        <v>219</v>
      </c>
      <c r="H6" s="8"/>
      <c r="I6" s="8"/>
      <c r="J6" s="8"/>
    </row>
    <row r="7" spans="1:12" s="131" customFormat="1" ht="15" thickBot="1">
      <c r="A7" s="8" t="s">
        <v>234</v>
      </c>
      <c r="B7" s="8"/>
      <c r="C7" s="8"/>
      <c r="D7" s="8"/>
      <c r="E7" s="8"/>
      <c r="F7" s="139">
        <f>'Input sheet'!B30</f>
        <v>0.02</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1000000</v>
      </c>
      <c r="E9" s="8"/>
      <c r="F9" s="114"/>
      <c r="G9" s="8"/>
      <c r="H9" s="8"/>
      <c r="I9" s="8"/>
      <c r="J9" s="8"/>
    </row>
    <row r="10" spans="1:12" s="131" customFormat="1" ht="15" thickBot="1">
      <c r="A10" s="8" t="s">
        <v>221</v>
      </c>
      <c r="D10" s="141" t="str">
        <f>IF(C4=1,VLOOKUP(D9,A19:D33,3),(IF(C4=2,VLOOKUP(D9,A38:D52,3),VLOOKUP(D9,F19:I33,3))))</f>
        <v>Aaa/AAA</v>
      </c>
      <c r="F10" s="16" t="s">
        <v>222</v>
      </c>
    </row>
    <row r="11" spans="1:12" s="131" customFormat="1" ht="15" thickBot="1">
      <c r="A11" s="8" t="s">
        <v>472</v>
      </c>
      <c r="D11" s="142">
        <f>IF(C4=1,VLOOKUP(D9,A19:D33,4),(IF(C4=2,VLOOKUP(D9,A38:D52,4),VLOOKUP(D9,F19:I33,4))))</f>
        <v>7.6E-3</v>
      </c>
      <c r="F11" s="16" t="s">
        <v>223</v>
      </c>
    </row>
    <row r="12" spans="1:12" s="131" customFormat="1" ht="15" thickBot="1">
      <c r="A12" s="8" t="s">
        <v>473</v>
      </c>
      <c r="D12" s="142">
        <f>VLOOKUP('Input sheet'!B5,'Country equity risk premiums'!A5:C181,3)</f>
        <v>0</v>
      </c>
      <c r="F12" s="16"/>
    </row>
    <row r="13" spans="1:12" s="8" customFormat="1" ht="15" thickBot="1">
      <c r="A13" s="8" t="s">
        <v>224</v>
      </c>
      <c r="D13" s="143">
        <f>F7+D11+D12</f>
        <v>2.76E-2</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0">
        <v>0.21660695121951218</v>
      </c>
      <c r="F19"/>
      <c r="G19"/>
      <c r="H19"/>
      <c r="I19"/>
      <c r="J19"/>
      <c r="K19"/>
      <c r="L19"/>
    </row>
    <row r="20" spans="1:12" s="131" customFormat="1" ht="14">
      <c r="A20" s="30">
        <v>0.2</v>
      </c>
      <c r="B20" s="30">
        <v>0.64999899999999999</v>
      </c>
      <c r="C20" s="235" t="s">
        <v>459</v>
      </c>
      <c r="D20" s="360">
        <v>0.16251109756097559</v>
      </c>
      <c r="F20" s="235"/>
      <c r="G20"/>
      <c r="H20"/>
      <c r="I20"/>
      <c r="J20"/>
      <c r="K20"/>
      <c r="L20"/>
    </row>
    <row r="21" spans="1:12" s="131" customFormat="1" ht="14">
      <c r="A21" s="30">
        <v>0.65</v>
      </c>
      <c r="B21" s="30">
        <v>0.79999900000000002</v>
      </c>
      <c r="C21" s="235" t="s">
        <v>458</v>
      </c>
      <c r="D21" s="360">
        <v>0.12383926829268292</v>
      </c>
      <c r="F21"/>
      <c r="G21"/>
      <c r="H21"/>
      <c r="I21"/>
      <c r="J21"/>
      <c r="K21"/>
      <c r="L21"/>
    </row>
    <row r="22" spans="1:12" s="131" customFormat="1" ht="14">
      <c r="A22" s="30">
        <v>0.8</v>
      </c>
      <c r="B22" s="30">
        <v>1.2499990000000001</v>
      </c>
      <c r="C22" s="235" t="s">
        <v>457</v>
      </c>
      <c r="D22" s="360">
        <v>0.11749999999999999</v>
      </c>
      <c r="F22"/>
      <c r="G22"/>
      <c r="H22"/>
      <c r="I22"/>
      <c r="J22"/>
      <c r="K22"/>
      <c r="L22"/>
    </row>
    <row r="23" spans="1:12" s="131" customFormat="1" ht="14">
      <c r="A23" s="30">
        <v>1.25</v>
      </c>
      <c r="B23" s="30">
        <v>1.4999990000000001</v>
      </c>
      <c r="C23" s="235" t="s">
        <v>460</v>
      </c>
      <c r="D23" s="360">
        <v>0.10083333333333336</v>
      </c>
      <c r="F23"/>
      <c r="G23"/>
      <c r="H23"/>
      <c r="I23"/>
      <c r="J23"/>
      <c r="K23"/>
      <c r="L23"/>
    </row>
    <row r="24" spans="1:12" s="131" customFormat="1" ht="14">
      <c r="A24" s="30">
        <v>1.5</v>
      </c>
      <c r="B24" s="30">
        <v>1.7499990000000001</v>
      </c>
      <c r="C24" s="235" t="s">
        <v>461</v>
      </c>
      <c r="D24" s="360">
        <v>8.2500000000000004E-2</v>
      </c>
      <c r="F24"/>
      <c r="G24"/>
      <c r="H24"/>
      <c r="I24"/>
      <c r="J24"/>
      <c r="K24"/>
      <c r="L24"/>
    </row>
    <row r="25" spans="1:12" s="131" customFormat="1" ht="14">
      <c r="A25" s="30">
        <v>1.75</v>
      </c>
      <c r="B25" s="30">
        <v>1.9999990000000001</v>
      </c>
      <c r="C25" s="235" t="s">
        <v>462</v>
      </c>
      <c r="D25" s="360">
        <v>4.3143749999999995E-2</v>
      </c>
      <c r="F25"/>
      <c r="G25"/>
      <c r="H25"/>
      <c r="I25"/>
      <c r="J25"/>
      <c r="K25"/>
      <c r="L25"/>
    </row>
    <row r="26" spans="1:12" s="131" customFormat="1" ht="14">
      <c r="A26" s="30">
        <v>2</v>
      </c>
      <c r="B26" s="30">
        <v>2.2499999000000002</v>
      </c>
      <c r="C26" s="235" t="s">
        <v>463</v>
      </c>
      <c r="D26" s="360">
        <v>2.9499999999999998E-2</v>
      </c>
      <c r="F26"/>
      <c r="G26"/>
      <c r="H26"/>
      <c r="I26"/>
      <c r="J26"/>
      <c r="K26"/>
      <c r="L26"/>
    </row>
    <row r="27" spans="1:12" s="131" customFormat="1" ht="14">
      <c r="A27" s="30">
        <v>2.25</v>
      </c>
      <c r="B27" s="30">
        <v>2.4999899999999999</v>
      </c>
      <c r="C27" s="235" t="s">
        <v>464</v>
      </c>
      <c r="D27" s="360">
        <v>2.3205128205128208E-2</v>
      </c>
      <c r="F27"/>
      <c r="G27"/>
      <c r="H27"/>
      <c r="I27"/>
      <c r="J27"/>
      <c r="K27"/>
      <c r="L27"/>
    </row>
    <row r="28" spans="1:12" s="131" customFormat="1" ht="14">
      <c r="A28" s="30">
        <v>2.5</v>
      </c>
      <c r="B28" s="30">
        <v>2.9999989999999999</v>
      </c>
      <c r="C28" s="235" t="s">
        <v>465</v>
      </c>
      <c r="D28" s="360">
        <v>1.8100000000000002E-2</v>
      </c>
      <c r="F28"/>
      <c r="G28"/>
      <c r="H28"/>
      <c r="I28"/>
      <c r="J28"/>
      <c r="K28"/>
      <c r="L28"/>
    </row>
    <row r="29" spans="1:12" s="131" customFormat="1" ht="14">
      <c r="A29" s="30">
        <v>3</v>
      </c>
      <c r="B29" s="30">
        <v>4.2499989999999999</v>
      </c>
      <c r="C29" s="235" t="s">
        <v>466</v>
      </c>
      <c r="D29" s="360">
        <v>1.3415999999999999E-2</v>
      </c>
      <c r="F29"/>
      <c r="G29"/>
      <c r="H29"/>
      <c r="I29"/>
      <c r="J29"/>
      <c r="K29"/>
      <c r="L29"/>
    </row>
    <row r="30" spans="1:12" s="131" customFormat="1" ht="14">
      <c r="A30" s="30">
        <v>4.25</v>
      </c>
      <c r="B30" s="30">
        <v>5.4999989999999999</v>
      </c>
      <c r="C30" s="235" t="s">
        <v>467</v>
      </c>
      <c r="D30" s="360">
        <v>1.1868E-2</v>
      </c>
      <c r="F30"/>
      <c r="G30"/>
      <c r="H30"/>
      <c r="I30"/>
      <c r="J30"/>
      <c r="K30"/>
      <c r="L30"/>
    </row>
    <row r="31" spans="1:12" s="131" customFormat="1" ht="14">
      <c r="A31" s="30">
        <v>5.5</v>
      </c>
      <c r="B31" s="30">
        <v>6.4999989999999999</v>
      </c>
      <c r="C31" s="235" t="s">
        <v>468</v>
      </c>
      <c r="D31" s="360">
        <v>1.0750000000000001E-2</v>
      </c>
      <c r="F31"/>
      <c r="G31"/>
      <c r="H31"/>
      <c r="I31"/>
      <c r="J31"/>
      <c r="K31"/>
      <c r="L31"/>
    </row>
    <row r="32" spans="1:12" s="131" customFormat="1" ht="14">
      <c r="A32" s="30">
        <v>6.5</v>
      </c>
      <c r="B32" s="30">
        <v>8.4999990000000007</v>
      </c>
      <c r="C32" s="235" t="s">
        <v>469</v>
      </c>
      <c r="D32" s="360">
        <v>8.6E-3</v>
      </c>
      <c r="F32"/>
      <c r="G32"/>
      <c r="H32"/>
      <c r="I32"/>
      <c r="J32"/>
    </row>
    <row r="33" spans="1:9" s="131" customFormat="1" ht="14">
      <c r="A33" s="137">
        <v>8.5</v>
      </c>
      <c r="B33" s="30">
        <v>100000</v>
      </c>
      <c r="C33" s="235" t="s">
        <v>470</v>
      </c>
      <c r="D33" s="360">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0">
        <v>0.21660695121951218</v>
      </c>
      <c r="G38" s="119" t="s">
        <v>230</v>
      </c>
      <c r="H38" s="119" t="s">
        <v>767</v>
      </c>
    </row>
    <row r="39" spans="1:9" s="131" customFormat="1" ht="14">
      <c r="A39" s="30">
        <v>0.5</v>
      </c>
      <c r="B39" s="30">
        <v>0.79999900000000002</v>
      </c>
      <c r="C39" s="235" t="s">
        <v>459</v>
      </c>
      <c r="D39" s="360">
        <v>0.16251109756097559</v>
      </c>
      <c r="G39" s="235" t="s">
        <v>468</v>
      </c>
      <c r="H39" s="341">
        <v>1.0750000000000001E-2</v>
      </c>
    </row>
    <row r="40" spans="1:9" s="131" customFormat="1" ht="14">
      <c r="A40" s="30">
        <v>0.8</v>
      </c>
      <c r="B40" s="30">
        <v>1.2499990000000001</v>
      </c>
      <c r="C40" s="235" t="s">
        <v>458</v>
      </c>
      <c r="D40" s="360">
        <v>0.12383926829268292</v>
      </c>
      <c r="G40" s="235" t="s">
        <v>467</v>
      </c>
      <c r="H40" s="341">
        <v>1.1868E-2</v>
      </c>
    </row>
    <row r="41" spans="1:9" s="131" customFormat="1" ht="14">
      <c r="A41" s="30">
        <v>1.25</v>
      </c>
      <c r="B41" s="30">
        <v>1.4999990000000001</v>
      </c>
      <c r="C41" s="235" t="s">
        <v>457</v>
      </c>
      <c r="D41" s="360">
        <v>0.11749999999999999</v>
      </c>
      <c r="G41" s="235" t="s">
        <v>466</v>
      </c>
      <c r="H41" s="341">
        <v>1.3415999999999999E-2</v>
      </c>
    </row>
    <row r="42" spans="1:9" s="131" customFormat="1" ht="14">
      <c r="A42" s="30">
        <v>1.5</v>
      </c>
      <c r="B42" s="30">
        <v>1.9999990000000001</v>
      </c>
      <c r="C42" s="235" t="s">
        <v>460</v>
      </c>
      <c r="D42" s="360">
        <v>0.10083333333333336</v>
      </c>
      <c r="G42" s="235" t="s">
        <v>469</v>
      </c>
      <c r="H42" s="341">
        <v>8.6E-3</v>
      </c>
    </row>
    <row r="43" spans="1:9" s="131" customFormat="1" ht="14">
      <c r="A43" s="30">
        <v>2</v>
      </c>
      <c r="B43" s="30">
        <v>2.4999989999999999</v>
      </c>
      <c r="C43" s="235" t="s">
        <v>461</v>
      </c>
      <c r="D43" s="360">
        <v>8.2500000000000004E-2</v>
      </c>
      <c r="G43" s="235" t="s">
        <v>470</v>
      </c>
      <c r="H43" s="341">
        <v>7.6E-3</v>
      </c>
    </row>
    <row r="44" spans="1:9" s="131" customFormat="1" ht="14">
      <c r="A44" s="30">
        <v>2.5</v>
      </c>
      <c r="B44" s="30">
        <v>2.9999989999999999</v>
      </c>
      <c r="C44" s="235" t="s">
        <v>462</v>
      </c>
      <c r="D44" s="360">
        <v>4.3143749999999995E-2</v>
      </c>
      <c r="G44" s="235" t="s">
        <v>462</v>
      </c>
      <c r="H44" s="341">
        <v>4.3143749999999995E-2</v>
      </c>
    </row>
    <row r="45" spans="1:9" s="131" customFormat="1" ht="14">
      <c r="A45" s="30">
        <v>3</v>
      </c>
      <c r="B45" s="30">
        <v>3.4999989999999999</v>
      </c>
      <c r="C45" s="235" t="s">
        <v>463</v>
      </c>
      <c r="D45" s="360">
        <v>2.9499999999999998E-2</v>
      </c>
      <c r="G45" s="235" t="s">
        <v>461</v>
      </c>
      <c r="H45" s="341">
        <v>8.2500000000000004E-2</v>
      </c>
    </row>
    <row r="46" spans="1:9" s="131" customFormat="1" ht="14">
      <c r="A46" s="30">
        <v>3.5</v>
      </c>
      <c r="B46" s="30">
        <v>3.9999999000000002</v>
      </c>
      <c r="C46" s="235" t="s">
        <v>464</v>
      </c>
      <c r="D46" s="360">
        <v>2.3205128205128208E-2</v>
      </c>
      <c r="G46" s="235" t="s">
        <v>460</v>
      </c>
      <c r="H46" s="341">
        <v>0.10083333333333336</v>
      </c>
    </row>
    <row r="47" spans="1:9" s="131" customFormat="1" ht="14">
      <c r="A47" s="30">
        <v>4</v>
      </c>
      <c r="B47" s="30">
        <v>4.4999989999999999</v>
      </c>
      <c r="C47" s="235" t="s">
        <v>465</v>
      </c>
      <c r="D47" s="360">
        <v>1.8100000000000002E-2</v>
      </c>
      <c r="G47" s="235" t="s">
        <v>464</v>
      </c>
      <c r="H47" s="341">
        <v>2.3205128205128208E-2</v>
      </c>
    </row>
    <row r="48" spans="1:9" s="131" customFormat="1" ht="14">
      <c r="A48" s="30">
        <v>4.5</v>
      </c>
      <c r="B48" s="30">
        <v>5.9999989999999999</v>
      </c>
      <c r="C48" s="235" t="s">
        <v>466</v>
      </c>
      <c r="D48" s="360">
        <v>1.3415999999999999E-2</v>
      </c>
      <c r="G48" s="235" t="s">
        <v>463</v>
      </c>
      <c r="H48" s="341">
        <v>2.9499999999999998E-2</v>
      </c>
    </row>
    <row r="49" spans="1:10" s="131" customFormat="1" ht="14">
      <c r="A49" s="30">
        <v>6</v>
      </c>
      <c r="B49" s="30">
        <v>7.4999989999999999</v>
      </c>
      <c r="C49" s="235" t="s">
        <v>467</v>
      </c>
      <c r="D49" s="360">
        <v>1.1868E-2</v>
      </c>
      <c r="G49" s="235" t="s">
        <v>465</v>
      </c>
      <c r="H49" s="341">
        <v>1.8100000000000002E-2</v>
      </c>
    </row>
    <row r="50" spans="1:10" s="131" customFormat="1" ht="14">
      <c r="A50" s="30">
        <v>7.5</v>
      </c>
      <c r="B50" s="30">
        <v>9.4999990000000007</v>
      </c>
      <c r="C50" s="235" t="s">
        <v>468</v>
      </c>
      <c r="D50" s="360">
        <v>1.0750000000000001E-2</v>
      </c>
      <c r="G50" s="235" t="s">
        <v>459</v>
      </c>
      <c r="H50" s="341">
        <v>0.16251109756097559</v>
      </c>
    </row>
    <row r="51" spans="1:10" ht="14">
      <c r="A51" s="30">
        <v>9.5</v>
      </c>
      <c r="B51" s="30">
        <v>12.499999000000001</v>
      </c>
      <c r="C51" s="235" t="s">
        <v>469</v>
      </c>
      <c r="D51" s="360">
        <v>8.6E-3</v>
      </c>
      <c r="F51" s="131"/>
      <c r="G51" s="235" t="s">
        <v>458</v>
      </c>
      <c r="H51" s="341">
        <v>0.12383926829268292</v>
      </c>
      <c r="I51" s="131"/>
      <c r="J51" s="131"/>
    </row>
    <row r="52" spans="1:10" ht="14">
      <c r="A52" s="30">
        <v>12.5</v>
      </c>
      <c r="B52" s="30">
        <v>100000</v>
      </c>
      <c r="C52" s="235" t="s">
        <v>470</v>
      </c>
      <c r="D52" s="360">
        <v>7.6E-3</v>
      </c>
      <c r="G52" s="235" t="s">
        <v>457</v>
      </c>
      <c r="H52" s="341">
        <v>0.11749999999999999</v>
      </c>
    </row>
    <row r="53" spans="1:10" ht="14">
      <c r="G53" s="235" t="s">
        <v>456</v>
      </c>
      <c r="H53" s="341">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F2" activePane="bottomRight" state="frozen"/>
      <selection pane="topRight" activeCell="B1" sqref="B1"/>
      <selection pane="bottomLeft" activeCell="A2" sqref="A2"/>
      <selection pane="bottomRight" activeCell="D6" sqref="D6"/>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3" customFormat="1" ht="84">
      <c r="A1" s="342" t="s">
        <v>97</v>
      </c>
      <c r="B1" s="242" t="s">
        <v>173</v>
      </c>
      <c r="C1" s="343" t="s">
        <v>161</v>
      </c>
      <c r="D1" s="343" t="s">
        <v>734</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743</v>
      </c>
    </row>
    <row r="2" spans="1:27" ht="14">
      <c r="A2" s="345" t="s">
        <v>98</v>
      </c>
      <c r="B2" s="144">
        <v>47</v>
      </c>
      <c r="C2" s="346">
        <v>0.1898457895</v>
      </c>
      <c r="D2" s="346">
        <v>0.12071573564591596</v>
      </c>
      <c r="E2" s="346">
        <v>0.63513835105104166</v>
      </c>
      <c r="F2" s="346">
        <v>0.24144885196197266</v>
      </c>
      <c r="G2" s="347">
        <v>0.93495314294485965</v>
      </c>
      <c r="H2" s="347">
        <v>1.4396117500000001</v>
      </c>
      <c r="I2" s="346">
        <v>9.4059810999999993E-2</v>
      </c>
      <c r="J2" s="346">
        <v>0.62376766299999997</v>
      </c>
      <c r="K2" s="346">
        <v>3.6699999999999997E-2</v>
      </c>
      <c r="L2" s="346">
        <v>0.45970469962445887</v>
      </c>
      <c r="M2" s="346">
        <v>6.3473445694674849E-2</v>
      </c>
      <c r="N2" s="347">
        <v>5.4319282449461905</v>
      </c>
      <c r="O2" s="347">
        <v>1.93894991479811</v>
      </c>
      <c r="P2" s="347">
        <v>9.2014693640394078</v>
      </c>
      <c r="Q2" s="347">
        <v>15.117650173548792</v>
      </c>
      <c r="R2" s="347">
        <v>5.9824337806546009</v>
      </c>
      <c r="S2" s="347">
        <v>23.771264519999999</v>
      </c>
      <c r="T2" s="346">
        <v>5.2277177685990648E-4</v>
      </c>
      <c r="U2" s="346">
        <v>2.210287557289297E-2</v>
      </c>
      <c r="V2" s="346">
        <v>6.8963391259924067E-2</v>
      </c>
      <c r="W2" s="346">
        <v>0.65383302458454573</v>
      </c>
      <c r="X2" s="346">
        <v>0.26083948775097743</v>
      </c>
      <c r="Y2" s="346">
        <v>1.0133491837919004</v>
      </c>
      <c r="Z2" s="346">
        <v>1.0133491837919004</v>
      </c>
      <c r="AA2" s="346">
        <v>0.12197803738754506</v>
      </c>
    </row>
    <row r="3" spans="1:27" ht="14">
      <c r="A3" s="345" t="s">
        <v>508</v>
      </c>
      <c r="B3" s="144">
        <v>77</v>
      </c>
      <c r="C3" s="346">
        <v>3.5260652170000004E-2</v>
      </c>
      <c r="D3" s="346">
        <v>0.11366722933042273</v>
      </c>
      <c r="E3" s="346">
        <v>0.33932973316850479</v>
      </c>
      <c r="F3" s="346">
        <v>0.19063413766601667</v>
      </c>
      <c r="G3" s="347">
        <v>1.078522159887352</v>
      </c>
      <c r="H3" s="347">
        <v>1.231583809</v>
      </c>
      <c r="I3" s="346">
        <v>8.3242358067999997E-2</v>
      </c>
      <c r="J3" s="346">
        <v>0.387395563</v>
      </c>
      <c r="K3" s="346">
        <v>3.27E-2</v>
      </c>
      <c r="L3" s="346">
        <v>0.1953611792611965</v>
      </c>
      <c r="M3" s="346">
        <v>7.1771265752733585E-2</v>
      </c>
      <c r="N3" s="347">
        <v>3.1504976789852264</v>
      </c>
      <c r="O3" s="347">
        <v>2.2661718542019984</v>
      </c>
      <c r="P3" s="347">
        <v>14.936671749190387</v>
      </c>
      <c r="Q3" s="347">
        <v>19.76659509155769</v>
      </c>
      <c r="R3" s="347">
        <v>6.0905708095424593</v>
      </c>
      <c r="S3" s="347">
        <v>44.264541700000002</v>
      </c>
      <c r="T3" s="346">
        <v>0.37473625480630141</v>
      </c>
      <c r="U3" s="346">
        <v>2.790574912863036E-2</v>
      </c>
      <c r="V3" s="346">
        <v>5.8302300963488748E-2</v>
      </c>
      <c r="W3" s="346">
        <v>1.0436645952766965</v>
      </c>
      <c r="X3" s="346">
        <v>0.31420312207486539</v>
      </c>
      <c r="Y3" s="346">
        <v>0.44144121905042888</v>
      </c>
      <c r="Z3" s="346">
        <v>0.44144121905042888</v>
      </c>
      <c r="AA3" s="346">
        <v>0.1174744598100627</v>
      </c>
    </row>
    <row r="4" spans="1:27" ht="14">
      <c r="A4" s="345" t="s">
        <v>509</v>
      </c>
      <c r="B4" s="144">
        <v>18</v>
      </c>
      <c r="C4" s="346">
        <v>4.8416666670000004E-2</v>
      </c>
      <c r="D4" s="346">
        <v>0.11601029095344825</v>
      </c>
      <c r="E4" s="346">
        <v>0.13692026726019221</v>
      </c>
      <c r="F4" s="346">
        <v>0.23040082281052784</v>
      </c>
      <c r="G4" s="347">
        <v>0.84367299762743941</v>
      </c>
      <c r="H4" s="347">
        <v>1.4353478609999999</v>
      </c>
      <c r="I4" s="346">
        <v>9.3838088771999992E-2</v>
      </c>
      <c r="J4" s="346">
        <v>0.317396332</v>
      </c>
      <c r="K4" s="346">
        <v>3.27E-2</v>
      </c>
      <c r="L4" s="346">
        <v>0.50842522941097135</v>
      </c>
      <c r="M4" s="346">
        <v>5.8597565711912873E-2</v>
      </c>
      <c r="N4" s="347">
        <v>1.5045218215644707</v>
      </c>
      <c r="O4" s="347">
        <v>1.3392880167270775</v>
      </c>
      <c r="P4" s="347">
        <v>6.5369756935541909</v>
      </c>
      <c r="Q4" s="347">
        <v>12.003101378380897</v>
      </c>
      <c r="R4" s="347">
        <v>2.3429187022059925</v>
      </c>
      <c r="S4" s="347">
        <v>10.54942247</v>
      </c>
      <c r="T4" s="346">
        <v>1.1618339509923973E-2</v>
      </c>
      <c r="U4" s="346">
        <v>0.10770214013909912</v>
      </c>
      <c r="V4" s="346">
        <v>5.429788414349164E-2</v>
      </c>
      <c r="W4" s="346">
        <v>0.61329261086930231</v>
      </c>
      <c r="X4" s="346">
        <v>0.28202838198907293</v>
      </c>
      <c r="Y4" s="346">
        <v>0.15077745202490286</v>
      </c>
      <c r="Z4" s="346">
        <v>0.15077745202490289</v>
      </c>
      <c r="AA4" s="346">
        <v>0.11161527073883153</v>
      </c>
    </row>
    <row r="5" spans="1:27" ht="14">
      <c r="A5" s="345" t="s">
        <v>510</v>
      </c>
      <c r="B5" s="144">
        <v>51</v>
      </c>
      <c r="C5" s="346">
        <v>-2.5637241379999998E-2</v>
      </c>
      <c r="D5" s="346">
        <v>0.10576092104574154</v>
      </c>
      <c r="E5" s="346">
        <v>0.16339066147286699</v>
      </c>
      <c r="F5" s="346">
        <v>0.15606759311520496</v>
      </c>
      <c r="G5" s="347">
        <v>0.82964100094338267</v>
      </c>
      <c r="H5" s="347">
        <v>1.055096737</v>
      </c>
      <c r="I5" s="346">
        <v>7.4065030323999997E-2</v>
      </c>
      <c r="J5" s="346">
        <v>0.51101909700000003</v>
      </c>
      <c r="K5" s="346">
        <v>3.6699999999999997E-2</v>
      </c>
      <c r="L5" s="346">
        <v>0.2946233609166361</v>
      </c>
      <c r="M5" s="346">
        <v>6.035325017278096E-2</v>
      </c>
      <c r="N5" s="347">
        <v>1.7157058953504207</v>
      </c>
      <c r="O5" s="347">
        <v>1.8913544786258933</v>
      </c>
      <c r="P5" s="347">
        <v>10.93015671950725</v>
      </c>
      <c r="Q5" s="347">
        <v>17.564880152844786</v>
      </c>
      <c r="R5" s="347">
        <v>3.7259806585275972</v>
      </c>
      <c r="S5" s="347">
        <v>54.572239379999999</v>
      </c>
      <c r="T5" s="346">
        <v>0.23726047261779315</v>
      </c>
      <c r="U5" s="346">
        <v>2.5156324353064113E-2</v>
      </c>
      <c r="V5" s="346">
        <v>1.7864726984155543E-2</v>
      </c>
      <c r="W5" s="346">
        <v>0.30488096740163095</v>
      </c>
      <c r="X5" s="346">
        <v>0.16723276272008264</v>
      </c>
      <c r="Y5" s="346">
        <v>0.43054190753528176</v>
      </c>
      <c r="Z5" s="346">
        <v>0.43054190753528176</v>
      </c>
      <c r="AA5" s="346">
        <v>0.10713753881254759</v>
      </c>
    </row>
    <row r="6" spans="1:27" ht="14">
      <c r="A6" s="345" t="s">
        <v>511</v>
      </c>
      <c r="B6" s="144">
        <v>13</v>
      </c>
      <c r="C6" s="346">
        <v>0.1431333333</v>
      </c>
      <c r="D6" s="346">
        <v>3.4075445431577721E-2</v>
      </c>
      <c r="E6" s="346">
        <v>2.8910253439599635E-2</v>
      </c>
      <c r="F6" s="346">
        <v>5.5439944954436375E-2</v>
      </c>
      <c r="G6" s="347">
        <v>0.52573503977592417</v>
      </c>
      <c r="H6" s="347">
        <v>1.095074098</v>
      </c>
      <c r="I6" s="346">
        <v>7.6143853095999997E-2</v>
      </c>
      <c r="J6" s="346">
        <v>0.35018877700000001</v>
      </c>
      <c r="K6" s="346">
        <v>3.27E-2</v>
      </c>
      <c r="L6" s="346">
        <v>0.622538399061633</v>
      </c>
      <c r="M6" s="346">
        <v>4.4009134928218542E-2</v>
      </c>
      <c r="N6" s="347">
        <v>0.87444822818687473</v>
      </c>
      <c r="O6" s="347">
        <v>1.2597451537682027</v>
      </c>
      <c r="P6" s="347">
        <v>14.386948758692284</v>
      </c>
      <c r="Q6" s="347">
        <v>36.554840874704155</v>
      </c>
      <c r="R6" s="347">
        <v>1.818661185303154</v>
      </c>
      <c r="S6" s="347">
        <v>16.763696790000001</v>
      </c>
      <c r="T6" s="346">
        <v>-5.5392899600342695E-2</v>
      </c>
      <c r="U6" s="346">
        <v>9.4500610405177904E-2</v>
      </c>
      <c r="V6" s="346">
        <v>5.0880914814045372E-2</v>
      </c>
      <c r="W6" s="346">
        <v>1.1836870059474871</v>
      </c>
      <c r="X6" s="346">
        <v>0.12428655448818722</v>
      </c>
      <c r="Y6" s="346">
        <v>0.51576420890937014</v>
      </c>
      <c r="Z6" s="346">
        <v>0.51576420890937014</v>
      </c>
      <c r="AA6" s="346">
        <v>3.5105100632012685E-2</v>
      </c>
    </row>
    <row r="7" spans="1:27" ht="14">
      <c r="A7" s="345" t="s">
        <v>512</v>
      </c>
      <c r="B7" s="144">
        <v>46</v>
      </c>
      <c r="C7" s="346">
        <v>4.9810344829999999E-2</v>
      </c>
      <c r="D7" s="346">
        <v>7.2421231936221811E-2</v>
      </c>
      <c r="E7" s="346">
        <v>0.17000160011143192</v>
      </c>
      <c r="F7" s="346">
        <v>0.18517556494840495</v>
      </c>
      <c r="G7" s="347">
        <v>0.94699357699930653</v>
      </c>
      <c r="H7" s="347">
        <v>1.2109700219999999</v>
      </c>
      <c r="I7" s="346">
        <v>8.2170441143999989E-2</v>
      </c>
      <c r="J7" s="346">
        <v>0.50433022000000005</v>
      </c>
      <c r="K7" s="346">
        <v>3.6699999999999997E-2</v>
      </c>
      <c r="L7" s="346">
        <v>0.33715039893414911</v>
      </c>
      <c r="M7" s="346">
        <v>6.3746708862367829E-2</v>
      </c>
      <c r="N7" s="347">
        <v>2.4631101239374962</v>
      </c>
      <c r="O7" s="347">
        <v>0.75459246130376545</v>
      </c>
      <c r="P7" s="347">
        <v>6.3822769766633431</v>
      </c>
      <c r="Q7" s="347">
        <v>10.183962727885138</v>
      </c>
      <c r="R7" s="347">
        <v>1.9477213256191348</v>
      </c>
      <c r="S7" s="347">
        <v>17.580402759999998</v>
      </c>
      <c r="T7" s="346">
        <v>0.12619914456709705</v>
      </c>
      <c r="U7" s="346">
        <v>4.3082410133894827E-2</v>
      </c>
      <c r="V7" s="346">
        <v>6.1900165215573837E-2</v>
      </c>
      <c r="W7" s="346">
        <v>1.0299934821212851</v>
      </c>
      <c r="X7" s="346">
        <v>0.12564211594683783</v>
      </c>
      <c r="Y7" s="346">
        <v>0.26305867053113507</v>
      </c>
      <c r="Z7" s="346">
        <v>0.26305867053113507</v>
      </c>
      <c r="AA7" s="346">
        <v>7.4365754505033313E-2</v>
      </c>
    </row>
    <row r="8" spans="1:27" ht="14">
      <c r="A8" s="345" t="s">
        <v>513</v>
      </c>
      <c r="B8" s="144">
        <v>7</v>
      </c>
      <c r="C8" s="346">
        <v>2.112E-2</v>
      </c>
      <c r="D8" s="346">
        <v>0</v>
      </c>
      <c r="E8" s="346">
        <v>-2.5543482463733641E-4</v>
      </c>
      <c r="F8" s="346">
        <v>0.17744006670223925</v>
      </c>
      <c r="G8" s="347">
        <v>0.55954146707616625</v>
      </c>
      <c r="H8" s="347">
        <v>1.000862659</v>
      </c>
      <c r="I8" s="346">
        <v>7.1244858267999991E-2</v>
      </c>
      <c r="J8" s="346">
        <v>0.177446458</v>
      </c>
      <c r="K8" s="346">
        <v>2.7199999999999998E-2</v>
      </c>
      <c r="L8" s="346">
        <v>0.63996150572054089</v>
      </c>
      <c r="M8" s="346">
        <v>3.8706106212663224E-2</v>
      </c>
      <c r="N8" s="347">
        <v>0.20423762853931487</v>
      </c>
      <c r="O8" s="347">
        <v>7.2784856351374376</v>
      </c>
      <c r="P8" s="347" t="s">
        <v>99</v>
      </c>
      <c r="Q8" s="347" t="s">
        <v>99</v>
      </c>
      <c r="R8" s="347">
        <v>1.2709212566104355</v>
      </c>
      <c r="S8" s="347">
        <v>10.226524850000001</v>
      </c>
      <c r="T8" s="346" t="s">
        <v>99</v>
      </c>
      <c r="U8" s="346">
        <v>1.4998598415935187E-2</v>
      </c>
      <c r="V8" s="346">
        <v>1.4998598415935187E-2</v>
      </c>
      <c r="W8" s="346" t="s">
        <v>99</v>
      </c>
      <c r="X8" s="346">
        <v>0.12802702006738365</v>
      </c>
      <c r="Y8" s="346">
        <v>0.27401086253158652</v>
      </c>
      <c r="Z8" s="346">
        <v>0.27401086253158646</v>
      </c>
      <c r="AA8" s="346">
        <v>-1.5508563813298008E-3</v>
      </c>
    </row>
    <row r="9" spans="1:27" ht="14">
      <c r="A9" s="345" t="s">
        <v>514</v>
      </c>
      <c r="B9" s="144">
        <v>611</v>
      </c>
      <c r="C9" s="346">
        <v>0.1013484055</v>
      </c>
      <c r="D9" s="346">
        <v>0</v>
      </c>
      <c r="E9" s="346">
        <v>-6.2601260561558905E-4</v>
      </c>
      <c r="F9" s="346">
        <v>0.203301708617835</v>
      </c>
      <c r="G9" s="347">
        <v>0.43131558206262371</v>
      </c>
      <c r="H9" s="347">
        <v>0.56698275799999998</v>
      </c>
      <c r="I9" s="346">
        <v>4.8683103415999997E-2</v>
      </c>
      <c r="J9" s="346">
        <v>0.182632184</v>
      </c>
      <c r="K9" s="346">
        <v>2.7199999999999998E-2</v>
      </c>
      <c r="L9" s="346">
        <v>0.38620076872686804</v>
      </c>
      <c r="M9" s="346">
        <v>3.7760147134759288E-2</v>
      </c>
      <c r="N9" s="347">
        <v>0.25786954727934724</v>
      </c>
      <c r="O9" s="347">
        <v>5.9544675710955843</v>
      </c>
      <c r="P9" s="347" t="s">
        <v>99</v>
      </c>
      <c r="Q9" s="347" t="s">
        <v>99</v>
      </c>
      <c r="R9" s="347">
        <v>1.3739071963617933</v>
      </c>
      <c r="S9" s="347">
        <v>15.406961539999999</v>
      </c>
      <c r="T9" s="346" t="s">
        <v>99</v>
      </c>
      <c r="U9" s="346">
        <v>3.5067840691346941E-2</v>
      </c>
      <c r="V9" s="346">
        <v>6.1583740165365303E-3</v>
      </c>
      <c r="W9" s="346" t="s">
        <v>99</v>
      </c>
      <c r="X9" s="346">
        <v>0.12047930242644632</v>
      </c>
      <c r="Y9" s="346">
        <v>0.29769356297646871</v>
      </c>
      <c r="Z9" s="346">
        <v>0.29769356297646876</v>
      </c>
      <c r="AA9" s="346">
        <v>-2.9412604417222879E-3</v>
      </c>
    </row>
    <row r="10" spans="1:27" ht="14">
      <c r="A10" s="345" t="s">
        <v>515</v>
      </c>
      <c r="B10" s="144">
        <v>21</v>
      </c>
      <c r="C10" s="346">
        <v>0.10773300000000001</v>
      </c>
      <c r="D10" s="346">
        <v>0.22113325819569099</v>
      </c>
      <c r="E10" s="346">
        <v>0.14947643647980269</v>
      </c>
      <c r="F10" s="346">
        <v>0.18389078322852589</v>
      </c>
      <c r="G10" s="347">
        <v>0.91888255777611116</v>
      </c>
      <c r="H10" s="347">
        <v>1.126335082</v>
      </c>
      <c r="I10" s="346">
        <v>7.7769424263999992E-2</v>
      </c>
      <c r="J10" s="346">
        <v>0.42462515200000001</v>
      </c>
      <c r="K10" s="346">
        <v>3.6699999999999997E-2</v>
      </c>
      <c r="L10" s="346">
        <v>0.23826667554395717</v>
      </c>
      <c r="M10" s="346">
        <v>6.5797852329996576E-2</v>
      </c>
      <c r="N10" s="347">
        <v>0.72391475861119148</v>
      </c>
      <c r="O10" s="347">
        <v>4.6183135329219693</v>
      </c>
      <c r="P10" s="347">
        <v>16.324606720498839</v>
      </c>
      <c r="Q10" s="347">
        <v>20.874451468155083</v>
      </c>
      <c r="R10" s="347">
        <v>2.9935529576291624</v>
      </c>
      <c r="S10" s="347">
        <v>38.691063020000001</v>
      </c>
      <c r="T10" s="346">
        <v>0.16610862361619405</v>
      </c>
      <c r="U10" s="346">
        <v>7.2522444361971097E-2</v>
      </c>
      <c r="V10" s="346">
        <v>5.4935416619938442E-2</v>
      </c>
      <c r="W10" s="346">
        <v>0.4161276992332601</v>
      </c>
      <c r="X10" s="346">
        <v>6.8844888782697219E-2</v>
      </c>
      <c r="Y10" s="346">
        <v>0.67003550942365475</v>
      </c>
      <c r="Z10" s="346">
        <v>0.67003550942365475</v>
      </c>
      <c r="AA10" s="346">
        <v>0.22111324377239883</v>
      </c>
    </row>
    <row r="11" spans="1:27" ht="14">
      <c r="A11" s="345" t="s">
        <v>516</v>
      </c>
      <c r="B11" s="144">
        <v>34</v>
      </c>
      <c r="C11" s="346">
        <v>0.30746416669999999</v>
      </c>
      <c r="D11" s="346">
        <v>0.20400857139373657</v>
      </c>
      <c r="E11" s="346">
        <v>0.2620710602824583</v>
      </c>
      <c r="F11" s="346">
        <v>9.7557901662739768E-2</v>
      </c>
      <c r="G11" s="347">
        <v>1.0907131928183842</v>
      </c>
      <c r="H11" s="347">
        <v>1.2188969089999999</v>
      </c>
      <c r="I11" s="346">
        <v>8.2582639267999983E-2</v>
      </c>
      <c r="J11" s="346">
        <v>0.57076926299999997</v>
      </c>
      <c r="K11" s="346">
        <v>3.6699999999999997E-2</v>
      </c>
      <c r="L11" s="346">
        <v>0.1613435249427651</v>
      </c>
      <c r="M11" s="346">
        <v>7.3699445673473668E-2</v>
      </c>
      <c r="N11" s="347">
        <v>1.3299918592631239</v>
      </c>
      <c r="O11" s="347">
        <v>4.8814243170335638</v>
      </c>
      <c r="P11" s="347">
        <v>19.920651630593337</v>
      </c>
      <c r="Q11" s="347">
        <v>23.730552017434444</v>
      </c>
      <c r="R11" s="347">
        <v>8.0482581134651685</v>
      </c>
      <c r="S11" s="347">
        <v>39.868982629999998</v>
      </c>
      <c r="T11" s="346">
        <v>-7.6917899949926066E-2</v>
      </c>
      <c r="U11" s="346">
        <v>4.7022848434798425E-2</v>
      </c>
      <c r="V11" s="346">
        <v>8.7601251344702577E-2</v>
      </c>
      <c r="W11" s="346">
        <v>0.48511616851522715</v>
      </c>
      <c r="X11" s="346">
        <v>0.40249442291518872</v>
      </c>
      <c r="Y11" s="346">
        <v>0.57438700238792317</v>
      </c>
      <c r="Z11" s="346">
        <v>0.57438700238792317</v>
      </c>
      <c r="AA11" s="346">
        <v>0.20527988770688685</v>
      </c>
    </row>
    <row r="12" spans="1:27" ht="14">
      <c r="A12" s="345" t="s">
        <v>517</v>
      </c>
      <c r="B12" s="144">
        <v>27</v>
      </c>
      <c r="C12" s="346">
        <v>9.5402000000000001E-2</v>
      </c>
      <c r="D12" s="346">
        <v>0.21993025537047728</v>
      </c>
      <c r="E12" s="346">
        <v>0.21471018773708805</v>
      </c>
      <c r="F12" s="346">
        <v>7.2438930566375348E-2</v>
      </c>
      <c r="G12" s="347">
        <v>0.72993739029315097</v>
      </c>
      <c r="H12" s="347">
        <v>1.213678059</v>
      </c>
      <c r="I12" s="346">
        <v>8.2311259067999992E-2</v>
      </c>
      <c r="J12" s="346">
        <v>0.32651548200000002</v>
      </c>
      <c r="K12" s="346">
        <v>3.27E-2</v>
      </c>
      <c r="L12" s="346">
        <v>0.49610010489701606</v>
      </c>
      <c r="M12" s="346">
        <v>5.3643489882759049E-2</v>
      </c>
      <c r="N12" s="347">
        <v>1.1344896657679504</v>
      </c>
      <c r="O12" s="347">
        <v>2.7168068208307714</v>
      </c>
      <c r="P12" s="347">
        <v>9.0584337449963712</v>
      </c>
      <c r="Q12" s="347">
        <v>12.443566410441985</v>
      </c>
      <c r="R12" s="347">
        <v>2.079228762269691</v>
      </c>
      <c r="S12" s="347">
        <v>8.5569429499999998</v>
      </c>
      <c r="T12" s="346">
        <v>0.21619790077739137</v>
      </c>
      <c r="U12" s="346">
        <v>2.7555214498372154E-2</v>
      </c>
      <c r="V12" s="346">
        <v>0.29525129500038327</v>
      </c>
      <c r="W12" s="346">
        <v>1.6626603200268615</v>
      </c>
      <c r="X12" s="346">
        <v>0.93394694708401738</v>
      </c>
      <c r="Y12" s="346">
        <v>0.38147319427015952</v>
      </c>
      <c r="Z12" s="346">
        <v>0.38147319427015947</v>
      </c>
      <c r="AA12" s="346">
        <v>0.21830773214182347</v>
      </c>
    </row>
    <row r="13" spans="1:27" ht="14">
      <c r="A13" s="345" t="s">
        <v>518</v>
      </c>
      <c r="B13" s="144">
        <v>39</v>
      </c>
      <c r="C13" s="346">
        <v>6.6592499999999999E-2</v>
      </c>
      <c r="D13" s="346">
        <v>5.4640347856453157E-3</v>
      </c>
      <c r="E13" s="346">
        <v>3.9982986736765945E-4</v>
      </c>
      <c r="F13" s="346">
        <v>0.19962886196952606</v>
      </c>
      <c r="G13" s="347">
        <v>0.56767432387195649</v>
      </c>
      <c r="H13" s="347">
        <v>1.460916203</v>
      </c>
      <c r="I13" s="346">
        <v>9.5167642555999993E-2</v>
      </c>
      <c r="J13" s="346">
        <v>0.273615777</v>
      </c>
      <c r="K13" s="346">
        <v>3.27E-2</v>
      </c>
      <c r="L13" s="346">
        <v>0.72854672843869928</v>
      </c>
      <c r="M13" s="346">
        <v>4.3701176433561764E-2</v>
      </c>
      <c r="N13" s="347">
        <v>0.19811926589991763</v>
      </c>
      <c r="O13" s="347">
        <v>6.1683847676838122</v>
      </c>
      <c r="P13" s="347" t="s">
        <v>99</v>
      </c>
      <c r="Q13" s="347" t="s">
        <v>99</v>
      </c>
      <c r="R13" s="347">
        <v>1.2734532848331903</v>
      </c>
      <c r="S13" s="347">
        <v>18.04954541</v>
      </c>
      <c r="T13" s="346" t="s">
        <v>99</v>
      </c>
      <c r="U13" s="346">
        <v>7.8033454976208019E-2</v>
      </c>
      <c r="V13" s="346">
        <v>7.4357875342783972E-2</v>
      </c>
      <c r="W13" s="346">
        <v>-71.686443300801812</v>
      </c>
      <c r="X13" s="346">
        <v>0.1405687926327982</v>
      </c>
      <c r="Y13" s="346">
        <v>0.22212173378697717</v>
      </c>
      <c r="Z13" s="346">
        <v>0.22212173378697719</v>
      </c>
      <c r="AA13" s="346">
        <v>2.3068951960916614E-3</v>
      </c>
    </row>
    <row r="14" spans="1:27" ht="14">
      <c r="A14" s="345" t="s">
        <v>519</v>
      </c>
      <c r="B14" s="144">
        <v>42</v>
      </c>
      <c r="C14" s="346">
        <v>0.12306896549999999</v>
      </c>
      <c r="D14" s="346">
        <v>9.014496582530461E-2</v>
      </c>
      <c r="E14" s="346">
        <v>0.18653741318760034</v>
      </c>
      <c r="F14" s="346">
        <v>0.24825877329412097</v>
      </c>
      <c r="G14" s="347">
        <v>1.0185312839204805</v>
      </c>
      <c r="H14" s="347">
        <v>1.2316485930000001</v>
      </c>
      <c r="I14" s="346">
        <v>8.3245726835999997E-2</v>
      </c>
      <c r="J14" s="346">
        <v>0.30778449400000002</v>
      </c>
      <c r="K14" s="346">
        <v>3.27E-2</v>
      </c>
      <c r="L14" s="346">
        <v>0.24284915276104327</v>
      </c>
      <c r="M14" s="346">
        <v>6.8985448074364741E-2</v>
      </c>
      <c r="N14" s="347">
        <v>2.4160680603788003</v>
      </c>
      <c r="O14" s="347">
        <v>1.6042963359031559</v>
      </c>
      <c r="P14" s="347">
        <v>12.27972857387538</v>
      </c>
      <c r="Q14" s="347">
        <v>17.355248688509789</v>
      </c>
      <c r="R14" s="347">
        <v>3.9876546398431696</v>
      </c>
      <c r="S14" s="347">
        <v>25.417557009999999</v>
      </c>
      <c r="T14" s="346">
        <v>0.15914948522476616</v>
      </c>
      <c r="U14" s="346">
        <v>2.8101837152804374E-2</v>
      </c>
      <c r="V14" s="346">
        <v>1.8273444427528804E-2</v>
      </c>
      <c r="W14" s="346">
        <v>0.30102471254587032</v>
      </c>
      <c r="X14" s="346">
        <v>0.14051425963604217</v>
      </c>
      <c r="Y14" s="346">
        <v>0.26745584007445511</v>
      </c>
      <c r="Z14" s="346">
        <v>0.26745584007445511</v>
      </c>
      <c r="AA14" s="346">
        <v>9.2213892895124758E-2</v>
      </c>
    </row>
    <row r="15" spans="1:27" ht="14">
      <c r="A15" s="345" t="s">
        <v>520</v>
      </c>
      <c r="B15" s="144">
        <v>165</v>
      </c>
      <c r="C15" s="346">
        <v>9.5694102559999994E-2</v>
      </c>
      <c r="D15" s="346">
        <v>0.10186274115821865</v>
      </c>
      <c r="E15" s="346">
        <v>0.2193703432956895</v>
      </c>
      <c r="F15" s="346">
        <v>0.20236902734388063</v>
      </c>
      <c r="G15" s="347">
        <v>0.89488661716469986</v>
      </c>
      <c r="H15" s="347">
        <v>1.065922206</v>
      </c>
      <c r="I15" s="346">
        <v>7.4627954711999997E-2</v>
      </c>
      <c r="J15" s="346">
        <v>0.43797296699999999</v>
      </c>
      <c r="K15" s="346">
        <v>3.6699999999999997E-2</v>
      </c>
      <c r="L15" s="346">
        <v>0.23257179257409594</v>
      </c>
      <c r="M15" s="346">
        <v>6.3673136099093697E-2</v>
      </c>
      <c r="N15" s="347">
        <v>2.2774748412500991</v>
      </c>
      <c r="O15" s="347">
        <v>2.3914383071189884</v>
      </c>
      <c r="P15" s="347">
        <v>13.995354841319832</v>
      </c>
      <c r="Q15" s="347">
        <v>22.566579621152737</v>
      </c>
      <c r="R15" s="347">
        <v>5.0026678252480616</v>
      </c>
      <c r="S15" s="347">
        <v>47.538331929999998</v>
      </c>
      <c r="T15" s="346">
        <v>0.14662963143092647</v>
      </c>
      <c r="U15" s="346">
        <v>3.475301358749025E-2</v>
      </c>
      <c r="V15" s="346">
        <v>1.142438648740118E-2</v>
      </c>
      <c r="W15" s="346">
        <v>0.21646275829927772</v>
      </c>
      <c r="X15" s="346">
        <v>0.10236449926592565</v>
      </c>
      <c r="Y15" s="346">
        <v>0.73822621955670353</v>
      </c>
      <c r="Z15" s="346">
        <v>0.73822621955670353</v>
      </c>
      <c r="AA15" s="346">
        <v>0.10504163763794887</v>
      </c>
    </row>
    <row r="16" spans="1:27" ht="14">
      <c r="A16" s="345" t="s">
        <v>521</v>
      </c>
      <c r="B16" s="144">
        <v>14</v>
      </c>
      <c r="C16" s="346">
        <v>3.7785714290000001E-2</v>
      </c>
      <c r="D16" s="346">
        <v>0.17946618863973934</v>
      </c>
      <c r="E16" s="346">
        <v>0.12146173570716183</v>
      </c>
      <c r="F16" s="346">
        <v>0.21218716705726146</v>
      </c>
      <c r="G16" s="347">
        <v>0.77660827932883303</v>
      </c>
      <c r="H16" s="347">
        <v>1.1145650039999999</v>
      </c>
      <c r="I16" s="346">
        <v>7.715738020799999E-2</v>
      </c>
      <c r="J16" s="346">
        <v>0.25027460600000001</v>
      </c>
      <c r="K16" s="346">
        <v>3.27E-2</v>
      </c>
      <c r="L16" s="346">
        <v>0.37567083068677742</v>
      </c>
      <c r="M16" s="346">
        <v>5.7384930214238329E-2</v>
      </c>
      <c r="N16" s="347">
        <v>0.79236723103221673</v>
      </c>
      <c r="O16" s="347">
        <v>3.4385723692403647</v>
      </c>
      <c r="P16" s="347">
        <v>10.120034944574694</v>
      </c>
      <c r="Q16" s="347">
        <v>18.551735617790538</v>
      </c>
      <c r="R16" s="347">
        <v>2.6112367323551209</v>
      </c>
      <c r="S16" s="347">
        <v>80.571983590000002</v>
      </c>
      <c r="T16" s="346">
        <v>1.4944040070023307E-2</v>
      </c>
      <c r="U16" s="346">
        <v>0.11188728331600299</v>
      </c>
      <c r="V16" s="346">
        <v>0.16575228492078842</v>
      </c>
      <c r="W16" s="346">
        <v>1.2440278026780629</v>
      </c>
      <c r="X16" s="346">
        <v>0.11755699477898732</v>
      </c>
      <c r="Y16" s="346">
        <v>0.23150560041677523</v>
      </c>
      <c r="Z16" s="346">
        <v>0.23150560041677526</v>
      </c>
      <c r="AA16" s="346">
        <v>0.1793052087689119</v>
      </c>
    </row>
    <row r="17" spans="1:27" ht="14">
      <c r="A17" s="345" t="s">
        <v>522</v>
      </c>
      <c r="B17" s="144">
        <v>43</v>
      </c>
      <c r="C17" s="346">
        <v>6.7821764709999996E-2</v>
      </c>
      <c r="D17" s="346">
        <v>8.2980436120185422E-2</v>
      </c>
      <c r="E17" s="346">
        <v>0.11681580455954943</v>
      </c>
      <c r="F17" s="346">
        <v>0.25877611940298506</v>
      </c>
      <c r="G17" s="347">
        <v>0.99295661249847555</v>
      </c>
      <c r="H17" s="347">
        <v>1.3668277090000001</v>
      </c>
      <c r="I17" s="346">
        <v>9.0275040867999992E-2</v>
      </c>
      <c r="J17" s="346">
        <v>0.51958372900000005</v>
      </c>
      <c r="K17" s="346">
        <v>3.6699999999999997E-2</v>
      </c>
      <c r="L17" s="346">
        <v>0.37921577053650712</v>
      </c>
      <c r="M17" s="346">
        <v>6.6479235769044062E-2</v>
      </c>
      <c r="N17" s="347">
        <v>1.5021790996996895</v>
      </c>
      <c r="O17" s="347">
        <v>1.2999513253428894</v>
      </c>
      <c r="P17" s="347">
        <v>8.2415773093873046</v>
      </c>
      <c r="Q17" s="347">
        <v>15.401535422513211</v>
      </c>
      <c r="R17" s="347">
        <v>2.115439610368818</v>
      </c>
      <c r="S17" s="347">
        <v>16.110174529999998</v>
      </c>
      <c r="T17" s="346">
        <v>0.16089409055217407</v>
      </c>
      <c r="U17" s="346">
        <v>5.5176156888381199E-2</v>
      </c>
      <c r="V17" s="346">
        <v>5.9233258780531678E-2</v>
      </c>
      <c r="W17" s="346">
        <v>0.75719450233441843</v>
      </c>
      <c r="X17" s="346">
        <v>9.1573417508780869E-2</v>
      </c>
      <c r="Y17" s="346">
        <v>0.90862384252056094</v>
      </c>
      <c r="Z17" s="346">
        <v>0.90862384252056094</v>
      </c>
      <c r="AA17" s="346">
        <v>8.3326025178573279E-2</v>
      </c>
    </row>
    <row r="18" spans="1:27" ht="14">
      <c r="A18" s="345" t="s">
        <v>523</v>
      </c>
      <c r="B18" s="144">
        <v>6</v>
      </c>
      <c r="C18" s="346">
        <v>-4.7995000000000003E-2</v>
      </c>
      <c r="D18" s="346">
        <v>0.10748918518028831</v>
      </c>
      <c r="E18" s="346">
        <v>0.11784519554019143</v>
      </c>
      <c r="F18" s="346">
        <v>0.23099703849950642</v>
      </c>
      <c r="G18" s="347">
        <v>1.2147165368811397</v>
      </c>
      <c r="H18" s="347">
        <v>1.8528643010000001</v>
      </c>
      <c r="I18" s="346">
        <v>0.115548943652</v>
      </c>
      <c r="J18" s="346">
        <v>0.35918607699999999</v>
      </c>
      <c r="K18" s="346">
        <v>3.27E-2</v>
      </c>
      <c r="L18" s="346">
        <v>0.44027836028539163</v>
      </c>
      <c r="M18" s="346">
        <v>7.5473070994187555E-2</v>
      </c>
      <c r="N18" s="347">
        <v>1.2364889093567428</v>
      </c>
      <c r="O18" s="347">
        <v>1.3518785476120629</v>
      </c>
      <c r="P18" s="347">
        <v>7.9392908395149808</v>
      </c>
      <c r="Q18" s="347">
        <v>12.525383754048809</v>
      </c>
      <c r="R18" s="347">
        <v>1.8923261761731993</v>
      </c>
      <c r="S18" s="347">
        <v>10.48037633</v>
      </c>
      <c r="T18" s="346">
        <v>0.19996777245701958</v>
      </c>
      <c r="U18" s="346">
        <v>5.6617182238492075E-2</v>
      </c>
      <c r="V18" s="346">
        <v>4.695528221824662E-3</v>
      </c>
      <c r="W18" s="346">
        <v>6.579985416702698E-2</v>
      </c>
      <c r="X18" s="346">
        <v>0.10065057105681653</v>
      </c>
      <c r="Y18" s="346">
        <v>0.62721440199176481</v>
      </c>
      <c r="Z18" s="346">
        <v>0.62721440199176481</v>
      </c>
      <c r="AA18" s="346">
        <v>0.10814244321961418</v>
      </c>
    </row>
    <row r="19" spans="1:27" ht="14">
      <c r="A19" s="345" t="s">
        <v>524</v>
      </c>
      <c r="B19" s="144">
        <v>94</v>
      </c>
      <c r="C19" s="346">
        <v>6.7821886789999994E-2</v>
      </c>
      <c r="D19" s="346">
        <v>0.12568248019756356</v>
      </c>
      <c r="E19" s="346">
        <v>0.12929574120608997</v>
      </c>
      <c r="F19" s="346">
        <v>0.254286908586703</v>
      </c>
      <c r="G19" s="347">
        <v>0.96485709428166544</v>
      </c>
      <c r="H19" s="347">
        <v>1.1351903860000001</v>
      </c>
      <c r="I19" s="346">
        <v>7.8229900071999994E-2</v>
      </c>
      <c r="J19" s="346">
        <v>0.48361232900000001</v>
      </c>
      <c r="K19" s="346">
        <v>3.6699999999999997E-2</v>
      </c>
      <c r="L19" s="346">
        <v>0.22194966217538845</v>
      </c>
      <c r="M19" s="346">
        <v>6.6975964630382773E-2</v>
      </c>
      <c r="N19" s="347">
        <v>1.1250368699909405</v>
      </c>
      <c r="O19" s="347">
        <v>2.0907907037401423</v>
      </c>
      <c r="P19" s="347">
        <v>10.564246843917338</v>
      </c>
      <c r="Q19" s="347">
        <v>16.377615637130713</v>
      </c>
      <c r="R19" s="347">
        <v>2.6117664773403653</v>
      </c>
      <c r="S19" s="347">
        <v>25.33832554</v>
      </c>
      <c r="T19" s="346">
        <v>0.163264963981507</v>
      </c>
      <c r="U19" s="346">
        <v>5.1255363344911528E-2</v>
      </c>
      <c r="V19" s="346">
        <v>4.7013213610677777E-2</v>
      </c>
      <c r="W19" s="346">
        <v>0.6110310002670083</v>
      </c>
      <c r="X19" s="346">
        <v>5.6845590271146884E-2</v>
      </c>
      <c r="Y19" s="346">
        <v>0.63994212453650456</v>
      </c>
      <c r="Z19" s="346">
        <v>0.63994212453650456</v>
      </c>
      <c r="AA19" s="346">
        <v>0.1289481350888777</v>
      </c>
    </row>
    <row r="20" spans="1:27" ht="14">
      <c r="A20" s="345" t="s">
        <v>525</v>
      </c>
      <c r="B20" s="144">
        <v>22</v>
      </c>
      <c r="C20" s="346">
        <v>-0.11687142859999999</v>
      </c>
      <c r="D20" s="346">
        <v>6.6301168875299604E-2</v>
      </c>
      <c r="E20" s="346">
        <v>0.12696818066119872</v>
      </c>
      <c r="F20" s="346">
        <v>2.6527058823529411E-2</v>
      </c>
      <c r="G20" s="347">
        <v>1.0486643640232785</v>
      </c>
      <c r="H20" s="347">
        <v>1.3959042749999999</v>
      </c>
      <c r="I20" s="346">
        <v>9.1787022299999993E-2</v>
      </c>
      <c r="J20" s="346">
        <v>0.54709193</v>
      </c>
      <c r="K20" s="346">
        <v>3.6699999999999997E-2</v>
      </c>
      <c r="L20" s="346">
        <v>0.44348948803773941</v>
      </c>
      <c r="M20" s="346">
        <v>6.3287490929903212E-2</v>
      </c>
      <c r="N20" s="347">
        <v>1.8584999265102529</v>
      </c>
      <c r="O20" s="347">
        <v>0.61661760957763034</v>
      </c>
      <c r="P20" s="347">
        <v>2.2516026127492084</v>
      </c>
      <c r="Q20" s="347">
        <v>6.3252013430003098</v>
      </c>
      <c r="R20" s="347">
        <v>0.85799855612721543</v>
      </c>
      <c r="S20" s="347">
        <v>10.29573167</v>
      </c>
      <c r="T20" s="346">
        <v>5.9359084201607119E-2</v>
      </c>
      <c r="U20" s="346">
        <v>7.9254243453653797E-2</v>
      </c>
      <c r="V20" s="346">
        <v>-8.4905854567333284E-3</v>
      </c>
      <c r="W20" s="346">
        <v>0.12652077511135348</v>
      </c>
      <c r="X20" s="346">
        <v>0.11588977849579879</v>
      </c>
      <c r="Y20" s="346">
        <v>0.16812163662765867</v>
      </c>
      <c r="Z20" s="346">
        <v>0.16812163662765867</v>
      </c>
      <c r="AA20" s="346">
        <v>6.8986564952907878E-2</v>
      </c>
    </row>
    <row r="21" spans="1:27" ht="14">
      <c r="A21" s="345" t="s">
        <v>526</v>
      </c>
      <c r="B21" s="144">
        <v>106</v>
      </c>
      <c r="C21" s="346">
        <v>0.1582766038</v>
      </c>
      <c r="D21" s="346">
        <v>7.6459412007906929E-2</v>
      </c>
      <c r="E21" s="346">
        <v>0.2489135369885101</v>
      </c>
      <c r="F21" s="346">
        <v>0.24760645767124959</v>
      </c>
      <c r="G21" s="347">
        <v>0.95286626462920188</v>
      </c>
      <c r="H21" s="347">
        <v>1.2030223950000001</v>
      </c>
      <c r="I21" s="346">
        <v>8.1757164539999996E-2</v>
      </c>
      <c r="J21" s="346">
        <v>0.45521436300000001</v>
      </c>
      <c r="K21" s="346">
        <v>3.6699999999999997E-2</v>
      </c>
      <c r="L21" s="346">
        <v>0.30865289332072232</v>
      </c>
      <c r="M21" s="346">
        <v>6.5018250043683515E-2</v>
      </c>
      <c r="N21" s="347">
        <v>3.3657491912923905</v>
      </c>
      <c r="O21" s="347">
        <v>1.281841587578139</v>
      </c>
      <c r="P21" s="347">
        <v>10.361520723010797</v>
      </c>
      <c r="Q21" s="347">
        <v>15.919852718087524</v>
      </c>
      <c r="R21" s="347">
        <v>3.8076090055636551</v>
      </c>
      <c r="S21" s="347">
        <v>29.133204800000001</v>
      </c>
      <c r="T21" s="346">
        <v>0.1277046643289384</v>
      </c>
      <c r="U21" s="346">
        <v>1.4625222241111725E-2</v>
      </c>
      <c r="V21" s="346">
        <v>0.1091026251261477</v>
      </c>
      <c r="W21" s="346">
        <v>1.7986021688326541</v>
      </c>
      <c r="X21" s="346">
        <v>0.17286940934309591</v>
      </c>
      <c r="Y21" s="346">
        <v>0.52135572556874443</v>
      </c>
      <c r="Z21" s="346">
        <v>0.52135572556874443</v>
      </c>
      <c r="AA21" s="346">
        <v>8.1088643921760961E-2</v>
      </c>
    </row>
    <row r="22" spans="1:27" ht="14">
      <c r="A22" s="345" t="s">
        <v>527</v>
      </c>
      <c r="B22" s="144">
        <v>48</v>
      </c>
      <c r="C22" s="346">
        <v>-1.9206818180000002E-2</v>
      </c>
      <c r="D22" s="346">
        <v>0.15505305501311756</v>
      </c>
      <c r="E22" s="346">
        <v>0.22641153931591998</v>
      </c>
      <c r="F22" s="346">
        <v>0.15801633058493908</v>
      </c>
      <c r="G22" s="347">
        <v>1.6400833392351297</v>
      </c>
      <c r="H22" s="347">
        <v>1.748007023</v>
      </c>
      <c r="I22" s="346">
        <v>0.110096365196</v>
      </c>
      <c r="J22" s="346">
        <v>0.50405888700000001</v>
      </c>
      <c r="K22" s="346">
        <v>3.6699999999999997E-2</v>
      </c>
      <c r="L22" s="346">
        <v>0.13413065168401633</v>
      </c>
      <c r="M22" s="346">
        <v>9.9021014171821603E-2</v>
      </c>
      <c r="N22" s="347">
        <v>1.519805777338354</v>
      </c>
      <c r="O22" s="347">
        <v>3.2265807729785143</v>
      </c>
      <c r="P22" s="347">
        <v>15.129052029671968</v>
      </c>
      <c r="Q22" s="347">
        <v>20.798592202677021</v>
      </c>
      <c r="R22" s="347">
        <v>11.026904564318405</v>
      </c>
      <c r="S22" s="347">
        <v>28.918676869999999</v>
      </c>
      <c r="T22" s="346">
        <v>-8.1286689189563721E-2</v>
      </c>
      <c r="U22" s="346">
        <v>3.5109154999138754E-2</v>
      </c>
      <c r="V22" s="346">
        <v>6.7355542549207515E-3</v>
      </c>
      <c r="W22" s="346">
        <v>9.30639604432245E-2</v>
      </c>
      <c r="X22" s="346">
        <v>0.39992894420649971</v>
      </c>
      <c r="Y22" s="346">
        <v>0.26844042237803289</v>
      </c>
      <c r="Z22" s="346">
        <v>0.26844042237803289</v>
      </c>
      <c r="AA22" s="346">
        <v>0.15857313757823294</v>
      </c>
    </row>
    <row r="23" spans="1:27" ht="14">
      <c r="A23" s="345" t="s">
        <v>528</v>
      </c>
      <c r="B23" s="144">
        <v>44</v>
      </c>
      <c r="C23" s="346">
        <v>4.333E-2</v>
      </c>
      <c r="D23" s="346">
        <v>0.11925932256903239</v>
      </c>
      <c r="E23" s="346">
        <v>0.1598085392980638</v>
      </c>
      <c r="F23" s="346">
        <v>0.22146818993833919</v>
      </c>
      <c r="G23" s="347">
        <v>1.10359654774166</v>
      </c>
      <c r="H23" s="347">
        <v>1.363622994</v>
      </c>
      <c r="I23" s="346">
        <v>9.0108395687999984E-2</v>
      </c>
      <c r="J23" s="346">
        <v>0.29907074300000003</v>
      </c>
      <c r="K23" s="346">
        <v>3.27E-2</v>
      </c>
      <c r="L23" s="346">
        <v>0.2864146483685801</v>
      </c>
      <c r="M23" s="346">
        <v>7.1324350473204012E-2</v>
      </c>
      <c r="N23" s="347">
        <v>1.5686120506936665</v>
      </c>
      <c r="O23" s="347">
        <v>1.681907440072824</v>
      </c>
      <c r="P23" s="347">
        <v>10.498742039443274</v>
      </c>
      <c r="Q23" s="347">
        <v>13.977919645053262</v>
      </c>
      <c r="R23" s="347">
        <v>3.4080444907877325</v>
      </c>
      <c r="S23" s="347">
        <v>39.580936819999998</v>
      </c>
      <c r="T23" s="346">
        <v>0.15084214838812915</v>
      </c>
      <c r="U23" s="346">
        <v>5.165879247732081E-2</v>
      </c>
      <c r="V23" s="346">
        <v>4.4032904078034799E-2</v>
      </c>
      <c r="W23" s="346">
        <v>0.65085249622129537</v>
      </c>
      <c r="X23" s="346">
        <v>0.24777437380856945</v>
      </c>
      <c r="Y23" s="346">
        <v>0.28546259658334305</v>
      </c>
      <c r="Z23" s="346">
        <v>0.28546259658334305</v>
      </c>
      <c r="AA23" s="346">
        <v>0.12089188261342128</v>
      </c>
    </row>
    <row r="24" spans="1:27" ht="14">
      <c r="A24" s="345" t="s">
        <v>529</v>
      </c>
      <c r="B24" s="144">
        <v>23</v>
      </c>
      <c r="C24" s="346">
        <v>0.15157999999999999</v>
      </c>
      <c r="D24" s="346">
        <v>0.13716128195166619</v>
      </c>
      <c r="E24" s="346">
        <v>0.11554605698734828</v>
      </c>
      <c r="F24" s="346">
        <v>0.17898424204919666</v>
      </c>
      <c r="G24" s="347">
        <v>1.2484828302966493</v>
      </c>
      <c r="H24" s="347">
        <v>1.4018521020000001</v>
      </c>
      <c r="I24" s="346">
        <v>9.2096309303999993E-2</v>
      </c>
      <c r="J24" s="346">
        <v>0.38156955399999998</v>
      </c>
      <c r="K24" s="346">
        <v>3.27E-2</v>
      </c>
      <c r="L24" s="346">
        <v>0.237569073486817</v>
      </c>
      <c r="M24" s="346">
        <v>7.604345595835757E-2</v>
      </c>
      <c r="N24" s="347">
        <v>0.90716458825137425</v>
      </c>
      <c r="O24" s="347">
        <v>2.4462397391015189</v>
      </c>
      <c r="P24" s="347">
        <v>12.920713109809119</v>
      </c>
      <c r="Q24" s="347">
        <v>17.84345276157449</v>
      </c>
      <c r="R24" s="347">
        <v>1.9308435435694835</v>
      </c>
      <c r="S24" s="347">
        <v>22.7751588</v>
      </c>
      <c r="T24" s="346">
        <v>5.5528961897387395E-2</v>
      </c>
      <c r="U24" s="346">
        <v>5.6974823001817762E-2</v>
      </c>
      <c r="V24" s="346">
        <v>2.7970246119444771E-2</v>
      </c>
      <c r="W24" s="346">
        <v>0.28604175363623613</v>
      </c>
      <c r="X24" s="346">
        <v>7.8600207761288399E-2</v>
      </c>
      <c r="Y24" s="346">
        <v>0.18222631995737143</v>
      </c>
      <c r="Z24" s="346">
        <v>0.18222631995737149</v>
      </c>
      <c r="AA24" s="346">
        <v>0.13653176793162755</v>
      </c>
    </row>
    <row r="25" spans="1:27" ht="14">
      <c r="A25" s="345" t="s">
        <v>530</v>
      </c>
      <c r="B25" s="144">
        <v>503</v>
      </c>
      <c r="C25" s="346">
        <v>0.31894077459999998</v>
      </c>
      <c r="D25" s="346">
        <v>0.11254811389226776</v>
      </c>
      <c r="E25" s="346">
        <v>8.6418583640002003E-2</v>
      </c>
      <c r="F25" s="346">
        <v>0.14877682505820505</v>
      </c>
      <c r="G25" s="347">
        <v>1.3891731337867141</v>
      </c>
      <c r="H25" s="347">
        <v>1.4334516639999999</v>
      </c>
      <c r="I25" s="346">
        <v>9.3739486527999988E-2</v>
      </c>
      <c r="J25" s="346">
        <v>0.67447285999999995</v>
      </c>
      <c r="K25" s="346">
        <v>4.4200000000000003E-2</v>
      </c>
      <c r="L25" s="346">
        <v>0.12726538790327405</v>
      </c>
      <c r="M25" s="346">
        <v>8.6028542022153875E-2</v>
      </c>
      <c r="N25" s="347">
        <v>0.4284180215573512</v>
      </c>
      <c r="O25" s="347">
        <v>7.3280411636878471</v>
      </c>
      <c r="P25" s="347">
        <v>13.294180666265783</v>
      </c>
      <c r="Q25" s="347">
        <v>45.768304108938807</v>
      </c>
      <c r="R25" s="347">
        <v>7.0786175954530641</v>
      </c>
      <c r="S25" s="347">
        <v>77.555608820000003</v>
      </c>
      <c r="T25" s="346">
        <v>0.13136289662695042</v>
      </c>
      <c r="U25" s="346">
        <v>4.044147279993307E-2</v>
      </c>
      <c r="V25" s="346">
        <v>9.589662876354435E-2</v>
      </c>
      <c r="W25" s="346">
        <v>1.6406232719984071</v>
      </c>
      <c r="X25" s="346">
        <v>-9.3674031670314493E-3</v>
      </c>
      <c r="Y25" s="346">
        <v>1.02280404E-3</v>
      </c>
      <c r="Z25" s="346">
        <v>1.0228040399999916E-3</v>
      </c>
      <c r="AA25" s="346">
        <v>0.20239160409629856</v>
      </c>
    </row>
    <row r="26" spans="1:27" ht="14">
      <c r="A26" s="345" t="s">
        <v>531</v>
      </c>
      <c r="B26" s="144">
        <v>267</v>
      </c>
      <c r="C26" s="346">
        <v>0.31720549999999997</v>
      </c>
      <c r="D26" s="346">
        <v>0.24854001055085334</v>
      </c>
      <c r="E26" s="346">
        <v>0.18292849705273642</v>
      </c>
      <c r="F26" s="346">
        <v>0.13193476060329154</v>
      </c>
      <c r="G26" s="347">
        <v>1.2856575366949226</v>
      </c>
      <c r="H26" s="347">
        <v>1.3615909020000001</v>
      </c>
      <c r="I26" s="346">
        <v>9.0002726903999991E-2</v>
      </c>
      <c r="J26" s="346">
        <v>0.77136651300000003</v>
      </c>
      <c r="K26" s="346">
        <v>6.9199999999999998E-2</v>
      </c>
      <c r="L26" s="346">
        <v>0.12990956038859611</v>
      </c>
      <c r="M26" s="346">
        <v>8.5052818402294617E-2</v>
      </c>
      <c r="N26" s="347">
        <v>0.76219970760471745</v>
      </c>
      <c r="O26" s="347">
        <v>5.436403122818616</v>
      </c>
      <c r="P26" s="347">
        <v>14.565500802857626</v>
      </c>
      <c r="Q26" s="347">
        <v>21.076432719529286</v>
      </c>
      <c r="R26" s="347">
        <v>6.3319439326783522</v>
      </c>
      <c r="S26" s="347">
        <v>58.183541409999997</v>
      </c>
      <c r="T26" s="346">
        <v>0.20669911076277772</v>
      </c>
      <c r="U26" s="346">
        <v>5.1571590198258972E-2</v>
      </c>
      <c r="V26" s="346">
        <v>9.4703311269732415E-2</v>
      </c>
      <c r="W26" s="346">
        <v>0.43560733665315665</v>
      </c>
      <c r="X26" s="346">
        <v>0.21508119987036403</v>
      </c>
      <c r="Y26" s="346">
        <v>0.61394090234833509</v>
      </c>
      <c r="Z26" s="346">
        <v>0.61394090234833509</v>
      </c>
      <c r="AA26" s="346">
        <v>0.2433667420433816</v>
      </c>
    </row>
    <row r="27" spans="1:27" ht="14">
      <c r="A27" s="345" t="s">
        <v>532</v>
      </c>
      <c r="B27" s="144">
        <v>35</v>
      </c>
      <c r="C27" s="346">
        <v>2.7605000000000001E-2</v>
      </c>
      <c r="D27" s="346">
        <v>8.75006247872748E-2</v>
      </c>
      <c r="E27" s="346">
        <v>0.10845001844440375</v>
      </c>
      <c r="F27" s="346">
        <v>0.28479355915895521</v>
      </c>
      <c r="G27" s="347">
        <v>1.3560146590000444</v>
      </c>
      <c r="H27" s="347">
        <v>1.6056034619999999</v>
      </c>
      <c r="I27" s="346">
        <v>0.10269138002399998</v>
      </c>
      <c r="J27" s="346">
        <v>0.37644069299999999</v>
      </c>
      <c r="K27" s="346">
        <v>3.27E-2</v>
      </c>
      <c r="L27" s="346">
        <v>0.25194385204485398</v>
      </c>
      <c r="M27" s="346">
        <v>8.2997841140351497E-2</v>
      </c>
      <c r="N27" s="347">
        <v>1.3113086120747015</v>
      </c>
      <c r="O27" s="347">
        <v>2.5873418383740772</v>
      </c>
      <c r="P27" s="347">
        <v>14.460654860875968</v>
      </c>
      <c r="Q27" s="347">
        <v>29.266476426780478</v>
      </c>
      <c r="R27" s="347">
        <v>2.509803073480382</v>
      </c>
      <c r="S27" s="347">
        <v>22.195640000000001</v>
      </c>
      <c r="T27" s="346">
        <v>0.12305143724874627</v>
      </c>
      <c r="U27" s="346">
        <v>5.1996522612539064E-2</v>
      </c>
      <c r="V27" s="346">
        <v>5.7971333569760787E-2</v>
      </c>
      <c r="W27" s="346">
        <v>1.2131835974606873</v>
      </c>
      <c r="X27" s="346">
        <v>0.12899887000370264</v>
      </c>
      <c r="Y27" s="346">
        <v>4.5584872520508544E-2</v>
      </c>
      <c r="Z27" s="346">
        <v>4.5584872520508579E-2</v>
      </c>
      <c r="AA27" s="346">
        <v>8.8427339322563983E-2</v>
      </c>
    </row>
    <row r="28" spans="1:27" ht="14">
      <c r="A28" s="345" t="s">
        <v>533</v>
      </c>
      <c r="B28" s="144">
        <v>113</v>
      </c>
      <c r="C28" s="346">
        <v>9.1217000000000006E-2</v>
      </c>
      <c r="D28" s="346">
        <v>0.13609823618673311</v>
      </c>
      <c r="E28" s="346">
        <v>0.25595347603691587</v>
      </c>
      <c r="F28" s="346">
        <v>0.18088445965228547</v>
      </c>
      <c r="G28" s="347">
        <v>1.307118859086069</v>
      </c>
      <c r="H28" s="347">
        <v>1.444743618</v>
      </c>
      <c r="I28" s="346">
        <v>9.4326668135999991E-2</v>
      </c>
      <c r="J28" s="346">
        <v>0.53671661199999998</v>
      </c>
      <c r="K28" s="346">
        <v>3.6699999999999997E-2</v>
      </c>
      <c r="L28" s="346">
        <v>0.1735259964182832</v>
      </c>
      <c r="M28" s="346">
        <v>8.2734842110297122E-2</v>
      </c>
      <c r="N28" s="347">
        <v>1.8975642180059884</v>
      </c>
      <c r="O28" s="347">
        <v>2.5604867947806351</v>
      </c>
      <c r="P28" s="347">
        <v>12.818428152115869</v>
      </c>
      <c r="Q28" s="347">
        <v>17.788042477349549</v>
      </c>
      <c r="R28" s="347">
        <v>4.8466575845903419</v>
      </c>
      <c r="S28" s="347">
        <v>29.84977452</v>
      </c>
      <c r="T28" s="346">
        <v>0.19732322536089533</v>
      </c>
      <c r="U28" s="346">
        <v>4.4427375523560943E-2</v>
      </c>
      <c r="V28" s="346">
        <v>5.5372031136148428E-2</v>
      </c>
      <c r="W28" s="346">
        <v>0.53753876361700059</v>
      </c>
      <c r="X28" s="346">
        <v>0.20081954767808216</v>
      </c>
      <c r="Y28" s="346">
        <v>0.36795574474505749</v>
      </c>
      <c r="Z28" s="346">
        <v>0.36795574474505743</v>
      </c>
      <c r="AA28" s="346">
        <v>0.14033600199906909</v>
      </c>
    </row>
    <row r="29" spans="1:27" ht="14">
      <c r="A29" s="345" t="s">
        <v>534</v>
      </c>
      <c r="B29" s="144">
        <v>20</v>
      </c>
      <c r="C29" s="346">
        <v>5.860727273E-2</v>
      </c>
      <c r="D29" s="346">
        <v>-1.2668277255638224E-2</v>
      </c>
      <c r="E29" s="346">
        <v>-2.1171444359315009E-2</v>
      </c>
      <c r="F29" s="346">
        <v>0.6277621534752913</v>
      </c>
      <c r="G29" s="347">
        <v>1.2507943575732801</v>
      </c>
      <c r="H29" s="347">
        <v>1.2754168990000001</v>
      </c>
      <c r="I29" s="346">
        <v>8.5521678747999999E-2</v>
      </c>
      <c r="J29" s="346">
        <v>0.62170468000000001</v>
      </c>
      <c r="K29" s="346">
        <v>3.6699999999999997E-2</v>
      </c>
      <c r="L29" s="346">
        <v>0.17127786855295413</v>
      </c>
      <c r="M29" s="346">
        <v>7.5588131228892144E-2</v>
      </c>
      <c r="N29" s="347">
        <v>1.8749195431109225</v>
      </c>
      <c r="O29" s="347">
        <v>0.91423828696380727</v>
      </c>
      <c r="P29" s="347">
        <v>15.64684012583527</v>
      </c>
      <c r="Q29" s="347" t="s">
        <v>99</v>
      </c>
      <c r="R29" s="347">
        <v>2.7553905177046634</v>
      </c>
      <c r="S29" s="347">
        <v>64.235768539999995</v>
      </c>
      <c r="T29" s="346">
        <v>0.17304741659483183</v>
      </c>
      <c r="U29" s="346">
        <v>1.717341635491727E-2</v>
      </c>
      <c r="V29" s="346">
        <v>1.9784114124921067E-3</v>
      </c>
      <c r="W29" s="346" t="s">
        <v>99</v>
      </c>
      <c r="X29" s="346">
        <v>-0.10111486815765601</v>
      </c>
      <c r="Y29" s="346">
        <v>0</v>
      </c>
      <c r="Z29" s="346">
        <v>0</v>
      </c>
      <c r="AA29" s="346">
        <v>-1.198304451530292E-2</v>
      </c>
    </row>
    <row r="30" spans="1:27" ht="14">
      <c r="A30" s="345" t="s">
        <v>535</v>
      </c>
      <c r="B30" s="144">
        <v>153</v>
      </c>
      <c r="C30" s="346">
        <v>7.8550291260000002E-2</v>
      </c>
      <c r="D30" s="346">
        <v>8.8720799795244581E-2</v>
      </c>
      <c r="E30" s="346">
        <v>0.13973838080639481</v>
      </c>
      <c r="F30" s="346">
        <v>0.18679575425341771</v>
      </c>
      <c r="G30" s="347">
        <v>1.070921529276746</v>
      </c>
      <c r="H30" s="347">
        <v>1.1509581369999999</v>
      </c>
      <c r="I30" s="346">
        <v>7.9049823123999996E-2</v>
      </c>
      <c r="J30" s="346">
        <v>0.42778592900000001</v>
      </c>
      <c r="K30" s="346">
        <v>3.6699999999999997E-2</v>
      </c>
      <c r="L30" s="346">
        <v>0.15424621704549679</v>
      </c>
      <c r="M30" s="346">
        <v>7.1102314073184653E-2</v>
      </c>
      <c r="N30" s="347">
        <v>1.6276317885330109</v>
      </c>
      <c r="O30" s="347">
        <v>1.9925549912148577</v>
      </c>
      <c r="P30" s="347">
        <v>13.073702001964598</v>
      </c>
      <c r="Q30" s="347">
        <v>21.688493110016587</v>
      </c>
      <c r="R30" s="347">
        <v>3.2726750466864374</v>
      </c>
      <c r="S30" s="347">
        <v>125.8236254</v>
      </c>
      <c r="T30" s="346">
        <v>0.21143898800512861</v>
      </c>
      <c r="U30" s="346">
        <v>5.3726607109567726E-2</v>
      </c>
      <c r="V30" s="346">
        <v>6.666307512603098E-2</v>
      </c>
      <c r="W30" s="346">
        <v>1.0602388415031281</v>
      </c>
      <c r="X30" s="346">
        <v>0.11291067555483596</v>
      </c>
      <c r="Y30" s="346">
        <v>0.24669518991119313</v>
      </c>
      <c r="Z30" s="346">
        <v>0.2466951899111931</v>
      </c>
      <c r="AA30" s="346">
        <v>9.1844761861258187E-2</v>
      </c>
    </row>
    <row r="31" spans="1:27" ht="14">
      <c r="A31" s="345" t="s">
        <v>536</v>
      </c>
      <c r="B31" s="144">
        <v>54</v>
      </c>
      <c r="C31" s="346">
        <v>8.4330000000000002E-2</v>
      </c>
      <c r="D31" s="346">
        <v>3.892484333747958E-2</v>
      </c>
      <c r="E31" s="346">
        <v>0.14554412172740805</v>
      </c>
      <c r="F31" s="346">
        <v>0.24507619982565917</v>
      </c>
      <c r="G31" s="347">
        <v>1.3250378765861548</v>
      </c>
      <c r="H31" s="347">
        <v>1.5972992109999999</v>
      </c>
      <c r="I31" s="346">
        <v>0.10225955897199999</v>
      </c>
      <c r="J31" s="346">
        <v>0.33192732400000002</v>
      </c>
      <c r="K31" s="346">
        <v>3.27E-2</v>
      </c>
      <c r="L31" s="346">
        <v>0.28197826162091472</v>
      </c>
      <c r="M31" s="346">
        <v>8.0340103165206955E-2</v>
      </c>
      <c r="N31" s="347">
        <v>3.9178996946113429</v>
      </c>
      <c r="O31" s="347">
        <v>0.7025277725419653</v>
      </c>
      <c r="P31" s="347">
        <v>9.7526514670295423</v>
      </c>
      <c r="Q31" s="347">
        <v>16.42695327484433</v>
      </c>
      <c r="R31" s="347">
        <v>1.8660388333226876</v>
      </c>
      <c r="S31" s="347">
        <v>18.707617849999998</v>
      </c>
      <c r="T31" s="346">
        <v>0.17737417740748043</v>
      </c>
      <c r="U31" s="346">
        <v>1.7773701630329135E-2</v>
      </c>
      <c r="V31" s="346">
        <v>2.8032183481609609E-2</v>
      </c>
      <c r="W31" s="346">
        <v>1.1865210072059746</v>
      </c>
      <c r="X31" s="346">
        <v>3.4260251320406082E-2</v>
      </c>
      <c r="Y31" s="346">
        <v>0.36861945525291828</v>
      </c>
      <c r="Z31" s="346">
        <v>0.36861945525291828</v>
      </c>
      <c r="AA31" s="346">
        <v>4.1021250351888659E-2</v>
      </c>
    </row>
    <row r="32" spans="1:27" ht="14">
      <c r="A32" s="345" t="s">
        <v>537</v>
      </c>
      <c r="B32" s="144">
        <v>107</v>
      </c>
      <c r="C32" s="346">
        <v>8.0477419349999996E-2</v>
      </c>
      <c r="D32" s="346">
        <v>0.13523407286877287</v>
      </c>
      <c r="E32" s="346">
        <v>0.18572742748682836</v>
      </c>
      <c r="F32" s="346">
        <v>0.20408022173353516</v>
      </c>
      <c r="G32" s="347">
        <v>1.2017030374551592</v>
      </c>
      <c r="H32" s="347">
        <v>1.3331870219999999</v>
      </c>
      <c r="I32" s="346">
        <v>8.8525725143999992E-2</v>
      </c>
      <c r="J32" s="346">
        <v>0.55572440400000001</v>
      </c>
      <c r="K32" s="346">
        <v>3.6699999999999997E-2</v>
      </c>
      <c r="L32" s="346">
        <v>0.16712343782827419</v>
      </c>
      <c r="M32" s="346">
        <v>7.8331074247917062E-2</v>
      </c>
      <c r="N32" s="347">
        <v>1.4063408522226708</v>
      </c>
      <c r="O32" s="347">
        <v>4.7187982015918033</v>
      </c>
      <c r="P32" s="347">
        <v>21.849891013216887</v>
      </c>
      <c r="Q32" s="347">
        <v>34.912738681218364</v>
      </c>
      <c r="R32" s="347">
        <v>3.7020566556354479</v>
      </c>
      <c r="S32" s="347">
        <v>47.683998889999998</v>
      </c>
      <c r="T32" s="346">
        <v>2.4932947594587626E-2</v>
      </c>
      <c r="U32" s="346">
        <v>5.2789120448005461E-2</v>
      </c>
      <c r="V32" s="346">
        <v>8.193563407338543E-2</v>
      </c>
      <c r="W32" s="346">
        <v>0.83211863995345148</v>
      </c>
      <c r="X32" s="346">
        <v>0.17660188702061802</v>
      </c>
      <c r="Y32" s="346">
        <v>0.22139221107422516</v>
      </c>
      <c r="Z32" s="346">
        <v>0.22139221107422513</v>
      </c>
      <c r="AA32" s="346">
        <v>0.13458629680602266</v>
      </c>
    </row>
    <row r="33" spans="1:27" ht="14">
      <c r="A33" s="345" t="s">
        <v>538</v>
      </c>
      <c r="B33" s="144">
        <v>82</v>
      </c>
      <c r="C33" s="346">
        <v>0.2102567742</v>
      </c>
      <c r="D33" s="346">
        <v>0.12098570228045176</v>
      </c>
      <c r="E33" s="346">
        <v>0.20001472749670868</v>
      </c>
      <c r="F33" s="346">
        <v>0.20965992035465519</v>
      </c>
      <c r="G33" s="347">
        <v>1.0485101305295534</v>
      </c>
      <c r="H33" s="347">
        <v>1.2685057959999999</v>
      </c>
      <c r="I33" s="346">
        <v>8.5162301391999984E-2</v>
      </c>
      <c r="J33" s="346">
        <v>0.44335314300000001</v>
      </c>
      <c r="K33" s="346">
        <v>3.6699999999999997E-2</v>
      </c>
      <c r="L33" s="346">
        <v>0.24062580151519003</v>
      </c>
      <c r="M33" s="346">
        <v>7.1293279547377408E-2</v>
      </c>
      <c r="N33" s="347">
        <v>1.6940501698643553</v>
      </c>
      <c r="O33" s="347">
        <v>3.0813954191663675</v>
      </c>
      <c r="P33" s="347">
        <v>13.929669795994238</v>
      </c>
      <c r="Q33" s="347">
        <v>24.913082735918561</v>
      </c>
      <c r="R33" s="347">
        <v>4.2895877572089711</v>
      </c>
      <c r="S33" s="347">
        <v>735.04878440000005</v>
      </c>
      <c r="T33" s="346">
        <v>9.9521221166625276E-2</v>
      </c>
      <c r="U33" s="346">
        <v>8.3941999794304251E-2</v>
      </c>
      <c r="V33" s="346">
        <v>5.6954587867787718E-2</v>
      </c>
      <c r="W33" s="346">
        <v>0.53799441483955557</v>
      </c>
      <c r="X33" s="346">
        <v>0.10682193684871732</v>
      </c>
      <c r="Y33" s="346">
        <v>0.53461117421342397</v>
      </c>
      <c r="Z33" s="346">
        <v>0.53461117421342397</v>
      </c>
      <c r="AA33" s="346">
        <v>0.12316680912607017</v>
      </c>
    </row>
    <row r="34" spans="1:27" ht="14">
      <c r="A34" s="345" t="s">
        <v>539</v>
      </c>
      <c r="B34" s="144">
        <v>31</v>
      </c>
      <c r="C34" s="346">
        <v>2.4687500000000002E-4</v>
      </c>
      <c r="D34" s="346">
        <v>4.0177230964001755E-2</v>
      </c>
      <c r="E34" s="346">
        <v>6.2730271006684699E-2</v>
      </c>
      <c r="F34" s="346">
        <v>0.21175836963132491</v>
      </c>
      <c r="G34" s="347">
        <v>0.62745114806840763</v>
      </c>
      <c r="H34" s="347">
        <v>0.89362508299999999</v>
      </c>
      <c r="I34" s="346">
        <v>6.5668504315999993E-2</v>
      </c>
      <c r="J34" s="346">
        <v>0.46876047700000001</v>
      </c>
      <c r="K34" s="346">
        <v>3.6699999999999997E-2</v>
      </c>
      <c r="L34" s="346">
        <v>0.38419618211811823</v>
      </c>
      <c r="M34" s="346">
        <v>5.101391558518683E-2</v>
      </c>
      <c r="N34" s="347">
        <v>1.5868509739597294</v>
      </c>
      <c r="O34" s="347">
        <v>1.0776847266333611</v>
      </c>
      <c r="P34" s="347">
        <v>13.915667730510025</v>
      </c>
      <c r="Q34" s="347">
        <v>23.761199476447878</v>
      </c>
      <c r="R34" s="347">
        <v>2.5461588360650547</v>
      </c>
      <c r="S34" s="347">
        <v>73.189374799999996</v>
      </c>
      <c r="T34" s="346">
        <v>0.11506109817037004</v>
      </c>
      <c r="U34" s="346">
        <v>3.5502183550620778E-2</v>
      </c>
      <c r="V34" s="346">
        <v>2.8937445065539625E-2</v>
      </c>
      <c r="W34" s="346">
        <v>1.3305711242328333</v>
      </c>
      <c r="X34" s="346">
        <v>9.1414494736948168E-2</v>
      </c>
      <c r="Y34" s="346">
        <v>0.56244432294060165</v>
      </c>
      <c r="Z34" s="346">
        <v>0.56244432294060165</v>
      </c>
      <c r="AA34" s="346">
        <v>4.1975817308357109E-2</v>
      </c>
    </row>
    <row r="35" spans="1:27" ht="14">
      <c r="A35" s="345" t="s">
        <v>540</v>
      </c>
      <c r="B35" s="144">
        <v>232</v>
      </c>
      <c r="C35" s="346">
        <v>0.1086845139</v>
      </c>
      <c r="D35" s="346">
        <v>7.5097373587425839E-2</v>
      </c>
      <c r="E35" s="346">
        <v>2.345884993164995E-3</v>
      </c>
      <c r="F35" s="346">
        <v>0.19830498513712722</v>
      </c>
      <c r="G35" s="347">
        <v>9.826313785398752E-2</v>
      </c>
      <c r="H35" s="347">
        <v>0.732438335</v>
      </c>
      <c r="I35" s="346">
        <v>5.7286793419999996E-2</v>
      </c>
      <c r="J35" s="346">
        <v>0.25703304100000002</v>
      </c>
      <c r="K35" s="346">
        <v>3.27E-2</v>
      </c>
      <c r="L35" s="346">
        <v>0.8981891558985402</v>
      </c>
      <c r="M35" s="346">
        <v>2.786050584236785E-2</v>
      </c>
      <c r="N35" s="347">
        <v>3.70254505549912E-2</v>
      </c>
      <c r="O35" s="347">
        <v>30.154730094897118</v>
      </c>
      <c r="P35" s="347" t="s">
        <v>99</v>
      </c>
      <c r="Q35" s="347" t="s">
        <v>99</v>
      </c>
      <c r="R35" s="347">
        <v>2.2239361985195094</v>
      </c>
      <c r="S35" s="347">
        <v>83.004518840000003</v>
      </c>
      <c r="T35" s="346" t="s">
        <v>99</v>
      </c>
      <c r="U35" s="346">
        <v>8.2434172867516906E-2</v>
      </c>
      <c r="V35" s="346">
        <v>8.3674260493084254E-2</v>
      </c>
      <c r="W35" s="346">
        <v>2.0292353240346226</v>
      </c>
      <c r="X35" s="346">
        <v>7.4864249999999995E-4</v>
      </c>
      <c r="Y35" s="346">
        <v>0.15959286495180311</v>
      </c>
      <c r="Z35" s="346">
        <v>0.15959286495180314</v>
      </c>
      <c r="AA35" s="346">
        <v>7.3965407313428613E-2</v>
      </c>
    </row>
    <row r="36" spans="1:27" ht="14">
      <c r="A36" s="345" t="s">
        <v>541</v>
      </c>
      <c r="B36" s="144">
        <v>88</v>
      </c>
      <c r="C36" s="346">
        <v>4.2364390240000001E-2</v>
      </c>
      <c r="D36" s="346">
        <v>0.12004431390715754</v>
      </c>
      <c r="E36" s="346">
        <v>0.15554861201386966</v>
      </c>
      <c r="F36" s="346">
        <v>0.14815869059912903</v>
      </c>
      <c r="G36" s="347">
        <v>0.69680824795297369</v>
      </c>
      <c r="H36" s="347">
        <v>0.87532183900000005</v>
      </c>
      <c r="I36" s="346">
        <v>6.4716735627999997E-2</v>
      </c>
      <c r="J36" s="346">
        <v>0.31529091999999997</v>
      </c>
      <c r="K36" s="346">
        <v>3.27E-2</v>
      </c>
      <c r="L36" s="346">
        <v>0.27207784056704543</v>
      </c>
      <c r="M36" s="346">
        <v>5.3781454989692168E-2</v>
      </c>
      <c r="N36" s="347">
        <v>1.3649666080470375</v>
      </c>
      <c r="O36" s="347">
        <v>2.2986527569163315</v>
      </c>
      <c r="P36" s="347">
        <v>14.264116364395472</v>
      </c>
      <c r="Q36" s="347">
        <v>18.841047218224077</v>
      </c>
      <c r="R36" s="347">
        <v>2.5811498621211344</v>
      </c>
      <c r="S36" s="347">
        <v>42.254382540000002</v>
      </c>
      <c r="T36" s="346">
        <v>6.5259351639732316E-2</v>
      </c>
      <c r="U36" s="346">
        <v>3.6066177007257699E-2</v>
      </c>
      <c r="V36" s="346">
        <v>2.7729446920432877E-2</v>
      </c>
      <c r="W36" s="346">
        <v>0.27868647415448605</v>
      </c>
      <c r="X36" s="346">
        <v>1.903131144932094E-2</v>
      </c>
      <c r="Y36" s="346">
        <v>3.0382197839036591</v>
      </c>
      <c r="Z36" s="346">
        <v>3.0382197839036591</v>
      </c>
      <c r="AA36" s="346">
        <v>0.12180748502457767</v>
      </c>
    </row>
    <row r="37" spans="1:27" ht="14">
      <c r="A37" s="345" t="s">
        <v>542</v>
      </c>
      <c r="B37" s="144">
        <v>17</v>
      </c>
      <c r="C37" s="346">
        <v>0.2285625</v>
      </c>
      <c r="D37" s="346">
        <v>2.7151757154997038E-2</v>
      </c>
      <c r="E37" s="346">
        <v>0.16824607330218941</v>
      </c>
      <c r="F37" s="346">
        <v>0.19166311149527035</v>
      </c>
      <c r="G37" s="347">
        <v>0.65776617329136733</v>
      </c>
      <c r="H37" s="347">
        <v>0.86802289899999996</v>
      </c>
      <c r="I37" s="346">
        <v>6.4337190747999998E-2</v>
      </c>
      <c r="J37" s="346">
        <v>0.31580572000000001</v>
      </c>
      <c r="K37" s="346">
        <v>3.27E-2</v>
      </c>
      <c r="L37" s="346">
        <v>0.30533221975167901</v>
      </c>
      <c r="M37" s="346">
        <v>5.2181246173735901E-2</v>
      </c>
      <c r="N37" s="347">
        <v>6.7800696012153585</v>
      </c>
      <c r="O37" s="347">
        <v>0.59928418920388837</v>
      </c>
      <c r="P37" s="347">
        <v>13.949675688869339</v>
      </c>
      <c r="Q37" s="347">
        <v>22.222359855134162</v>
      </c>
      <c r="R37" s="347">
        <v>5.9279606921405312</v>
      </c>
      <c r="S37" s="347">
        <v>47.982627399999998</v>
      </c>
      <c r="T37" s="346">
        <v>7.2428459211955412E-2</v>
      </c>
      <c r="U37" s="346">
        <v>1.180322055990941E-2</v>
      </c>
      <c r="V37" s="346">
        <v>2.4337815325241683E-2</v>
      </c>
      <c r="W37" s="346">
        <v>1.1387689133832049</v>
      </c>
      <c r="X37" s="346">
        <v>0.15512943196531642</v>
      </c>
      <c r="Y37" s="346">
        <v>0.50639378139235891</v>
      </c>
      <c r="Z37" s="346">
        <v>0.50639378139235891</v>
      </c>
      <c r="AA37" s="346">
        <v>2.691039614039567E-2</v>
      </c>
    </row>
    <row r="38" spans="1:27" ht="14">
      <c r="A38" s="345" t="s">
        <v>543</v>
      </c>
      <c r="B38" s="144">
        <v>35</v>
      </c>
      <c r="C38" s="346">
        <v>9.7125789470000001E-2</v>
      </c>
      <c r="D38" s="346">
        <v>7.0873502885851133E-2</v>
      </c>
      <c r="E38" s="346">
        <v>0.13357129635123577</v>
      </c>
      <c r="F38" s="346">
        <v>0.22029965573894611</v>
      </c>
      <c r="G38" s="347">
        <v>0.81832731033239059</v>
      </c>
      <c r="H38" s="347">
        <v>1.076595269</v>
      </c>
      <c r="I38" s="346">
        <v>7.5182953987999998E-2</v>
      </c>
      <c r="J38" s="346">
        <v>0.43384310799999998</v>
      </c>
      <c r="K38" s="346">
        <v>3.6699999999999997E-2</v>
      </c>
      <c r="L38" s="346">
        <v>0.32592530570754086</v>
      </c>
      <c r="M38" s="346">
        <v>5.9650020765065176E-2</v>
      </c>
      <c r="N38" s="347">
        <v>1.9615420468038041</v>
      </c>
      <c r="O38" s="347">
        <v>1.1086979198562685</v>
      </c>
      <c r="P38" s="347">
        <v>9.2693843310705315</v>
      </c>
      <c r="Q38" s="347">
        <v>14.802796990466904</v>
      </c>
      <c r="R38" s="347">
        <v>2.2052316905231346</v>
      </c>
      <c r="S38" s="347">
        <v>14.7932714</v>
      </c>
      <c r="T38" s="346">
        <v>0.13274710857810398</v>
      </c>
      <c r="U38" s="346">
        <v>3.2630782341064597E-2</v>
      </c>
      <c r="V38" s="346">
        <v>4.8546626398905661E-2</v>
      </c>
      <c r="W38" s="346">
        <v>0.86541561063575501</v>
      </c>
      <c r="X38" s="346">
        <v>0.16974611949398843</v>
      </c>
      <c r="Y38" s="346">
        <v>0.24219630345218773</v>
      </c>
      <c r="Z38" s="346">
        <v>0.24219630345218768</v>
      </c>
      <c r="AA38" s="346">
        <v>7.413115309847168E-2</v>
      </c>
    </row>
    <row r="39" spans="1:27" ht="14">
      <c r="A39" s="345" t="s">
        <v>544</v>
      </c>
      <c r="B39" s="144">
        <v>22</v>
      </c>
      <c r="C39" s="346">
        <v>0.19482500000000003</v>
      </c>
      <c r="D39" s="346">
        <v>0.11819058757392401</v>
      </c>
      <c r="E39" s="346">
        <v>1.3934693236192324E-2</v>
      </c>
      <c r="F39" s="346">
        <v>0.32661085743277524</v>
      </c>
      <c r="G39" s="347">
        <v>0.59377295201994196</v>
      </c>
      <c r="H39" s="347">
        <v>1.0723318509999999</v>
      </c>
      <c r="I39" s="346">
        <v>7.4961256251999994E-2</v>
      </c>
      <c r="J39" s="346">
        <v>0.53761194999999995</v>
      </c>
      <c r="K39" s="346">
        <v>3.6699999999999997E-2</v>
      </c>
      <c r="L39" s="346">
        <v>0.52971104111709588</v>
      </c>
      <c r="M39" s="346">
        <v>4.9833747566055728E-2</v>
      </c>
      <c r="N39" s="347">
        <v>0.16453086906868888</v>
      </c>
      <c r="O39" s="347">
        <v>9.9381593844254574</v>
      </c>
      <c r="P39" s="347">
        <v>17.151860051688853</v>
      </c>
      <c r="Q39" s="347">
        <v>123.23432118819223</v>
      </c>
      <c r="R39" s="347">
        <v>1.6825439325313793</v>
      </c>
      <c r="S39" s="347">
        <v>26.234681689999999</v>
      </c>
      <c r="T39" s="346">
        <v>3.0934979594630235E-2</v>
      </c>
      <c r="U39" s="346">
        <v>0.38258615516862138</v>
      </c>
      <c r="V39" s="346">
        <v>0.41149871963353402</v>
      </c>
      <c r="W39" s="346">
        <v>8.1349519767556959</v>
      </c>
      <c r="X39" s="346">
        <v>-5.800124556197328E-2</v>
      </c>
      <c r="Y39" s="346">
        <v>1.1632870900000001E-3</v>
      </c>
      <c r="Z39" s="346">
        <v>1.1632870900000203E-3</v>
      </c>
      <c r="AA39" s="346">
        <v>8.5912682536696733E-2</v>
      </c>
    </row>
    <row r="40" spans="1:27" ht="14">
      <c r="A40" s="345" t="s">
        <v>545</v>
      </c>
      <c r="B40" s="144">
        <v>242</v>
      </c>
      <c r="C40" s="346">
        <v>0.1340120155</v>
      </c>
      <c r="D40" s="346">
        <v>0.15001045838433449</v>
      </c>
      <c r="E40" s="346">
        <v>0.15868660143509131</v>
      </c>
      <c r="F40" s="346">
        <v>0.12496352847400585</v>
      </c>
      <c r="G40" s="347">
        <v>0.98181868386863347</v>
      </c>
      <c r="H40" s="347">
        <v>1.0429687110000001</v>
      </c>
      <c r="I40" s="346">
        <v>7.3434372972000006E-2</v>
      </c>
      <c r="J40" s="346">
        <v>0.53085684200000005</v>
      </c>
      <c r="K40" s="346">
        <v>3.6699999999999997E-2</v>
      </c>
      <c r="L40" s="346">
        <v>0.11697038611330325</v>
      </c>
      <c r="M40" s="346">
        <v>6.8064335889245528E-2</v>
      </c>
      <c r="N40" s="347">
        <v>1.0264217479098237</v>
      </c>
      <c r="O40" s="347">
        <v>5.942336567546656</v>
      </c>
      <c r="P40" s="347">
        <v>22.669654496072873</v>
      </c>
      <c r="Q40" s="347">
        <v>37.55351626774253</v>
      </c>
      <c r="R40" s="347">
        <v>5.1279911277707342</v>
      </c>
      <c r="S40" s="347">
        <v>84.426186759999993</v>
      </c>
      <c r="T40" s="346">
        <v>0.24303971757809348</v>
      </c>
      <c r="U40" s="346">
        <v>5.123709451888709E-2</v>
      </c>
      <c r="V40" s="346">
        <v>6.2150771202064303E-2</v>
      </c>
      <c r="W40" s="346">
        <v>0.70865179585654625</v>
      </c>
      <c r="X40" s="346">
        <v>9.7760350780430466E-2</v>
      </c>
      <c r="Y40" s="346">
        <v>0.30272133887505437</v>
      </c>
      <c r="Z40" s="346">
        <v>0.30272133887505437</v>
      </c>
      <c r="AA40" s="346">
        <v>0.15991068180452703</v>
      </c>
    </row>
    <row r="41" spans="1:27" ht="14">
      <c r="A41" s="345" t="s">
        <v>546</v>
      </c>
      <c r="B41" s="144">
        <v>128</v>
      </c>
      <c r="C41" s="346">
        <v>0.18439849999999999</v>
      </c>
      <c r="D41" s="346">
        <v>4.3691496620801726E-2</v>
      </c>
      <c r="E41" s="346">
        <v>0.37910420233851516</v>
      </c>
      <c r="F41" s="346">
        <v>0.23595209607333076</v>
      </c>
      <c r="G41" s="347">
        <v>0.94623821494528337</v>
      </c>
      <c r="H41" s="347">
        <v>1.170318746</v>
      </c>
      <c r="I41" s="346">
        <v>8.0056574791999999E-2</v>
      </c>
      <c r="J41" s="346">
        <v>0.49954532800000001</v>
      </c>
      <c r="K41" s="346">
        <v>3.6699999999999997E-2</v>
      </c>
      <c r="L41" s="346">
        <v>0.28523577433826008</v>
      </c>
      <c r="M41" s="346">
        <v>6.5072690378995657E-2</v>
      </c>
      <c r="N41" s="347">
        <v>9.6944488266559734</v>
      </c>
      <c r="O41" s="347">
        <v>0.69010124998180267</v>
      </c>
      <c r="P41" s="347">
        <v>11.737714226239843</v>
      </c>
      <c r="Q41" s="347">
        <v>16.046214219531635</v>
      </c>
      <c r="R41" s="347">
        <v>2.8615418748663886</v>
      </c>
      <c r="S41" s="347">
        <v>51.640525799999999</v>
      </c>
      <c r="T41" s="346">
        <v>-5.1786593569507371E-2</v>
      </c>
      <c r="U41" s="346">
        <v>7.5761386928213589E-3</v>
      </c>
      <c r="V41" s="346">
        <v>5.1488640852270409E-2</v>
      </c>
      <c r="W41" s="346">
        <v>1.6786603679322858</v>
      </c>
      <c r="X41" s="346">
        <v>0.13156789164169161</v>
      </c>
      <c r="Y41" s="346">
        <v>0.38373267364622876</v>
      </c>
      <c r="Z41" s="346">
        <v>0.38373267364622876</v>
      </c>
      <c r="AA41" s="346">
        <v>4.2626473194070702E-2</v>
      </c>
    </row>
    <row r="42" spans="1:27" ht="14">
      <c r="A42" s="345" t="s">
        <v>547</v>
      </c>
      <c r="B42" s="144">
        <v>129</v>
      </c>
      <c r="C42" s="346">
        <v>0.18170462959999997</v>
      </c>
      <c r="D42" s="346">
        <v>0.12578013953083214</v>
      </c>
      <c r="E42" s="346">
        <v>0.1439641863344189</v>
      </c>
      <c r="F42" s="346">
        <v>0.13298058658392328</v>
      </c>
      <c r="G42" s="347">
        <v>1.152697351786613</v>
      </c>
      <c r="H42" s="347">
        <v>1.2449195799999999</v>
      </c>
      <c r="I42" s="346">
        <v>8.3935818159999981E-2</v>
      </c>
      <c r="J42" s="346">
        <v>0.53864013700000002</v>
      </c>
      <c r="K42" s="346">
        <v>3.6699999999999997E-2</v>
      </c>
      <c r="L42" s="346">
        <v>0.12790809380910645</v>
      </c>
      <c r="M42" s="346">
        <v>7.6720417938942256E-2</v>
      </c>
      <c r="N42" s="347">
        <v>1.1438019674160267</v>
      </c>
      <c r="O42" s="347">
        <v>5.413405022152209</v>
      </c>
      <c r="P42" s="347">
        <v>23.491669028543857</v>
      </c>
      <c r="Q42" s="347">
        <v>40.456474723161151</v>
      </c>
      <c r="R42" s="347">
        <v>5.2832391270046957</v>
      </c>
      <c r="S42" s="347">
        <v>99.810727720000003</v>
      </c>
      <c r="T42" s="346">
        <v>0.22143774980472095</v>
      </c>
      <c r="U42" s="346">
        <v>3.9920463554901024E-2</v>
      </c>
      <c r="V42" s="346">
        <v>4.5319833807594301E-2</v>
      </c>
      <c r="W42" s="346">
        <v>0.59105619992863134</v>
      </c>
      <c r="X42" s="346">
        <v>0.11171734048189148</v>
      </c>
      <c r="Y42" s="346">
        <v>8.5384678786086146E-2</v>
      </c>
      <c r="Z42" s="346">
        <v>8.5384678786086132E-2</v>
      </c>
      <c r="AA42" s="346">
        <v>0.13071456918445559</v>
      </c>
    </row>
    <row r="43" spans="1:27" ht="14">
      <c r="A43" s="345" t="s">
        <v>548</v>
      </c>
      <c r="B43" s="144">
        <v>32</v>
      </c>
      <c r="C43" s="346">
        <v>0.33644208329999997</v>
      </c>
      <c r="D43" s="346">
        <v>0.10151698776146403</v>
      </c>
      <c r="E43" s="346">
        <v>0.11252353720970053</v>
      </c>
      <c r="F43" s="346">
        <v>0.23559830336661411</v>
      </c>
      <c r="G43" s="347">
        <v>0.66405583898276987</v>
      </c>
      <c r="H43" s="347">
        <v>0.82768248799999999</v>
      </c>
      <c r="I43" s="346">
        <v>6.223948937599999E-2</v>
      </c>
      <c r="J43" s="346">
        <v>0.36550677300000001</v>
      </c>
      <c r="K43" s="346">
        <v>3.27E-2</v>
      </c>
      <c r="L43" s="346">
        <v>0.30653230084424382</v>
      </c>
      <c r="M43" s="346">
        <v>5.067878017240892E-2</v>
      </c>
      <c r="N43" s="347">
        <v>1.3313979261343396</v>
      </c>
      <c r="O43" s="347">
        <v>1.2109532236068721</v>
      </c>
      <c r="P43" s="347">
        <v>10.945436440125327</v>
      </c>
      <c r="Q43" s="347">
        <v>11.886668964457572</v>
      </c>
      <c r="R43" s="347">
        <v>1.6277557320484664</v>
      </c>
      <c r="S43" s="347">
        <v>16.26090276</v>
      </c>
      <c r="T43" s="346">
        <v>0.7308043000334522</v>
      </c>
      <c r="U43" s="346">
        <v>8.195267297855701E-3</v>
      </c>
      <c r="V43" s="346">
        <v>1.2893091212953589E-2</v>
      </c>
      <c r="W43" s="346">
        <v>0.56097620420588512</v>
      </c>
      <c r="X43" s="346">
        <v>0.15256525064812138</v>
      </c>
      <c r="Y43" s="346">
        <v>7.2611955603386194E-2</v>
      </c>
      <c r="Z43" s="346">
        <v>7.261195560338618E-2</v>
      </c>
      <c r="AA43" s="346">
        <v>0.10184625962192589</v>
      </c>
    </row>
    <row r="44" spans="1:27" ht="14">
      <c r="A44" s="345" t="s">
        <v>549</v>
      </c>
      <c r="B44" s="144">
        <v>36</v>
      </c>
      <c r="C44" s="346">
        <v>5.2017727270000001E-2</v>
      </c>
      <c r="D44" s="346">
        <v>0.1075954629038785</v>
      </c>
      <c r="E44" s="346">
        <v>0.15312474607463705</v>
      </c>
      <c r="F44" s="346">
        <v>0.21482140966831925</v>
      </c>
      <c r="G44" s="347">
        <v>0.62556238975986156</v>
      </c>
      <c r="H44" s="347">
        <v>1.2217365659999999</v>
      </c>
      <c r="I44" s="346">
        <v>8.2730301431999984E-2</v>
      </c>
      <c r="J44" s="346">
        <v>0.426320967</v>
      </c>
      <c r="K44" s="346">
        <v>3.6699999999999997E-2</v>
      </c>
      <c r="L44" s="346">
        <v>0.56555907028865815</v>
      </c>
      <c r="M44" s="346">
        <v>5.1508442479112945E-2</v>
      </c>
      <c r="N44" s="347">
        <v>1.5913107594973508</v>
      </c>
      <c r="O44" s="347">
        <v>1.6273202722335749</v>
      </c>
      <c r="P44" s="347">
        <v>9.3735779754532871</v>
      </c>
      <c r="Q44" s="347">
        <v>15.599324144541621</v>
      </c>
      <c r="R44" s="347">
        <v>6.3156550716093856</v>
      </c>
      <c r="S44" s="347">
        <v>38.937641720000002</v>
      </c>
      <c r="T44" s="346">
        <v>0.12274546166515576</v>
      </c>
      <c r="U44" s="346">
        <v>6.3644637083803066E-2</v>
      </c>
      <c r="V44" s="346">
        <v>3.5350795993136404E-2</v>
      </c>
      <c r="W44" s="346">
        <v>0.55293864301929907</v>
      </c>
      <c r="X44" s="346">
        <v>0.62126792034960743</v>
      </c>
      <c r="Y44" s="346">
        <v>0.2361699324021091</v>
      </c>
      <c r="Z44" s="346">
        <v>0.23616993240210915</v>
      </c>
      <c r="AA44" s="346">
        <v>0.10402460977654683</v>
      </c>
    </row>
    <row r="45" spans="1:27" ht="14">
      <c r="A45" s="345" t="s">
        <v>550</v>
      </c>
      <c r="B45" s="144">
        <v>65</v>
      </c>
      <c r="C45" s="346">
        <v>8.3505833330000001E-2</v>
      </c>
      <c r="D45" s="346">
        <v>0.19220154117336016</v>
      </c>
      <c r="E45" s="346">
        <v>0.11639471697186574</v>
      </c>
      <c r="F45" s="346">
        <v>0.17418415792562492</v>
      </c>
      <c r="G45" s="347">
        <v>0.91444462364251522</v>
      </c>
      <c r="H45" s="347">
        <v>1.2616103949999999</v>
      </c>
      <c r="I45" s="346">
        <v>8.4803740539999992E-2</v>
      </c>
      <c r="J45" s="346">
        <v>0.34103357200000001</v>
      </c>
      <c r="K45" s="346">
        <v>3.27E-2</v>
      </c>
      <c r="L45" s="346">
        <v>0.3606549844459781</v>
      </c>
      <c r="M45" s="346">
        <v>6.3063912308123138E-2</v>
      </c>
      <c r="N45" s="347">
        <v>0.71576503094149491</v>
      </c>
      <c r="O45" s="347">
        <v>3.7845532404462703</v>
      </c>
      <c r="P45" s="347">
        <v>12.736817291644046</v>
      </c>
      <c r="Q45" s="347">
        <v>20.314011943981434</v>
      </c>
      <c r="R45" s="347">
        <v>3.852763633697383</v>
      </c>
      <c r="S45" s="347">
        <v>134.20446910000001</v>
      </c>
      <c r="T45" s="346">
        <v>7.8506086297190705E-2</v>
      </c>
      <c r="U45" s="346">
        <v>9.573192042452483E-2</v>
      </c>
      <c r="V45" s="346">
        <v>4.9388092032504431E-2</v>
      </c>
      <c r="W45" s="346">
        <v>0.39808496936567744</v>
      </c>
      <c r="X45" s="346">
        <v>0.16228307265904782</v>
      </c>
      <c r="Y45" s="346">
        <v>0.54304699912118415</v>
      </c>
      <c r="Z45" s="346">
        <v>0.54304699912118415</v>
      </c>
      <c r="AA45" s="346">
        <v>0.18588255247727381</v>
      </c>
    </row>
    <row r="46" spans="1:27" ht="14">
      <c r="A46" s="345" t="s">
        <v>551</v>
      </c>
      <c r="B46" s="144">
        <v>127</v>
      </c>
      <c r="C46" s="346">
        <v>0.17416960000000001</v>
      </c>
      <c r="D46" s="346">
        <v>0.17430411560653158</v>
      </c>
      <c r="E46" s="346">
        <v>0.28181193709251784</v>
      </c>
      <c r="F46" s="346">
        <v>0.26920402215990097</v>
      </c>
      <c r="G46" s="347">
        <v>0.93705724489488984</v>
      </c>
      <c r="H46" s="347">
        <v>1.0300080739999999</v>
      </c>
      <c r="I46" s="346">
        <v>7.2760419847999996E-2</v>
      </c>
      <c r="J46" s="346">
        <v>0.509069047</v>
      </c>
      <c r="K46" s="346">
        <v>3.6699999999999997E-2</v>
      </c>
      <c r="L46" s="346">
        <v>0.1465588652085015</v>
      </c>
      <c r="M46" s="346">
        <v>6.6130768047846997E-2</v>
      </c>
      <c r="N46" s="347">
        <v>1.7127013022354711</v>
      </c>
      <c r="O46" s="347">
        <v>3.7365604572841393</v>
      </c>
      <c r="P46" s="347">
        <v>16.57244278503747</v>
      </c>
      <c r="Q46" s="347">
        <v>21.317561664518713</v>
      </c>
      <c r="R46" s="347">
        <v>8.1998776677841185</v>
      </c>
      <c r="S46" s="347">
        <v>33.227693819999999</v>
      </c>
      <c r="T46" s="346">
        <v>8.7820203254300858E-2</v>
      </c>
      <c r="U46" s="346">
        <v>4.109947305412022E-2</v>
      </c>
      <c r="V46" s="346">
        <v>5.1712448788085452E-2</v>
      </c>
      <c r="W46" s="346">
        <v>0.33265404406284493</v>
      </c>
      <c r="X46" s="346">
        <v>0.10594857822391075</v>
      </c>
      <c r="Y46" s="346">
        <v>1.5258011818149912</v>
      </c>
      <c r="Z46" s="346">
        <v>1.5258011818149912</v>
      </c>
      <c r="AA46" s="346">
        <v>0.17492222925329581</v>
      </c>
    </row>
    <row r="47" spans="1:27" ht="14">
      <c r="A47" s="345" t="s">
        <v>552</v>
      </c>
      <c r="B47" s="144">
        <v>69</v>
      </c>
      <c r="C47" s="346">
        <v>0.1312132432</v>
      </c>
      <c r="D47" s="346">
        <v>0.2828270164293798</v>
      </c>
      <c r="E47" s="346">
        <v>0.41524251748897489</v>
      </c>
      <c r="F47" s="346">
        <v>0.18860677589539004</v>
      </c>
      <c r="G47" s="347">
        <v>1.0315158970762186</v>
      </c>
      <c r="H47" s="347">
        <v>1.093128707</v>
      </c>
      <c r="I47" s="346">
        <v>7.6042692763999997E-2</v>
      </c>
      <c r="J47" s="346">
        <v>0.37797649100000003</v>
      </c>
      <c r="K47" s="346">
        <v>3.27E-2</v>
      </c>
      <c r="L47" s="346">
        <v>0.10623812096255494</v>
      </c>
      <c r="M47" s="346">
        <v>7.0569549888426425E-2</v>
      </c>
      <c r="N47" s="347">
        <v>1.5859274072032421</v>
      </c>
      <c r="O47" s="347">
        <v>9.1745908906339011</v>
      </c>
      <c r="P47" s="347">
        <v>26.351968846960887</v>
      </c>
      <c r="Q47" s="347">
        <v>32.250266889759132</v>
      </c>
      <c r="R47" s="347">
        <v>6.5807969408446185</v>
      </c>
      <c r="S47" s="347">
        <v>46.22702228</v>
      </c>
      <c r="T47" s="346">
        <v>7.1818144960797109E-2</v>
      </c>
      <c r="U47" s="346">
        <v>3.194053779730438E-2</v>
      </c>
      <c r="V47" s="346">
        <v>0.17097483708044892</v>
      </c>
      <c r="W47" s="346">
        <v>0.80524226868974424</v>
      </c>
      <c r="X47" s="346">
        <v>0.30523221264800621</v>
      </c>
      <c r="Y47" s="346">
        <v>0.24912613563255923</v>
      </c>
      <c r="Z47" s="346">
        <v>0.24912613563255925</v>
      </c>
      <c r="AA47" s="346">
        <v>0.28551627216842007</v>
      </c>
    </row>
    <row r="48" spans="1:27" ht="14">
      <c r="A48" s="345" t="s">
        <v>553</v>
      </c>
      <c r="B48" s="144">
        <v>19</v>
      </c>
      <c r="C48" s="346">
        <v>7.7987333330000005E-2</v>
      </c>
      <c r="D48" s="346">
        <v>0.12184459792485751</v>
      </c>
      <c r="E48" s="346">
        <v>9.6116543510597674E-2</v>
      </c>
      <c r="F48" s="346">
        <v>0.21421520201272912</v>
      </c>
      <c r="G48" s="347">
        <v>0.59269928391842142</v>
      </c>
      <c r="H48" s="347">
        <v>0.74262552999999998</v>
      </c>
      <c r="I48" s="346">
        <v>5.7816527559999997E-2</v>
      </c>
      <c r="J48" s="346">
        <v>0.31001992499999997</v>
      </c>
      <c r="K48" s="346">
        <v>3.27E-2</v>
      </c>
      <c r="L48" s="346">
        <v>0.29285597584143325</v>
      </c>
      <c r="M48" s="346">
        <v>4.8066904769164226E-2</v>
      </c>
      <c r="N48" s="347">
        <v>0.93229957228173144</v>
      </c>
      <c r="O48" s="347">
        <v>1.9531174019662889</v>
      </c>
      <c r="P48" s="347">
        <v>10.26574583037824</v>
      </c>
      <c r="Q48" s="347">
        <v>15.893054840677188</v>
      </c>
      <c r="R48" s="347">
        <v>1.4793399136497154</v>
      </c>
      <c r="S48" s="347">
        <v>67.571802180000006</v>
      </c>
      <c r="T48" s="346">
        <v>-9.6673207215900697E-2</v>
      </c>
      <c r="U48" s="346">
        <v>7.5340141994202307E-3</v>
      </c>
      <c r="V48" s="346">
        <v>3.829014255765234E-2</v>
      </c>
      <c r="W48" s="346">
        <v>0.49361489957045834</v>
      </c>
      <c r="X48" s="346">
        <v>7.4184623716426576E-2</v>
      </c>
      <c r="Y48" s="346">
        <v>0.42046879455107822</v>
      </c>
      <c r="Z48" s="346">
        <v>0.42046879455107822</v>
      </c>
      <c r="AA48" s="346">
        <v>0.12287563299214903</v>
      </c>
    </row>
    <row r="49" spans="1:27" ht="14">
      <c r="A49" s="345" t="s">
        <v>554</v>
      </c>
      <c r="B49" s="144">
        <v>24</v>
      </c>
      <c r="C49" s="346">
        <v>1.4992499999999999E-2</v>
      </c>
      <c r="D49" s="346">
        <v>0.13288366881121244</v>
      </c>
      <c r="E49" s="346">
        <v>8.1995359323434103E-2</v>
      </c>
      <c r="F49" s="346">
        <v>0.19822321078110688</v>
      </c>
      <c r="G49" s="347">
        <v>0.73248057437703429</v>
      </c>
      <c r="H49" s="347">
        <v>1.0761501120000001</v>
      </c>
      <c r="I49" s="346">
        <v>7.5159805824000003E-2</v>
      </c>
      <c r="J49" s="346">
        <v>0.25128205300000001</v>
      </c>
      <c r="K49" s="346">
        <v>3.27E-2</v>
      </c>
      <c r="L49" s="346">
        <v>0.49366976566408199</v>
      </c>
      <c r="M49" s="346">
        <v>5.0162933098419626E-2</v>
      </c>
      <c r="N49" s="347">
        <v>0.72403809267233399</v>
      </c>
      <c r="O49" s="347">
        <v>1.3606605288519424</v>
      </c>
      <c r="P49" s="347">
        <v>9.5328892538065659</v>
      </c>
      <c r="Q49" s="347">
        <v>10.232648185928694</v>
      </c>
      <c r="R49" s="347">
        <v>0.7118424879597719</v>
      </c>
      <c r="S49" s="347">
        <v>21.05216021</v>
      </c>
      <c r="T49" s="346">
        <v>7.0310572574755634E-2</v>
      </c>
      <c r="U49" s="346">
        <v>1.6041142887078725E-3</v>
      </c>
      <c r="V49" s="346">
        <v>2.3015906407028216E-3</v>
      </c>
      <c r="W49" s="346">
        <v>9.7422554546471252E-2</v>
      </c>
      <c r="X49" s="346">
        <v>0.10438837499049042</v>
      </c>
      <c r="Y49" s="346">
        <v>0.26068085208062031</v>
      </c>
      <c r="Z49" s="346">
        <v>0.26068085208062031</v>
      </c>
      <c r="AA49" s="346">
        <v>0.13288356412127889</v>
      </c>
    </row>
    <row r="50" spans="1:27" ht="14">
      <c r="A50" s="345" t="s">
        <v>555</v>
      </c>
      <c r="B50" s="144">
        <v>51</v>
      </c>
      <c r="C50" s="346">
        <v>7.0501860470000011E-2</v>
      </c>
      <c r="D50" s="346">
        <v>0.10673463482062251</v>
      </c>
      <c r="E50" s="346">
        <v>0.10477677716285738</v>
      </c>
      <c r="F50" s="346">
        <v>0.19780847040766927</v>
      </c>
      <c r="G50" s="347">
        <v>0.58907152474849622</v>
      </c>
      <c r="H50" s="347">
        <v>0.67828556100000004</v>
      </c>
      <c r="I50" s="346">
        <v>5.4470849171999999E-2</v>
      </c>
      <c r="J50" s="346">
        <v>0.217098126</v>
      </c>
      <c r="K50" s="346">
        <v>2.7199999999999998E-2</v>
      </c>
      <c r="L50" s="346">
        <v>0.20860498140688016</v>
      </c>
      <c r="M50" s="346">
        <v>4.7363500313958314E-2</v>
      </c>
      <c r="N50" s="347">
        <v>1.1355926290868585</v>
      </c>
      <c r="O50" s="347">
        <v>1.4850608721263454</v>
      </c>
      <c r="P50" s="347">
        <v>11.395957871571646</v>
      </c>
      <c r="Q50" s="347">
        <v>13.802894375299504</v>
      </c>
      <c r="R50" s="347">
        <v>1.5328683423671587</v>
      </c>
      <c r="S50" s="347">
        <v>29.596842519999999</v>
      </c>
      <c r="T50" s="346">
        <v>-0.51854417571014921</v>
      </c>
      <c r="U50" s="346">
        <v>1.1976317751197786E-2</v>
      </c>
      <c r="V50" s="346">
        <v>6.2634341133766137E-3</v>
      </c>
      <c r="W50" s="346">
        <v>0.13603238769038201</v>
      </c>
      <c r="X50" s="346">
        <v>0.10583960453220007</v>
      </c>
      <c r="Y50" s="346">
        <v>0.35817331503815891</v>
      </c>
      <c r="Z50" s="346">
        <v>0.35817331503815897</v>
      </c>
      <c r="AA50" s="346">
        <v>0.10732782331776244</v>
      </c>
    </row>
    <row r="51" spans="1:27" ht="14">
      <c r="A51" s="345" t="s">
        <v>556</v>
      </c>
      <c r="B51" s="144">
        <v>192</v>
      </c>
      <c r="C51" s="346">
        <v>8.9536666700000007E-3</v>
      </c>
      <c r="D51" s="346">
        <v>0.17457953142195481</v>
      </c>
      <c r="E51" s="346">
        <v>7.3141252941942805E-2</v>
      </c>
      <c r="F51" s="346">
        <v>0.17261710325543739</v>
      </c>
      <c r="G51" s="347">
        <v>0.86018284014412283</v>
      </c>
      <c r="H51" s="347">
        <v>1.027293808</v>
      </c>
      <c r="I51" s="346">
        <v>7.2619278016000002E-2</v>
      </c>
      <c r="J51" s="346">
        <v>0.27875895899999997</v>
      </c>
      <c r="K51" s="346">
        <v>3.27E-2</v>
      </c>
      <c r="L51" s="346">
        <v>0.35235338529932692</v>
      </c>
      <c r="M51" s="346">
        <v>5.5673096343535407E-2</v>
      </c>
      <c r="N51" s="347">
        <v>0.46021460907450817</v>
      </c>
      <c r="O51" s="347">
        <v>4.5817430632886058</v>
      </c>
      <c r="P51" s="347">
        <v>21.975408868218786</v>
      </c>
      <c r="Q51" s="347">
        <v>25.786322273380826</v>
      </c>
      <c r="R51" s="347">
        <v>1.675882119358177</v>
      </c>
      <c r="S51" s="347">
        <v>79.936599580000006</v>
      </c>
      <c r="T51" s="346" t="s">
        <v>99</v>
      </c>
      <c r="U51" s="346">
        <v>3.473861237259223E-2</v>
      </c>
      <c r="V51" s="346">
        <v>8.2805374420662756E-2</v>
      </c>
      <c r="W51" s="346">
        <v>0.60778907344429678</v>
      </c>
      <c r="X51" s="346">
        <v>0.13313772511327338</v>
      </c>
      <c r="Y51" s="346">
        <v>0.49328344198734814</v>
      </c>
      <c r="Z51" s="346">
        <v>0.49328344198734819</v>
      </c>
      <c r="AA51" s="346">
        <v>0.17173593796093942</v>
      </c>
    </row>
    <row r="52" spans="1:27" ht="14">
      <c r="A52" s="345" t="s">
        <v>557</v>
      </c>
      <c r="B52" s="144">
        <v>120</v>
      </c>
      <c r="C52" s="346">
        <v>3.5001298699999996E-2</v>
      </c>
      <c r="D52" s="346">
        <v>0.13839680166911014</v>
      </c>
      <c r="E52" s="346">
        <v>0.24494098740934434</v>
      </c>
      <c r="F52" s="346">
        <v>0.2233086569001573</v>
      </c>
      <c r="G52" s="347">
        <v>1.0985210616277283</v>
      </c>
      <c r="H52" s="347">
        <v>1.247017093</v>
      </c>
      <c r="I52" s="346">
        <v>8.404488883599999E-2</v>
      </c>
      <c r="J52" s="346">
        <v>0.35391696499999997</v>
      </c>
      <c r="K52" s="346">
        <v>3.27E-2</v>
      </c>
      <c r="L52" s="346">
        <v>0.19263261139184595</v>
      </c>
      <c r="M52" s="346">
        <v>7.2579417219768932E-2</v>
      </c>
      <c r="N52" s="347">
        <v>1.9810084390939651</v>
      </c>
      <c r="O52" s="347">
        <v>2.5816308002306547</v>
      </c>
      <c r="P52" s="347">
        <v>13.877955687799711</v>
      </c>
      <c r="Q52" s="347">
        <v>18.347794164383654</v>
      </c>
      <c r="R52" s="347">
        <v>4.0895993569312754</v>
      </c>
      <c r="S52" s="347">
        <v>36.098322779999997</v>
      </c>
      <c r="T52" s="346">
        <v>0.23396156987519459</v>
      </c>
      <c r="U52" s="346">
        <v>2.9005513878121617E-2</v>
      </c>
      <c r="V52" s="346">
        <v>8.7753011579536661E-2</v>
      </c>
      <c r="W52" s="346">
        <v>0.89460968116543893</v>
      </c>
      <c r="X52" s="346">
        <v>0.20029882474439942</v>
      </c>
      <c r="Y52" s="346">
        <v>0.28001782383061485</v>
      </c>
      <c r="Z52" s="346">
        <v>0.2800178238306148</v>
      </c>
      <c r="AA52" s="346">
        <v>0.14096295305230103</v>
      </c>
    </row>
    <row r="53" spans="1:27" ht="14">
      <c r="A53" s="345" t="s">
        <v>558</v>
      </c>
      <c r="B53" s="144">
        <v>92</v>
      </c>
      <c r="C53" s="346">
        <v>0.148425</v>
      </c>
      <c r="D53" s="346">
        <v>0.11276434818093449</v>
      </c>
      <c r="E53" s="346">
        <v>0.11256543469121104</v>
      </c>
      <c r="F53" s="346">
        <v>0.53292133921633822</v>
      </c>
      <c r="G53" s="347">
        <v>1.0865722025981523</v>
      </c>
      <c r="H53" s="347">
        <v>1.310283238</v>
      </c>
      <c r="I53" s="346">
        <v>8.7334728375999995E-2</v>
      </c>
      <c r="J53" s="346">
        <v>0.732549534</v>
      </c>
      <c r="K53" s="346">
        <v>4.4200000000000003E-2</v>
      </c>
      <c r="L53" s="346">
        <v>0.27646152867389667</v>
      </c>
      <c r="M53" s="346">
        <v>7.2354735538391168E-2</v>
      </c>
      <c r="N53" s="347">
        <v>1.0109166329980455</v>
      </c>
      <c r="O53" s="347">
        <v>2.0389969122891638</v>
      </c>
      <c r="P53" s="347">
        <v>9.5841543430996516</v>
      </c>
      <c r="Q53" s="347">
        <v>17.434811294215052</v>
      </c>
      <c r="R53" s="347">
        <v>1.8593553534009992</v>
      </c>
      <c r="S53" s="347">
        <v>727.09627339999997</v>
      </c>
      <c r="T53" s="346">
        <v>0.16218694563044911</v>
      </c>
      <c r="U53" s="346">
        <v>0.10654890548234387</v>
      </c>
      <c r="V53" s="346">
        <v>2.8130492514532601E-2</v>
      </c>
      <c r="W53" s="346">
        <v>0.38411208903254279</v>
      </c>
      <c r="X53" s="346">
        <v>3.2701050504416539E-2</v>
      </c>
      <c r="Y53" s="346">
        <v>2.0297984137434244</v>
      </c>
      <c r="Z53" s="346">
        <v>2.0297984137434244</v>
      </c>
      <c r="AA53" s="346">
        <v>0.11357641211121652</v>
      </c>
    </row>
    <row r="54" spans="1:27" ht="14">
      <c r="A54" s="345" t="s">
        <v>559</v>
      </c>
      <c r="B54" s="144">
        <v>22</v>
      </c>
      <c r="C54" s="346">
        <v>3.7385714289999997E-2</v>
      </c>
      <c r="D54" s="346">
        <v>8.8492408081315102E-2</v>
      </c>
      <c r="E54" s="346">
        <v>0.17477407471504222</v>
      </c>
      <c r="F54" s="346">
        <v>0.22939678243415851</v>
      </c>
      <c r="G54" s="347">
        <v>1.2442326298508288</v>
      </c>
      <c r="H54" s="347">
        <v>1.6452790129999999</v>
      </c>
      <c r="I54" s="346">
        <v>0.10475450867599999</v>
      </c>
      <c r="J54" s="346">
        <v>0.31279621499999999</v>
      </c>
      <c r="K54" s="346">
        <v>3.27E-2</v>
      </c>
      <c r="L54" s="346">
        <v>0.35434326269795696</v>
      </c>
      <c r="M54" s="346">
        <v>7.63257228070921E-2</v>
      </c>
      <c r="N54" s="347">
        <v>2.2487956763119308</v>
      </c>
      <c r="O54" s="347">
        <v>1.2036249853181076</v>
      </c>
      <c r="P54" s="347">
        <v>8.7680550909557073</v>
      </c>
      <c r="Q54" s="347">
        <v>13.286035861692795</v>
      </c>
      <c r="R54" s="347">
        <v>2.962264177996996</v>
      </c>
      <c r="S54" s="347">
        <v>34.534642509999998</v>
      </c>
      <c r="T54" s="346">
        <v>9.5487212950181949E-2</v>
      </c>
      <c r="U54" s="346">
        <v>3.2697703601455637E-2</v>
      </c>
      <c r="V54" s="346">
        <v>1.1919327393650385E-2</v>
      </c>
      <c r="W54" s="346">
        <v>0.21576991687748737</v>
      </c>
      <c r="X54" s="346">
        <v>0.18221074572422905</v>
      </c>
      <c r="Y54" s="346">
        <v>0.38572506850868121</v>
      </c>
      <c r="Z54" s="346">
        <v>0.38572506850868127</v>
      </c>
      <c r="AA54" s="346">
        <v>9.1567355803739495E-2</v>
      </c>
    </row>
    <row r="55" spans="1:27" ht="14">
      <c r="A55" s="345" t="s">
        <v>560</v>
      </c>
      <c r="B55" s="144">
        <v>4</v>
      </c>
      <c r="C55" s="346">
        <v>-6.4774999999999999E-2</v>
      </c>
      <c r="D55" s="346">
        <v>7.3263932817433888E-2</v>
      </c>
      <c r="E55" s="346">
        <v>5.3589602566097717E-2</v>
      </c>
      <c r="F55" s="346">
        <v>0.30251114761793008</v>
      </c>
      <c r="G55" s="347">
        <v>1.1174661727895663</v>
      </c>
      <c r="H55" s="347">
        <v>1.3006455690000001</v>
      </c>
      <c r="I55" s="346">
        <v>8.6833569587999995E-2</v>
      </c>
      <c r="J55" s="346">
        <v>0.28622403400000002</v>
      </c>
      <c r="K55" s="346">
        <v>3.27E-2</v>
      </c>
      <c r="L55" s="346">
        <v>0.21147577019878849</v>
      </c>
      <c r="M55" s="346">
        <v>7.3656816844392889E-2</v>
      </c>
      <c r="N55" s="347">
        <v>0.95993899429249396</v>
      </c>
      <c r="O55" s="347">
        <v>1.6066340408662021</v>
      </c>
      <c r="P55" s="347">
        <v>9.172700433113917</v>
      </c>
      <c r="Q55" s="347">
        <v>21.74284343864046</v>
      </c>
      <c r="R55" s="347">
        <v>1.4051456468410979</v>
      </c>
      <c r="S55" s="347">
        <v>22.67209961</v>
      </c>
      <c r="T55" s="346">
        <v>4.3242800954184743E-2</v>
      </c>
      <c r="U55" s="346">
        <v>0.1047713695761727</v>
      </c>
      <c r="V55" s="346">
        <v>7.1227969451630138E-2</v>
      </c>
      <c r="W55" s="346">
        <v>1.3708934908742227</v>
      </c>
      <c r="X55" s="346">
        <v>7.8483398733212917E-2</v>
      </c>
      <c r="Y55" s="346">
        <v>0.89073564088583901</v>
      </c>
      <c r="Z55" s="346">
        <v>0.89073564088583901</v>
      </c>
      <c r="AA55" s="346">
        <v>7.3961083478018816E-2</v>
      </c>
    </row>
    <row r="56" spans="1:27" ht="14">
      <c r="A56" s="345" t="s">
        <v>561</v>
      </c>
      <c r="B56" s="144">
        <v>269</v>
      </c>
      <c r="C56" s="346">
        <v>-3.7269344260000004E-2</v>
      </c>
      <c r="D56" s="346">
        <v>0.19870188081212364</v>
      </c>
      <c r="E56" s="346">
        <v>9.03142441594144E-2</v>
      </c>
      <c r="F56" s="346">
        <v>0.19366830381565711</v>
      </c>
      <c r="G56" s="347">
        <v>1.0767106396403761</v>
      </c>
      <c r="H56" s="347">
        <v>1.478219605</v>
      </c>
      <c r="I56" s="346">
        <v>9.6067419459999998E-2</v>
      </c>
      <c r="J56" s="346">
        <v>0.59365118699999997</v>
      </c>
      <c r="K56" s="346">
        <v>3.6699999999999997E-2</v>
      </c>
      <c r="L56" s="346">
        <v>0.3605677847336668</v>
      </c>
      <c r="M56" s="346">
        <v>7.1353231115022023E-2</v>
      </c>
      <c r="N56" s="347">
        <v>0.4639438212066786</v>
      </c>
      <c r="O56" s="347">
        <v>2.7115380336077504</v>
      </c>
      <c r="P56" s="347">
        <v>4.8946646248016359</v>
      </c>
      <c r="Q56" s="347">
        <v>13.285415282519601</v>
      </c>
      <c r="R56" s="347">
        <v>1.1898848517843408</v>
      </c>
      <c r="S56" s="347">
        <v>8.6600199100000008</v>
      </c>
      <c r="T56" s="346">
        <v>1.9785935554210408E-2</v>
      </c>
      <c r="U56" s="346">
        <v>0.45558724957631713</v>
      </c>
      <c r="V56" s="346">
        <v>0.14258632808904345</v>
      </c>
      <c r="W56" s="346">
        <v>0.7917085008304896</v>
      </c>
      <c r="X56" s="346">
        <v>6.3623026774982286E-2</v>
      </c>
      <c r="Y56" s="346">
        <v>0.27359960606806971</v>
      </c>
      <c r="Z56" s="346">
        <v>0.27359960606806966</v>
      </c>
      <c r="AA56" s="346">
        <v>0.20215616901160954</v>
      </c>
    </row>
    <row r="57" spans="1:27" ht="14">
      <c r="A57" s="345" t="s">
        <v>562</v>
      </c>
      <c r="B57" s="144">
        <v>24</v>
      </c>
      <c r="C57" s="346">
        <v>0.14938124999999999</v>
      </c>
      <c r="D57" s="346">
        <v>0.20903704289538394</v>
      </c>
      <c r="E57" s="346">
        <v>7.9893794013800409E-2</v>
      </c>
      <c r="F57" s="346">
        <v>0.2234178923222237</v>
      </c>
      <c r="G57" s="347">
        <v>0.6175192303191579</v>
      </c>
      <c r="H57" s="347">
        <v>1.016075276</v>
      </c>
      <c r="I57" s="346">
        <v>7.2035914351999991E-2</v>
      </c>
      <c r="J57" s="346">
        <v>0.32657694300000001</v>
      </c>
      <c r="K57" s="346">
        <v>3.27E-2</v>
      </c>
      <c r="L57" s="346">
        <v>0.47282550027992126</v>
      </c>
      <c r="M57" s="346">
        <v>4.9571542504759099E-2</v>
      </c>
      <c r="N57" s="347">
        <v>0.40425084243640708</v>
      </c>
      <c r="O57" s="347">
        <v>4.4360026615426458</v>
      </c>
      <c r="P57" s="347">
        <v>12.869405786649018</v>
      </c>
      <c r="Q57" s="347">
        <v>20.675912322856629</v>
      </c>
      <c r="R57" s="347">
        <v>1.5812911033280106</v>
      </c>
      <c r="S57" s="347">
        <v>69.406974539999993</v>
      </c>
      <c r="T57" s="346">
        <v>3.7455781511397931E-2</v>
      </c>
      <c r="U57" s="346">
        <v>0.30016161325961499</v>
      </c>
      <c r="V57" s="346">
        <v>0.20671722360266995</v>
      </c>
      <c r="W57" s="346">
        <v>1.2559575677291117</v>
      </c>
      <c r="X57" s="346">
        <v>3.9099355606413269E-2</v>
      </c>
      <c r="Y57" s="346">
        <v>3.0321428301587421</v>
      </c>
      <c r="Z57" s="346">
        <v>3.0321428301587421</v>
      </c>
      <c r="AA57" s="346">
        <v>0.20904224767195717</v>
      </c>
    </row>
    <row r="58" spans="1:27" ht="14">
      <c r="A58" s="345" t="s">
        <v>563</v>
      </c>
      <c r="B58" s="144">
        <v>136</v>
      </c>
      <c r="C58" s="346">
        <v>1.4886176470000002E-2</v>
      </c>
      <c r="D58" s="346">
        <v>4.1611820490851881E-2</v>
      </c>
      <c r="E58" s="346">
        <v>0.11592020109400107</v>
      </c>
      <c r="F58" s="346">
        <v>0.20955223924223979</v>
      </c>
      <c r="G58" s="347">
        <v>1.2186547171181339</v>
      </c>
      <c r="H58" s="347">
        <v>1.57914625</v>
      </c>
      <c r="I58" s="346">
        <v>0.10131560499999999</v>
      </c>
      <c r="J58" s="346">
        <v>0.53496989100000003</v>
      </c>
      <c r="K58" s="346">
        <v>3.6699999999999997E-2</v>
      </c>
      <c r="L58" s="346">
        <v>0.32728837071266015</v>
      </c>
      <c r="M58" s="346">
        <v>7.7164798115648511E-2</v>
      </c>
      <c r="N58" s="347">
        <v>2.7909667710487684</v>
      </c>
      <c r="O58" s="347">
        <v>0.73597155724688645</v>
      </c>
      <c r="P58" s="347">
        <v>8.5829147808730095</v>
      </c>
      <c r="Q58" s="347">
        <v>16.776791422903727</v>
      </c>
      <c r="R58" s="347">
        <v>1.4661594347331335</v>
      </c>
      <c r="S58" s="347">
        <v>25.438445959999999</v>
      </c>
      <c r="T58" s="346">
        <v>7.9797642042377895E-2</v>
      </c>
      <c r="U58" s="346">
        <v>4.0035196812272827E-2</v>
      </c>
      <c r="V58" s="346">
        <v>1.578349675123281E-2</v>
      </c>
      <c r="W58" s="346">
        <v>0.43601510859485632</v>
      </c>
      <c r="X58" s="346">
        <v>-8.3970667588351908E-2</v>
      </c>
      <c r="Y58" s="346">
        <v>3.1552795500000004E-3</v>
      </c>
      <c r="Z58" s="346">
        <v>3.1552795499999453E-3</v>
      </c>
      <c r="AA58" s="346">
        <v>4.3734938415947625E-2</v>
      </c>
    </row>
    <row r="59" spans="1:27" ht="14">
      <c r="A59" s="345" t="s">
        <v>564</v>
      </c>
      <c r="B59" s="144">
        <v>24</v>
      </c>
      <c r="C59" s="346">
        <v>5.5162105260000004E-2</v>
      </c>
      <c r="D59" s="346">
        <v>0.10137592771411939</v>
      </c>
      <c r="E59" s="346">
        <v>0.1683409525775269</v>
      </c>
      <c r="F59" s="346">
        <v>0.21709585535545384</v>
      </c>
      <c r="G59" s="347">
        <v>0.67817351673939641</v>
      </c>
      <c r="H59" s="347">
        <v>0.99035691400000003</v>
      </c>
      <c r="I59" s="346">
        <v>7.0698559527999999E-2</v>
      </c>
      <c r="J59" s="346">
        <v>0.331374104</v>
      </c>
      <c r="K59" s="346">
        <v>3.27E-2</v>
      </c>
      <c r="L59" s="346">
        <v>0.39736591586090941</v>
      </c>
      <c r="M59" s="346">
        <v>5.2350760757598057E-2</v>
      </c>
      <c r="N59" s="347">
        <v>1.8518718237499854</v>
      </c>
      <c r="O59" s="347">
        <v>1.5935927869773734</v>
      </c>
      <c r="P59" s="347">
        <v>9.508993154383969</v>
      </c>
      <c r="Q59" s="347">
        <v>15.321461301383099</v>
      </c>
      <c r="R59" s="347">
        <v>3.0974794478800813</v>
      </c>
      <c r="S59" s="347">
        <v>20.60885717</v>
      </c>
      <c r="T59" s="346">
        <v>0.10270961797152713</v>
      </c>
      <c r="U59" s="346">
        <v>5.3023330398330022E-2</v>
      </c>
      <c r="V59" s="346">
        <v>0.1197680134037853</v>
      </c>
      <c r="W59" s="346">
        <v>1.4806864026858981</v>
      </c>
      <c r="X59" s="346">
        <v>0.15955254796758586</v>
      </c>
      <c r="Y59" s="346">
        <v>0.44972735986269075</v>
      </c>
      <c r="Z59" s="346">
        <v>0.44972735986269075</v>
      </c>
      <c r="AA59" s="346">
        <v>0.10349705087700282</v>
      </c>
    </row>
    <row r="60" spans="1:27" ht="14">
      <c r="A60" s="345" t="s">
        <v>565</v>
      </c>
      <c r="B60" s="144">
        <v>15</v>
      </c>
      <c r="C60" s="346">
        <v>0.18884818179999999</v>
      </c>
      <c r="D60" s="346">
        <v>5.4035235163300374E-2</v>
      </c>
      <c r="E60" s="346">
        <v>9.3685346152158122E-2</v>
      </c>
      <c r="F60" s="346">
        <v>0.19618638018416731</v>
      </c>
      <c r="G60" s="347">
        <v>1.2543747470505289</v>
      </c>
      <c r="H60" s="347">
        <v>1.5366649800000001</v>
      </c>
      <c r="I60" s="346">
        <v>9.9106578959999997E-2</v>
      </c>
      <c r="J60" s="346">
        <v>0.373667154</v>
      </c>
      <c r="K60" s="346">
        <v>3.27E-2</v>
      </c>
      <c r="L60" s="346">
        <v>0.28287635012891799</v>
      </c>
      <c r="M60" s="346">
        <v>7.800921411694349E-2</v>
      </c>
      <c r="N60" s="347">
        <v>1.9086850556808059</v>
      </c>
      <c r="O60" s="347">
        <v>0.77047376749501884</v>
      </c>
      <c r="P60" s="347">
        <v>7.534351489580418</v>
      </c>
      <c r="Q60" s="347">
        <v>14.02899107203157</v>
      </c>
      <c r="R60" s="347">
        <v>1.5863924015758879</v>
      </c>
      <c r="S60" s="347">
        <v>24.91748737</v>
      </c>
      <c r="T60" s="346">
        <v>0.14024186746162487</v>
      </c>
      <c r="U60" s="346">
        <v>4.6965313958764077E-2</v>
      </c>
      <c r="V60" s="346">
        <v>1.7666454528937506E-2</v>
      </c>
      <c r="W60" s="346">
        <v>0.39260598022411836</v>
      </c>
      <c r="X60" s="346">
        <v>2.0450710425276956E-2</v>
      </c>
      <c r="Y60" s="346">
        <v>1.7943198804185352</v>
      </c>
      <c r="Z60" s="346">
        <v>1.7943198804185352</v>
      </c>
      <c r="AA60" s="346">
        <v>5.4789249742947937E-2</v>
      </c>
    </row>
    <row r="61" spans="1:27" ht="14">
      <c r="A61" s="345" t="s">
        <v>566</v>
      </c>
      <c r="B61" s="144">
        <v>52</v>
      </c>
      <c r="C61" s="346">
        <v>3.4954468090000003E-2</v>
      </c>
      <c r="D61" s="346">
        <v>0.18321598727450708</v>
      </c>
      <c r="E61" s="346">
        <v>6.475986797197382E-2</v>
      </c>
      <c r="F61" s="346">
        <v>0.17046992035484634</v>
      </c>
      <c r="G61" s="347">
        <v>0.37843539998307546</v>
      </c>
      <c r="H61" s="347">
        <v>0.57582877700000001</v>
      </c>
      <c r="I61" s="346">
        <v>4.9143096403999997E-2</v>
      </c>
      <c r="J61" s="346">
        <v>0.18487223699999999</v>
      </c>
      <c r="K61" s="346">
        <v>2.7199999999999998E-2</v>
      </c>
      <c r="L61" s="346">
        <v>0.42033403831590493</v>
      </c>
      <c r="M61" s="346">
        <v>3.7061394618803312E-2</v>
      </c>
      <c r="N61" s="347">
        <v>0.41247133623789856</v>
      </c>
      <c r="O61" s="347">
        <v>4.1142560306250875</v>
      </c>
      <c r="P61" s="347">
        <v>12.030275988961662</v>
      </c>
      <c r="Q61" s="347">
        <v>22.725876745406008</v>
      </c>
      <c r="R61" s="347">
        <v>2.0110098593079369</v>
      </c>
      <c r="S61" s="347">
        <v>23.736914609999999</v>
      </c>
      <c r="T61" s="346">
        <v>5.4338330303454044E-2</v>
      </c>
      <c r="U61" s="346">
        <v>0.34133879527338834</v>
      </c>
      <c r="V61" s="346">
        <v>0.21311659278422601</v>
      </c>
      <c r="W61" s="346">
        <v>1.3995031229174981</v>
      </c>
      <c r="X61" s="346">
        <v>5.7139424893253001E-2</v>
      </c>
      <c r="Y61" s="346">
        <v>0.97587295067089164</v>
      </c>
      <c r="Z61" s="346">
        <v>0.97587295067089164</v>
      </c>
      <c r="AA61" s="346">
        <v>0.18102210711788563</v>
      </c>
    </row>
    <row r="62" spans="1:27" ht="14">
      <c r="A62" s="345" t="s">
        <v>567</v>
      </c>
      <c r="B62" s="144">
        <v>83</v>
      </c>
      <c r="C62" s="346">
        <v>0.14079900000000001</v>
      </c>
      <c r="D62" s="346">
        <v>0.14509627018831781</v>
      </c>
      <c r="E62" s="346">
        <v>8.0664460917954317E-2</v>
      </c>
      <c r="F62" s="346">
        <v>0.27178234816124869</v>
      </c>
      <c r="G62" s="347">
        <v>1.3320479668619645</v>
      </c>
      <c r="H62" s="347">
        <v>1.4350731219999999</v>
      </c>
      <c r="I62" s="346">
        <v>9.3823802343999993E-2</v>
      </c>
      <c r="J62" s="346">
        <v>0.82642641900000002</v>
      </c>
      <c r="K62" s="346">
        <v>6.9199999999999998E-2</v>
      </c>
      <c r="L62" s="346">
        <v>0.15519528905286836</v>
      </c>
      <c r="M62" s="346">
        <v>8.7317425721027603E-2</v>
      </c>
      <c r="N62" s="347">
        <v>0.56822025606116333</v>
      </c>
      <c r="O62" s="347">
        <v>5.0547114805542126</v>
      </c>
      <c r="P62" s="347">
        <v>13.650576846691388</v>
      </c>
      <c r="Q62" s="347">
        <v>34.171544765682704</v>
      </c>
      <c r="R62" s="347">
        <v>1.7442576293034027</v>
      </c>
      <c r="S62" s="347">
        <v>76.844674990000001</v>
      </c>
      <c r="T62" s="346">
        <v>0.13966764986487296</v>
      </c>
      <c r="U62" s="346">
        <v>0.15148399101193907</v>
      </c>
      <c r="V62" s="346">
        <v>-5.9104712113229596E-2</v>
      </c>
      <c r="W62" s="346">
        <v>-0.17945715230240655</v>
      </c>
      <c r="X62" s="346">
        <v>0.12900248686310087</v>
      </c>
      <c r="Y62" s="346">
        <v>0.20770337879514766</v>
      </c>
      <c r="Z62" s="346">
        <v>0.20770337879514766</v>
      </c>
      <c r="AA62" s="346">
        <v>0.14449504009038322</v>
      </c>
    </row>
    <row r="63" spans="1:27" ht="14">
      <c r="A63" s="345" t="s">
        <v>653</v>
      </c>
      <c r="B63" s="144">
        <v>31</v>
      </c>
      <c r="C63" s="346">
        <v>1.2955555599999998E-3</v>
      </c>
      <c r="D63" s="346">
        <v>5.4338625261254166E-2</v>
      </c>
      <c r="E63" s="346">
        <v>0.1047435402947904</v>
      </c>
      <c r="F63" s="346">
        <v>0.25947461195710719</v>
      </c>
      <c r="G63" s="347">
        <v>0.75678423138498629</v>
      </c>
      <c r="H63" s="347">
        <v>1.0675088150000001</v>
      </c>
      <c r="I63" s="346">
        <v>7.4710458379999997E-2</v>
      </c>
      <c r="J63" s="346">
        <v>0.38178201</v>
      </c>
      <c r="K63" s="346">
        <v>3.27E-2</v>
      </c>
      <c r="L63" s="346">
        <v>0.40322742500111991</v>
      </c>
      <c r="M63" s="346">
        <v>5.4474305224931727E-2</v>
      </c>
      <c r="N63" s="347">
        <v>2.1390230752115724</v>
      </c>
      <c r="O63" s="347">
        <v>1.0708440675686111</v>
      </c>
      <c r="P63" s="347">
        <v>9.1787026265847462</v>
      </c>
      <c r="Q63" s="347">
        <v>19.766329521415628</v>
      </c>
      <c r="R63" s="347">
        <v>1.593737161069688</v>
      </c>
      <c r="S63" s="347">
        <v>28.049546289999999</v>
      </c>
      <c r="T63" s="346">
        <v>0.13476517640728497</v>
      </c>
      <c r="U63" s="346">
        <v>3.2210776999170465E-2</v>
      </c>
      <c r="V63" s="346">
        <v>1.8968285798983064E-3</v>
      </c>
      <c r="W63" s="346">
        <v>-5.131981301917006E-2</v>
      </c>
      <c r="X63" s="346">
        <v>-3.7850457635172828E-2</v>
      </c>
      <c r="Y63" s="346">
        <v>8.0400988399999991E-3</v>
      </c>
      <c r="Z63" s="346">
        <v>8.0400988400000095E-3</v>
      </c>
      <c r="AA63" s="346">
        <v>5.3290707372910272E-2</v>
      </c>
    </row>
    <row r="64" spans="1:27" ht="14">
      <c r="A64" s="345" t="s">
        <v>568</v>
      </c>
      <c r="B64" s="144">
        <v>234</v>
      </c>
      <c r="C64" s="346">
        <v>0.1067300549</v>
      </c>
      <c r="D64" s="346">
        <v>0.27150867267835244</v>
      </c>
      <c r="E64" s="346">
        <v>2.9249315554869825E-2</v>
      </c>
      <c r="F64" s="346">
        <v>2.1767457135013171E-2</v>
      </c>
      <c r="G64" s="347">
        <v>0.42562033756937268</v>
      </c>
      <c r="H64" s="347">
        <v>0.68383933200000002</v>
      </c>
      <c r="I64" s="346">
        <v>5.4759645263999998E-2</v>
      </c>
      <c r="J64" s="346">
        <v>0.19856503</v>
      </c>
      <c r="K64" s="346">
        <v>2.7199999999999998E-2</v>
      </c>
      <c r="L64" s="346">
        <v>0.4576296748291695</v>
      </c>
      <c r="M64" s="346">
        <v>3.9035651974590066E-2</v>
      </c>
      <c r="N64" s="347">
        <v>0.12706799643010336</v>
      </c>
      <c r="O64" s="347">
        <v>13.484933572995926</v>
      </c>
      <c r="P64" s="347">
        <v>22.644781657339148</v>
      </c>
      <c r="Q64" s="347">
        <v>51.005478777372531</v>
      </c>
      <c r="R64" s="347">
        <v>2.2606213141803617</v>
      </c>
      <c r="S64" s="347">
        <v>48.00087018</v>
      </c>
      <c r="T64" s="346">
        <v>0.89250474239065669</v>
      </c>
      <c r="U64" s="346">
        <v>3.6943228805118758E-2</v>
      </c>
      <c r="V64" s="346">
        <v>-9.7875297202855857E-2</v>
      </c>
      <c r="W64" s="346">
        <v>-0.43639369173069509</v>
      </c>
      <c r="X64" s="346">
        <v>5.487961603138039E-2</v>
      </c>
      <c r="Y64" s="346">
        <v>1.9243541298465447</v>
      </c>
      <c r="Z64" s="346">
        <v>1.9243541298465447</v>
      </c>
      <c r="AA64" s="346">
        <v>0.23468770829351063</v>
      </c>
    </row>
    <row r="65" spans="1:27" ht="14">
      <c r="A65" s="345" t="s">
        <v>569</v>
      </c>
      <c r="B65" s="144">
        <v>20</v>
      </c>
      <c r="C65" s="346">
        <v>-2.5032000000000002E-2</v>
      </c>
      <c r="D65" s="346">
        <v>0.10275570407757199</v>
      </c>
      <c r="E65" s="346">
        <v>2.0832070614822694E-2</v>
      </c>
      <c r="F65" s="346">
        <v>0.22528938032472745</v>
      </c>
      <c r="G65" s="347">
        <v>0.89107405238567561</v>
      </c>
      <c r="H65" s="347">
        <v>1.2361501370000001</v>
      </c>
      <c r="I65" s="346">
        <v>8.3479807123999994E-2</v>
      </c>
      <c r="J65" s="346">
        <v>0.47223567599999999</v>
      </c>
      <c r="K65" s="346">
        <v>3.6699999999999997E-2</v>
      </c>
      <c r="L65" s="346">
        <v>0.41184684346830452</v>
      </c>
      <c r="M65" s="346">
        <v>6.0434996433102794E-2</v>
      </c>
      <c r="N65" s="347">
        <v>0.2806887892019545</v>
      </c>
      <c r="O65" s="347">
        <v>5.3663795253831763</v>
      </c>
      <c r="P65" s="347">
        <v>26.105981738000789</v>
      </c>
      <c r="Q65" s="347">
        <v>68.335074725162102</v>
      </c>
      <c r="R65" s="347">
        <v>1.5804934348879036</v>
      </c>
      <c r="S65" s="347">
        <v>48.486713180000002</v>
      </c>
      <c r="T65" s="346">
        <v>4.3182666426087354E-2</v>
      </c>
      <c r="U65" s="346">
        <v>3.3486167102098729E-2</v>
      </c>
      <c r="V65" s="346">
        <v>-5.0122720160957424E-2</v>
      </c>
      <c r="W65" s="346">
        <v>-2.0989368533678903</v>
      </c>
      <c r="X65" s="346">
        <v>3.3674599509687986E-2</v>
      </c>
      <c r="Y65" s="346">
        <v>4.6824830538708524E-4</v>
      </c>
      <c r="Z65" s="346">
        <v>4.6824830538705342E-4</v>
      </c>
      <c r="AA65" s="346">
        <v>7.5876472777875278E-2</v>
      </c>
    </row>
    <row r="66" spans="1:27" ht="14">
      <c r="A66" s="345" t="s">
        <v>570</v>
      </c>
      <c r="B66" s="144">
        <v>12</v>
      </c>
      <c r="C66" s="346">
        <v>2.4140000000000002E-2</v>
      </c>
      <c r="D66" s="346">
        <v>0.29910974833507598</v>
      </c>
      <c r="E66" s="346">
        <v>7.4120216512727072E-2</v>
      </c>
      <c r="F66" s="346">
        <v>0.16333180533272215</v>
      </c>
      <c r="G66" s="347">
        <v>1.5017204419375949</v>
      </c>
      <c r="H66" s="347">
        <v>1.6326053380000001</v>
      </c>
      <c r="I66" s="346">
        <v>0.10409547757599999</v>
      </c>
      <c r="J66" s="346">
        <v>0.21349831699999999</v>
      </c>
      <c r="K66" s="346">
        <v>2.7199999999999998E-2</v>
      </c>
      <c r="L66" s="346">
        <v>0.31238614415155214</v>
      </c>
      <c r="M66" s="346">
        <v>7.7950170053110668E-2</v>
      </c>
      <c r="N66" s="347">
        <v>0.26923946194622478</v>
      </c>
      <c r="O66" s="347">
        <v>6.5742927815383423</v>
      </c>
      <c r="P66" s="347">
        <v>7.6753015175882124</v>
      </c>
      <c r="Q66" s="347">
        <v>13.483161886405156</v>
      </c>
      <c r="R66" s="347">
        <v>0.88386936260738058</v>
      </c>
      <c r="S66" s="347">
        <v>110.21081169999999</v>
      </c>
      <c r="T66" s="346">
        <v>3.4567172653105116</v>
      </c>
      <c r="U66" s="346">
        <v>3.1953140565959555E-2</v>
      </c>
      <c r="V66" s="346">
        <v>-5.903978361718297E-2</v>
      </c>
      <c r="W66" s="346">
        <v>1.3357043750568918</v>
      </c>
      <c r="X66" s="346">
        <v>5.7098055848105546E-2</v>
      </c>
      <c r="Y66" s="346">
        <v>0.22051996285979572</v>
      </c>
      <c r="Z66" s="346">
        <v>0.22051996285979569</v>
      </c>
      <c r="AA66" s="346">
        <v>0.29458280151566713</v>
      </c>
    </row>
    <row r="67" spans="1:27" ht="14">
      <c r="A67" s="345" t="s">
        <v>571</v>
      </c>
      <c r="B67" s="144">
        <v>57</v>
      </c>
      <c r="C67" s="346">
        <v>3.4814285709999997E-2</v>
      </c>
      <c r="D67" s="346">
        <v>5.747727315112594E-2</v>
      </c>
      <c r="E67" s="346">
        <v>0.11469429646037563</v>
      </c>
      <c r="F67" s="346">
        <v>0.22267816036377994</v>
      </c>
      <c r="G67" s="347">
        <v>0.67504760776561479</v>
      </c>
      <c r="H67" s="347">
        <v>0.93261337399999999</v>
      </c>
      <c r="I67" s="346">
        <v>6.769589544799999E-2</v>
      </c>
      <c r="J67" s="346">
        <v>0.39152207500000002</v>
      </c>
      <c r="K67" s="346">
        <v>3.27E-2</v>
      </c>
      <c r="L67" s="346">
        <v>0.37028678480269855</v>
      </c>
      <c r="M67" s="346">
        <v>5.1710283375506622E-2</v>
      </c>
      <c r="N67" s="347">
        <v>2.1055907749253833</v>
      </c>
      <c r="O67" s="347">
        <v>1.3894468679956034</v>
      </c>
      <c r="P67" s="347">
        <v>12.603884514272561</v>
      </c>
      <c r="Q67" s="347">
        <v>22.981752366805569</v>
      </c>
      <c r="R67" s="347">
        <v>2.57858277200766</v>
      </c>
      <c r="S67" s="347">
        <v>32.45852129</v>
      </c>
      <c r="T67" s="346">
        <v>0.11582206639824974</v>
      </c>
      <c r="U67" s="346">
        <v>1.2829842363725547E-2</v>
      </c>
      <c r="V67" s="346">
        <v>6.3790105774169849E-3</v>
      </c>
      <c r="W67" s="346">
        <v>0.55466620890558282</v>
      </c>
      <c r="X67" s="346">
        <v>0.11916788901395671</v>
      </c>
      <c r="Y67" s="346">
        <v>0.19232682447345148</v>
      </c>
      <c r="Z67" s="346">
        <v>0.19232682447345151</v>
      </c>
      <c r="AA67" s="346">
        <v>5.7678552033207646E-2</v>
      </c>
    </row>
    <row r="68" spans="1:27" ht="14">
      <c r="A68" s="345" t="s">
        <v>572</v>
      </c>
      <c r="B68" s="144">
        <v>63</v>
      </c>
      <c r="C68" s="346">
        <v>5.4745161290000004E-2</v>
      </c>
      <c r="D68" s="346">
        <v>9.5766956808391035E-2</v>
      </c>
      <c r="E68" s="346">
        <v>0.14080528942583431</v>
      </c>
      <c r="F68" s="346">
        <v>0.23577664654300043</v>
      </c>
      <c r="G68" s="347">
        <v>0.75402861704359259</v>
      </c>
      <c r="H68" s="347">
        <v>0.90177487300000003</v>
      </c>
      <c r="I68" s="346">
        <v>6.6092293395999993E-2</v>
      </c>
      <c r="J68" s="346">
        <v>0.475304332</v>
      </c>
      <c r="K68" s="346">
        <v>3.6699999999999997E-2</v>
      </c>
      <c r="L68" s="346">
        <v>0.25195474716110067</v>
      </c>
      <c r="M68" s="346">
        <v>5.6375080739722826E-2</v>
      </c>
      <c r="N68" s="347">
        <v>1.6290242703556785</v>
      </c>
      <c r="O68" s="347">
        <v>2.352410713544046</v>
      </c>
      <c r="P68" s="347">
        <v>13.310151722367038</v>
      </c>
      <c r="Q68" s="347">
        <v>23.238601870015504</v>
      </c>
      <c r="R68" s="347">
        <v>6.0367334595467934</v>
      </c>
      <c r="S68" s="347">
        <v>30.510470080000001</v>
      </c>
      <c r="T68" s="346">
        <v>0.1867224278728972</v>
      </c>
      <c r="U68" s="346">
        <v>5.0718173640098174E-2</v>
      </c>
      <c r="V68" s="346">
        <v>4.0061548031463327E-2</v>
      </c>
      <c r="W68" s="346">
        <v>0.73922551249805257</v>
      </c>
      <c r="X68" s="346">
        <v>4.2683431451047166E-2</v>
      </c>
      <c r="Y68" s="346">
        <v>2.6494802576973244</v>
      </c>
      <c r="Z68" s="346">
        <v>2.6494802576973244</v>
      </c>
      <c r="AA68" s="346">
        <v>9.4045065018968713E-2</v>
      </c>
    </row>
    <row r="69" spans="1:27" ht="14">
      <c r="A69" s="345" t="s">
        <v>573</v>
      </c>
      <c r="B69" s="144">
        <v>2</v>
      </c>
      <c r="C69" s="346">
        <v>6.6349999999999992E-2</v>
      </c>
      <c r="D69" s="346">
        <v>6.609682681923669E-2</v>
      </c>
      <c r="E69" s="346">
        <v>5.8995489477871824E-2</v>
      </c>
      <c r="F69" s="346">
        <v>0.21025686291817458</v>
      </c>
      <c r="G69" s="347">
        <v>0.76985429252100079</v>
      </c>
      <c r="H69" s="347">
        <v>0.81904634200000004</v>
      </c>
      <c r="I69" s="346">
        <v>6.1790409783999994E-2</v>
      </c>
      <c r="J69" s="346">
        <v>0.14871563199999999</v>
      </c>
      <c r="K69" s="346">
        <v>2.7199999999999998E-2</v>
      </c>
      <c r="L69" s="346">
        <v>0.22487709590175969</v>
      </c>
      <c r="M69" s="346">
        <v>5.2482654633590295E-2</v>
      </c>
      <c r="N69" s="347">
        <v>1.0942237870545661</v>
      </c>
      <c r="O69" s="347">
        <v>1.1239309680384182</v>
      </c>
      <c r="P69" s="347">
        <v>14.91480658007074</v>
      </c>
      <c r="Q69" s="347">
        <v>17.188588797649412</v>
      </c>
      <c r="R69" s="347">
        <v>1.0566302378586874</v>
      </c>
      <c r="S69" s="347">
        <v>57.39914263</v>
      </c>
      <c r="T69" s="346">
        <v>-4.0752740056524413E-2</v>
      </c>
      <c r="U69" s="346">
        <v>2.403437421015142E-3</v>
      </c>
      <c r="V69" s="346">
        <v>-6.5072034190390864E-4</v>
      </c>
      <c r="W69" s="346">
        <v>0.1227912526794533</v>
      </c>
      <c r="X69" s="346">
        <v>5.0022125954909631E-2</v>
      </c>
      <c r="Y69" s="346">
        <v>0.18263298801070887</v>
      </c>
      <c r="Z69" s="346">
        <v>0.18263298801070893</v>
      </c>
      <c r="AA69" s="346">
        <v>6.5388205004480587E-2</v>
      </c>
    </row>
    <row r="70" spans="1:27" ht="14">
      <c r="A70" s="345" t="s">
        <v>574</v>
      </c>
      <c r="B70" s="144">
        <v>77</v>
      </c>
      <c r="C70" s="346">
        <v>7.9172599999999996E-2</v>
      </c>
      <c r="D70" s="346">
        <v>0.1569187442405256</v>
      </c>
      <c r="E70" s="346">
        <v>0.19077089336457886</v>
      </c>
      <c r="F70" s="346">
        <v>0.20490675379032897</v>
      </c>
      <c r="G70" s="347">
        <v>0.75189638132612358</v>
      </c>
      <c r="H70" s="347">
        <v>0.97298048000000004</v>
      </c>
      <c r="I70" s="346">
        <v>6.9794984960000001E-2</v>
      </c>
      <c r="J70" s="346">
        <v>0.38756696200000001</v>
      </c>
      <c r="K70" s="346">
        <v>3.27E-2</v>
      </c>
      <c r="L70" s="346">
        <v>0.29405897018688221</v>
      </c>
      <c r="M70" s="346">
        <v>5.6482939802286754E-2</v>
      </c>
      <c r="N70" s="347">
        <v>1.5300293281964508</v>
      </c>
      <c r="O70" s="347">
        <v>4.2584702994112513</v>
      </c>
      <c r="P70" s="347">
        <v>16.879168682463227</v>
      </c>
      <c r="Q70" s="347">
        <v>31.838053804254987</v>
      </c>
      <c r="R70" s="347" t="s">
        <v>99</v>
      </c>
      <c r="S70" s="347">
        <v>38.000132999999998</v>
      </c>
      <c r="T70" s="346">
        <v>3.9339512290593875E-3</v>
      </c>
      <c r="U70" s="346">
        <v>6.3148596454922476E-2</v>
      </c>
      <c r="V70" s="346">
        <v>2.2158304385445044E-2</v>
      </c>
      <c r="W70" s="346">
        <v>0.2650301797617754</v>
      </c>
      <c r="X70" s="346" t="s">
        <v>99</v>
      </c>
      <c r="Y70" s="346">
        <v>0.53912551075488746</v>
      </c>
      <c r="Z70" s="346">
        <v>0.53912551075488746</v>
      </c>
      <c r="AA70" s="346">
        <v>0.13344885578837354</v>
      </c>
    </row>
    <row r="71" spans="1:27" ht="14">
      <c r="A71" s="345" t="s">
        <v>575</v>
      </c>
      <c r="B71" s="144">
        <v>26</v>
      </c>
      <c r="C71" s="346">
        <v>4.6966666669999997E-2</v>
      </c>
      <c r="D71" s="346">
        <v>5.6303707754557966E-2</v>
      </c>
      <c r="E71" s="346">
        <v>9.4753515027273139E-2</v>
      </c>
      <c r="F71" s="346">
        <v>0.23494271919905155</v>
      </c>
      <c r="G71" s="347">
        <v>0.86851869321114017</v>
      </c>
      <c r="H71" s="347">
        <v>1.332582621</v>
      </c>
      <c r="I71" s="346">
        <v>8.8494296291999994E-2</v>
      </c>
      <c r="J71" s="346">
        <v>0.373701271</v>
      </c>
      <c r="K71" s="346">
        <v>3.27E-2</v>
      </c>
      <c r="L71" s="346">
        <v>0.42153567826618143</v>
      </c>
      <c r="M71" s="346">
        <v>6.1528955591341451E-2</v>
      </c>
      <c r="N71" s="347">
        <v>2.2598364984984833</v>
      </c>
      <c r="O71" s="347">
        <v>1.1893681541705801</v>
      </c>
      <c r="P71" s="347">
        <v>13.90485967314048</v>
      </c>
      <c r="Q71" s="347">
        <v>23.642634963117182</v>
      </c>
      <c r="R71" s="347">
        <v>6.4529617564575146</v>
      </c>
      <c r="S71" s="347">
        <v>16.619298730000001</v>
      </c>
      <c r="T71" s="346">
        <v>0.12747890514898699</v>
      </c>
      <c r="U71" s="346">
        <v>2.1389987433954441E-2</v>
      </c>
      <c r="V71" s="346">
        <v>1.7016494605353705E-2</v>
      </c>
      <c r="W71" s="346">
        <v>0.4932611247415884</v>
      </c>
      <c r="X71" s="346">
        <v>0.34600909753608394</v>
      </c>
      <c r="Y71" s="346">
        <v>4.4208925686026294E-2</v>
      </c>
      <c r="Z71" s="346">
        <v>4.4208925686026301E-2</v>
      </c>
      <c r="AA71" s="346">
        <v>4.8778544423902975E-2</v>
      </c>
    </row>
    <row r="72" spans="1:27" ht="14">
      <c r="A72" s="345" t="s">
        <v>576</v>
      </c>
      <c r="B72" s="144">
        <v>17</v>
      </c>
      <c r="C72" s="346">
        <v>6.3412307690000003E-2</v>
      </c>
      <c r="D72" s="346">
        <v>0.1119544632683398</v>
      </c>
      <c r="E72" s="346">
        <v>0.28826035423221785</v>
      </c>
      <c r="F72" s="346">
        <v>0.25151196091497779</v>
      </c>
      <c r="G72" s="347">
        <v>1.1509711433254448</v>
      </c>
      <c r="H72" s="347">
        <v>1.358857744</v>
      </c>
      <c r="I72" s="346">
        <v>8.9860602687999988E-2</v>
      </c>
      <c r="J72" s="346">
        <v>0.472945897</v>
      </c>
      <c r="K72" s="346">
        <v>3.6699999999999997E-2</v>
      </c>
      <c r="L72" s="346">
        <v>0.20454132508220679</v>
      </c>
      <c r="M72" s="346">
        <v>7.71103959143985E-2</v>
      </c>
      <c r="N72" s="347">
        <v>3.0986362163184866</v>
      </c>
      <c r="O72" s="347">
        <v>2.0295173393333292</v>
      </c>
      <c r="P72" s="347">
        <v>13.600439116913867</v>
      </c>
      <c r="Q72" s="347">
        <v>18.569376895940259</v>
      </c>
      <c r="R72" s="347">
        <v>43.047936449628963</v>
      </c>
      <c r="S72" s="347">
        <v>238.79629980000001</v>
      </c>
      <c r="T72" s="346">
        <v>7.7352706071525668E-2</v>
      </c>
      <c r="U72" s="346">
        <v>2.4169079582853737E-2</v>
      </c>
      <c r="V72" s="346">
        <v>7.4313965607991153E-3</v>
      </c>
      <c r="W72" s="346">
        <v>0.25757684361095112</v>
      </c>
      <c r="X72" s="346">
        <v>0.94806530885186957</v>
      </c>
      <c r="Y72" s="346">
        <v>0.53707436058141855</v>
      </c>
      <c r="Z72" s="346">
        <v>0.53707436058141855</v>
      </c>
      <c r="AA72" s="346">
        <v>0.10931247942899779</v>
      </c>
    </row>
    <row r="73" spans="1:27" ht="14">
      <c r="A73" s="345" t="s">
        <v>577</v>
      </c>
      <c r="B73" s="144">
        <v>80</v>
      </c>
      <c r="C73" s="346">
        <v>7.2262708329999994E-2</v>
      </c>
      <c r="D73" s="346">
        <v>8.350760093148743E-2</v>
      </c>
      <c r="E73" s="346">
        <v>0.13573769935994287</v>
      </c>
      <c r="F73" s="346">
        <v>0.23218173288081073</v>
      </c>
      <c r="G73" s="347">
        <v>0.89371496522206739</v>
      </c>
      <c r="H73" s="347">
        <v>1.278978137</v>
      </c>
      <c r="I73" s="346">
        <v>8.5706863123999985E-2</v>
      </c>
      <c r="J73" s="346">
        <v>0.42830792600000001</v>
      </c>
      <c r="K73" s="346">
        <v>3.6699999999999997E-2</v>
      </c>
      <c r="L73" s="346">
        <v>0.37834142231364737</v>
      </c>
      <c r="M73" s="346">
        <v>6.3694254276807874E-2</v>
      </c>
      <c r="N73" s="347">
        <v>1.7866917867315544</v>
      </c>
      <c r="O73" s="347">
        <v>1.3953306758767088</v>
      </c>
      <c r="P73" s="347">
        <v>12.660195060649688</v>
      </c>
      <c r="Q73" s="347">
        <v>16.140701823133831</v>
      </c>
      <c r="R73" s="347">
        <v>2.9561281056734718</v>
      </c>
      <c r="S73" s="347">
        <v>897.3225023</v>
      </c>
      <c r="T73" s="346">
        <v>0.17093500459243968</v>
      </c>
      <c r="U73" s="346">
        <v>7.3262031740190817E-2</v>
      </c>
      <c r="V73" s="346">
        <v>9.2432963061731502E-2</v>
      </c>
      <c r="W73" s="346">
        <v>1.3758605042610925</v>
      </c>
      <c r="X73" s="346">
        <v>0.16471300547663828</v>
      </c>
      <c r="Y73" s="346">
        <v>0.28907917079999512</v>
      </c>
      <c r="Z73" s="346">
        <v>0.28907917079999512</v>
      </c>
      <c r="AA73" s="346">
        <v>8.6292095979537076E-2</v>
      </c>
    </row>
    <row r="74" spans="1:27" ht="14">
      <c r="A74" s="345" t="s">
        <v>578</v>
      </c>
      <c r="B74" s="144">
        <v>18</v>
      </c>
      <c r="C74" s="346">
        <v>1.506866667E-2</v>
      </c>
      <c r="D74" s="346">
        <v>4.1799402617702673E-2</v>
      </c>
      <c r="E74" s="346">
        <v>0.1381824512217662</v>
      </c>
      <c r="F74" s="346">
        <v>0.24941902418791229</v>
      </c>
      <c r="G74" s="347">
        <v>0.94572679473428167</v>
      </c>
      <c r="H74" s="347">
        <v>1.1436996719999999</v>
      </c>
      <c r="I74" s="346">
        <v>7.8672382943999988E-2</v>
      </c>
      <c r="J74" s="346">
        <v>0.40402199500000002</v>
      </c>
      <c r="K74" s="346">
        <v>3.6699999999999997E-2</v>
      </c>
      <c r="L74" s="346">
        <v>0.24302062060903565</v>
      </c>
      <c r="M74" s="346">
        <v>6.6242514198421115E-2</v>
      </c>
      <c r="N74" s="347">
        <v>4.2033973909382176</v>
      </c>
      <c r="O74" s="347">
        <v>0.8785429822551506</v>
      </c>
      <c r="P74" s="347">
        <v>12.205636964736465</v>
      </c>
      <c r="Q74" s="347">
        <v>22.574290160507264</v>
      </c>
      <c r="R74" s="347">
        <v>4.8429963023538036</v>
      </c>
      <c r="S74" s="347">
        <v>18.636484159999998</v>
      </c>
      <c r="T74" s="346">
        <v>1.9978328292947316E-2</v>
      </c>
      <c r="U74" s="346">
        <v>2.4490005368021948E-2</v>
      </c>
      <c r="V74" s="346">
        <v>4.8751012742217353E-3</v>
      </c>
      <c r="W74" s="346">
        <v>0.17014536849693049</v>
      </c>
      <c r="X74" s="346">
        <v>0.18142615744208562</v>
      </c>
      <c r="Y74" s="346">
        <v>0.44441497154323562</v>
      </c>
      <c r="Z74" s="346">
        <v>0.44441497154323562</v>
      </c>
      <c r="AA74" s="346">
        <v>3.8899797234579085E-2</v>
      </c>
    </row>
    <row r="75" spans="1:27" ht="14">
      <c r="A75" s="345" t="s">
        <v>579</v>
      </c>
      <c r="B75" s="144">
        <v>13</v>
      </c>
      <c r="C75" s="346">
        <v>5.568571429E-2</v>
      </c>
      <c r="D75" s="346">
        <v>2.2906275507618489E-2</v>
      </c>
      <c r="E75" s="346">
        <v>7.1272248125199292E-2</v>
      </c>
      <c r="F75" s="346">
        <v>0.24142139204661636</v>
      </c>
      <c r="G75" s="347">
        <v>0.34510306364726978</v>
      </c>
      <c r="H75" s="347">
        <v>0.587786853</v>
      </c>
      <c r="I75" s="346">
        <v>4.9764916356E-2</v>
      </c>
      <c r="J75" s="346">
        <v>0.37181372200000001</v>
      </c>
      <c r="K75" s="346">
        <v>3.27E-2</v>
      </c>
      <c r="L75" s="346">
        <v>0.49150542196470121</v>
      </c>
      <c r="M75" s="346">
        <v>3.7359360617090456E-2</v>
      </c>
      <c r="N75" s="347">
        <v>4.2618537466283453</v>
      </c>
      <c r="O75" s="347">
        <v>0.48654781097203498</v>
      </c>
      <c r="P75" s="347">
        <v>8.9281208985486362</v>
      </c>
      <c r="Q75" s="347">
        <v>25.371838247367279</v>
      </c>
      <c r="R75" s="347">
        <v>2.6881570995530675</v>
      </c>
      <c r="S75" s="347">
        <v>395.14394429999999</v>
      </c>
      <c r="T75" s="346">
        <v>-1.2327194357372032E-3</v>
      </c>
      <c r="U75" s="346">
        <v>2.7878366880402124E-2</v>
      </c>
      <c r="V75" s="346">
        <v>6.4658485165415254E-3</v>
      </c>
      <c r="W75" s="346">
        <v>0.42706984260082675</v>
      </c>
      <c r="X75" s="346">
        <v>0.18111905246124341</v>
      </c>
      <c r="Y75" s="346">
        <v>0.34194840381670399</v>
      </c>
      <c r="Z75" s="346">
        <v>0.34194840381670399</v>
      </c>
      <c r="AA75" s="346">
        <v>1.9174109321536053E-2</v>
      </c>
    </row>
    <row r="76" spans="1:27" ht="14">
      <c r="A76" s="345" t="s">
        <v>580</v>
      </c>
      <c r="B76" s="144">
        <v>70</v>
      </c>
      <c r="C76" s="346">
        <v>0.18271148149999999</v>
      </c>
      <c r="D76" s="346">
        <v>6.7073565757899786E-2</v>
      </c>
      <c r="E76" s="346">
        <v>9.9948273800255921E-2</v>
      </c>
      <c r="F76" s="346">
        <v>0.14316009662969226</v>
      </c>
      <c r="G76" s="347">
        <v>1.1594182467938388</v>
      </c>
      <c r="H76" s="347">
        <v>1.2301273779999999</v>
      </c>
      <c r="I76" s="346">
        <v>8.3166623655999986E-2</v>
      </c>
      <c r="J76" s="346">
        <v>0.55967185100000005</v>
      </c>
      <c r="K76" s="346">
        <v>3.6699999999999997E-2</v>
      </c>
      <c r="L76" s="346">
        <v>0.11400951566390057</v>
      </c>
      <c r="M76" s="346">
        <v>7.6822949092226395E-2</v>
      </c>
      <c r="N76" s="347">
        <v>1.6500240060316411</v>
      </c>
      <c r="O76" s="347">
        <v>3.4182355837731984</v>
      </c>
      <c r="P76" s="347">
        <v>22.820140106083365</v>
      </c>
      <c r="Q76" s="347">
        <v>53.476057410543014</v>
      </c>
      <c r="R76" s="347">
        <v>13.501193807576541</v>
      </c>
      <c r="S76" s="347">
        <v>243.82374160000001</v>
      </c>
      <c r="T76" s="346">
        <v>-9.8870757825356217E-3</v>
      </c>
      <c r="U76" s="346">
        <v>5.264802989789804E-2</v>
      </c>
      <c r="V76" s="346">
        <v>-2.1090758895346896E-3</v>
      </c>
      <c r="W76" s="346">
        <v>0.21882481173886528</v>
      </c>
      <c r="X76" s="346">
        <v>0.22405166121112985</v>
      </c>
      <c r="Y76" s="346">
        <v>3.5960449885306868E-2</v>
      </c>
      <c r="Z76" s="346">
        <v>3.5960449885306889E-2</v>
      </c>
      <c r="AA76" s="346">
        <v>6.2400554117745283E-2</v>
      </c>
    </row>
    <row r="77" spans="1:27" ht="14">
      <c r="A77" s="345" t="s">
        <v>581</v>
      </c>
      <c r="B77" s="144">
        <v>89</v>
      </c>
      <c r="C77" s="346">
        <v>7.6529354840000008E-2</v>
      </c>
      <c r="D77" s="346">
        <v>5.7618662555037461E-2</v>
      </c>
      <c r="E77" s="346">
        <v>0.12044980067386891</v>
      </c>
      <c r="F77" s="346">
        <v>0.22329696913985822</v>
      </c>
      <c r="G77" s="347">
        <v>0.69034637967944268</v>
      </c>
      <c r="H77" s="347">
        <v>1.0303212349999999</v>
      </c>
      <c r="I77" s="346">
        <v>7.2776704219999988E-2</v>
      </c>
      <c r="J77" s="346">
        <v>0.44947682999999999</v>
      </c>
      <c r="K77" s="346">
        <v>3.6699999999999997E-2</v>
      </c>
      <c r="L77" s="346">
        <v>0.41373115250803971</v>
      </c>
      <c r="M77" s="346">
        <v>5.4054664480106471E-2</v>
      </c>
      <c r="N77" s="347">
        <v>2.4477155353218851</v>
      </c>
      <c r="O77" s="347">
        <v>1.1873922100308532</v>
      </c>
      <c r="P77" s="347">
        <v>9.7157607475244507</v>
      </c>
      <c r="Q77" s="347">
        <v>21.287033195134274</v>
      </c>
      <c r="R77" s="347">
        <v>4.568684554463224</v>
      </c>
      <c r="S77" s="347">
        <v>23.793345049999999</v>
      </c>
      <c r="T77" s="346">
        <v>8.0017650977129359E-2</v>
      </c>
      <c r="U77" s="346">
        <v>2.3882968594784424E-2</v>
      </c>
      <c r="V77" s="346">
        <v>5.4809381975704022E-3</v>
      </c>
      <c r="W77" s="346">
        <v>0.27210792841683817</v>
      </c>
      <c r="X77" s="346">
        <v>0.19919010666178474</v>
      </c>
      <c r="Y77" s="346">
        <v>0.40090750973302247</v>
      </c>
      <c r="Z77" s="346">
        <v>0.40090750973302247</v>
      </c>
      <c r="AA77" s="346">
        <v>5.5840287429354631E-2</v>
      </c>
    </row>
    <row r="78" spans="1:27" ht="14">
      <c r="A78" s="345" t="s">
        <v>582</v>
      </c>
      <c r="B78" s="144">
        <v>4</v>
      </c>
      <c r="C78" s="346">
        <v>-6.1650000000000003E-2</v>
      </c>
      <c r="D78" s="346">
        <v>5.5145703338559476E-2</v>
      </c>
      <c r="E78" s="346">
        <v>6.1170863179706512E-2</v>
      </c>
      <c r="F78" s="346">
        <v>0.41969907688707059</v>
      </c>
      <c r="G78" s="347">
        <v>0.45318132931651134</v>
      </c>
      <c r="H78" s="347">
        <v>0.98298896800000002</v>
      </c>
      <c r="I78" s="346">
        <v>7.0315426335999992E-2</v>
      </c>
      <c r="J78" s="346">
        <v>0.57589186400000003</v>
      </c>
      <c r="K78" s="346">
        <v>3.6699999999999997E-2</v>
      </c>
      <c r="L78" s="346">
        <v>0.64032676745754324</v>
      </c>
      <c r="M78" s="346">
        <v>4.2915570962138994E-2</v>
      </c>
      <c r="N78" s="347">
        <v>1.289556108176702</v>
      </c>
      <c r="O78" s="347">
        <v>0.74282613815554643</v>
      </c>
      <c r="P78" s="347">
        <v>5.9255227038924589</v>
      </c>
      <c r="Q78" s="347">
        <v>12.436737340065022</v>
      </c>
      <c r="R78" s="347">
        <v>0.80021997498570163</v>
      </c>
      <c r="S78" s="347">
        <v>21.54909803</v>
      </c>
      <c r="T78" s="346">
        <v>0.19267145755298817</v>
      </c>
      <c r="U78" s="346">
        <v>5.4374093519426361E-2</v>
      </c>
      <c r="V78" s="346">
        <v>3.0245839790713084E-3</v>
      </c>
      <c r="W78" s="346">
        <v>0.7734565244622541</v>
      </c>
      <c r="X78" s="346">
        <v>3.6994694290045482E-2</v>
      </c>
      <c r="Y78" s="346">
        <v>0.76426767790228511</v>
      </c>
      <c r="Z78" s="346">
        <v>0.76426767790228511</v>
      </c>
      <c r="AA78" s="346">
        <v>5.9721744351016383E-2</v>
      </c>
    </row>
    <row r="79" spans="1:27" ht="14">
      <c r="A79" s="345" t="s">
        <v>583</v>
      </c>
      <c r="B79" s="144">
        <v>72</v>
      </c>
      <c r="C79" s="346">
        <v>8.3476603770000005E-2</v>
      </c>
      <c r="D79" s="346">
        <v>0.24617957465863774</v>
      </c>
      <c r="E79" s="346">
        <v>0.17003312768423534</v>
      </c>
      <c r="F79" s="346">
        <v>0.1408216497210554</v>
      </c>
      <c r="G79" s="347">
        <v>1.2368902767245551</v>
      </c>
      <c r="H79" s="347">
        <v>1.2865982869999999</v>
      </c>
      <c r="I79" s="346">
        <v>8.6103110923999984E-2</v>
      </c>
      <c r="J79" s="346">
        <v>0.43694603399999998</v>
      </c>
      <c r="K79" s="346">
        <v>3.6699999999999997E-2</v>
      </c>
      <c r="L79" s="346">
        <v>0.10554597607024396</v>
      </c>
      <c r="M79" s="346">
        <v>7.9920427030175392E-2</v>
      </c>
      <c r="N79" s="347">
        <v>0.71283249571375162</v>
      </c>
      <c r="O79" s="347">
        <v>5.3756298987817956</v>
      </c>
      <c r="P79" s="347">
        <v>13.709577784362965</v>
      </c>
      <c r="Q79" s="347">
        <v>21.65685013854544</v>
      </c>
      <c r="R79" s="347">
        <v>5.012930763054209</v>
      </c>
      <c r="S79" s="347">
        <v>97.093674210000003</v>
      </c>
      <c r="T79" s="346">
        <v>0.16943441337652326</v>
      </c>
      <c r="U79" s="346">
        <v>0.14119219281651646</v>
      </c>
      <c r="V79" s="346">
        <v>0.15698757665339383</v>
      </c>
      <c r="W79" s="346">
        <v>0.70962669668138301</v>
      </c>
      <c r="X79" s="346">
        <v>0.20294259200072243</v>
      </c>
      <c r="Y79" s="346">
        <v>0.43914167861377529</v>
      </c>
      <c r="Z79" s="346">
        <v>0.43914167861377529</v>
      </c>
      <c r="AA79" s="346">
        <v>0.25370601550190292</v>
      </c>
    </row>
    <row r="80" spans="1:27" ht="14">
      <c r="A80" s="345" t="s">
        <v>584</v>
      </c>
      <c r="B80" s="144">
        <v>39</v>
      </c>
      <c r="C80" s="346">
        <v>5.314E-2</v>
      </c>
      <c r="D80" s="346">
        <v>0.19221135954697058</v>
      </c>
      <c r="E80" s="346">
        <v>0.22138163141196174</v>
      </c>
      <c r="F80" s="346">
        <v>0.13519564881894938</v>
      </c>
      <c r="G80" s="347">
        <v>1.2534843105487556</v>
      </c>
      <c r="H80" s="347">
        <v>1.278467646</v>
      </c>
      <c r="I80" s="346">
        <v>8.5680317591999997E-2</v>
      </c>
      <c r="J80" s="346">
        <v>0.41063703099999999</v>
      </c>
      <c r="K80" s="346">
        <v>3.6699999999999997E-2</v>
      </c>
      <c r="L80" s="346">
        <v>0.10852016843933716</v>
      </c>
      <c r="M80" s="346">
        <v>7.9369292731272995E-2</v>
      </c>
      <c r="N80" s="347">
        <v>1.2285708695769344</v>
      </c>
      <c r="O80" s="347">
        <v>3.9985726938741943</v>
      </c>
      <c r="P80" s="347">
        <v>15.708967947601568</v>
      </c>
      <c r="Q80" s="347">
        <v>20.426512400260489</v>
      </c>
      <c r="R80" s="347">
        <v>5.8509588479323904</v>
      </c>
      <c r="S80" s="347">
        <v>39.72517569</v>
      </c>
      <c r="T80" s="346">
        <v>0.29004782930000955</v>
      </c>
      <c r="U80" s="346">
        <v>4.3370906496172555E-2</v>
      </c>
      <c r="V80" s="346">
        <v>0.11987807265746403</v>
      </c>
      <c r="W80" s="346">
        <v>0.69035345362897427</v>
      </c>
      <c r="X80" s="346">
        <v>0.27649063690300901</v>
      </c>
      <c r="Y80" s="346">
        <v>0.29196012680405881</v>
      </c>
      <c r="Z80" s="346">
        <v>0.29196012680405881</v>
      </c>
      <c r="AA80" s="346">
        <v>0.19905055440135097</v>
      </c>
    </row>
    <row r="81" spans="1:27" ht="14">
      <c r="A81" s="345" t="s">
        <v>585</v>
      </c>
      <c r="B81" s="144">
        <v>10</v>
      </c>
      <c r="C81" s="346">
        <v>9.7783333330000013E-2</v>
      </c>
      <c r="D81" s="346">
        <v>7.4109463079198815E-2</v>
      </c>
      <c r="E81" s="346">
        <v>6.0183006441803411E-2</v>
      </c>
      <c r="F81" s="346">
        <v>0.22817869415807562</v>
      </c>
      <c r="G81" s="347">
        <v>1.5713945020074378</v>
      </c>
      <c r="H81" s="347">
        <v>2.1735484760000001</v>
      </c>
      <c r="I81" s="346">
        <v>0.132224520752</v>
      </c>
      <c r="J81" s="346">
        <v>0.34054304200000002</v>
      </c>
      <c r="K81" s="346">
        <v>3.27E-2</v>
      </c>
      <c r="L81" s="346">
        <v>0.35779930375459251</v>
      </c>
      <c r="M81" s="346">
        <v>9.3689707212231105E-2</v>
      </c>
      <c r="N81" s="347">
        <v>0.75652439150719486</v>
      </c>
      <c r="O81" s="347">
        <v>1.9791727901491225</v>
      </c>
      <c r="P81" s="347">
        <v>11.321333330237872</v>
      </c>
      <c r="Q81" s="347">
        <v>23.308228605044718</v>
      </c>
      <c r="R81" s="347">
        <v>1.3401041855140357</v>
      </c>
      <c r="S81" s="347">
        <v>25.12694874</v>
      </c>
      <c r="T81" s="346">
        <v>0.1676229160836365</v>
      </c>
      <c r="U81" s="346">
        <v>0.12979602606644547</v>
      </c>
      <c r="V81" s="346">
        <v>0.10470331427657618</v>
      </c>
      <c r="W81" s="346">
        <v>1.7373888072625141</v>
      </c>
      <c r="X81" s="346">
        <v>2.6936158989395224E-2</v>
      </c>
      <c r="Y81" s="346">
        <v>0.32105775161021638</v>
      </c>
      <c r="Z81" s="346">
        <v>0.32105775161021644</v>
      </c>
      <c r="AA81" s="346">
        <v>8.3644177027945465E-2</v>
      </c>
    </row>
    <row r="82" spans="1:27" ht="14">
      <c r="A82" s="345" t="s">
        <v>586</v>
      </c>
      <c r="B82" s="144">
        <v>11</v>
      </c>
      <c r="C82" s="346">
        <v>3.11875E-2</v>
      </c>
      <c r="D82" s="346">
        <v>0.12473296080179175</v>
      </c>
      <c r="E82" s="346">
        <v>0.30569969295317156</v>
      </c>
      <c r="F82" s="346">
        <v>0.15299403610573822</v>
      </c>
      <c r="G82" s="347">
        <v>0.83360996909511786</v>
      </c>
      <c r="H82" s="347">
        <v>0.86816026400000001</v>
      </c>
      <c r="I82" s="346">
        <v>6.4344333727999997E-2</v>
      </c>
      <c r="J82" s="346">
        <v>0.375639371</v>
      </c>
      <c r="K82" s="346">
        <v>3.27E-2</v>
      </c>
      <c r="L82" s="346">
        <v>8.0897933855649057E-2</v>
      </c>
      <c r="M82" s="346">
        <v>6.112303190189624E-2</v>
      </c>
      <c r="N82" s="347">
        <v>2.9053725507375989</v>
      </c>
      <c r="O82" s="347">
        <v>3.550348413120501</v>
      </c>
      <c r="P82" s="347">
        <v>22.079756449155596</v>
      </c>
      <c r="Q82" s="347">
        <v>29.027036966787655</v>
      </c>
      <c r="R82" s="347">
        <v>12.211382827957801</v>
      </c>
      <c r="S82" s="347">
        <v>23.090032149999999</v>
      </c>
      <c r="T82" s="346">
        <v>0.20764209631388533</v>
      </c>
      <c r="U82" s="346">
        <v>6.4733222972112566E-3</v>
      </c>
      <c r="V82" s="346">
        <v>-8.3879896030741273E-3</v>
      </c>
      <c r="W82" s="346">
        <v>-3.9956064632188266E-2</v>
      </c>
      <c r="X82" s="346">
        <v>0.40157200665824816</v>
      </c>
      <c r="Y82" s="346">
        <v>0.2678039825261973</v>
      </c>
      <c r="Z82" s="346">
        <v>0.2678039825261973</v>
      </c>
      <c r="AA82" s="346">
        <v>0.12231477891551373</v>
      </c>
    </row>
    <row r="83" spans="1:27" ht="14">
      <c r="A83" s="345" t="s">
        <v>587</v>
      </c>
      <c r="B83" s="144">
        <v>86</v>
      </c>
      <c r="C83" s="346">
        <v>0.13534545449999999</v>
      </c>
      <c r="D83" s="346">
        <v>0.22643820352253305</v>
      </c>
      <c r="E83" s="346">
        <v>0.17012255734797888</v>
      </c>
      <c r="F83" s="346">
        <v>0.18774007029269449</v>
      </c>
      <c r="G83" s="347">
        <v>1.2858744552797758</v>
      </c>
      <c r="H83" s="347">
        <v>1.2883300280000001</v>
      </c>
      <c r="I83" s="346">
        <v>8.6193161455999992E-2</v>
      </c>
      <c r="J83" s="346">
        <v>0.61373098999999998</v>
      </c>
      <c r="K83" s="346">
        <v>3.6699999999999997E-2</v>
      </c>
      <c r="L83" s="346">
        <v>3.659924861463499E-2</v>
      </c>
      <c r="M83" s="346">
        <v>8.4045950829108304E-2</v>
      </c>
      <c r="N83" s="347">
        <v>0.70863073494727258</v>
      </c>
      <c r="O83" s="347">
        <v>6.7587449807879461</v>
      </c>
      <c r="P83" s="347">
        <v>20.596038085418968</v>
      </c>
      <c r="Q83" s="347">
        <v>30.272888882104755</v>
      </c>
      <c r="R83" s="347">
        <v>5.1244841795799276</v>
      </c>
      <c r="S83" s="347">
        <v>33.979597040000002</v>
      </c>
      <c r="T83" s="346">
        <v>6.6934474831070206E-2</v>
      </c>
      <c r="U83" s="346">
        <v>0.16707237507660189</v>
      </c>
      <c r="V83" s="346">
        <v>0.12730332043466652</v>
      </c>
      <c r="W83" s="346">
        <v>0.85606057476760944</v>
      </c>
      <c r="X83" s="346">
        <v>0.18491999161210451</v>
      </c>
      <c r="Y83" s="346">
        <v>0</v>
      </c>
      <c r="Z83" s="346">
        <v>0</v>
      </c>
      <c r="AA83" s="346">
        <v>0.24566561317284355</v>
      </c>
    </row>
    <row r="84" spans="1:27" ht="14">
      <c r="A84" s="345" t="s">
        <v>588</v>
      </c>
      <c r="B84" s="144">
        <v>30</v>
      </c>
      <c r="C84" s="346">
        <v>0.30919166669999998</v>
      </c>
      <c r="D84" s="346">
        <v>9.1508430779648445E-2</v>
      </c>
      <c r="E84" s="346">
        <v>0.11121374692689719</v>
      </c>
      <c r="F84" s="346">
        <v>0.15348344512161763</v>
      </c>
      <c r="G84" s="347">
        <v>1.5032034061310999</v>
      </c>
      <c r="H84" s="347">
        <v>1.6728300780000001</v>
      </c>
      <c r="I84" s="346">
        <v>0.106187164056</v>
      </c>
      <c r="J84" s="346">
        <v>0.44781404299999999</v>
      </c>
      <c r="K84" s="346">
        <v>3.6699999999999997E-2</v>
      </c>
      <c r="L84" s="346">
        <v>0.16953539459377637</v>
      </c>
      <c r="M84" s="346">
        <v>9.2851143033165662E-2</v>
      </c>
      <c r="N84" s="347">
        <v>1.021077148260791</v>
      </c>
      <c r="O84" s="347">
        <v>7.6368607217385458</v>
      </c>
      <c r="P84" s="347">
        <v>20.229301923991574</v>
      </c>
      <c r="Q84" s="347">
        <v>58.7595716623212</v>
      </c>
      <c r="R84" s="347">
        <v>9.3864730046731282</v>
      </c>
      <c r="S84" s="347">
        <v>66.750893230000003</v>
      </c>
      <c r="T84" s="346">
        <v>9.7007978113386448E-2</v>
      </c>
      <c r="U84" s="346">
        <v>7.8081378709858235E-2</v>
      </c>
      <c r="V84" s="346">
        <v>9.5322266119225105E-2</v>
      </c>
      <c r="W84" s="346">
        <v>1.5671392920193457</v>
      </c>
      <c r="X84" s="346">
        <v>6.1366180331456945E-2</v>
      </c>
      <c r="Y84" s="346">
        <v>2.5777244619624981E-2</v>
      </c>
      <c r="Z84" s="346">
        <v>2.5777244619624939E-2</v>
      </c>
      <c r="AA84" s="346">
        <v>0.10993710069848815</v>
      </c>
    </row>
    <row r="85" spans="1:27" ht="14">
      <c r="A85" s="345" t="s">
        <v>589</v>
      </c>
      <c r="B85" s="144">
        <v>363</v>
      </c>
      <c r="C85" s="346">
        <v>0.150381338</v>
      </c>
      <c r="D85" s="346">
        <v>0.22250902833301692</v>
      </c>
      <c r="E85" s="346">
        <v>0.20028865277858346</v>
      </c>
      <c r="F85" s="346">
        <v>0.11241556425915916</v>
      </c>
      <c r="G85" s="347">
        <v>1.1491608268691911</v>
      </c>
      <c r="H85" s="347">
        <v>1.196459765</v>
      </c>
      <c r="I85" s="346">
        <v>8.1415907779999991E-2</v>
      </c>
      <c r="J85" s="346">
        <v>0.49502169000000001</v>
      </c>
      <c r="K85" s="346">
        <v>3.6699999999999997E-2</v>
      </c>
      <c r="L85" s="346">
        <v>8.8188508948937747E-2</v>
      </c>
      <c r="M85" s="346">
        <v>7.6663348976977075E-2</v>
      </c>
      <c r="N85" s="347">
        <v>0.85301943809081127</v>
      </c>
      <c r="O85" s="347">
        <v>8.7659551169062571</v>
      </c>
      <c r="P85" s="347">
        <v>24.004777377399346</v>
      </c>
      <c r="Q85" s="347">
        <v>35.624444466461483</v>
      </c>
      <c r="R85" s="347">
        <v>9.9171478491540608</v>
      </c>
      <c r="S85" s="347">
        <v>110.9020732</v>
      </c>
      <c r="T85" s="346">
        <v>0.13079407113965075</v>
      </c>
      <c r="U85" s="346">
        <v>6.5155030330207683E-2</v>
      </c>
      <c r="V85" s="346">
        <v>7.1799377540386164E-2</v>
      </c>
      <c r="W85" s="346">
        <v>0.44378915062787733</v>
      </c>
      <c r="X85" s="346">
        <v>0.27914517334435085</v>
      </c>
      <c r="Y85" s="346">
        <v>0.30545961369835267</v>
      </c>
      <c r="Z85" s="346">
        <v>0.30545961369835273</v>
      </c>
      <c r="AA85" s="346">
        <v>0.24057639176907591</v>
      </c>
    </row>
    <row r="86" spans="1:27" ht="14">
      <c r="A86" s="345" t="s">
        <v>590</v>
      </c>
      <c r="B86" s="144">
        <v>32</v>
      </c>
      <c r="C86" s="346">
        <v>2.2896666669999999E-2</v>
      </c>
      <c r="D86" s="346">
        <v>7.7505257455799226E-2</v>
      </c>
      <c r="E86" s="346">
        <v>0.16313788752054129</v>
      </c>
      <c r="F86" s="346">
        <v>0.1827549310502955</v>
      </c>
      <c r="G86" s="347">
        <v>1.2855689138232198</v>
      </c>
      <c r="H86" s="347">
        <v>1.618693392</v>
      </c>
      <c r="I86" s="346">
        <v>0.10337205638399999</v>
      </c>
      <c r="J86" s="346">
        <v>0.39387867799999998</v>
      </c>
      <c r="K86" s="346">
        <v>3.27E-2</v>
      </c>
      <c r="L86" s="346">
        <v>0.31959969404403477</v>
      </c>
      <c r="M86" s="346">
        <v>7.8172561287400827E-2</v>
      </c>
      <c r="N86" s="347">
        <v>2.2895436673207517</v>
      </c>
      <c r="O86" s="347">
        <v>0.7014389748884815</v>
      </c>
      <c r="P86" s="347">
        <v>6.2417933076178613</v>
      </c>
      <c r="Q86" s="347">
        <v>8.9015860273100564</v>
      </c>
      <c r="R86" s="347">
        <v>1.4350254465111474</v>
      </c>
      <c r="S86" s="347">
        <v>14.33817861</v>
      </c>
      <c r="T86" s="346">
        <v>0.19611343149809785</v>
      </c>
      <c r="U86" s="346">
        <v>5.029856783209536E-2</v>
      </c>
      <c r="V86" s="346">
        <v>3.322607467770345E-2</v>
      </c>
      <c r="W86" s="346">
        <v>0.36271478220116338</v>
      </c>
      <c r="X86" s="346">
        <v>0.18409435794231099</v>
      </c>
      <c r="Y86" s="346">
        <v>0.19658827139255067</v>
      </c>
      <c r="Z86" s="346">
        <v>0.19658827139255064</v>
      </c>
      <c r="AA86" s="346">
        <v>7.851074621566341E-2</v>
      </c>
    </row>
    <row r="87" spans="1:27" ht="14">
      <c r="A87" s="345" t="s">
        <v>591</v>
      </c>
      <c r="B87" s="144">
        <v>18</v>
      </c>
      <c r="C87" s="346">
        <v>3.4799999999999998E-2</v>
      </c>
      <c r="D87" s="346">
        <v>0.10389000484403538</v>
      </c>
      <c r="E87" s="346">
        <v>5.6545575357136071E-2</v>
      </c>
      <c r="F87" s="346">
        <v>0.2525495264443951</v>
      </c>
      <c r="G87" s="347">
        <v>0.59690807402526536</v>
      </c>
      <c r="H87" s="347">
        <v>1.142928674</v>
      </c>
      <c r="I87" s="346">
        <v>7.8632291048E-2</v>
      </c>
      <c r="J87" s="346">
        <v>0.41849140699999998</v>
      </c>
      <c r="K87" s="346">
        <v>3.6699999999999997E-2</v>
      </c>
      <c r="L87" s="346">
        <v>0.56745798875247111</v>
      </c>
      <c r="M87" s="346">
        <v>4.9631050459314749E-2</v>
      </c>
      <c r="N87" s="347">
        <v>0.59121806389405063</v>
      </c>
      <c r="O87" s="347">
        <v>2.4272617034561526</v>
      </c>
      <c r="P87" s="347">
        <v>6.6388994679651017</v>
      </c>
      <c r="Q87" s="347">
        <v>23.870715920618657</v>
      </c>
      <c r="R87" s="347">
        <v>1.5424136960872281</v>
      </c>
      <c r="S87" s="347">
        <v>25.6624154</v>
      </c>
      <c r="T87" s="346">
        <v>1.8494693781414002E-2</v>
      </c>
      <c r="U87" s="346">
        <v>0.22941027202147374</v>
      </c>
      <c r="V87" s="346">
        <v>3.3783769370586504E-2</v>
      </c>
      <c r="W87" s="346">
        <v>1.2392358431543535</v>
      </c>
      <c r="X87" s="346">
        <v>1.1470180235511362E-2</v>
      </c>
      <c r="Y87" s="346">
        <v>0.1380436777390347</v>
      </c>
      <c r="Z87" s="346">
        <v>0.1380436777390347</v>
      </c>
      <c r="AA87" s="346">
        <v>0.10163146768717307</v>
      </c>
    </row>
    <row r="88" spans="1:27" ht="14">
      <c r="A88" s="345" t="s">
        <v>592</v>
      </c>
      <c r="B88" s="144">
        <v>91</v>
      </c>
      <c r="C88" s="346">
        <v>4.8608070179999997E-2</v>
      </c>
      <c r="D88" s="346">
        <v>0.1928205158482047</v>
      </c>
      <c r="E88" s="346">
        <v>0.2069648259414282</v>
      </c>
      <c r="F88" s="346">
        <v>0.21979842497473365</v>
      </c>
      <c r="G88" s="347">
        <v>0.83597865832287344</v>
      </c>
      <c r="H88" s="347">
        <v>0.89438610699999999</v>
      </c>
      <c r="I88" s="346">
        <v>6.5708077563999989E-2</v>
      </c>
      <c r="J88" s="346">
        <v>0.46295718699999999</v>
      </c>
      <c r="K88" s="346">
        <v>3.6699999999999997E-2</v>
      </c>
      <c r="L88" s="346">
        <v>0.1469216936530858</v>
      </c>
      <c r="M88" s="346">
        <v>6.009815513940997E-2</v>
      </c>
      <c r="N88" s="347">
        <v>1.0627313871139463</v>
      </c>
      <c r="O88" s="347">
        <v>3.5022588908180445</v>
      </c>
      <c r="P88" s="347">
        <v>13.422672645434622</v>
      </c>
      <c r="Q88" s="347">
        <v>17.719960257577117</v>
      </c>
      <c r="R88" s="347">
        <v>4.9997006346001713</v>
      </c>
      <c r="S88" s="347">
        <v>57.038963539999997</v>
      </c>
      <c r="T88" s="346">
        <v>0.18133550969091605</v>
      </c>
      <c r="U88" s="346">
        <v>3.1666889415933257E-2</v>
      </c>
      <c r="V88" s="346">
        <v>9.5468689517638053E-2</v>
      </c>
      <c r="W88" s="346">
        <v>0.62549766910804117</v>
      </c>
      <c r="X88" s="346">
        <v>0.17578420006082091</v>
      </c>
      <c r="Y88" s="346">
        <v>0.53305957716035179</v>
      </c>
      <c r="Z88" s="346">
        <v>0.53305957716035179</v>
      </c>
      <c r="AA88" s="346">
        <v>0.20318277210670793</v>
      </c>
    </row>
    <row r="89" spans="1:27" ht="14">
      <c r="A89" s="345" t="s">
        <v>593</v>
      </c>
      <c r="B89" s="144">
        <v>67</v>
      </c>
      <c r="C89" s="346">
        <v>0.10081481480000001</v>
      </c>
      <c r="D89" s="346">
        <v>0.18292315287117344</v>
      </c>
      <c r="E89" s="346">
        <v>0.13050207292121768</v>
      </c>
      <c r="F89" s="346">
        <v>0.18207107946393622</v>
      </c>
      <c r="G89" s="347">
        <v>0.66658422431944475</v>
      </c>
      <c r="H89" s="347">
        <v>1.0481614109999999</v>
      </c>
      <c r="I89" s="346">
        <v>7.3704393371999993E-2</v>
      </c>
      <c r="J89" s="346">
        <v>0.54473346099999997</v>
      </c>
      <c r="K89" s="346">
        <v>3.6699999999999997E-2</v>
      </c>
      <c r="L89" s="346">
        <v>0.44194012788613091</v>
      </c>
      <c r="M89" s="346">
        <v>5.3295866359474371E-2</v>
      </c>
      <c r="N89" s="347">
        <v>0.75565424496808542</v>
      </c>
      <c r="O89" s="347">
        <v>2.8472602055791407</v>
      </c>
      <c r="P89" s="347">
        <v>7.9316752644124842</v>
      </c>
      <c r="Q89" s="347">
        <v>15.74000688834273</v>
      </c>
      <c r="R89" s="347">
        <v>2.1263087956235891</v>
      </c>
      <c r="S89" s="347">
        <v>742.0913845</v>
      </c>
      <c r="T89" s="346">
        <v>2.2549136522870033E-2</v>
      </c>
      <c r="U89" s="346">
        <v>0.12304058983405936</v>
      </c>
      <c r="V89" s="346">
        <v>-2.7863349420719118E-2</v>
      </c>
      <c r="W89" s="346">
        <v>-0.24935916276364284</v>
      </c>
      <c r="X89" s="346">
        <v>5.6677390527210637E-2</v>
      </c>
      <c r="Y89" s="346">
        <v>1.7055711191264795</v>
      </c>
      <c r="Z89" s="346">
        <v>1.7055711191264795</v>
      </c>
      <c r="AA89" s="346">
        <v>0.18022345318479269</v>
      </c>
    </row>
    <row r="90" spans="1:27" ht="14">
      <c r="A90" s="345" t="s">
        <v>594</v>
      </c>
      <c r="B90" s="144">
        <v>17</v>
      </c>
      <c r="C90" s="346">
        <v>3.8370000000000001E-2</v>
      </c>
      <c r="D90" s="346">
        <v>0.39337150351855121</v>
      </c>
      <c r="E90" s="346">
        <v>0.54111168015281352</v>
      </c>
      <c r="F90" s="346">
        <v>0.29891563636875401</v>
      </c>
      <c r="G90" s="347">
        <v>1.426322641272642</v>
      </c>
      <c r="H90" s="347">
        <v>1.6802684489999999</v>
      </c>
      <c r="I90" s="346">
        <v>0.10657395934799999</v>
      </c>
      <c r="J90" s="346">
        <v>0.38485172299999998</v>
      </c>
      <c r="K90" s="346">
        <v>3.27E-2</v>
      </c>
      <c r="L90" s="346">
        <v>0.22214880396163994</v>
      </c>
      <c r="M90" s="346">
        <v>8.8346881162544577E-2</v>
      </c>
      <c r="N90" s="347">
        <v>1.5537203791062051</v>
      </c>
      <c r="O90" s="347">
        <v>5.1892199499872076</v>
      </c>
      <c r="P90" s="347">
        <v>12.300311067813483</v>
      </c>
      <c r="Q90" s="347">
        <v>13.163776578702118</v>
      </c>
      <c r="R90" s="347">
        <v>89.121037011307948</v>
      </c>
      <c r="S90" s="347">
        <v>24.298604940000001</v>
      </c>
      <c r="T90" s="346">
        <v>0.16277493523199379</v>
      </c>
      <c r="U90" s="346">
        <v>2.5531007570380029E-2</v>
      </c>
      <c r="V90" s="346">
        <v>2.6509600798475124E-2</v>
      </c>
      <c r="W90" s="346">
        <v>0.19178992522283614</v>
      </c>
      <c r="X90" s="346">
        <v>-5.3628982999999995E-4</v>
      </c>
      <c r="Y90" s="346">
        <v>1.4369285357353423</v>
      </c>
      <c r="Z90" s="346">
        <v>1.4369285357353423</v>
      </c>
      <c r="AA90" s="346">
        <v>0.3935174495277971</v>
      </c>
    </row>
    <row r="91" spans="1:27" ht="14">
      <c r="A91" s="345" t="s">
        <v>595</v>
      </c>
      <c r="B91" s="144">
        <v>18</v>
      </c>
      <c r="C91" s="346">
        <v>0.14349999999999999</v>
      </c>
      <c r="D91" s="346">
        <v>5.0386263774922842E-2</v>
      </c>
      <c r="E91" s="346">
        <v>0.10453314775070761</v>
      </c>
      <c r="F91" s="346">
        <v>0.21534808131620617</v>
      </c>
      <c r="G91" s="347">
        <v>0.95727016951115262</v>
      </c>
      <c r="H91" s="347">
        <v>1.3051698169999999</v>
      </c>
      <c r="I91" s="346">
        <v>8.7068830483999993E-2</v>
      </c>
      <c r="J91" s="346">
        <v>0.279851295</v>
      </c>
      <c r="K91" s="346">
        <v>3.27E-2</v>
      </c>
      <c r="L91" s="346">
        <v>0.35163076925845144</v>
      </c>
      <c r="M91" s="346">
        <v>6.5076495258540895E-2</v>
      </c>
      <c r="N91" s="347">
        <v>2.4470701521069755</v>
      </c>
      <c r="O91" s="347">
        <v>1.3480978064133249</v>
      </c>
      <c r="P91" s="347">
        <v>12.389069049324025</v>
      </c>
      <c r="Q91" s="347">
        <v>27.532251778605968</v>
      </c>
      <c r="R91" s="347">
        <v>4.9270592410276066</v>
      </c>
      <c r="S91" s="347">
        <v>58.534077179999997</v>
      </c>
      <c r="T91" s="346">
        <v>7.3870831068741288E-2</v>
      </c>
      <c r="U91" s="346">
        <v>7.0612530935262069E-2</v>
      </c>
      <c r="V91" s="346">
        <v>3.5895131628456665E-2</v>
      </c>
      <c r="W91" s="346">
        <v>1.2256040443853642</v>
      </c>
      <c r="X91" s="346">
        <v>0.21613849696997897</v>
      </c>
      <c r="Y91" s="346">
        <v>0.59981191551535551</v>
      </c>
      <c r="Z91" s="346">
        <v>0.59981191551535551</v>
      </c>
      <c r="AA91" s="346">
        <v>4.8963663346851212E-2</v>
      </c>
    </row>
    <row r="92" spans="1:27" ht="14">
      <c r="A92" s="345" t="s">
        <v>596</v>
      </c>
      <c r="B92" s="144">
        <v>8</v>
      </c>
      <c r="C92" s="346">
        <v>7.8249999999999999E-4</v>
      </c>
      <c r="D92" s="346">
        <v>0.38691546827113293</v>
      </c>
      <c r="E92" s="346">
        <v>0.1543815423746539</v>
      </c>
      <c r="F92" s="346">
        <v>0.23383391169079815</v>
      </c>
      <c r="G92" s="347">
        <v>1.8919831806779572</v>
      </c>
      <c r="H92" s="347">
        <v>2.2404253390000002</v>
      </c>
      <c r="I92" s="346">
        <v>0.135702117628</v>
      </c>
      <c r="J92" s="346">
        <v>0.18246747199999999</v>
      </c>
      <c r="K92" s="346">
        <v>2.7199999999999998E-2</v>
      </c>
      <c r="L92" s="346">
        <v>0.20783771913049201</v>
      </c>
      <c r="M92" s="346">
        <v>0.11173798848928078</v>
      </c>
      <c r="N92" s="347">
        <v>0.46040852471567451</v>
      </c>
      <c r="O92" s="347">
        <v>6.3241558799110305</v>
      </c>
      <c r="P92" s="347">
        <v>12.558258346485765</v>
      </c>
      <c r="Q92" s="347">
        <v>16.55136853584359</v>
      </c>
      <c r="R92" s="347">
        <v>4.907535770724011</v>
      </c>
      <c r="S92" s="347">
        <v>20.482368640000001</v>
      </c>
      <c r="T92" s="346">
        <v>2.6112811471797132E-2</v>
      </c>
      <c r="U92" s="346">
        <v>0.16296060925984768</v>
      </c>
      <c r="V92" s="346">
        <v>5.937270015682497E-2</v>
      </c>
      <c r="W92" s="346">
        <v>0.19132085312215535</v>
      </c>
      <c r="X92" s="346">
        <v>0.23436643034446639</v>
      </c>
      <c r="Y92" s="346">
        <v>0.33856323545498584</v>
      </c>
      <c r="Z92" s="346">
        <v>0.3385632354549859</v>
      </c>
      <c r="AA92" s="346">
        <v>0.38208300058424982</v>
      </c>
    </row>
    <row r="93" spans="1:27" ht="14">
      <c r="A93" s="345" t="s">
        <v>597</v>
      </c>
      <c r="B93" s="144">
        <v>33</v>
      </c>
      <c r="C93" s="346">
        <v>0.12984428570000001</v>
      </c>
      <c r="D93" s="346">
        <v>-4.6153607953230216E-2</v>
      </c>
      <c r="E93" s="346">
        <v>3.2657923162551002E-3</v>
      </c>
      <c r="F93" s="346">
        <v>0.26635964891836844</v>
      </c>
      <c r="G93" s="347">
        <v>1.041066799245524</v>
      </c>
      <c r="H93" s="347">
        <v>1.3721746720000001</v>
      </c>
      <c r="I93" s="346">
        <v>9.0553082943999996E-2</v>
      </c>
      <c r="J93" s="346">
        <v>0.41853845000000001</v>
      </c>
      <c r="K93" s="346">
        <v>3.6699999999999997E-2</v>
      </c>
      <c r="L93" s="346">
        <v>0.36659004067105211</v>
      </c>
      <c r="M93" s="346">
        <v>6.7447615454140589E-2</v>
      </c>
      <c r="N93" s="347">
        <v>1.1447242494385363</v>
      </c>
      <c r="O93" s="347">
        <v>1.9341385570122458</v>
      </c>
      <c r="P93" s="347">
        <v>9.0755235396566576</v>
      </c>
      <c r="Q93" s="347" t="s">
        <v>99</v>
      </c>
      <c r="R93" s="347">
        <v>2.8115580985972231</v>
      </c>
      <c r="S93" s="347">
        <v>18.358381489999999</v>
      </c>
      <c r="T93" s="346">
        <v>5.49794297117603E-2</v>
      </c>
      <c r="U93" s="346">
        <v>0.19435131842924358</v>
      </c>
      <c r="V93" s="346">
        <v>0.17408014826640636</v>
      </c>
      <c r="W93" s="346" t="s">
        <v>99</v>
      </c>
      <c r="X93" s="346">
        <v>-0.32070878705424627</v>
      </c>
      <c r="Y93" s="346">
        <v>1.3725044400000001E-3</v>
      </c>
      <c r="Z93" s="346">
        <v>1.372504440000033E-3</v>
      </c>
      <c r="AA93" s="346">
        <v>-3.8289694564948734E-3</v>
      </c>
    </row>
    <row r="94" spans="1:27" ht="14">
      <c r="A94" s="345" t="s">
        <v>598</v>
      </c>
      <c r="B94" s="144">
        <v>16</v>
      </c>
      <c r="C94" s="346">
        <v>2.2726875000000001E-2</v>
      </c>
      <c r="D94" s="346">
        <v>0.17451490320755897</v>
      </c>
      <c r="E94" s="346">
        <v>6.6260313285459504E-2</v>
      </c>
      <c r="F94" s="346">
        <v>0.14428730128825629</v>
      </c>
      <c r="G94" s="347">
        <v>0.18968841681761509</v>
      </c>
      <c r="H94" s="347">
        <v>0.28392773900000001</v>
      </c>
      <c r="I94" s="346">
        <v>3.3964242428000002E-2</v>
      </c>
      <c r="J94" s="346">
        <v>0.13112592200000001</v>
      </c>
      <c r="K94" s="346">
        <v>2.7199999999999998E-2</v>
      </c>
      <c r="L94" s="346">
        <v>0.40100144115145209</v>
      </c>
      <c r="M94" s="346">
        <v>2.8524961666244329E-2</v>
      </c>
      <c r="N94" s="347">
        <v>0.4429406176759636</v>
      </c>
      <c r="O94" s="347">
        <v>4.260403797139058</v>
      </c>
      <c r="P94" s="347">
        <v>14.125543702097886</v>
      </c>
      <c r="Q94" s="347">
        <v>24.650859005124381</v>
      </c>
      <c r="R94" s="347">
        <v>2.1082188902046468</v>
      </c>
      <c r="S94" s="347">
        <v>23.721141469999999</v>
      </c>
      <c r="T94" s="346">
        <v>4.1836199651681782E-2</v>
      </c>
      <c r="U94" s="346">
        <v>0.2757063007677103</v>
      </c>
      <c r="V94" s="346">
        <v>0.26668633284411014</v>
      </c>
      <c r="W94" s="346">
        <v>1.8550903109476926</v>
      </c>
      <c r="X94" s="346">
        <v>0.11067375706070938</v>
      </c>
      <c r="Y94" s="346">
        <v>0.75431255795418839</v>
      </c>
      <c r="Z94" s="346">
        <v>0.75431255795418839</v>
      </c>
      <c r="AA94" s="346">
        <v>0.17282983105186767</v>
      </c>
    </row>
    <row r="95" spans="1:27" ht="14">
      <c r="A95" s="345" t="s">
        <v>599</v>
      </c>
      <c r="B95" s="144">
        <v>17</v>
      </c>
      <c r="C95" s="346">
        <v>7.5408181820000003E-2</v>
      </c>
      <c r="D95" s="346">
        <v>0.30255550440031609</v>
      </c>
      <c r="E95" s="346">
        <v>7.8666524491736861E-2</v>
      </c>
      <c r="F95" s="346">
        <v>0.22258682397112353</v>
      </c>
      <c r="G95" s="347">
        <v>0.56532125712405057</v>
      </c>
      <c r="H95" s="347">
        <v>0.68451251499999999</v>
      </c>
      <c r="I95" s="346">
        <v>5.4794650779999995E-2</v>
      </c>
      <c r="J95" s="346">
        <v>0.17880521899999999</v>
      </c>
      <c r="K95" s="346">
        <v>2.7199999999999998E-2</v>
      </c>
      <c r="L95" s="346">
        <v>0.26337867376499546</v>
      </c>
      <c r="M95" s="346">
        <v>4.5735833272953427E-2</v>
      </c>
      <c r="N95" s="347">
        <v>0.29039877001281572</v>
      </c>
      <c r="O95" s="347">
        <v>8.8292373822898451</v>
      </c>
      <c r="P95" s="347">
        <v>19.018674576688706</v>
      </c>
      <c r="Q95" s="347">
        <v>29.100436380042847</v>
      </c>
      <c r="R95" s="347">
        <v>3.3433264424965641</v>
      </c>
      <c r="S95" s="347">
        <v>48.129085619999998</v>
      </c>
      <c r="T95" s="346">
        <v>7.2291043047607959E-2</v>
      </c>
      <c r="U95" s="346">
        <v>0.44820326613388672</v>
      </c>
      <c r="V95" s="346">
        <v>0.32209912663576068</v>
      </c>
      <c r="W95" s="346">
        <v>1.330458293647536</v>
      </c>
      <c r="X95" s="346">
        <v>0.13629141248388368</v>
      </c>
      <c r="Y95" s="346">
        <v>0.66601288720866714</v>
      </c>
      <c r="Z95" s="346">
        <v>0.45969159501295331</v>
      </c>
      <c r="AA95" s="346">
        <v>0.30102813336286788</v>
      </c>
    </row>
    <row r="96" spans="1:27" ht="14">
      <c r="A96" s="345" t="s">
        <v>744</v>
      </c>
      <c r="B96" s="144">
        <v>7053</v>
      </c>
      <c r="C96" s="346">
        <v>0.1014813299804416</v>
      </c>
      <c r="D96" s="346">
        <v>0.10701158229050306</v>
      </c>
      <c r="E96" s="346">
        <v>7.3147249799461342E-2</v>
      </c>
      <c r="F96" s="346">
        <v>0.18570906112791405</v>
      </c>
      <c r="G96" s="347">
        <v>0.82945377331839676</v>
      </c>
      <c r="H96" s="347">
        <v>1.1288402320474928</v>
      </c>
      <c r="I96" s="346">
        <v>7.7899692066469628E-2</v>
      </c>
      <c r="J96" s="346">
        <v>0.42356417983731631</v>
      </c>
      <c r="K96" s="346">
        <v>3.6699999999999997E-2</v>
      </c>
      <c r="L96" s="346">
        <v>0.36710501618937685</v>
      </c>
      <c r="M96" s="346">
        <v>5.9406889919873418E-2</v>
      </c>
      <c r="N96" s="347">
        <v>0.72857839191198848</v>
      </c>
      <c r="O96" s="347">
        <v>3.1581204968108927</v>
      </c>
      <c r="P96" s="347">
        <v>17.540124294539215</v>
      </c>
      <c r="Q96" s="347">
        <v>28.988607481375357</v>
      </c>
      <c r="R96" s="347">
        <v>3.2138465226851753</v>
      </c>
      <c r="S96" s="347">
        <v>70.851491325286148</v>
      </c>
      <c r="T96" s="346">
        <v>-0.23201585849682022</v>
      </c>
      <c r="U96" s="346">
        <v>6.1494386400295212E-2</v>
      </c>
      <c r="V96" s="346">
        <v>5.1788077362204275E-2</v>
      </c>
      <c r="W96" s="346">
        <v>0.6564752998258252</v>
      </c>
      <c r="X96" s="346">
        <v>0.13629141248388368</v>
      </c>
      <c r="Y96" s="346">
        <v>0.45969159501295331</v>
      </c>
      <c r="Z96" s="346">
        <v>0.45969159501295331</v>
      </c>
      <c r="AA96" s="346">
        <v>0.10813945390506652</v>
      </c>
    </row>
    <row r="97" spans="1:27" ht="14">
      <c r="A97" s="345" t="s">
        <v>735</v>
      </c>
      <c r="B97" s="144">
        <v>5878</v>
      </c>
      <c r="C97" s="346">
        <v>0.10525823607500417</v>
      </c>
      <c r="D97" s="346">
        <v>0.11153854582174225</v>
      </c>
      <c r="E97" s="346">
        <v>0.12958913708813033</v>
      </c>
      <c r="F97" s="346">
        <v>0.18427976475068122</v>
      </c>
      <c r="G97" s="347">
        <v>1.0124816766847793</v>
      </c>
      <c r="H97" s="347">
        <v>1.2095280307482079</v>
      </c>
      <c r="I97" s="346">
        <v>8.209545759890681E-2</v>
      </c>
      <c r="J97" s="346">
        <v>0.46406094208005988</v>
      </c>
      <c r="K97" s="346">
        <v>3.6699999999999997E-2</v>
      </c>
      <c r="L97" s="346">
        <v>0.24014798950007543</v>
      </c>
      <c r="M97" s="346">
        <v>6.8990471920430216E-2</v>
      </c>
      <c r="N97" s="347">
        <v>1.2166794125498879</v>
      </c>
      <c r="O97" s="347">
        <v>2.6248237541350905</v>
      </c>
      <c r="P97" s="347">
        <v>13.754137505494382</v>
      </c>
      <c r="Q97" s="347">
        <v>22.973319856359776</v>
      </c>
      <c r="R97" s="347">
        <v>3.885234521085315</v>
      </c>
      <c r="S97" s="347">
        <v>76.832760518227843</v>
      </c>
      <c r="T97" s="346">
        <v>8.9063317061008812E-2</v>
      </c>
      <c r="U97" s="346">
        <v>6.4849930589595622E-2</v>
      </c>
      <c r="V97" s="346">
        <v>5.3881297159909539E-2</v>
      </c>
      <c r="W97" s="346">
        <v>0.66822293796341536</v>
      </c>
      <c r="X97" s="346">
        <v>0.13296367535500786</v>
      </c>
      <c r="Y97" s="346">
        <v>0.52417773613914176</v>
      </c>
      <c r="Z97" s="346">
        <v>0.52417773613914176</v>
      </c>
      <c r="AA97" s="346">
        <v>0.11292179742067442</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2" t="s">
        <v>97</v>
      </c>
      <c r="B1" s="242" t="s">
        <v>173</v>
      </c>
      <c r="C1" s="343" t="s">
        <v>161</v>
      </c>
      <c r="D1" s="343" t="s">
        <v>734</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743</v>
      </c>
    </row>
    <row r="2" spans="1:27" s="313" customFormat="1">
      <c r="A2" s="345" t="s">
        <v>98</v>
      </c>
      <c r="B2" s="144">
        <v>312</v>
      </c>
      <c r="C2" s="346">
        <v>9.0853297872340408E-2</v>
      </c>
      <c r="D2" s="346">
        <v>8.7331414405633273E-2</v>
      </c>
      <c r="E2" s="346">
        <v>0.20101704822718988</v>
      </c>
      <c r="F2" s="346">
        <v>0.26806873155806155</v>
      </c>
      <c r="G2" s="347">
        <v>0.9574823050721607</v>
      </c>
      <c r="H2" s="347">
        <v>1.1839688309132617</v>
      </c>
      <c r="I2" s="346">
        <v>9.2369273750439559E-2</v>
      </c>
      <c r="J2" s="346">
        <v>0.46385203813677728</v>
      </c>
      <c r="K2" s="346">
        <v>4.4999999999999998E-2</v>
      </c>
      <c r="L2" s="346">
        <v>0.3305111645602955</v>
      </c>
      <c r="M2" s="346">
        <v>7.2890838300666533E-2</v>
      </c>
      <c r="N2" s="347">
        <v>2.6407069240408267</v>
      </c>
      <c r="O2" s="347">
        <v>1.7079673907574979</v>
      </c>
      <c r="P2" s="347">
        <v>11.101104372538035</v>
      </c>
      <c r="Q2" s="347">
        <v>18.32173867206054</v>
      </c>
      <c r="R2" s="347">
        <v>2.202408324270789</v>
      </c>
      <c r="S2" s="347">
        <v>66.321121074257832</v>
      </c>
      <c r="T2" s="346">
        <v>-2.4289824659392716E-2</v>
      </c>
      <c r="U2" s="346">
        <v>2.0601199490811101E-2</v>
      </c>
      <c r="V2" s="346">
        <v>3.0900017458118132E-2</v>
      </c>
      <c r="W2" s="346">
        <v>0.54245284883728961</v>
      </c>
      <c r="X2" s="346">
        <v>7.3274052636677009E-2</v>
      </c>
      <c r="Y2" s="346">
        <v>0.78461355112403619</v>
      </c>
      <c r="Z2" s="346">
        <v>0.78461355112403619</v>
      </c>
      <c r="AA2" s="348">
        <v>9.0882430396514044E-2</v>
      </c>
    </row>
    <row r="3" spans="1:27" s="313" customFormat="1">
      <c r="A3" s="345" t="s">
        <v>508</v>
      </c>
      <c r="B3" s="144">
        <v>238</v>
      </c>
      <c r="C3" s="346">
        <v>8.0425471698113191E-2</v>
      </c>
      <c r="D3" s="346">
        <v>9.6012685903739625E-2</v>
      </c>
      <c r="E3" s="346">
        <v>0.21648845397482577</v>
      </c>
      <c r="F3" s="346">
        <v>0.20491967141919559</v>
      </c>
      <c r="G3" s="347">
        <v>1.0534298484987918</v>
      </c>
      <c r="H3" s="347">
        <v>1.1848692174836355</v>
      </c>
      <c r="I3" s="346">
        <v>9.2424917640488671E-2</v>
      </c>
      <c r="J3" s="346">
        <v>0.37020092658230375</v>
      </c>
      <c r="K3" s="346">
        <v>4.0999999999999995E-2</v>
      </c>
      <c r="L3" s="346">
        <v>0.19762076353428135</v>
      </c>
      <c r="M3" s="346">
        <v>8.0179956166327032E-2</v>
      </c>
      <c r="N3" s="347">
        <v>2.4864248623309089</v>
      </c>
      <c r="O3" s="347">
        <v>1.9994063003954541</v>
      </c>
      <c r="P3" s="347">
        <v>14.688269155539079</v>
      </c>
      <c r="Q3" s="347">
        <v>20.693379200468129</v>
      </c>
      <c r="R3" s="347">
        <v>5.1899621702042307</v>
      </c>
      <c r="S3" s="347">
        <v>43.887953564195179</v>
      </c>
      <c r="T3" s="346">
        <v>0.33337306015853052</v>
      </c>
      <c r="U3" s="346">
        <v>3.2796078999439662E-2</v>
      </c>
      <c r="V3" s="346">
        <v>4.8135674000098001E-2</v>
      </c>
      <c r="W3" s="346">
        <v>1.0478815222052293</v>
      </c>
      <c r="X3" s="346">
        <v>0.220348132128799</v>
      </c>
      <c r="Y3" s="346">
        <v>0.45339682635420131</v>
      </c>
      <c r="Z3" s="346">
        <v>0.45339682635420131</v>
      </c>
      <c r="AA3" s="348">
        <v>9.7997451123471177E-2</v>
      </c>
    </row>
    <row r="4" spans="1:27" s="313" customFormat="1">
      <c r="A4" s="345" t="s">
        <v>509</v>
      </c>
      <c r="B4" s="144">
        <v>159</v>
      </c>
      <c r="C4" s="346">
        <v>7.1375284552845517E-2</v>
      </c>
      <c r="D4" s="346">
        <v>8.4610194934889749E-2</v>
      </c>
      <c r="E4" s="346">
        <v>6.6443855479009273E-2</v>
      </c>
      <c r="F4" s="346">
        <v>0.22115600561855384</v>
      </c>
      <c r="G4" s="347">
        <v>0.65156730342361191</v>
      </c>
      <c r="H4" s="347">
        <v>1.0957907429349243</v>
      </c>
      <c r="I4" s="346">
        <v>8.6919867913378315E-2</v>
      </c>
      <c r="J4" s="346">
        <v>0.30606046834365702</v>
      </c>
      <c r="K4" s="346">
        <v>4.0999999999999995E-2</v>
      </c>
      <c r="L4" s="346">
        <v>0.51582091028651322</v>
      </c>
      <c r="M4" s="346">
        <v>5.7798234914374073E-2</v>
      </c>
      <c r="N4" s="347">
        <v>1.013441077693368</v>
      </c>
      <c r="O4" s="347">
        <v>1.6360056019638631</v>
      </c>
      <c r="P4" s="347">
        <v>8.1587338960305864</v>
      </c>
      <c r="Q4" s="347">
        <v>20.907837424150738</v>
      </c>
      <c r="R4" s="347">
        <v>2.0030856022467338</v>
      </c>
      <c r="S4" s="347">
        <v>21.684201294387496</v>
      </c>
      <c r="T4" s="346">
        <v>-2.923255515634731E-2</v>
      </c>
      <c r="U4" s="346">
        <v>0.11222623801373716</v>
      </c>
      <c r="V4" s="346">
        <v>4.4020172300614759E-2</v>
      </c>
      <c r="W4" s="346">
        <v>0.71866660140042438</v>
      </c>
      <c r="X4" s="346">
        <v>0.11740561510541049</v>
      </c>
      <c r="Y4" s="346">
        <v>0.43618719738591238</v>
      </c>
      <c r="Z4" s="346">
        <v>0.43618719738591238</v>
      </c>
      <c r="AA4" s="348">
        <v>7.8112529437793787E-2</v>
      </c>
    </row>
    <row r="5" spans="1:27" s="313" customFormat="1">
      <c r="A5" s="345" t="s">
        <v>510</v>
      </c>
      <c r="B5" s="144">
        <v>1161</v>
      </c>
      <c r="C5" s="346">
        <v>8.9962093862815777E-3</v>
      </c>
      <c r="D5" s="346">
        <v>0.11537537434511372</v>
      </c>
      <c r="E5" s="346">
        <v>0.15089152980915196</v>
      </c>
      <c r="F5" s="346">
        <v>0.25121952050757196</v>
      </c>
      <c r="G5" s="347">
        <v>0.70037497107728708</v>
      </c>
      <c r="H5" s="347">
        <v>0.80237630056452758</v>
      </c>
      <c r="I5" s="346">
        <v>6.8786855374887809E-2</v>
      </c>
      <c r="J5" s="346">
        <v>0.36299252466639387</v>
      </c>
      <c r="K5" s="346">
        <v>4.0999999999999995E-2</v>
      </c>
      <c r="L5" s="346">
        <v>0.21661123392763409</v>
      </c>
      <c r="M5" s="346">
        <v>6.0485477773269167E-2</v>
      </c>
      <c r="N5" s="347">
        <v>1.484601906926226</v>
      </c>
      <c r="O5" s="347">
        <v>2.3043268257635319</v>
      </c>
      <c r="P5" s="347">
        <v>12.577531505262368</v>
      </c>
      <c r="Q5" s="347">
        <v>19.054421182813527</v>
      </c>
      <c r="R5" s="347">
        <v>3.0106584864443282</v>
      </c>
      <c r="S5" s="347">
        <v>31.981182900709925</v>
      </c>
      <c r="T5" s="346">
        <v>0.22849175610882147</v>
      </c>
      <c r="U5" s="346">
        <v>4.3217168060746228E-2</v>
      </c>
      <c r="V5" s="346">
        <v>2.8151921020307943E-2</v>
      </c>
      <c r="W5" s="346">
        <v>0.57360139611911432</v>
      </c>
      <c r="X5" s="346">
        <v>0.11860540439725262</v>
      </c>
      <c r="Y5" s="346">
        <v>0.53159494866975709</v>
      </c>
      <c r="Z5" s="346">
        <v>0.53159494866975709</v>
      </c>
      <c r="AA5" s="348">
        <v>0.11903078219108083</v>
      </c>
    </row>
    <row r="6" spans="1:27" s="313" customFormat="1">
      <c r="A6" s="345" t="s">
        <v>511</v>
      </c>
      <c r="B6" s="144">
        <v>134</v>
      </c>
      <c r="C6" s="346">
        <v>4.9735151515151524E-2</v>
      </c>
      <c r="D6" s="346">
        <v>4.7862416234419683E-2</v>
      </c>
      <c r="E6" s="346">
        <v>4.5965789058890594E-2</v>
      </c>
      <c r="F6" s="346">
        <v>0.22322622509907264</v>
      </c>
      <c r="G6" s="347">
        <v>0.8540589604698049</v>
      </c>
      <c r="H6" s="347">
        <v>1.3742955230193734</v>
      </c>
      <c r="I6" s="346">
        <v>0.10413146332259728</v>
      </c>
      <c r="J6" s="346">
        <v>0.33624173982581934</v>
      </c>
      <c r="K6" s="346">
        <v>4.0999999999999995E-2</v>
      </c>
      <c r="L6" s="346">
        <v>0.5344225731023865</v>
      </c>
      <c r="M6" s="346">
        <v>6.4761373597236049E-2</v>
      </c>
      <c r="N6" s="347">
        <v>1.0556727665465442</v>
      </c>
      <c r="O6" s="347">
        <v>0.90440478943336056</v>
      </c>
      <c r="P6" s="347">
        <v>9.8085932093861761</v>
      </c>
      <c r="Q6" s="347">
        <v>18.370487288286331</v>
      </c>
      <c r="R6" s="347">
        <v>1.0299668702548082</v>
      </c>
      <c r="S6" s="347">
        <v>35.27597818343606</v>
      </c>
      <c r="T6" s="346">
        <v>4.6305792749159427E-2</v>
      </c>
      <c r="U6" s="346">
        <v>6.9972380590299518E-2</v>
      </c>
      <c r="V6" s="346">
        <v>4.1323432321642976E-2</v>
      </c>
      <c r="W6" s="346">
        <v>1.3203177960638248</v>
      </c>
      <c r="X6" s="346">
        <v>8.5457892431747354E-2</v>
      </c>
      <c r="Y6" s="346">
        <v>0.45196954382654797</v>
      </c>
      <c r="Z6" s="346">
        <v>0.45196954382654797</v>
      </c>
      <c r="AA6" s="348">
        <v>5.0077332314572377E-2</v>
      </c>
    </row>
    <row r="7" spans="1:27" s="313" customFormat="1">
      <c r="A7" s="345" t="s">
        <v>512</v>
      </c>
      <c r="B7" s="144">
        <v>682</v>
      </c>
      <c r="C7" s="346">
        <v>5.2775525291828787E-2</v>
      </c>
      <c r="D7" s="346">
        <v>5.3394784985049681E-2</v>
      </c>
      <c r="E7" s="346">
        <v>7.4587928808253032E-2</v>
      </c>
      <c r="F7" s="346">
        <v>0.2603309630322867</v>
      </c>
      <c r="G7" s="347">
        <v>1.1114233776958204</v>
      </c>
      <c r="H7" s="347">
        <v>1.2611579815235474</v>
      </c>
      <c r="I7" s="346">
        <v>9.7139563258155232E-2</v>
      </c>
      <c r="J7" s="346">
        <v>0.34674471803551216</v>
      </c>
      <c r="K7" s="346">
        <v>4.0999999999999995E-2</v>
      </c>
      <c r="L7" s="346">
        <v>0.28105279897076968</v>
      </c>
      <c r="M7" s="346">
        <v>7.839992852869912E-2</v>
      </c>
      <c r="N7" s="347">
        <v>1.6247038288899671</v>
      </c>
      <c r="O7" s="347">
        <v>0.75175956694092927</v>
      </c>
      <c r="P7" s="347">
        <v>7.077359923526803</v>
      </c>
      <c r="Q7" s="347">
        <v>13.608401866439049</v>
      </c>
      <c r="R7" s="347">
        <v>1.2909493102437013</v>
      </c>
      <c r="S7" s="347">
        <v>36.515649695787921</v>
      </c>
      <c r="T7" s="346">
        <v>0.11537537943209154</v>
      </c>
      <c r="U7" s="346">
        <v>6.1766595028828988E-2</v>
      </c>
      <c r="V7" s="346">
        <v>5.1671642279973763E-2</v>
      </c>
      <c r="W7" s="346">
        <v>1.4317790147158365</v>
      </c>
      <c r="X7" s="346">
        <v>6.958721648962074E-2</v>
      </c>
      <c r="Y7" s="346">
        <v>0.48312163244497941</v>
      </c>
      <c r="Z7" s="346">
        <v>0.48312163244497941</v>
      </c>
      <c r="AA7" s="348">
        <v>5.5306825380002235E-2</v>
      </c>
    </row>
    <row r="8" spans="1:27" s="313" customFormat="1">
      <c r="A8" s="345" t="s">
        <v>513</v>
      </c>
      <c r="B8" s="144">
        <v>595</v>
      </c>
      <c r="C8" s="346">
        <v>0.16391207293666021</v>
      </c>
      <c r="D8" s="346">
        <v>1.1539329983969104E-3</v>
      </c>
      <c r="E8" s="346">
        <v>1.7787923185311511E-4</v>
      </c>
      <c r="F8" s="346">
        <v>0.19571889199278611</v>
      </c>
      <c r="G8" s="347">
        <v>0.40180142660318724</v>
      </c>
      <c r="H8" s="347">
        <v>0.80733099014050325</v>
      </c>
      <c r="I8" s="346">
        <v>6.9093055190683095E-2</v>
      </c>
      <c r="J8" s="346">
        <v>0.2253658833963936</v>
      </c>
      <c r="K8" s="346">
        <v>3.5499999999999997E-2</v>
      </c>
      <c r="L8" s="346">
        <v>0.71140009887871924</v>
      </c>
      <c r="M8" s="346">
        <v>3.8704493604272874E-2</v>
      </c>
      <c r="N8" s="347">
        <v>0.13895886488968295</v>
      </c>
      <c r="O8" s="347">
        <v>7.6175194213169597</v>
      </c>
      <c r="P8" s="347" t="s">
        <v>99</v>
      </c>
      <c r="Q8" s="347" t="s">
        <v>99</v>
      </c>
      <c r="R8" s="347">
        <v>0.94314131554090919</v>
      </c>
      <c r="S8" s="347">
        <v>14.377634669665539</v>
      </c>
      <c r="T8" s="346" t="s">
        <v>99</v>
      </c>
      <c r="U8" s="346">
        <v>3.6181719580776546E-2</v>
      </c>
      <c r="V8" s="346">
        <v>3.3580671985913219E-2</v>
      </c>
      <c r="W8" s="346">
        <v>32.400426834373953</v>
      </c>
      <c r="X8" s="346">
        <v>0.10935713254419538</v>
      </c>
      <c r="Y8" s="346">
        <v>0.35448740653823124</v>
      </c>
      <c r="Z8" s="346">
        <v>0.3544874065382313</v>
      </c>
      <c r="AA8" s="348">
        <v>1.6166635557404924E-3</v>
      </c>
    </row>
    <row r="9" spans="1:27" s="313" customFormat="1">
      <c r="A9" s="345" t="s">
        <v>514</v>
      </c>
      <c r="B9" s="144">
        <v>862</v>
      </c>
      <c r="C9" s="346">
        <v>8.3658398744113016E-2</v>
      </c>
      <c r="D9" s="346">
        <v>-2.0999492652257499E-4</v>
      </c>
      <c r="E9" s="346">
        <v>-2.0132545711330538E-4</v>
      </c>
      <c r="F9" s="346">
        <v>0.18276600406971277</v>
      </c>
      <c r="G9" s="347">
        <v>0.46490532394693235</v>
      </c>
      <c r="H9" s="347">
        <v>0.63349483957776143</v>
      </c>
      <c r="I9" s="346">
        <v>5.8349981085905653E-2</v>
      </c>
      <c r="J9" s="346">
        <v>0.19975964450888795</v>
      </c>
      <c r="K9" s="346">
        <v>3.5499999999999997E-2</v>
      </c>
      <c r="L9" s="346">
        <v>0.60954601590469837</v>
      </c>
      <c r="M9" s="346">
        <v>3.8860673075387632E-2</v>
      </c>
      <c r="N9" s="347">
        <v>0.21360857037803951</v>
      </c>
      <c r="O9" s="347">
        <v>4.9043372902603872</v>
      </c>
      <c r="P9" s="347" t="s">
        <v>99</v>
      </c>
      <c r="Q9" s="347" t="s">
        <v>99</v>
      </c>
      <c r="R9" s="347">
        <v>0.7205189715950423</v>
      </c>
      <c r="S9" s="347">
        <v>14.931548772881358</v>
      </c>
      <c r="T9" s="346" t="s">
        <v>99</v>
      </c>
      <c r="U9" s="346">
        <v>3.3203486375197711E-2</v>
      </c>
      <c r="V9" s="346">
        <v>1.7820906589753917E-2</v>
      </c>
      <c r="W9" s="346" t="s">
        <v>99</v>
      </c>
      <c r="X9" s="346">
        <v>0.10913620473429567</v>
      </c>
      <c r="Y9" s="346">
        <v>0.2578294478567224</v>
      </c>
      <c r="Z9" s="346">
        <v>0.25782944785672246</v>
      </c>
      <c r="AA9" s="348">
        <v>-1.15916151880788E-3</v>
      </c>
    </row>
    <row r="10" spans="1:27" s="313" customFormat="1">
      <c r="A10" s="345" t="s">
        <v>515</v>
      </c>
      <c r="B10" s="144">
        <v>216</v>
      </c>
      <c r="C10" s="346">
        <v>9.2645568862275457E-2</v>
      </c>
      <c r="D10" s="346">
        <v>0.21599540019495095</v>
      </c>
      <c r="E10" s="346">
        <v>0.13242693358909424</v>
      </c>
      <c r="F10" s="346">
        <v>0.24569440630159284</v>
      </c>
      <c r="G10" s="347">
        <v>0.80058763776237496</v>
      </c>
      <c r="H10" s="347">
        <v>0.90062721106877486</v>
      </c>
      <c r="I10" s="346">
        <v>7.4858761644050281E-2</v>
      </c>
      <c r="J10" s="346">
        <v>0.29171676174419842</v>
      </c>
      <c r="K10" s="346">
        <v>4.0999999999999995E-2</v>
      </c>
      <c r="L10" s="346">
        <v>0.18381703755459911</v>
      </c>
      <c r="M10" s="346">
        <v>6.6698064258660858E-2</v>
      </c>
      <c r="N10" s="347">
        <v>0.74322355121726968</v>
      </c>
      <c r="O10" s="347">
        <v>4.2692023001292423</v>
      </c>
      <c r="P10" s="347">
        <v>15.539924680030659</v>
      </c>
      <c r="Q10" s="347">
        <v>19.67997758498457</v>
      </c>
      <c r="R10" s="347">
        <v>3.6411998194765491</v>
      </c>
      <c r="S10" s="347">
        <v>32.858283647172073</v>
      </c>
      <c r="T10" s="346">
        <v>8.6969934049277525E-2</v>
      </c>
      <c r="U10" s="346">
        <v>4.9205534000273658E-2</v>
      </c>
      <c r="V10" s="346">
        <v>1.4099787924149926E-2</v>
      </c>
      <c r="W10" s="346">
        <v>0.13517675215987654</v>
      </c>
      <c r="X10" s="346">
        <v>0.15402255270124898</v>
      </c>
      <c r="Y10" s="346">
        <v>0.45163856248188194</v>
      </c>
      <c r="Z10" s="346">
        <v>0.45163856248188194</v>
      </c>
      <c r="AA10" s="348">
        <v>0.21631758054525274</v>
      </c>
    </row>
    <row r="11" spans="1:27" s="313" customFormat="1">
      <c r="A11" s="345" t="s">
        <v>516</v>
      </c>
      <c r="B11" s="144">
        <v>94</v>
      </c>
      <c r="C11" s="346">
        <v>9.9020172413793101E-2</v>
      </c>
      <c r="D11" s="346">
        <v>0.16033476447819081</v>
      </c>
      <c r="E11" s="346">
        <v>0.20208102763036997</v>
      </c>
      <c r="F11" s="346">
        <v>0.12975927843384175</v>
      </c>
      <c r="G11" s="347">
        <v>0.70928932182368287</v>
      </c>
      <c r="H11" s="347">
        <v>0.79248222352769671</v>
      </c>
      <c r="I11" s="346">
        <v>6.8175401414011655E-2</v>
      </c>
      <c r="J11" s="346">
        <v>0.34377050760977057</v>
      </c>
      <c r="K11" s="346">
        <v>4.0999999999999995E-2</v>
      </c>
      <c r="L11" s="346">
        <v>0.17028713728204806</v>
      </c>
      <c r="M11" s="346">
        <v>6.1753464537188149E-2</v>
      </c>
      <c r="N11" s="347">
        <v>1.400232547157348</v>
      </c>
      <c r="O11" s="347">
        <v>3.6439942262724343</v>
      </c>
      <c r="P11" s="347">
        <v>17.583050539406774</v>
      </c>
      <c r="Q11" s="347">
        <v>22.490351301429079</v>
      </c>
      <c r="R11" s="347">
        <v>5.781070411883392</v>
      </c>
      <c r="S11" s="347">
        <v>72.475505850832775</v>
      </c>
      <c r="T11" s="346">
        <v>-4.4189406869957155E-2</v>
      </c>
      <c r="U11" s="346">
        <v>4.7074956634442361E-2</v>
      </c>
      <c r="V11" s="346">
        <v>5.5712076030163475E-2</v>
      </c>
      <c r="W11" s="346">
        <v>0.40874945035325844</v>
      </c>
      <c r="X11" s="346">
        <v>0.26791701288257069</v>
      </c>
      <c r="Y11" s="346">
        <v>0.58582532008739385</v>
      </c>
      <c r="Z11" s="346">
        <v>0.58582532008739385</v>
      </c>
      <c r="AA11" s="348">
        <v>0.16170375255959873</v>
      </c>
    </row>
    <row r="12" spans="1:27" s="313" customFormat="1">
      <c r="A12" s="345" t="s">
        <v>517</v>
      </c>
      <c r="B12" s="144">
        <v>138</v>
      </c>
      <c r="C12" s="346">
        <v>3.5167232142857129E-2</v>
      </c>
      <c r="D12" s="346">
        <v>0.17158735402363495</v>
      </c>
      <c r="E12" s="346">
        <v>0.16262290740326762</v>
      </c>
      <c r="F12" s="346">
        <v>0.13014759922291116</v>
      </c>
      <c r="G12" s="347">
        <v>0.6852414284825481</v>
      </c>
      <c r="H12" s="347">
        <v>0.96950978182662673</v>
      </c>
      <c r="I12" s="346">
        <v>7.9115704516885529E-2</v>
      </c>
      <c r="J12" s="346">
        <v>0.33687172561261169</v>
      </c>
      <c r="K12" s="346">
        <v>4.0999999999999995E-2</v>
      </c>
      <c r="L12" s="346">
        <v>0.40211387744780647</v>
      </c>
      <c r="M12" s="346">
        <v>5.9551776855278279E-2</v>
      </c>
      <c r="N12" s="347">
        <v>1.1437078690348939</v>
      </c>
      <c r="O12" s="347">
        <v>2.0278938451720738</v>
      </c>
      <c r="P12" s="347">
        <v>8.4554484953510283</v>
      </c>
      <c r="Q12" s="347">
        <v>11.712233065918928</v>
      </c>
      <c r="R12" s="347">
        <v>1.5622066799670382</v>
      </c>
      <c r="S12" s="347">
        <v>46.47096233339704</v>
      </c>
      <c r="T12" s="346">
        <v>0.16958953400285606</v>
      </c>
      <c r="U12" s="346">
        <v>3.8138867378366643E-2</v>
      </c>
      <c r="V12" s="346">
        <v>0.14727304591720897</v>
      </c>
      <c r="W12" s="346">
        <v>1.1222532909403695</v>
      </c>
      <c r="X12" s="346">
        <v>0.3175833296554515</v>
      </c>
      <c r="Y12" s="346">
        <v>0.42248875642772288</v>
      </c>
      <c r="Z12" s="346">
        <v>0.42248875642772288</v>
      </c>
      <c r="AA12" s="348">
        <v>0.17147866311637552</v>
      </c>
    </row>
    <row r="13" spans="1:27" s="313" customFormat="1">
      <c r="A13" s="345" t="s">
        <v>518</v>
      </c>
      <c r="B13" s="144">
        <v>559</v>
      </c>
      <c r="C13" s="346">
        <v>0.11284615803814707</v>
      </c>
      <c r="D13" s="346">
        <v>9.7523735453045237E-3</v>
      </c>
      <c r="E13" s="346">
        <v>1.4884701262390925E-3</v>
      </c>
      <c r="F13" s="346">
        <v>0.21262233884574178</v>
      </c>
      <c r="G13" s="347">
        <v>0.43664122018957785</v>
      </c>
      <c r="H13" s="347">
        <v>1.0001476218422998</v>
      </c>
      <c r="I13" s="346">
        <v>8.1009123029854122E-2</v>
      </c>
      <c r="J13" s="346">
        <v>0.36293297607874708</v>
      </c>
      <c r="K13" s="346">
        <v>4.0999999999999995E-2</v>
      </c>
      <c r="L13" s="346">
        <v>0.68557810995212065</v>
      </c>
      <c r="M13" s="346">
        <v>4.6355807537639376E-2</v>
      </c>
      <c r="N13" s="347">
        <v>0.17511624841374854</v>
      </c>
      <c r="O13" s="347">
        <v>7.1537826922554588</v>
      </c>
      <c r="P13" s="347" t="s">
        <v>99</v>
      </c>
      <c r="Q13" s="347" t="s">
        <v>99</v>
      </c>
      <c r="R13" s="347">
        <v>1.4133318216789377</v>
      </c>
      <c r="S13" s="347">
        <v>60.355961718927979</v>
      </c>
      <c r="T13" s="346" t="s">
        <v>99</v>
      </c>
      <c r="U13" s="346">
        <v>5.3337071201479361E-2</v>
      </c>
      <c r="V13" s="346">
        <v>4.8258159446847401E-2</v>
      </c>
      <c r="W13" s="346">
        <v>-18.767926998976655</v>
      </c>
      <c r="X13" s="346">
        <v>9.0005706946473293E-2</v>
      </c>
      <c r="Y13" s="346">
        <v>0.49319033863537054</v>
      </c>
      <c r="Z13" s="346">
        <v>0.49319033863537054</v>
      </c>
      <c r="AA13" s="348">
        <v>9.9028067343605603E-3</v>
      </c>
    </row>
    <row r="14" spans="1:27" s="313" customFormat="1">
      <c r="A14" s="345" t="s">
        <v>519</v>
      </c>
      <c r="B14" s="144">
        <v>426</v>
      </c>
      <c r="C14" s="346">
        <v>4.9407589285714301E-2</v>
      </c>
      <c r="D14" s="346">
        <v>8.0094527619538558E-2</v>
      </c>
      <c r="E14" s="346">
        <v>0.1072885072738148</v>
      </c>
      <c r="F14" s="346">
        <v>0.26585590727377045</v>
      </c>
      <c r="G14" s="347">
        <v>0.82984986542468753</v>
      </c>
      <c r="H14" s="347">
        <v>0.96478418712930059</v>
      </c>
      <c r="I14" s="346">
        <v>7.8823662764590768E-2</v>
      </c>
      <c r="J14" s="346">
        <v>0.31420147626245704</v>
      </c>
      <c r="K14" s="346">
        <v>4.0999999999999995E-2</v>
      </c>
      <c r="L14" s="346">
        <v>0.24378593551406627</v>
      </c>
      <c r="M14" s="346">
        <v>6.7034013350444732E-2</v>
      </c>
      <c r="N14" s="347">
        <v>1.6006234809146507</v>
      </c>
      <c r="O14" s="347">
        <v>1.4012821515210603</v>
      </c>
      <c r="P14" s="347">
        <v>10.754693906466306</v>
      </c>
      <c r="Q14" s="347">
        <v>16.898736863445198</v>
      </c>
      <c r="R14" s="347">
        <v>2.1453240250192938</v>
      </c>
      <c r="S14" s="347">
        <v>29.192231305064055</v>
      </c>
      <c r="T14" s="346">
        <v>0.17224369036565237</v>
      </c>
      <c r="U14" s="346">
        <v>4.2428885092921372E-2</v>
      </c>
      <c r="V14" s="346">
        <v>3.1719170748827255E-2</v>
      </c>
      <c r="W14" s="346">
        <v>0.66984889779065748</v>
      </c>
      <c r="X14" s="346">
        <v>0.10164853725861189</v>
      </c>
      <c r="Y14" s="346">
        <v>0.38446023773131222</v>
      </c>
      <c r="Z14" s="346">
        <v>0.38446023773131222</v>
      </c>
      <c r="AA14" s="348">
        <v>8.2487300479605979E-2</v>
      </c>
    </row>
    <row r="15" spans="1:27" s="313" customFormat="1">
      <c r="A15" s="345" t="s">
        <v>520</v>
      </c>
      <c r="B15" s="144">
        <v>868</v>
      </c>
      <c r="C15" s="346">
        <v>0.10366239382239385</v>
      </c>
      <c r="D15" s="346">
        <v>8.5678880143802011E-2</v>
      </c>
      <c r="E15" s="346">
        <v>0.18809663617793554</v>
      </c>
      <c r="F15" s="346">
        <v>0.25266819414141234</v>
      </c>
      <c r="G15" s="347">
        <v>0.88042298921519879</v>
      </c>
      <c r="H15" s="347">
        <v>0.99929533543866655</v>
      </c>
      <c r="I15" s="346">
        <v>8.0956451730109596E-2</v>
      </c>
      <c r="J15" s="346">
        <v>0.41490796030630228</v>
      </c>
      <c r="K15" s="346">
        <v>4.4999999999999998E-2</v>
      </c>
      <c r="L15" s="346">
        <v>0.20832888880820874</v>
      </c>
      <c r="M15" s="346">
        <v>7.1056360496622922E-2</v>
      </c>
      <c r="N15" s="347">
        <v>2.5420246959380459</v>
      </c>
      <c r="O15" s="347">
        <v>1.9284260780297844</v>
      </c>
      <c r="P15" s="347">
        <v>9.7326431345141433</v>
      </c>
      <c r="Q15" s="347">
        <v>21.450093482916284</v>
      </c>
      <c r="R15" s="347">
        <v>4.2168964974205778</v>
      </c>
      <c r="S15" s="347">
        <v>44.555716650196729</v>
      </c>
      <c r="T15" s="346">
        <v>9.4600728170872797E-2</v>
      </c>
      <c r="U15" s="346">
        <v>2.8565562352046856E-2</v>
      </c>
      <c r="V15" s="346">
        <v>2.0387219936289704E-2</v>
      </c>
      <c r="W15" s="346">
        <v>0.43247408100907514</v>
      </c>
      <c r="X15" s="346">
        <v>0.14180964420782671</v>
      </c>
      <c r="Y15" s="346">
        <v>0.51627670543204773</v>
      </c>
      <c r="Z15" s="346">
        <v>0.51627670543204773</v>
      </c>
      <c r="AA15" s="348">
        <v>8.9384913116143452E-2</v>
      </c>
    </row>
    <row r="16" spans="1:27" s="313" customFormat="1">
      <c r="A16" s="345" t="s">
        <v>521</v>
      </c>
      <c r="B16" s="144">
        <v>61</v>
      </c>
      <c r="C16" s="346">
        <v>1.5568292682926831E-2</v>
      </c>
      <c r="D16" s="346">
        <v>0.1669331962096465</v>
      </c>
      <c r="E16" s="346">
        <v>0.10831585003759851</v>
      </c>
      <c r="F16" s="346">
        <v>0.23734087986037772</v>
      </c>
      <c r="G16" s="347">
        <v>0.7910340681937198</v>
      </c>
      <c r="H16" s="347">
        <v>1.1721899981702821</v>
      </c>
      <c r="I16" s="346">
        <v>9.1641341886923425E-2</v>
      </c>
      <c r="J16" s="346">
        <v>0.3068879197961914</v>
      </c>
      <c r="K16" s="346">
        <v>4.0999999999999995E-2</v>
      </c>
      <c r="L16" s="346">
        <v>0.41619597386865637</v>
      </c>
      <c r="M16" s="346">
        <v>6.6179162305625719E-2</v>
      </c>
      <c r="N16" s="347">
        <v>0.75621921945666148</v>
      </c>
      <c r="O16" s="347">
        <v>3.3753893219562259</v>
      </c>
      <c r="P16" s="347">
        <v>9.6579804973482037</v>
      </c>
      <c r="Q16" s="347">
        <v>19.368327197128558</v>
      </c>
      <c r="R16" s="347">
        <v>2.4220436988638507</v>
      </c>
      <c r="S16" s="347">
        <v>39.466433405310767</v>
      </c>
      <c r="T16" s="346">
        <v>1.1150740604818861E-2</v>
      </c>
      <c r="U16" s="346">
        <v>0.12725033659975662</v>
      </c>
      <c r="V16" s="346">
        <v>0.10909324247745934</v>
      </c>
      <c r="W16" s="346">
        <v>0.87161422237567288</v>
      </c>
      <c r="X16" s="346">
        <v>0.19120805271332539</v>
      </c>
      <c r="Y16" s="346">
        <v>0.16584647686376827</v>
      </c>
      <c r="Z16" s="346">
        <v>0.1658464768637683</v>
      </c>
      <c r="AA16" s="348">
        <v>0.1672198046065474</v>
      </c>
    </row>
    <row r="17" spans="1:27" s="313" customFormat="1">
      <c r="A17" s="345" t="s">
        <v>522</v>
      </c>
      <c r="B17" s="144">
        <v>793</v>
      </c>
      <c r="C17" s="346">
        <v>6.4717704626334541E-2</v>
      </c>
      <c r="D17" s="346">
        <v>7.9178350714801338E-2</v>
      </c>
      <c r="E17" s="346">
        <v>7.8372600350287466E-2</v>
      </c>
      <c r="F17" s="346">
        <v>0.20563261523045673</v>
      </c>
      <c r="G17" s="347">
        <v>0.90328601529634722</v>
      </c>
      <c r="H17" s="347">
        <v>1.0649064177508965</v>
      </c>
      <c r="I17" s="346">
        <v>8.5011216617005392E-2</v>
      </c>
      <c r="J17" s="346">
        <v>0.32191200321671976</v>
      </c>
      <c r="K17" s="346">
        <v>4.0999999999999995E-2</v>
      </c>
      <c r="L17" s="346">
        <v>0.27912994196409668</v>
      </c>
      <c r="M17" s="346">
        <v>6.9785176078455705E-2</v>
      </c>
      <c r="N17" s="347">
        <v>1.1706903648937874</v>
      </c>
      <c r="O17" s="347">
        <v>1.3077381882601595</v>
      </c>
      <c r="P17" s="347">
        <v>9.6038566494668771</v>
      </c>
      <c r="Q17" s="347">
        <v>16.075722931095974</v>
      </c>
      <c r="R17" s="347">
        <v>1.4917296707810825</v>
      </c>
      <c r="S17" s="347">
        <v>36.379604722572729</v>
      </c>
      <c r="T17" s="346">
        <v>0.12241694529122148</v>
      </c>
      <c r="U17" s="346">
        <v>9.0589549380573953E-2</v>
      </c>
      <c r="V17" s="346">
        <v>6.7058601201706591E-2</v>
      </c>
      <c r="W17" s="346">
        <v>1.1742348800341575</v>
      </c>
      <c r="X17" s="346">
        <v>8.1321272183747503E-2</v>
      </c>
      <c r="Y17" s="346">
        <v>0.71029589537083226</v>
      </c>
      <c r="Z17" s="346">
        <v>0.71029589537083226</v>
      </c>
      <c r="AA17" s="348">
        <v>8.0025342070761826E-2</v>
      </c>
    </row>
    <row r="18" spans="1:27" s="313" customFormat="1">
      <c r="A18" s="345" t="s">
        <v>523</v>
      </c>
      <c r="B18" s="144">
        <v>73</v>
      </c>
      <c r="C18" s="346">
        <v>2.7063166666666666E-2</v>
      </c>
      <c r="D18" s="346">
        <v>8.4246190967097553E-2</v>
      </c>
      <c r="E18" s="346">
        <v>7.5483425606338916E-2</v>
      </c>
      <c r="F18" s="346">
        <v>0.24298018056573981</v>
      </c>
      <c r="G18" s="347">
        <v>0.95233454166041598</v>
      </c>
      <c r="H18" s="347">
        <v>1.2175499913522376</v>
      </c>
      <c r="I18" s="346">
        <v>9.4444589465568288E-2</v>
      </c>
      <c r="J18" s="346">
        <v>0.29936460025667866</v>
      </c>
      <c r="K18" s="346">
        <v>4.0999999999999995E-2</v>
      </c>
      <c r="L18" s="346">
        <v>0.32765890329430108</v>
      </c>
      <c r="M18" s="346">
        <v>7.3480452030253982E-2</v>
      </c>
      <c r="N18" s="347">
        <v>1.0793672526640117</v>
      </c>
      <c r="O18" s="347">
        <v>1.2115414477871753</v>
      </c>
      <c r="P18" s="347">
        <v>8.1869192302391447</v>
      </c>
      <c r="Q18" s="347">
        <v>14.189437765610572</v>
      </c>
      <c r="R18" s="347">
        <v>1.2984772327771008</v>
      </c>
      <c r="S18" s="347">
        <v>19.540681857336409</v>
      </c>
      <c r="T18" s="346">
        <v>0.18889026147159815</v>
      </c>
      <c r="U18" s="346">
        <v>7.7555120655428023E-2</v>
      </c>
      <c r="V18" s="346">
        <v>6.0408563278277642E-2</v>
      </c>
      <c r="W18" s="346">
        <v>1.0920311545047259</v>
      </c>
      <c r="X18" s="346">
        <v>0.12515300589968698</v>
      </c>
      <c r="Y18" s="346">
        <v>0.40967041047200581</v>
      </c>
      <c r="Z18" s="346">
        <v>0.40967041047200581</v>
      </c>
      <c r="AA18" s="348">
        <v>8.5962368250124405E-2</v>
      </c>
    </row>
    <row r="19" spans="1:27" s="313" customFormat="1">
      <c r="A19" s="345" t="s">
        <v>524</v>
      </c>
      <c r="B19" s="144">
        <v>829</v>
      </c>
      <c r="C19" s="346">
        <v>7.5465405904059008E-2</v>
      </c>
      <c r="D19" s="346">
        <v>0.10675773701418523</v>
      </c>
      <c r="E19" s="346">
        <v>0.10756701934270041</v>
      </c>
      <c r="F19" s="346">
        <v>0.22760867897224124</v>
      </c>
      <c r="G19" s="347">
        <v>0.98189410767387886</v>
      </c>
      <c r="H19" s="347">
        <v>1.1171285033176517</v>
      </c>
      <c r="I19" s="346">
        <v>8.8238541505030868E-2</v>
      </c>
      <c r="J19" s="346">
        <v>0.36680066004548012</v>
      </c>
      <c r="K19" s="346">
        <v>4.0999999999999995E-2</v>
      </c>
      <c r="L19" s="346">
        <v>0.21066783686827228</v>
      </c>
      <c r="M19" s="346">
        <v>7.6067093152272919E-2</v>
      </c>
      <c r="N19" s="347">
        <v>1.171838114964683</v>
      </c>
      <c r="O19" s="347">
        <v>2.0316601646493138</v>
      </c>
      <c r="P19" s="347">
        <v>11.481870953121406</v>
      </c>
      <c r="Q19" s="347">
        <v>18.606931547678943</v>
      </c>
      <c r="R19" s="347">
        <v>2.2783076134842237</v>
      </c>
      <c r="S19" s="347">
        <v>30.037383828482731</v>
      </c>
      <c r="T19" s="346">
        <v>0.17680899241553863</v>
      </c>
      <c r="U19" s="346">
        <v>6.960696633090567E-2</v>
      </c>
      <c r="V19" s="346">
        <v>5.9328798980466599E-2</v>
      </c>
      <c r="W19" s="346">
        <v>0.92366824866652963</v>
      </c>
      <c r="X19" s="346">
        <v>0.10946237425852257</v>
      </c>
      <c r="Y19" s="346">
        <v>0.47581410665300855</v>
      </c>
      <c r="Z19" s="346">
        <v>0.47581410665300861</v>
      </c>
      <c r="AA19" s="348">
        <v>0.10887679365984387</v>
      </c>
    </row>
    <row r="20" spans="1:27" s="313" customFormat="1">
      <c r="A20" s="345" t="s">
        <v>525</v>
      </c>
      <c r="B20" s="144">
        <v>224</v>
      </c>
      <c r="C20" s="346">
        <v>8.8829829059829085E-2</v>
      </c>
      <c r="D20" s="346">
        <v>0.16641491839770972</v>
      </c>
      <c r="E20" s="346">
        <v>0.14758520712864295</v>
      </c>
      <c r="F20" s="346">
        <v>0.23404373774737955</v>
      </c>
      <c r="G20" s="347">
        <v>1.2744436816284821</v>
      </c>
      <c r="H20" s="347">
        <v>1.4514847197730736</v>
      </c>
      <c r="I20" s="346">
        <v>0.10890175568197594</v>
      </c>
      <c r="J20" s="346">
        <v>0.55462618679259656</v>
      </c>
      <c r="K20" s="346">
        <v>4.4999999999999998E-2</v>
      </c>
      <c r="L20" s="346">
        <v>0.34386538683666962</v>
      </c>
      <c r="M20" s="346">
        <v>8.2951350546084851E-2</v>
      </c>
      <c r="N20" s="347">
        <v>0.98073129669724213</v>
      </c>
      <c r="O20" s="347">
        <v>1.1361507622690643</v>
      </c>
      <c r="P20" s="347">
        <v>4.5275351675713642</v>
      </c>
      <c r="Q20" s="347">
        <v>6.6603073231065375</v>
      </c>
      <c r="R20" s="347">
        <v>0.93862562365499858</v>
      </c>
      <c r="S20" s="347">
        <v>17.124322673132458</v>
      </c>
      <c r="T20" s="346">
        <v>-2.2057356968695225E-2</v>
      </c>
      <c r="U20" s="346">
        <v>7.8289543839002773E-2</v>
      </c>
      <c r="V20" s="346">
        <v>4.0136185048929858E-2</v>
      </c>
      <c r="W20" s="346">
        <v>0.33170493761286285</v>
      </c>
      <c r="X20" s="346">
        <v>0.13055700046708615</v>
      </c>
      <c r="Y20" s="346">
        <v>0.56766843931029853</v>
      </c>
      <c r="Z20" s="346">
        <v>0.56766843931029853</v>
      </c>
      <c r="AA20" s="348">
        <v>0.16708500779876539</v>
      </c>
    </row>
    <row r="21" spans="1:27" s="313" customFormat="1">
      <c r="A21" s="345" t="s">
        <v>526</v>
      </c>
      <c r="B21" s="144">
        <v>969</v>
      </c>
      <c r="C21" s="346">
        <v>8.6674623188405769E-2</v>
      </c>
      <c r="D21" s="346">
        <v>7.0386406305430124E-2</v>
      </c>
      <c r="E21" s="346">
        <v>0.19831455784437527</v>
      </c>
      <c r="F21" s="346">
        <v>0.25277327217813444</v>
      </c>
      <c r="G21" s="347">
        <v>0.9806480666532279</v>
      </c>
      <c r="H21" s="347">
        <v>1.0800873480285833</v>
      </c>
      <c r="I21" s="346">
        <v>8.5949398108166444E-2</v>
      </c>
      <c r="J21" s="346">
        <v>0.39386989062740535</v>
      </c>
      <c r="K21" s="346">
        <v>4.0999999999999995E-2</v>
      </c>
      <c r="L21" s="346">
        <v>0.19369657155730127</v>
      </c>
      <c r="M21" s="346">
        <v>7.5201873026551069E-2</v>
      </c>
      <c r="N21" s="347">
        <v>3.2769627391792717</v>
      </c>
      <c r="O21" s="347">
        <v>1.2333339697800174</v>
      </c>
      <c r="P21" s="347">
        <v>11.794518133165653</v>
      </c>
      <c r="Q21" s="347">
        <v>16.763363655911782</v>
      </c>
      <c r="R21" s="347">
        <v>3.3670089996638009</v>
      </c>
      <c r="S21" s="347">
        <v>37.803669220862943</v>
      </c>
      <c r="T21" s="346">
        <v>0.13777218034762756</v>
      </c>
      <c r="U21" s="346">
        <v>1.6751680137606587E-2</v>
      </c>
      <c r="V21" s="346">
        <v>5.0639057320800325E-2</v>
      </c>
      <c r="W21" s="346">
        <v>1.0428839488379344</v>
      </c>
      <c r="X21" s="346">
        <v>0.1639244216752615</v>
      </c>
      <c r="Y21" s="346">
        <v>0.38371498972436646</v>
      </c>
      <c r="Z21" s="346">
        <v>0.38371498972436646</v>
      </c>
      <c r="AA21" s="348">
        <v>7.2997641610146727E-2</v>
      </c>
    </row>
    <row r="22" spans="1:27" s="313" customFormat="1">
      <c r="A22" s="345" t="s">
        <v>527</v>
      </c>
      <c r="B22" s="144">
        <v>332</v>
      </c>
      <c r="C22" s="346">
        <v>3.274297188755021E-2</v>
      </c>
      <c r="D22" s="346">
        <v>9.9933155832863663E-2</v>
      </c>
      <c r="E22" s="346">
        <v>0.13576268598222516</v>
      </c>
      <c r="F22" s="346">
        <v>0.1969208953928453</v>
      </c>
      <c r="G22" s="347">
        <v>1.3493071035123267</v>
      </c>
      <c r="H22" s="347">
        <v>1.412451969374694</v>
      </c>
      <c r="I22" s="346">
        <v>0.10648953170735609</v>
      </c>
      <c r="J22" s="346">
        <v>0.37669919995679946</v>
      </c>
      <c r="K22" s="346">
        <v>4.0999999999999995E-2</v>
      </c>
      <c r="L22" s="346">
        <v>0.1464155972763212</v>
      </c>
      <c r="M22" s="346">
        <v>9.5358061658576368E-2</v>
      </c>
      <c r="N22" s="347">
        <v>1.5084245104738574</v>
      </c>
      <c r="O22" s="347">
        <v>1.8377894383671138</v>
      </c>
      <c r="P22" s="347">
        <v>11.762484568999961</v>
      </c>
      <c r="Q22" s="347">
        <v>18.137984376092781</v>
      </c>
      <c r="R22" s="347">
        <v>3.812266865451468</v>
      </c>
      <c r="S22" s="347">
        <v>43.670249711630007</v>
      </c>
      <c r="T22" s="346">
        <v>2.709030427270788E-2</v>
      </c>
      <c r="U22" s="346">
        <v>3.9941095301598693E-2</v>
      </c>
      <c r="V22" s="346">
        <v>2.0393218711625423E-2</v>
      </c>
      <c r="W22" s="346">
        <v>0.27844096595003437</v>
      </c>
      <c r="X22" s="346">
        <v>0.18176452704413582</v>
      </c>
      <c r="Y22" s="346">
        <v>0.34054348452454497</v>
      </c>
      <c r="Z22" s="346">
        <v>0.34054348452454497</v>
      </c>
      <c r="AA22" s="348">
        <v>0.10253727723052218</v>
      </c>
    </row>
    <row r="23" spans="1:27" s="313" customFormat="1">
      <c r="A23" s="345" t="s">
        <v>528</v>
      </c>
      <c r="B23" s="144">
        <v>747</v>
      </c>
      <c r="C23" s="346">
        <v>5.0424790940766559E-2</v>
      </c>
      <c r="D23" s="346">
        <v>0.10392836988703523</v>
      </c>
      <c r="E23" s="346">
        <v>0.11455445938932513</v>
      </c>
      <c r="F23" s="346">
        <v>0.22704798014607</v>
      </c>
      <c r="G23" s="347">
        <v>0.9561705566543145</v>
      </c>
      <c r="H23" s="347">
        <v>1.1491804584012537</v>
      </c>
      <c r="I23" s="346">
        <v>9.0219352329197477E-2</v>
      </c>
      <c r="J23" s="346">
        <v>0.35080276820945522</v>
      </c>
      <c r="K23" s="346">
        <v>4.0999999999999995E-2</v>
      </c>
      <c r="L23" s="346">
        <v>0.31456773378728059</v>
      </c>
      <c r="M23" s="346">
        <v>7.1421931997607546E-2</v>
      </c>
      <c r="N23" s="347">
        <v>1.2825879679904035</v>
      </c>
      <c r="O23" s="347">
        <v>1.349782912014281</v>
      </c>
      <c r="P23" s="347">
        <v>8.5460235391260646</v>
      </c>
      <c r="Q23" s="347">
        <v>12.496060353878304</v>
      </c>
      <c r="R23" s="347">
        <v>1.6169804973852047</v>
      </c>
      <c r="S23" s="347">
        <v>36.03037263185481</v>
      </c>
      <c r="T23" s="346">
        <v>0.11294840568977452</v>
      </c>
      <c r="U23" s="346">
        <v>4.8932461649321059E-2</v>
      </c>
      <c r="V23" s="346">
        <v>2.4493483130627991E-2</v>
      </c>
      <c r="W23" s="346">
        <v>0.56121738441549651</v>
      </c>
      <c r="X23" s="346">
        <v>0.12030031453592592</v>
      </c>
      <c r="Y23" s="346">
        <v>0.49327052496328266</v>
      </c>
      <c r="Z23" s="346">
        <v>0.49327052496328272</v>
      </c>
      <c r="AA23" s="348">
        <v>0.10544191540629884</v>
      </c>
    </row>
    <row r="24" spans="1:27" s="313" customFormat="1">
      <c r="A24" s="345" t="s">
        <v>529</v>
      </c>
      <c r="B24" s="144">
        <v>319</v>
      </c>
      <c r="C24" s="346">
        <v>7.4941411764705909E-2</v>
      </c>
      <c r="D24" s="346">
        <v>0.11308567291672636</v>
      </c>
      <c r="E24" s="346">
        <v>8.7349200886271183E-2</v>
      </c>
      <c r="F24" s="346">
        <v>0.17774562375525779</v>
      </c>
      <c r="G24" s="347">
        <v>0.69080153627970853</v>
      </c>
      <c r="H24" s="347">
        <v>0.93036298547225471</v>
      </c>
      <c r="I24" s="346">
        <v>7.6696432502185344E-2</v>
      </c>
      <c r="J24" s="346">
        <v>0.26615705455108329</v>
      </c>
      <c r="K24" s="346">
        <v>4.0999999999999995E-2</v>
      </c>
      <c r="L24" s="346">
        <v>0.40433505197464392</v>
      </c>
      <c r="M24" s="346">
        <v>5.8002635168448044E-2</v>
      </c>
      <c r="N24" s="347">
        <v>0.90211693802923287</v>
      </c>
      <c r="O24" s="347">
        <v>1.5894901772875689</v>
      </c>
      <c r="P24" s="347">
        <v>9.6923072201674287</v>
      </c>
      <c r="Q24" s="347">
        <v>13.77809679257577</v>
      </c>
      <c r="R24" s="347">
        <v>1.0844657722573381</v>
      </c>
      <c r="S24" s="347">
        <v>27.049435153536695</v>
      </c>
      <c r="T24" s="346">
        <v>-0.1368982467059007</v>
      </c>
      <c r="U24" s="346">
        <v>5.1088482150126575E-2</v>
      </c>
      <c r="V24" s="346">
        <v>3.4236226752331941E-2</v>
      </c>
      <c r="W24" s="346">
        <v>0.52442672788701217</v>
      </c>
      <c r="X24" s="346">
        <v>8.2415900806203007E-2</v>
      </c>
      <c r="Y24" s="346">
        <v>0.30707183845561897</v>
      </c>
      <c r="Z24" s="346">
        <v>0.30707183845561903</v>
      </c>
      <c r="AA24" s="348">
        <v>0.11385563127182309</v>
      </c>
    </row>
    <row r="25" spans="1:27" s="313" customFormat="1">
      <c r="A25" s="345" t="s">
        <v>530</v>
      </c>
      <c r="B25" s="144">
        <v>1024</v>
      </c>
      <c r="C25" s="346">
        <v>0.2299758760107817</v>
      </c>
      <c r="D25" s="346">
        <v>8.9730373717746212E-2</v>
      </c>
      <c r="E25" s="346">
        <v>7.1840773429265578E-2</v>
      </c>
      <c r="F25" s="346">
        <v>0.15183511621953374</v>
      </c>
      <c r="G25" s="347">
        <v>1.4024111440166125</v>
      </c>
      <c r="H25" s="347">
        <v>1.4278476060813261</v>
      </c>
      <c r="I25" s="346">
        <v>0.10744098205582595</v>
      </c>
      <c r="J25" s="346">
        <v>0.62074646701228164</v>
      </c>
      <c r="K25" s="346">
        <v>4.4999999999999998E-2</v>
      </c>
      <c r="L25" s="346">
        <v>0.1094857889215384</v>
      </c>
      <c r="M25" s="346">
        <v>9.9338378725530627E-2</v>
      </c>
      <c r="N25" s="347">
        <v>0.44056270673289982</v>
      </c>
      <c r="O25" s="347">
        <v>7.9252121590309432</v>
      </c>
      <c r="P25" s="347">
        <v>16.034491319336901</v>
      </c>
      <c r="Q25" s="347">
        <v>64.007394725077717</v>
      </c>
      <c r="R25" s="347">
        <v>6.7526422075341737</v>
      </c>
      <c r="S25" s="347">
        <v>156.27964985038329</v>
      </c>
      <c r="T25" s="346">
        <v>0.18433726670979367</v>
      </c>
      <c r="U25" s="346">
        <v>5.4874241788084414E-2</v>
      </c>
      <c r="V25" s="346">
        <v>9.7463361164434228E-2</v>
      </c>
      <c r="W25" s="346">
        <v>2.4823054178663537</v>
      </c>
      <c r="X25" s="346">
        <v>-2.0665181213161445E-2</v>
      </c>
      <c r="Y25" s="346">
        <v>2.2905271565332817E-3</v>
      </c>
      <c r="Z25" s="346">
        <v>2.2905271565333285E-3</v>
      </c>
      <c r="AA25" s="348">
        <v>0.16484565005932</v>
      </c>
    </row>
    <row r="26" spans="1:27" s="313" customFormat="1">
      <c r="A26" s="345" t="s">
        <v>531</v>
      </c>
      <c r="B26" s="144">
        <v>1263</v>
      </c>
      <c r="C26" s="346">
        <v>0.13438102272727265</v>
      </c>
      <c r="D26" s="346">
        <v>0.18088857741957615</v>
      </c>
      <c r="E26" s="346">
        <v>0.11951921973153175</v>
      </c>
      <c r="F26" s="346">
        <v>0.15696550883752958</v>
      </c>
      <c r="G26" s="347">
        <v>1.1985080632950982</v>
      </c>
      <c r="H26" s="347">
        <v>1.2967923468416491</v>
      </c>
      <c r="I26" s="346">
        <v>9.9341767034813913E-2</v>
      </c>
      <c r="J26" s="346">
        <v>0.52029758280311833</v>
      </c>
      <c r="K26" s="346">
        <v>4.4999999999999998E-2</v>
      </c>
      <c r="L26" s="346">
        <v>0.15454303389746984</v>
      </c>
      <c r="M26" s="346">
        <v>8.9156335302880016E-2</v>
      </c>
      <c r="N26" s="347">
        <v>0.71353413610939542</v>
      </c>
      <c r="O26" s="347">
        <v>4.1327887437148769</v>
      </c>
      <c r="P26" s="347">
        <v>14.498860315614147</v>
      </c>
      <c r="Q26" s="347">
        <v>22.150954034762684</v>
      </c>
      <c r="R26" s="347">
        <v>3.6640204781539727</v>
      </c>
      <c r="S26" s="347">
        <v>66.875358389706278</v>
      </c>
      <c r="T26" s="346">
        <v>0.17686956645803012</v>
      </c>
      <c r="U26" s="346">
        <v>4.9778433116527736E-2</v>
      </c>
      <c r="V26" s="346">
        <v>6.2225832603664877E-2</v>
      </c>
      <c r="W26" s="346">
        <v>0.46973507865711911</v>
      </c>
      <c r="X26" s="346">
        <v>0.11025315237399004</v>
      </c>
      <c r="Y26" s="346">
        <v>0.74471331874866553</v>
      </c>
      <c r="Z26" s="346">
        <v>0.74471331874866553</v>
      </c>
      <c r="AA26" s="348">
        <v>0.18570607630148711</v>
      </c>
    </row>
    <row r="27" spans="1:27" s="313" customFormat="1">
      <c r="A27" s="345" t="s">
        <v>532</v>
      </c>
      <c r="B27" s="144">
        <v>211</v>
      </c>
      <c r="C27" s="346">
        <v>6.375852173913045E-2</v>
      </c>
      <c r="D27" s="346">
        <v>0.11433782887841556</v>
      </c>
      <c r="E27" s="346">
        <v>0.11174300443283466</v>
      </c>
      <c r="F27" s="346">
        <v>0.19026769380572517</v>
      </c>
      <c r="G27" s="347">
        <v>1.0234807764447162</v>
      </c>
      <c r="H27" s="347">
        <v>1.1366672397453836</v>
      </c>
      <c r="I27" s="346">
        <v>8.944603541626471E-2</v>
      </c>
      <c r="J27" s="346">
        <v>0.39389953814831746</v>
      </c>
      <c r="K27" s="346">
        <v>4.0999999999999995E-2</v>
      </c>
      <c r="L27" s="346">
        <v>0.2145360483508689</v>
      </c>
      <c r="M27" s="346">
        <v>7.6792048078319936E-2</v>
      </c>
      <c r="N27" s="347">
        <v>1.1377612814406424</v>
      </c>
      <c r="O27" s="347">
        <v>3.1831112714873613</v>
      </c>
      <c r="P27" s="347">
        <v>15.171288794059196</v>
      </c>
      <c r="Q27" s="347">
        <v>27.656340661115447</v>
      </c>
      <c r="R27" s="347">
        <v>2.7660222783087045</v>
      </c>
      <c r="S27" s="347">
        <v>57.390096059986277</v>
      </c>
      <c r="T27" s="346">
        <v>3.0782614320438047E-2</v>
      </c>
      <c r="U27" s="346">
        <v>6.8339035064119855E-2</v>
      </c>
      <c r="V27" s="346">
        <v>8.4989676004548514E-2</v>
      </c>
      <c r="W27" s="346">
        <v>1.2219915796485481</v>
      </c>
      <c r="X27" s="346">
        <v>0.117598775427412</v>
      </c>
      <c r="Y27" s="346">
        <v>0.34153641320785494</v>
      </c>
      <c r="Z27" s="346">
        <v>0.34153641320785488</v>
      </c>
      <c r="AA27" s="348">
        <v>0.11321578675859927</v>
      </c>
    </row>
    <row r="28" spans="1:27" s="313" customFormat="1">
      <c r="A28" s="345" t="s">
        <v>533</v>
      </c>
      <c r="B28" s="144">
        <v>902</v>
      </c>
      <c r="C28" s="346">
        <v>7.8946814449917871E-2</v>
      </c>
      <c r="D28" s="346">
        <v>7.0734555408021885E-2</v>
      </c>
      <c r="E28" s="346">
        <v>0.11584011996292115</v>
      </c>
      <c r="F28" s="346">
        <v>0.20165042855861437</v>
      </c>
      <c r="G28" s="347">
        <v>1.146287349436663</v>
      </c>
      <c r="H28" s="347">
        <v>1.2804607867153421</v>
      </c>
      <c r="I28" s="346">
        <v>9.8332476619008138E-2</v>
      </c>
      <c r="J28" s="346">
        <v>0.38217637423395207</v>
      </c>
      <c r="K28" s="346">
        <v>4.0999999999999995E-2</v>
      </c>
      <c r="L28" s="346">
        <v>0.22416958430026196</v>
      </c>
      <c r="M28" s="346">
        <v>8.3118204258648729E-2</v>
      </c>
      <c r="N28" s="347">
        <v>1.324302803739664</v>
      </c>
      <c r="O28" s="347">
        <v>1.7020373865470679</v>
      </c>
      <c r="P28" s="347">
        <v>10.360901926891788</v>
      </c>
      <c r="Q28" s="347">
        <v>16.587100652391737</v>
      </c>
      <c r="R28" s="347">
        <v>2.2775284895534886</v>
      </c>
      <c r="S28" s="347">
        <v>53.309711702477941</v>
      </c>
      <c r="T28" s="346">
        <v>0.23790244680054601</v>
      </c>
      <c r="U28" s="346">
        <v>4.7404077762603095E-2</v>
      </c>
      <c r="V28" s="346">
        <v>3.6554952268916016E-2</v>
      </c>
      <c r="W28" s="346">
        <v>0.82738745593864027</v>
      </c>
      <c r="X28" s="346">
        <v>6.6964609900260569E-2</v>
      </c>
      <c r="Y28" s="346">
        <v>0.67132728857555812</v>
      </c>
      <c r="Z28" s="346">
        <v>0.67132728857555812</v>
      </c>
      <c r="AA28" s="348">
        <v>9.9917973759478501E-2</v>
      </c>
    </row>
    <row r="29" spans="1:27" s="313" customFormat="1">
      <c r="A29" s="345" t="s">
        <v>534</v>
      </c>
      <c r="B29" s="144">
        <v>142</v>
      </c>
      <c r="C29" s="346">
        <v>1.4216372549019614E-2</v>
      </c>
      <c r="D29" s="346">
        <v>4.824459216964682E-2</v>
      </c>
      <c r="E29" s="346">
        <v>9.4058112871088409E-2</v>
      </c>
      <c r="F29" s="346">
        <v>0.11195830875702079</v>
      </c>
      <c r="G29" s="347">
        <v>1.300002808253641</v>
      </c>
      <c r="H29" s="347">
        <v>1.4512658895581136</v>
      </c>
      <c r="I29" s="346">
        <v>0.10888823197469141</v>
      </c>
      <c r="J29" s="346">
        <v>0.40855411958100679</v>
      </c>
      <c r="K29" s="346">
        <v>4.4999999999999998E-2</v>
      </c>
      <c r="L29" s="346">
        <v>0.27964914687256404</v>
      </c>
      <c r="M29" s="346">
        <v>8.7787800024191287E-2</v>
      </c>
      <c r="N29" s="347">
        <v>1.841169830789388</v>
      </c>
      <c r="O29" s="347">
        <v>0.77513139925774388</v>
      </c>
      <c r="P29" s="347">
        <v>7.9389132940333775</v>
      </c>
      <c r="Q29" s="347">
        <v>14.717521795552267</v>
      </c>
      <c r="R29" s="347">
        <v>1.6340079823407849</v>
      </c>
      <c r="S29" s="347">
        <v>56.465793706656129</v>
      </c>
      <c r="T29" s="346">
        <v>2.413584131373336E-2</v>
      </c>
      <c r="U29" s="346">
        <v>4.3964536714132238E-2</v>
      </c>
      <c r="V29" s="346">
        <v>3.6851128852855505E-2</v>
      </c>
      <c r="W29" s="346">
        <v>1.2171862671751041</v>
      </c>
      <c r="X29" s="346">
        <v>0.13133087797579038</v>
      </c>
      <c r="Y29" s="346">
        <v>0.23699262136696117</v>
      </c>
      <c r="Z29" s="346">
        <v>0.2369926213669612</v>
      </c>
      <c r="AA29" s="348">
        <v>5.64019137644148E-2</v>
      </c>
    </row>
    <row r="30" spans="1:27" s="313" customFormat="1">
      <c r="A30" s="345" t="s">
        <v>535</v>
      </c>
      <c r="B30" s="144">
        <v>1345</v>
      </c>
      <c r="C30" s="346">
        <v>6.1161922310756921E-2</v>
      </c>
      <c r="D30" s="346">
        <v>6.0548354049097475E-2</v>
      </c>
      <c r="E30" s="346">
        <v>8.6115835166235874E-2</v>
      </c>
      <c r="F30" s="346">
        <v>0.21000135507359874</v>
      </c>
      <c r="G30" s="347">
        <v>1.3817241330917154</v>
      </c>
      <c r="H30" s="347">
        <v>1.3992918291192586</v>
      </c>
      <c r="I30" s="346">
        <v>0.10567623503957017</v>
      </c>
      <c r="J30" s="346">
        <v>0.3966702302649589</v>
      </c>
      <c r="K30" s="346">
        <v>4.0999999999999995E-2</v>
      </c>
      <c r="L30" s="346">
        <v>0.15060360451192606</v>
      </c>
      <c r="M30" s="346">
        <v>9.4348850735608197E-2</v>
      </c>
      <c r="N30" s="347">
        <v>1.553937801461869</v>
      </c>
      <c r="O30" s="347">
        <v>1.4573693138125619</v>
      </c>
      <c r="P30" s="347">
        <v>13.092579852399281</v>
      </c>
      <c r="Q30" s="347">
        <v>23.095397724536703</v>
      </c>
      <c r="R30" s="347">
        <v>2.3731560391858024</v>
      </c>
      <c r="S30" s="347">
        <v>54.111065485892468</v>
      </c>
      <c r="T30" s="346">
        <v>0.17294007917473425</v>
      </c>
      <c r="U30" s="346">
        <v>6.4457828757370869E-2</v>
      </c>
      <c r="V30" s="346">
        <v>5.0271659260413236E-2</v>
      </c>
      <c r="W30" s="346">
        <v>1.3896695159616808</v>
      </c>
      <c r="X30" s="346">
        <v>7.9048459405929375E-2</v>
      </c>
      <c r="Y30" s="346">
        <v>0.48786304696446808</v>
      </c>
      <c r="Z30" s="346">
        <v>0.48786304696446803</v>
      </c>
      <c r="AA30" s="348">
        <v>6.368923959300582E-2</v>
      </c>
    </row>
    <row r="31" spans="1:27" s="313" customFormat="1">
      <c r="A31" s="345" t="s">
        <v>536</v>
      </c>
      <c r="B31" s="144">
        <v>1208</v>
      </c>
      <c r="C31" s="346">
        <v>4.6789758269720115E-2</v>
      </c>
      <c r="D31" s="346">
        <v>5.2859363056914979E-2</v>
      </c>
      <c r="E31" s="346">
        <v>9.5097375547854343E-2</v>
      </c>
      <c r="F31" s="346">
        <v>0.25038055688867705</v>
      </c>
      <c r="G31" s="347">
        <v>0.80998753529024337</v>
      </c>
      <c r="H31" s="347">
        <v>1.1004589935444633</v>
      </c>
      <c r="I31" s="346">
        <v>8.7208365801047821E-2</v>
      </c>
      <c r="J31" s="346">
        <v>0.36528624125554293</v>
      </c>
      <c r="K31" s="346">
        <v>4.0999999999999995E-2</v>
      </c>
      <c r="L31" s="346">
        <v>0.47601614939147441</v>
      </c>
      <c r="M31" s="346">
        <v>6.0196655276622379E-2</v>
      </c>
      <c r="N31" s="347">
        <v>2.074389687962078</v>
      </c>
      <c r="O31" s="347">
        <v>0.64078374447731556</v>
      </c>
      <c r="P31" s="347">
        <v>8.2150705466577083</v>
      </c>
      <c r="Q31" s="347">
        <v>11.61718250867424</v>
      </c>
      <c r="R31" s="347">
        <v>1.1109430223432579</v>
      </c>
      <c r="S31" s="347">
        <v>52.5617563033992</v>
      </c>
      <c r="T31" s="346">
        <v>0.15407814820617333</v>
      </c>
      <c r="U31" s="346">
        <v>3.3673238704949024E-2</v>
      </c>
      <c r="V31" s="346">
        <v>3.5239692785094021E-2</v>
      </c>
      <c r="W31" s="346">
        <v>1.5687799543147374</v>
      </c>
      <c r="X31" s="346">
        <v>9.5723352131429393E-2</v>
      </c>
      <c r="Y31" s="346">
        <v>0.5293871745718931</v>
      </c>
      <c r="Z31" s="346">
        <v>0.5293871745718931</v>
      </c>
      <c r="AA31" s="348">
        <v>5.5431283339838974E-2</v>
      </c>
    </row>
    <row r="32" spans="1:27" s="313" customFormat="1">
      <c r="A32" s="345" t="s">
        <v>537</v>
      </c>
      <c r="B32" s="144">
        <v>660</v>
      </c>
      <c r="C32" s="346">
        <v>0.13369196185286109</v>
      </c>
      <c r="D32" s="346">
        <v>0.11769786115800492</v>
      </c>
      <c r="E32" s="346">
        <v>0.12776641397737543</v>
      </c>
      <c r="F32" s="346">
        <v>0.22573674649490091</v>
      </c>
      <c r="G32" s="347">
        <v>1.1704864371645189</v>
      </c>
      <c r="H32" s="347">
        <v>1.2595675823471231</v>
      </c>
      <c r="I32" s="346">
        <v>9.7041276589052206E-2</v>
      </c>
      <c r="J32" s="346">
        <v>0.48011717495501938</v>
      </c>
      <c r="K32" s="346">
        <v>4.4999999999999998E-2</v>
      </c>
      <c r="L32" s="346">
        <v>0.16332628298773633</v>
      </c>
      <c r="M32" s="346">
        <v>8.6652699859072438E-2</v>
      </c>
      <c r="N32" s="347">
        <v>1.2337902044429534</v>
      </c>
      <c r="O32" s="347">
        <v>3.9049242005015166</v>
      </c>
      <c r="P32" s="347">
        <v>19.033568038085082</v>
      </c>
      <c r="Q32" s="347">
        <v>32.633847449055793</v>
      </c>
      <c r="R32" s="347">
        <v>3.2502378685478379</v>
      </c>
      <c r="S32" s="347">
        <v>52.252289754181774</v>
      </c>
      <c r="T32" s="346">
        <v>5.1075534738347562E-2</v>
      </c>
      <c r="U32" s="346">
        <v>4.6012770681789029E-2</v>
      </c>
      <c r="V32" s="346">
        <v>5.1864876785658383E-2</v>
      </c>
      <c r="W32" s="346">
        <v>0.72285087197844777</v>
      </c>
      <c r="X32" s="346">
        <v>9.1069030495293288E-2</v>
      </c>
      <c r="Y32" s="346">
        <v>0.37585706310389261</v>
      </c>
      <c r="Z32" s="346">
        <v>0.37585706310389266</v>
      </c>
      <c r="AA32" s="348">
        <v>0.11413684515633774</v>
      </c>
    </row>
    <row r="33" spans="1:27" s="313" customFormat="1">
      <c r="A33" s="345" t="s">
        <v>538</v>
      </c>
      <c r="B33" s="144">
        <v>325</v>
      </c>
      <c r="C33" s="346">
        <v>0.11699615384615386</v>
      </c>
      <c r="D33" s="346">
        <v>0.10428205249110145</v>
      </c>
      <c r="E33" s="346">
        <v>0.12530926577306817</v>
      </c>
      <c r="F33" s="346">
        <v>0.22232756419999217</v>
      </c>
      <c r="G33" s="347">
        <v>1.0108895954007615</v>
      </c>
      <c r="H33" s="347">
        <v>1.2165784087388196</v>
      </c>
      <c r="I33" s="346">
        <v>9.4384545660059049E-2</v>
      </c>
      <c r="J33" s="346">
        <v>0.4382407138678574</v>
      </c>
      <c r="K33" s="346">
        <v>4.4999999999999998E-2</v>
      </c>
      <c r="L33" s="346">
        <v>0.27007088423566467</v>
      </c>
      <c r="M33" s="346">
        <v>7.7923847969884871E-2</v>
      </c>
      <c r="N33" s="347">
        <v>1.3546072679077885</v>
      </c>
      <c r="O33" s="347">
        <v>2.4761615532168073</v>
      </c>
      <c r="P33" s="347">
        <v>13.458279246366613</v>
      </c>
      <c r="Q33" s="347">
        <v>22.782829741013174</v>
      </c>
      <c r="R33" s="347">
        <v>2.9464841177116621</v>
      </c>
      <c r="S33" s="347">
        <v>139.85974331268054</v>
      </c>
      <c r="T33" s="346">
        <v>0.11578888566052492</v>
      </c>
      <c r="U33" s="346">
        <v>9.5686793561706895E-2</v>
      </c>
      <c r="V33" s="346">
        <v>7.4267403613543254E-2</v>
      </c>
      <c r="W33" s="346">
        <v>1.2674716863718152</v>
      </c>
      <c r="X33" s="346">
        <v>7.7205259290673414E-2</v>
      </c>
      <c r="Y33" s="346">
        <v>0.69243647392216545</v>
      </c>
      <c r="Z33" s="346">
        <v>0.69243647392216545</v>
      </c>
      <c r="AA33" s="348">
        <v>0.10680689168821217</v>
      </c>
    </row>
    <row r="34" spans="1:27" s="313" customFormat="1">
      <c r="A34" s="345" t="s">
        <v>539</v>
      </c>
      <c r="B34" s="144">
        <v>406</v>
      </c>
      <c r="C34" s="346">
        <v>8.3574179104477675E-2</v>
      </c>
      <c r="D34" s="346">
        <v>4.7032114142262424E-2</v>
      </c>
      <c r="E34" s="346">
        <v>5.3836881023176839E-2</v>
      </c>
      <c r="F34" s="346">
        <v>0.19905884239659155</v>
      </c>
      <c r="G34" s="347">
        <v>0.60047605714002594</v>
      </c>
      <c r="H34" s="347">
        <v>0.81652017523268927</v>
      </c>
      <c r="I34" s="346">
        <v>6.9660946829380191E-2</v>
      </c>
      <c r="J34" s="346">
        <v>0.38163047797118665</v>
      </c>
      <c r="K34" s="346">
        <v>4.0999999999999995E-2</v>
      </c>
      <c r="L34" s="346">
        <v>0.36967022192874599</v>
      </c>
      <c r="M34" s="346">
        <v>5.5170633125812031E-2</v>
      </c>
      <c r="N34" s="347">
        <v>1.2797283591998483</v>
      </c>
      <c r="O34" s="347">
        <v>1.2035865141777065</v>
      </c>
      <c r="P34" s="347">
        <v>13.813880013876521</v>
      </c>
      <c r="Q34" s="347">
        <v>23.864291149688935</v>
      </c>
      <c r="R34" s="347">
        <v>1.8348674645740137</v>
      </c>
      <c r="S34" s="347">
        <v>79.746003041290408</v>
      </c>
      <c r="T34" s="346">
        <v>0.15693256264053676</v>
      </c>
      <c r="U34" s="346">
        <v>4.9370238053456292E-2</v>
      </c>
      <c r="V34" s="346">
        <v>3.4107346999390852E-2</v>
      </c>
      <c r="W34" s="346">
        <v>1.1279388683051466</v>
      </c>
      <c r="X34" s="346">
        <v>6.7468144191225835E-2</v>
      </c>
      <c r="Y34" s="346">
        <v>0.54435726521202088</v>
      </c>
      <c r="Z34" s="346">
        <v>0.54435726521202088</v>
      </c>
      <c r="AA34" s="348">
        <v>4.7928493696204721E-2</v>
      </c>
    </row>
    <row r="35" spans="1:27" s="313" customFormat="1">
      <c r="A35" s="345" t="s">
        <v>540</v>
      </c>
      <c r="B35" s="144">
        <v>1059</v>
      </c>
      <c r="C35" s="346">
        <v>0.13239517391304345</v>
      </c>
      <c r="D35" s="346">
        <v>6.7742280954025721E-2</v>
      </c>
      <c r="E35" s="346">
        <v>3.9250502115049579E-3</v>
      </c>
      <c r="F35" s="346">
        <v>0.18190212777423673</v>
      </c>
      <c r="G35" s="347">
        <v>0.14956422652348697</v>
      </c>
      <c r="H35" s="347">
        <v>0.78916242023397243</v>
      </c>
      <c r="I35" s="346">
        <v>6.7970237570459502E-2</v>
      </c>
      <c r="J35" s="346">
        <v>0.34529993937082754</v>
      </c>
      <c r="K35" s="346">
        <v>4.0999999999999995E-2</v>
      </c>
      <c r="L35" s="346">
        <v>0.86278820994364425</v>
      </c>
      <c r="M35" s="346">
        <v>3.5609435207111746E-2</v>
      </c>
      <c r="N35" s="347">
        <v>6.9886950522399821E-2</v>
      </c>
      <c r="O35" s="347">
        <v>15.973567311016513</v>
      </c>
      <c r="P35" s="347">
        <v>152.52334072949651</v>
      </c>
      <c r="Q35" s="347" t="s">
        <v>99</v>
      </c>
      <c r="R35" s="347">
        <v>1.3513574663896395</v>
      </c>
      <c r="S35" s="347">
        <v>69.447815916466212</v>
      </c>
      <c r="T35" s="346" t="s">
        <v>99</v>
      </c>
      <c r="U35" s="346">
        <v>6.8922778013924574E-2</v>
      </c>
      <c r="V35" s="346">
        <v>6.9558027318686017E-2</v>
      </c>
      <c r="W35" s="346">
        <v>1.9510578436951003</v>
      </c>
      <c r="X35" s="346">
        <v>0.20622625054362026</v>
      </c>
      <c r="Y35" s="346">
        <v>0.21148798294263862</v>
      </c>
      <c r="Z35" s="346">
        <v>0.2114879829426386</v>
      </c>
      <c r="AA35" s="348">
        <v>6.6455320936018636E-2</v>
      </c>
    </row>
    <row r="36" spans="1:27" s="313" customFormat="1">
      <c r="A36" s="345" t="s">
        <v>541</v>
      </c>
      <c r="B36" s="144">
        <v>1262</v>
      </c>
      <c r="C36" s="346">
        <v>6.3988638392857164E-2</v>
      </c>
      <c r="D36" s="346">
        <v>8.528946373931369E-2</v>
      </c>
      <c r="E36" s="346">
        <v>0.11936370398267163</v>
      </c>
      <c r="F36" s="346">
        <v>0.21384248464496677</v>
      </c>
      <c r="G36" s="347">
        <v>0.65011708444848482</v>
      </c>
      <c r="H36" s="347">
        <v>0.7499572266099076</v>
      </c>
      <c r="I36" s="346">
        <v>6.5547356604492291E-2</v>
      </c>
      <c r="J36" s="346">
        <v>0.32018900857587657</v>
      </c>
      <c r="K36" s="346">
        <v>4.0999999999999995E-2</v>
      </c>
      <c r="L36" s="346">
        <v>0.21542187569839161</v>
      </c>
      <c r="M36" s="346">
        <v>5.7989418697081303E-2</v>
      </c>
      <c r="N36" s="347">
        <v>1.6576475109940005</v>
      </c>
      <c r="O36" s="347">
        <v>1.7329544653534938</v>
      </c>
      <c r="P36" s="347">
        <v>13.717702115248796</v>
      </c>
      <c r="Q36" s="347">
        <v>20.0804217641832</v>
      </c>
      <c r="R36" s="347">
        <v>2.747629409766204</v>
      </c>
      <c r="S36" s="347">
        <v>41.676743727757682</v>
      </c>
      <c r="T36" s="346">
        <v>0.10504668502667278</v>
      </c>
      <c r="U36" s="346">
        <v>4.6081026878275921E-2</v>
      </c>
      <c r="V36" s="346">
        <v>3.7692908440659062E-2</v>
      </c>
      <c r="W36" s="346">
        <v>0.62304662153027757</v>
      </c>
      <c r="X36" s="346">
        <v>7.9408211831887829E-2</v>
      </c>
      <c r="Y36" s="346">
        <v>0.7452932121178012</v>
      </c>
      <c r="Z36" s="346">
        <v>0.7452932121178012</v>
      </c>
      <c r="AA36" s="348">
        <v>8.56699631547964E-2</v>
      </c>
    </row>
    <row r="37" spans="1:27" s="313" customFormat="1">
      <c r="A37" s="345" t="s">
        <v>542</v>
      </c>
      <c r="B37" s="144">
        <v>151</v>
      </c>
      <c r="C37" s="346">
        <v>0.1559560396039604</v>
      </c>
      <c r="D37" s="346">
        <v>2.41586881177102E-2</v>
      </c>
      <c r="E37" s="346">
        <v>0.10673155089282349</v>
      </c>
      <c r="F37" s="346">
        <v>0.26080951403938457</v>
      </c>
      <c r="G37" s="347">
        <v>0.51849296336586315</v>
      </c>
      <c r="H37" s="347">
        <v>0.75641567799942844</v>
      </c>
      <c r="I37" s="346">
        <v>6.5946488900364683E-2</v>
      </c>
      <c r="J37" s="346">
        <v>0.34198013014605771</v>
      </c>
      <c r="K37" s="346">
        <v>4.0999999999999995E-2</v>
      </c>
      <c r="L37" s="346">
        <v>0.42733054467883297</v>
      </c>
      <c r="M37" s="346">
        <v>5.078331026146652E-2</v>
      </c>
      <c r="N37" s="347">
        <v>5.2084367791298174</v>
      </c>
      <c r="O37" s="347">
        <v>0.48139534295222036</v>
      </c>
      <c r="P37" s="347">
        <v>11.42728675780776</v>
      </c>
      <c r="Q37" s="347">
        <v>19.273881451187073</v>
      </c>
      <c r="R37" s="347">
        <v>2.0735287535668636</v>
      </c>
      <c r="S37" s="347">
        <v>51.753559872729987</v>
      </c>
      <c r="T37" s="346">
        <v>4.8434790391602804E-2</v>
      </c>
      <c r="U37" s="346">
        <v>1.5009878205822403E-2</v>
      </c>
      <c r="V37" s="346">
        <v>1.7235462039347619E-2</v>
      </c>
      <c r="W37" s="346">
        <v>0.98456807681031744</v>
      </c>
      <c r="X37" s="346">
        <v>9.1269997955932713E-2</v>
      </c>
      <c r="Y37" s="346">
        <v>0.54520963509891618</v>
      </c>
      <c r="Z37" s="346">
        <v>0.54520963509891618</v>
      </c>
      <c r="AA37" s="348">
        <v>2.4825535666774243E-2</v>
      </c>
    </row>
    <row r="38" spans="1:27" s="313" customFormat="1">
      <c r="A38" s="345" t="s">
        <v>543</v>
      </c>
      <c r="B38" s="144">
        <v>328</v>
      </c>
      <c r="C38" s="346">
        <v>6.4911826086956545E-2</v>
      </c>
      <c r="D38" s="346">
        <v>7.4270399095097681E-2</v>
      </c>
      <c r="E38" s="346">
        <v>0.1555536176846134</v>
      </c>
      <c r="F38" s="346">
        <v>0.18576809374079462</v>
      </c>
      <c r="G38" s="347">
        <v>1.0058522471944715</v>
      </c>
      <c r="H38" s="347">
        <v>1.0262217610131108</v>
      </c>
      <c r="I38" s="346">
        <v>8.2620504830610245E-2</v>
      </c>
      <c r="J38" s="346">
        <v>0.34400720365518467</v>
      </c>
      <c r="K38" s="346">
        <v>4.0999999999999995E-2</v>
      </c>
      <c r="L38" s="346">
        <v>0.19345939891845115</v>
      </c>
      <c r="M38" s="346">
        <v>7.253014529699417E-2</v>
      </c>
      <c r="N38" s="347">
        <v>2.4084220959076457</v>
      </c>
      <c r="O38" s="347">
        <v>1.1888969242664889</v>
      </c>
      <c r="P38" s="347">
        <v>10.925249857094558</v>
      </c>
      <c r="Q38" s="347">
        <v>15.276255125764791</v>
      </c>
      <c r="R38" s="347">
        <v>2.7210955585919785</v>
      </c>
      <c r="S38" s="347">
        <v>28.371675006378769</v>
      </c>
      <c r="T38" s="346">
        <v>4.7724168314042317E-2</v>
      </c>
      <c r="U38" s="346">
        <v>3.4835143203373393E-2</v>
      </c>
      <c r="V38" s="346">
        <v>2.6339181693545839E-2</v>
      </c>
      <c r="W38" s="346">
        <v>0.5442313129834635</v>
      </c>
      <c r="X38" s="346">
        <v>0.14261388753459631</v>
      </c>
      <c r="Y38" s="346">
        <v>0.49210062561617329</v>
      </c>
      <c r="Z38" s="346">
        <v>0.49210062561617329</v>
      </c>
      <c r="AA38" s="348">
        <v>7.711994429690737E-2</v>
      </c>
    </row>
    <row r="39" spans="1:27" s="313" customFormat="1">
      <c r="A39" s="345" t="s">
        <v>544</v>
      </c>
      <c r="B39" s="144">
        <v>213</v>
      </c>
      <c r="C39" s="346">
        <v>0.23736264150943395</v>
      </c>
      <c r="D39" s="346">
        <v>0.35647891232232615</v>
      </c>
      <c r="E39" s="346">
        <v>7.110563159403839E-2</v>
      </c>
      <c r="F39" s="346">
        <v>0.16701004418527249</v>
      </c>
      <c r="G39" s="347">
        <v>0.58673033422852838</v>
      </c>
      <c r="H39" s="347">
        <v>0.88696885828612937</v>
      </c>
      <c r="I39" s="346">
        <v>7.4014675442082789E-2</v>
      </c>
      <c r="J39" s="346">
        <v>0.38025489613951263</v>
      </c>
      <c r="K39" s="346">
        <v>4.0999999999999995E-2</v>
      </c>
      <c r="L39" s="346">
        <v>0.43518532528778747</v>
      </c>
      <c r="M39" s="346">
        <v>5.5061625397991837E-2</v>
      </c>
      <c r="N39" s="347">
        <v>0.23075931442160308</v>
      </c>
      <c r="O39" s="347">
        <v>6.7575144931383075</v>
      </c>
      <c r="P39" s="347">
        <v>11.569542801526575</v>
      </c>
      <c r="Q39" s="347">
        <v>19.232600522563455</v>
      </c>
      <c r="R39" s="347">
        <v>1.7201786345229257</v>
      </c>
      <c r="S39" s="347">
        <v>105.76953384548527</v>
      </c>
      <c r="T39" s="346">
        <v>4.847419776191747E-2</v>
      </c>
      <c r="U39" s="346">
        <v>0.28767246738389007</v>
      </c>
      <c r="V39" s="346">
        <v>0.13757437621807073</v>
      </c>
      <c r="W39" s="346">
        <v>0.69900713960509098</v>
      </c>
      <c r="X39" s="346">
        <v>0.1043101228470741</v>
      </c>
      <c r="Y39" s="346">
        <v>0.77840508996438151</v>
      </c>
      <c r="Z39" s="346">
        <v>0.77840508996438151</v>
      </c>
      <c r="AA39" s="348">
        <v>0.34860548771381228</v>
      </c>
    </row>
    <row r="40" spans="1:27" s="313" customFormat="1">
      <c r="A40" s="345" t="s">
        <v>545</v>
      </c>
      <c r="B40" s="144">
        <v>739</v>
      </c>
      <c r="C40" s="346">
        <v>0.11377816176470593</v>
      </c>
      <c r="D40" s="346">
        <v>0.14871035922653414</v>
      </c>
      <c r="E40" s="346">
        <v>0.14019710672728616</v>
      </c>
      <c r="F40" s="346">
        <v>0.1527831295407561</v>
      </c>
      <c r="G40" s="347">
        <v>1.1331289139797711</v>
      </c>
      <c r="H40" s="347">
        <v>1.1959194096322181</v>
      </c>
      <c r="I40" s="346">
        <v>9.310781951527107E-2</v>
      </c>
      <c r="J40" s="346">
        <v>0.48356616028744143</v>
      </c>
      <c r="K40" s="346">
        <v>4.4999999999999998E-2</v>
      </c>
      <c r="L40" s="346">
        <v>0.11060423596136852</v>
      </c>
      <c r="M40" s="346">
        <v>8.6507752905123872E-2</v>
      </c>
      <c r="N40" s="347">
        <v>0.96756791440321455</v>
      </c>
      <c r="O40" s="347">
        <v>5.1730279091659996</v>
      </c>
      <c r="P40" s="347">
        <v>21.34791534773662</v>
      </c>
      <c r="Q40" s="347">
        <v>33.228231724713375</v>
      </c>
      <c r="R40" s="347">
        <v>4.5612393775916971</v>
      </c>
      <c r="S40" s="347">
        <v>52.186073830216436</v>
      </c>
      <c r="T40" s="346">
        <v>0.24355953159634902</v>
      </c>
      <c r="U40" s="346">
        <v>5.3561132939922394E-2</v>
      </c>
      <c r="V40" s="346">
        <v>6.4284714176340699E-2</v>
      </c>
      <c r="W40" s="346">
        <v>0.7305603348220906</v>
      </c>
      <c r="X40" s="346">
        <v>9.694961173940185E-2</v>
      </c>
      <c r="Y40" s="346">
        <v>0.38006138698489589</v>
      </c>
      <c r="Z40" s="346">
        <v>0.38006138698489589</v>
      </c>
      <c r="AA40" s="348">
        <v>0.15653695961206693</v>
      </c>
    </row>
    <row r="41" spans="1:27" s="313" customFormat="1">
      <c r="A41" s="345" t="s">
        <v>546</v>
      </c>
      <c r="B41" s="144">
        <v>402</v>
      </c>
      <c r="C41" s="346">
        <v>0.18364475336322875</v>
      </c>
      <c r="D41" s="346">
        <v>4.5005024862447653E-2</v>
      </c>
      <c r="E41" s="346">
        <v>0.27228031243196937</v>
      </c>
      <c r="F41" s="346">
        <v>0.23625082881169265</v>
      </c>
      <c r="G41" s="347">
        <v>0.81838609193173262</v>
      </c>
      <c r="H41" s="347">
        <v>1.0101052155748032</v>
      </c>
      <c r="I41" s="346">
        <v>8.1624502322522829E-2</v>
      </c>
      <c r="J41" s="346">
        <v>0.39817921183139832</v>
      </c>
      <c r="K41" s="346">
        <v>4.0999999999999995E-2</v>
      </c>
      <c r="L41" s="346">
        <v>0.29354555166461066</v>
      </c>
      <c r="M41" s="346">
        <v>6.6606270899267614E-2</v>
      </c>
      <c r="N41" s="347">
        <v>7.2658396382608341</v>
      </c>
      <c r="O41" s="347">
        <v>0.72238817344525774</v>
      </c>
      <c r="P41" s="347">
        <v>11.553106130105933</v>
      </c>
      <c r="Q41" s="347">
        <v>16.133584067510697</v>
      </c>
      <c r="R41" s="347">
        <v>2.5486191100303244</v>
      </c>
      <c r="S41" s="347">
        <v>36.181777198560603</v>
      </c>
      <c r="T41" s="346">
        <v>-1.2459361581455488E-2</v>
      </c>
      <c r="U41" s="346">
        <v>1.0041260282993932E-2</v>
      </c>
      <c r="V41" s="346">
        <v>4.6403084303294373E-2</v>
      </c>
      <c r="W41" s="346">
        <v>1.5730923352962158</v>
      </c>
      <c r="X41" s="346">
        <v>0.12273180258406703</v>
      </c>
      <c r="Y41" s="346">
        <v>0.39052602700997052</v>
      </c>
      <c r="Z41" s="346">
        <v>0.39052602700997052</v>
      </c>
      <c r="AA41" s="348">
        <v>4.4113930808785749E-2</v>
      </c>
    </row>
    <row r="42" spans="1:27" s="313" customFormat="1">
      <c r="A42" s="345" t="s">
        <v>547</v>
      </c>
      <c r="B42" s="144">
        <v>389</v>
      </c>
      <c r="C42" s="346">
        <v>0.17155423076923074</v>
      </c>
      <c r="D42" s="346">
        <v>0.12304597355065522</v>
      </c>
      <c r="E42" s="346">
        <v>0.13077224191903541</v>
      </c>
      <c r="F42" s="346">
        <v>0.15757461687726282</v>
      </c>
      <c r="G42" s="347">
        <v>1.225383329091867</v>
      </c>
      <c r="H42" s="347">
        <v>1.2955871187926451</v>
      </c>
      <c r="I42" s="346">
        <v>9.9267283941385467E-2</v>
      </c>
      <c r="J42" s="346">
        <v>0.537553858180008</v>
      </c>
      <c r="K42" s="346">
        <v>4.4999999999999998E-2</v>
      </c>
      <c r="L42" s="346">
        <v>0.10755509414364806</v>
      </c>
      <c r="M42" s="346">
        <v>9.2186686444378385E-2</v>
      </c>
      <c r="N42" s="347">
        <v>1.0975590157336705</v>
      </c>
      <c r="O42" s="347">
        <v>5.709289187654166</v>
      </c>
      <c r="P42" s="347">
        <v>24.814820542026666</v>
      </c>
      <c r="Q42" s="347">
        <v>42.352912414289108</v>
      </c>
      <c r="R42" s="347">
        <v>5.5325104416909774</v>
      </c>
      <c r="S42" s="347">
        <v>770.42216200888538</v>
      </c>
      <c r="T42" s="346">
        <v>0.20890982862970453</v>
      </c>
      <c r="U42" s="346">
        <v>5.6204539819045385E-2</v>
      </c>
      <c r="V42" s="346">
        <v>6.4022394090286289E-2</v>
      </c>
      <c r="W42" s="346">
        <v>0.85220920679017198</v>
      </c>
      <c r="X42" s="346">
        <v>0.1018447730736845</v>
      </c>
      <c r="Y42" s="346">
        <v>0.1526881312090691</v>
      </c>
      <c r="Z42" s="346">
        <v>0.1526881312090691</v>
      </c>
      <c r="AA42" s="348">
        <v>0.12884348872191762</v>
      </c>
    </row>
    <row r="43" spans="1:27" s="313" customFormat="1">
      <c r="A43" s="345" t="s">
        <v>548</v>
      </c>
      <c r="B43" s="144">
        <v>167</v>
      </c>
      <c r="C43" s="346">
        <v>0.11342669291338581</v>
      </c>
      <c r="D43" s="346">
        <v>0.10694586777644409</v>
      </c>
      <c r="E43" s="346">
        <v>0.10539983401041551</v>
      </c>
      <c r="F43" s="346">
        <v>0.23867718585367972</v>
      </c>
      <c r="G43" s="347">
        <v>0.74828703712729017</v>
      </c>
      <c r="H43" s="347">
        <v>0.88569991475721865</v>
      </c>
      <c r="I43" s="346">
        <v>7.3936254731996109E-2</v>
      </c>
      <c r="J43" s="346">
        <v>0.32290082269268122</v>
      </c>
      <c r="K43" s="346">
        <v>4.0999999999999995E-2</v>
      </c>
      <c r="L43" s="346">
        <v>0.30137369606398984</v>
      </c>
      <c r="M43" s="346">
        <v>6.0834559273483108E-2</v>
      </c>
      <c r="N43" s="347">
        <v>1.3530564092282296</v>
      </c>
      <c r="O43" s="347">
        <v>1.1540190932813916</v>
      </c>
      <c r="P43" s="347">
        <v>9.2867819879380153</v>
      </c>
      <c r="Q43" s="347">
        <v>11.47000595509807</v>
      </c>
      <c r="R43" s="347">
        <v>1.5844122484643632</v>
      </c>
      <c r="S43" s="347">
        <v>16.176649935621874</v>
      </c>
      <c r="T43" s="346">
        <v>0.59540458416932873</v>
      </c>
      <c r="U43" s="346">
        <v>1.2065167258743518E-2</v>
      </c>
      <c r="V43" s="346">
        <v>1.2576183073203217E-2</v>
      </c>
      <c r="W43" s="346">
        <v>0.62001632101260751</v>
      </c>
      <c r="X43" s="346">
        <v>0.14765497101637146</v>
      </c>
      <c r="Y43" s="346">
        <v>0.21817829604561581</v>
      </c>
      <c r="Z43" s="346">
        <v>0.21817829604561578</v>
      </c>
      <c r="AA43" s="348">
        <v>9.9909400930339939E-2</v>
      </c>
    </row>
    <row r="44" spans="1:27" s="313" customFormat="1">
      <c r="A44" s="345" t="s">
        <v>549</v>
      </c>
      <c r="B44" s="144">
        <v>206</v>
      </c>
      <c r="C44" s="346">
        <v>7.8143093525179855E-2</v>
      </c>
      <c r="D44" s="346">
        <v>0.10338966407130139</v>
      </c>
      <c r="E44" s="346">
        <v>9.5225324603599656E-2</v>
      </c>
      <c r="F44" s="346">
        <v>0.21676331286089681</v>
      </c>
      <c r="G44" s="347">
        <v>0.50397351405040436</v>
      </c>
      <c r="H44" s="347">
        <v>0.78005826604326189</v>
      </c>
      <c r="I44" s="346">
        <v>6.7407600841473583E-2</v>
      </c>
      <c r="J44" s="346">
        <v>0.31468967198399317</v>
      </c>
      <c r="K44" s="346">
        <v>4.0999999999999995E-2</v>
      </c>
      <c r="L44" s="346">
        <v>0.44480755032156744</v>
      </c>
      <c r="M44" s="346">
        <v>5.0974363443569599E-2</v>
      </c>
      <c r="N44" s="347">
        <v>1.216662210452611</v>
      </c>
      <c r="O44" s="347">
        <v>2.2180700930123889</v>
      </c>
      <c r="P44" s="347">
        <v>12.002033654347525</v>
      </c>
      <c r="Q44" s="347">
        <v>22.920882458261872</v>
      </c>
      <c r="R44" s="347">
        <v>3.4230031945559709</v>
      </c>
      <c r="S44" s="347">
        <v>39.722591808345889</v>
      </c>
      <c r="T44" s="346">
        <v>7.5585865924225337E-2</v>
      </c>
      <c r="U44" s="346">
        <v>6.9238054712608743E-2</v>
      </c>
      <c r="V44" s="346">
        <v>5.6984061725301641E-2</v>
      </c>
      <c r="W44" s="346">
        <v>0.95929072812595073</v>
      </c>
      <c r="X44" s="346">
        <v>0.12874142029551164</v>
      </c>
      <c r="Y44" s="346">
        <v>0.39649563044065905</v>
      </c>
      <c r="Z44" s="346">
        <v>0.39649563044065905</v>
      </c>
      <c r="AA44" s="348">
        <v>9.3537169033205553E-2</v>
      </c>
    </row>
    <row r="45" spans="1:27" s="313" customFormat="1">
      <c r="A45" s="345" t="s">
        <v>550</v>
      </c>
      <c r="B45" s="144">
        <v>639</v>
      </c>
      <c r="C45" s="346">
        <v>0.13215739224137918</v>
      </c>
      <c r="D45" s="346">
        <v>0.1432728014853443</v>
      </c>
      <c r="E45" s="346">
        <v>8.8022622646485082E-2</v>
      </c>
      <c r="F45" s="346">
        <v>0.18608642329791938</v>
      </c>
      <c r="G45" s="347">
        <v>0.68490510248440328</v>
      </c>
      <c r="H45" s="347">
        <v>0.89595032706915789</v>
      </c>
      <c r="I45" s="346">
        <v>7.4569730212873955E-2</v>
      </c>
      <c r="J45" s="346">
        <v>0.34668398329402567</v>
      </c>
      <c r="K45" s="346">
        <v>4.0999999999999995E-2</v>
      </c>
      <c r="L45" s="346">
        <v>0.3466426355339266</v>
      </c>
      <c r="M45" s="346">
        <v>5.9280457007099462E-2</v>
      </c>
      <c r="N45" s="347">
        <v>0.76657639108428333</v>
      </c>
      <c r="O45" s="347">
        <v>3.0255533069397207</v>
      </c>
      <c r="P45" s="347">
        <v>12.388248799990457</v>
      </c>
      <c r="Q45" s="347">
        <v>22.434719497924871</v>
      </c>
      <c r="R45" s="347">
        <v>2.375532095346927</v>
      </c>
      <c r="S45" s="347">
        <v>53.147132259234382</v>
      </c>
      <c r="T45" s="346">
        <v>1.2774029579377944E-3</v>
      </c>
      <c r="U45" s="346">
        <v>8.6029528125256494E-2</v>
      </c>
      <c r="V45" s="346">
        <v>5.4600790753230211E-2</v>
      </c>
      <c r="W45" s="346">
        <v>0.57350126755689135</v>
      </c>
      <c r="X45" s="346">
        <v>0.11443960088095181</v>
      </c>
      <c r="Y45" s="346">
        <v>0.5295443807244008</v>
      </c>
      <c r="Z45" s="346">
        <v>0.5295443807244008</v>
      </c>
      <c r="AA45" s="348">
        <v>0.13360622867128247</v>
      </c>
    </row>
    <row r="46" spans="1:27" s="313" customFormat="1">
      <c r="A46" s="345" t="s">
        <v>551</v>
      </c>
      <c r="B46" s="144">
        <v>536</v>
      </c>
      <c r="C46" s="346">
        <v>7.9046677852348993E-2</v>
      </c>
      <c r="D46" s="346">
        <v>0.16390003516815946</v>
      </c>
      <c r="E46" s="346">
        <v>0.2283602986688878</v>
      </c>
      <c r="F46" s="346">
        <v>0.24375406963667737</v>
      </c>
      <c r="G46" s="347">
        <v>0.96411764993168314</v>
      </c>
      <c r="H46" s="347">
        <v>1.0309988968253856</v>
      </c>
      <c r="I46" s="346">
        <v>8.2915731823808819E-2</v>
      </c>
      <c r="J46" s="346">
        <v>0.40582521739092331</v>
      </c>
      <c r="K46" s="346">
        <v>4.4999999999999998E-2</v>
      </c>
      <c r="L46" s="346">
        <v>0.1257012406888027</v>
      </c>
      <c r="M46" s="346">
        <v>7.6695942443366125E-2</v>
      </c>
      <c r="N46" s="347">
        <v>1.5955418553932443</v>
      </c>
      <c r="O46" s="347">
        <v>3.4038102627840923</v>
      </c>
      <c r="P46" s="347">
        <v>16.097075198703642</v>
      </c>
      <c r="Q46" s="347">
        <v>20.520865985113677</v>
      </c>
      <c r="R46" s="347">
        <v>5.9640470510314776</v>
      </c>
      <c r="S46" s="347">
        <v>73.768223867514351</v>
      </c>
      <c r="T46" s="346">
        <v>6.7098010188739274E-2</v>
      </c>
      <c r="U46" s="346">
        <v>3.8210498660677959E-2</v>
      </c>
      <c r="V46" s="346">
        <v>3.4724568459938869E-2</v>
      </c>
      <c r="W46" s="346">
        <v>0.30257690201031878</v>
      </c>
      <c r="X46" s="346">
        <v>0.16302209669156703</v>
      </c>
      <c r="Y46" s="346">
        <v>0.74393247763807568</v>
      </c>
      <c r="Z46" s="346">
        <v>0.74393247763807568</v>
      </c>
      <c r="AA46" s="348">
        <v>0.16530851382117287</v>
      </c>
    </row>
    <row r="47" spans="1:27" s="313" customFormat="1">
      <c r="A47" s="345" t="s">
        <v>552</v>
      </c>
      <c r="B47" s="144">
        <v>215</v>
      </c>
      <c r="C47" s="346">
        <v>0.14939829268292687</v>
      </c>
      <c r="D47" s="346">
        <v>0.25329954682361056</v>
      </c>
      <c r="E47" s="346">
        <v>0.36826433715592077</v>
      </c>
      <c r="F47" s="346">
        <v>0.19481840674606951</v>
      </c>
      <c r="G47" s="347">
        <v>1.0458294791273943</v>
      </c>
      <c r="H47" s="347">
        <v>1.1024635466817168</v>
      </c>
      <c r="I47" s="346">
        <v>8.7332247184930087E-2</v>
      </c>
      <c r="J47" s="346">
        <v>0.4125850801465365</v>
      </c>
      <c r="K47" s="346">
        <v>4.4999999999999998E-2</v>
      </c>
      <c r="L47" s="346">
        <v>0.1080505394465429</v>
      </c>
      <c r="M47" s="346">
        <v>8.1508620551914726E-2</v>
      </c>
      <c r="N47" s="347">
        <v>1.6504961588511904</v>
      </c>
      <c r="O47" s="347">
        <v>8.1241429276532724</v>
      </c>
      <c r="P47" s="347">
        <v>25.296941911617193</v>
      </c>
      <c r="Q47" s="347">
        <v>31.211612588222373</v>
      </c>
      <c r="R47" s="347">
        <v>6.277700229092158</v>
      </c>
      <c r="S47" s="347">
        <v>39.067948897993524</v>
      </c>
      <c r="T47" s="346">
        <v>6.8693161642683645E-2</v>
      </c>
      <c r="U47" s="346">
        <v>3.2573432655560522E-2</v>
      </c>
      <c r="V47" s="346">
        <v>0.14105276792267565</v>
      </c>
      <c r="W47" s="346">
        <v>0.78664349696898694</v>
      </c>
      <c r="X47" s="346">
        <v>0.27329962763586685</v>
      </c>
      <c r="Y47" s="346">
        <v>0.26398537686288281</v>
      </c>
      <c r="Z47" s="346">
        <v>0.26398537686288281</v>
      </c>
      <c r="AA47" s="348">
        <v>0.255921843055534</v>
      </c>
    </row>
    <row r="48" spans="1:27" s="313" customFormat="1">
      <c r="A48" s="345" t="s">
        <v>553</v>
      </c>
      <c r="B48" s="144">
        <v>216</v>
      </c>
      <c r="C48" s="346">
        <v>6.473521978021983E-2</v>
      </c>
      <c r="D48" s="346">
        <v>9.5333696724539424E-2</v>
      </c>
      <c r="E48" s="346">
        <v>0.13442843031225699</v>
      </c>
      <c r="F48" s="346">
        <v>0.24163191786201185</v>
      </c>
      <c r="G48" s="347">
        <v>0.53551730127710184</v>
      </c>
      <c r="H48" s="347">
        <v>0.61395941101204488</v>
      </c>
      <c r="I48" s="346">
        <v>5.7142691600544374E-2</v>
      </c>
      <c r="J48" s="346">
        <v>0.26828099168317632</v>
      </c>
      <c r="K48" s="346">
        <v>4.0999999999999995E-2</v>
      </c>
      <c r="L48" s="346">
        <v>0.29763459747756726</v>
      </c>
      <c r="M48" s="346">
        <v>4.9201892330190712E-2</v>
      </c>
      <c r="N48" s="347">
        <v>1.6633114336015591</v>
      </c>
      <c r="O48" s="347">
        <v>1.0790494527279999</v>
      </c>
      <c r="P48" s="347">
        <v>9.0510422057553352</v>
      </c>
      <c r="Q48" s="347">
        <v>11.052891449289911</v>
      </c>
      <c r="R48" s="347">
        <v>1.3289349091090603</v>
      </c>
      <c r="S48" s="347">
        <v>28.437897170088362</v>
      </c>
      <c r="T48" s="346">
        <v>-1.0624191690262528E-2</v>
      </c>
      <c r="U48" s="346">
        <v>7.2813473157515339E-3</v>
      </c>
      <c r="V48" s="346">
        <v>2.2365132665681485E-2</v>
      </c>
      <c r="W48" s="346">
        <v>0.35874941261738652</v>
      </c>
      <c r="X48" s="346">
        <v>9.6210877012899376E-2</v>
      </c>
      <c r="Y48" s="346">
        <v>0.49785698819062207</v>
      </c>
      <c r="Z48" s="346">
        <v>0.49785698819062207</v>
      </c>
      <c r="AA48" s="348">
        <v>9.5380609226394894E-2</v>
      </c>
    </row>
    <row r="49" spans="1:27" s="313" customFormat="1">
      <c r="A49" s="345" t="s">
        <v>554</v>
      </c>
      <c r="B49" s="144">
        <v>137</v>
      </c>
      <c r="C49" s="346">
        <v>0.10359295238095237</v>
      </c>
      <c r="D49" s="346">
        <v>9.2084209123344918E-2</v>
      </c>
      <c r="E49" s="346">
        <v>0.11582969840439336</v>
      </c>
      <c r="F49" s="346">
        <v>0.1666158228494693</v>
      </c>
      <c r="G49" s="347">
        <v>0.97784811439593333</v>
      </c>
      <c r="H49" s="347">
        <v>0.991516406340754</v>
      </c>
      <c r="I49" s="346">
        <v>8.0475713911858593E-2</v>
      </c>
      <c r="J49" s="346">
        <v>0.2589046978482647</v>
      </c>
      <c r="K49" s="346">
        <v>4.0999999999999995E-2</v>
      </c>
      <c r="L49" s="346">
        <v>0.44928512091235506</v>
      </c>
      <c r="M49" s="346">
        <v>5.8005745694814183E-2</v>
      </c>
      <c r="N49" s="347">
        <v>1.4884238388859743</v>
      </c>
      <c r="O49" s="347">
        <v>0.88721153164972943</v>
      </c>
      <c r="P49" s="347">
        <v>8.8483063123325856</v>
      </c>
      <c r="Q49" s="347">
        <v>9.5204804970148675</v>
      </c>
      <c r="R49" s="347">
        <v>1.0292727525843677</v>
      </c>
      <c r="S49" s="347">
        <v>24.899585711654137</v>
      </c>
      <c r="T49" s="346">
        <v>-1.0044102300193347</v>
      </c>
      <c r="U49" s="346">
        <v>6.9269559277104608E-3</v>
      </c>
      <c r="V49" s="346">
        <v>4.6127268550345876E-3</v>
      </c>
      <c r="W49" s="346">
        <v>6.2941856949857281E-2</v>
      </c>
      <c r="X49" s="346">
        <v>0.11231423959720833</v>
      </c>
      <c r="Y49" s="346">
        <v>0.29033684877235411</v>
      </c>
      <c r="Z49" s="346">
        <v>0.29033684877235411</v>
      </c>
      <c r="AA49" s="348">
        <v>9.2470212745935629E-2</v>
      </c>
    </row>
    <row r="50" spans="1:27" s="313" customFormat="1">
      <c r="A50" s="345" t="s">
        <v>555</v>
      </c>
      <c r="B50" s="144">
        <v>223</v>
      </c>
      <c r="C50" s="346">
        <v>5.8856045197740098E-2</v>
      </c>
      <c r="D50" s="346">
        <v>8.7235639447801494E-2</v>
      </c>
      <c r="E50" s="346">
        <v>9.6297642457583363E-2</v>
      </c>
      <c r="F50" s="346">
        <v>0.18045735376321356</v>
      </c>
      <c r="G50" s="347">
        <v>0.50236975046482646</v>
      </c>
      <c r="H50" s="347">
        <v>0.55545646202950727</v>
      </c>
      <c r="I50" s="346">
        <v>5.3527209353423547E-2</v>
      </c>
      <c r="J50" s="346">
        <v>0.24733885542106424</v>
      </c>
      <c r="K50" s="346">
        <v>3.5499999999999997E-2</v>
      </c>
      <c r="L50" s="346">
        <v>0.22827737821330524</v>
      </c>
      <c r="M50" s="346">
        <v>4.7329316605592552E-2</v>
      </c>
      <c r="N50" s="347">
        <v>1.3256871108060282</v>
      </c>
      <c r="O50" s="347">
        <v>1.1122383340104949</v>
      </c>
      <c r="P50" s="347">
        <v>10.561377706227253</v>
      </c>
      <c r="Q50" s="347">
        <v>12.532749511124193</v>
      </c>
      <c r="R50" s="347">
        <v>1.2952974769035155</v>
      </c>
      <c r="S50" s="347">
        <v>42.814355124517895</v>
      </c>
      <c r="T50" s="346">
        <v>-0.37719049801940602</v>
      </c>
      <c r="U50" s="346">
        <v>8.5848441649013073E-3</v>
      </c>
      <c r="V50" s="346">
        <v>1.3950980996996396E-3</v>
      </c>
      <c r="W50" s="346">
        <v>0.1163659876199962</v>
      </c>
      <c r="X50" s="346">
        <v>9.5856229206603361E-2</v>
      </c>
      <c r="Y50" s="346">
        <v>0.3663809997712803</v>
      </c>
      <c r="Z50" s="346">
        <v>0.36638099977128036</v>
      </c>
      <c r="AA50" s="348">
        <v>8.7278858460586348E-2</v>
      </c>
    </row>
    <row r="51" spans="1:27" s="313" customFormat="1">
      <c r="A51" s="345" t="s">
        <v>556</v>
      </c>
      <c r="B51" s="144">
        <v>1066</v>
      </c>
      <c r="C51" s="346">
        <v>0.10670904365904363</v>
      </c>
      <c r="D51" s="346">
        <v>0.18769549885696851</v>
      </c>
      <c r="E51" s="346">
        <v>5.2704334186546402E-2</v>
      </c>
      <c r="F51" s="346">
        <v>0.16797360953270513</v>
      </c>
      <c r="G51" s="347">
        <v>0.54927341031962462</v>
      </c>
      <c r="H51" s="347">
        <v>0.81226279400609269</v>
      </c>
      <c r="I51" s="346">
        <v>6.9397840669576522E-2</v>
      </c>
      <c r="J51" s="346">
        <v>0.37106781549097451</v>
      </c>
      <c r="K51" s="346">
        <v>4.0999999999999995E-2</v>
      </c>
      <c r="L51" s="346">
        <v>0.47765659005198652</v>
      </c>
      <c r="M51" s="346">
        <v>5.08003574411292E-2</v>
      </c>
      <c r="N51" s="347">
        <v>0.3119073724447553</v>
      </c>
      <c r="O51" s="347">
        <v>4.8772914157786165</v>
      </c>
      <c r="P51" s="347">
        <v>20.144524246716315</v>
      </c>
      <c r="Q51" s="347">
        <v>24.683910064511462</v>
      </c>
      <c r="R51" s="347">
        <v>1.3553497259263956</v>
      </c>
      <c r="S51" s="347">
        <v>119.48178666794966</v>
      </c>
      <c r="T51" s="346" t="s">
        <v>99</v>
      </c>
      <c r="U51" s="346">
        <v>2.603788992469188E-2</v>
      </c>
      <c r="V51" s="346">
        <v>0.14361125474009809</v>
      </c>
      <c r="W51" s="346">
        <v>1.1990457022408318</v>
      </c>
      <c r="X51" s="346">
        <v>0.10247498353682159</v>
      </c>
      <c r="Y51" s="346">
        <v>0.48832724110764086</v>
      </c>
      <c r="Z51" s="346">
        <v>0.48832724110764092</v>
      </c>
      <c r="AA51" s="348">
        <v>0.18264298449008171</v>
      </c>
    </row>
    <row r="52" spans="1:27" s="313" customFormat="1">
      <c r="A52" s="345" t="s">
        <v>557</v>
      </c>
      <c r="B52" s="144">
        <v>1332</v>
      </c>
      <c r="C52" s="346">
        <v>5.5072226804123742E-2</v>
      </c>
      <c r="D52" s="346">
        <v>9.0187537746350119E-2</v>
      </c>
      <c r="E52" s="346">
        <v>0.12219377289173415</v>
      </c>
      <c r="F52" s="346">
        <v>0.23770177268803105</v>
      </c>
      <c r="G52" s="347">
        <v>1.164533521118772</v>
      </c>
      <c r="H52" s="347">
        <v>1.2519781633114297</v>
      </c>
      <c r="I52" s="346">
        <v>9.6572250492646353E-2</v>
      </c>
      <c r="J52" s="346">
        <v>0.35086529691748397</v>
      </c>
      <c r="K52" s="346">
        <v>4.0999999999999995E-2</v>
      </c>
      <c r="L52" s="346">
        <v>0.18057072971435076</v>
      </c>
      <c r="M52" s="346">
        <v>8.463485489032041E-2</v>
      </c>
      <c r="N52" s="347">
        <v>1.5022194598697762</v>
      </c>
      <c r="O52" s="347">
        <v>1.7646471241437041</v>
      </c>
      <c r="P52" s="347">
        <v>12.211193729829086</v>
      </c>
      <c r="Q52" s="347">
        <v>17.970811515180685</v>
      </c>
      <c r="R52" s="347">
        <v>2.5404367781412125</v>
      </c>
      <c r="S52" s="347">
        <v>37.296807056082251</v>
      </c>
      <c r="T52" s="346">
        <v>0.25257472815729831</v>
      </c>
      <c r="U52" s="346">
        <v>4.3177027061891138E-2</v>
      </c>
      <c r="V52" s="346">
        <v>5.0964659542782745E-2</v>
      </c>
      <c r="W52" s="346">
        <v>0.96449552970844343</v>
      </c>
      <c r="X52" s="346">
        <v>0.10330478381311581</v>
      </c>
      <c r="Y52" s="346">
        <v>0.4450182292544439</v>
      </c>
      <c r="Z52" s="346">
        <v>0.4450182292544439</v>
      </c>
      <c r="AA52" s="348">
        <v>9.8066145253184939E-2</v>
      </c>
    </row>
    <row r="53" spans="1:27" s="313" customFormat="1">
      <c r="A53" s="345" t="s">
        <v>558</v>
      </c>
      <c r="B53" s="144">
        <v>1529</v>
      </c>
      <c r="C53" s="346">
        <v>0.11404895878524951</v>
      </c>
      <c r="D53" s="346">
        <v>8.9652793547414067E-2</v>
      </c>
      <c r="E53" s="346">
        <v>0.10096648806580472</v>
      </c>
      <c r="F53" s="346">
        <v>0.31330142204744832</v>
      </c>
      <c r="G53" s="347">
        <v>1.0940598676426929</v>
      </c>
      <c r="H53" s="347">
        <v>1.334635891521627</v>
      </c>
      <c r="I53" s="346">
        <v>0.10168049809603655</v>
      </c>
      <c r="J53" s="346">
        <v>0.712858057047975</v>
      </c>
      <c r="K53" s="346">
        <v>5.2499999999999998E-2</v>
      </c>
      <c r="L53" s="346">
        <v>0.31238212001155818</v>
      </c>
      <c r="M53" s="346">
        <v>8.2102574083316296E-2</v>
      </c>
      <c r="N53" s="347">
        <v>1.1621302506502944</v>
      </c>
      <c r="O53" s="347">
        <v>1.259531190625973</v>
      </c>
      <c r="P53" s="347">
        <v>7.5705043252279367</v>
      </c>
      <c r="Q53" s="347">
        <v>13.196515705796992</v>
      </c>
      <c r="R53" s="347">
        <v>1.4410783825453035</v>
      </c>
      <c r="S53" s="347">
        <v>155.3781782004618</v>
      </c>
      <c r="T53" s="346">
        <v>9.4570400802190341E-2</v>
      </c>
      <c r="U53" s="346">
        <v>7.8914957771114805E-2</v>
      </c>
      <c r="V53" s="346">
        <v>4.5677057636889985E-2</v>
      </c>
      <c r="W53" s="346">
        <v>0.7683877805591145</v>
      </c>
      <c r="X53" s="346">
        <v>7.5597448115565402E-2</v>
      </c>
      <c r="Y53" s="346">
        <v>0.76721546206479807</v>
      </c>
      <c r="Z53" s="346">
        <v>0.76721546206479807</v>
      </c>
      <c r="AA53" s="348">
        <v>9.0792672308978875E-2</v>
      </c>
    </row>
    <row r="54" spans="1:27" s="313" customFormat="1">
      <c r="A54" s="345" t="s">
        <v>559</v>
      </c>
      <c r="B54" s="144">
        <v>146</v>
      </c>
      <c r="C54" s="346">
        <v>3.1321192660550466E-2</v>
      </c>
      <c r="D54" s="346">
        <v>7.238159733438726E-2</v>
      </c>
      <c r="E54" s="346">
        <v>0.13161293408359542</v>
      </c>
      <c r="F54" s="346">
        <v>0.26840993310420147</v>
      </c>
      <c r="G54" s="347">
        <v>0.93764471832893792</v>
      </c>
      <c r="H54" s="347">
        <v>1.0445634208998078</v>
      </c>
      <c r="I54" s="346">
        <v>8.3754019411608122E-2</v>
      </c>
      <c r="J54" s="346">
        <v>0.36388417310049775</v>
      </c>
      <c r="K54" s="346">
        <v>4.0999999999999995E-2</v>
      </c>
      <c r="L54" s="346">
        <v>0.2524791057965059</v>
      </c>
      <c r="M54" s="346">
        <v>7.0299150483581069E-2</v>
      </c>
      <c r="N54" s="347">
        <v>2.0861794362128547</v>
      </c>
      <c r="O54" s="347">
        <v>1.0639312845321147</v>
      </c>
      <c r="P54" s="347">
        <v>9.2902837435792787</v>
      </c>
      <c r="Q54" s="347">
        <v>14.132162810733927</v>
      </c>
      <c r="R54" s="347">
        <v>2.0260981588328133</v>
      </c>
      <c r="S54" s="347">
        <v>28.860055286740963</v>
      </c>
      <c r="T54" s="346">
        <v>0.13644124446470532</v>
      </c>
      <c r="U54" s="346">
        <v>2.6065122049070369E-2</v>
      </c>
      <c r="V54" s="346">
        <v>9.4284151273492049E-3</v>
      </c>
      <c r="W54" s="346">
        <v>0.34865185377658825</v>
      </c>
      <c r="X54" s="346">
        <v>9.1890479402296527E-2</v>
      </c>
      <c r="Y54" s="346">
        <v>0.4720322109333745</v>
      </c>
      <c r="Z54" s="346">
        <v>0.47203221093337455</v>
      </c>
      <c r="AA54" s="348">
        <v>7.5350733944970966E-2</v>
      </c>
    </row>
    <row r="55" spans="1:27" s="313" customFormat="1">
      <c r="A55" s="345" t="s">
        <v>560</v>
      </c>
      <c r="B55" s="144">
        <v>49</v>
      </c>
      <c r="C55" s="346">
        <v>7.5078048780487794E-3</v>
      </c>
      <c r="D55" s="346">
        <v>0.13109959541353317</v>
      </c>
      <c r="E55" s="346">
        <v>0.1369516653438469</v>
      </c>
      <c r="F55" s="346">
        <v>0.39574741724331258</v>
      </c>
      <c r="G55" s="347">
        <v>1.1401792895983085</v>
      </c>
      <c r="H55" s="347">
        <v>1.2957860981562233</v>
      </c>
      <c r="I55" s="346">
        <v>9.9279580866054595E-2</v>
      </c>
      <c r="J55" s="346">
        <v>0.28815746926784219</v>
      </c>
      <c r="K55" s="346">
        <v>4.0999999999999995E-2</v>
      </c>
      <c r="L55" s="346">
        <v>0.20730831057029125</v>
      </c>
      <c r="M55" s="346">
        <v>8.5013331747488985E-2</v>
      </c>
      <c r="N55" s="347">
        <v>1.3818883044795371</v>
      </c>
      <c r="O55" s="347">
        <v>1.4220944873741248</v>
      </c>
      <c r="P55" s="347">
        <v>6.7663076637140005</v>
      </c>
      <c r="Q55" s="347">
        <v>11.008172308021313</v>
      </c>
      <c r="R55" s="347">
        <v>1.7422802073040611</v>
      </c>
      <c r="S55" s="347">
        <v>23.561173591134491</v>
      </c>
      <c r="T55" s="346">
        <v>2.7506633137293731E-2</v>
      </c>
      <c r="U55" s="346">
        <v>9.0299450707583162E-2</v>
      </c>
      <c r="V55" s="346">
        <v>3.4419795492331928E-2</v>
      </c>
      <c r="W55" s="346">
        <v>0.39930152934965218</v>
      </c>
      <c r="X55" s="346">
        <v>0.14151899193172254</v>
      </c>
      <c r="Y55" s="346">
        <v>0.63508955318017646</v>
      </c>
      <c r="Z55" s="346">
        <v>0.63508955318017646</v>
      </c>
      <c r="AA55" s="348">
        <v>0.12918851521834027</v>
      </c>
    </row>
    <row r="56" spans="1:27" s="313" customFormat="1">
      <c r="A56" s="345" t="s">
        <v>561</v>
      </c>
      <c r="B56" s="144">
        <v>773</v>
      </c>
      <c r="C56" s="346">
        <v>-9.6020610687023149E-3</v>
      </c>
      <c r="D56" s="346">
        <v>0.21981338598940317</v>
      </c>
      <c r="E56" s="346">
        <v>9.0981737549868727E-2</v>
      </c>
      <c r="F56" s="346">
        <v>0.27002127840639994</v>
      </c>
      <c r="G56" s="347">
        <v>1.1443204852332469</v>
      </c>
      <c r="H56" s="347">
        <v>1.5514780345232326</v>
      </c>
      <c r="I56" s="346">
        <v>0.11508134253353577</v>
      </c>
      <c r="J56" s="346">
        <v>0.63687281191528433</v>
      </c>
      <c r="K56" s="346">
        <v>4.4999999999999998E-2</v>
      </c>
      <c r="L56" s="346">
        <v>0.36207776872400421</v>
      </c>
      <c r="M56" s="346">
        <v>8.5519017004517389E-2</v>
      </c>
      <c r="N56" s="347">
        <v>0.43211815184752728</v>
      </c>
      <c r="O56" s="347">
        <v>2.7746029803914656</v>
      </c>
      <c r="P56" s="347">
        <v>5.1360036625370551</v>
      </c>
      <c r="Q56" s="347">
        <v>12.256217476708347</v>
      </c>
      <c r="R56" s="347">
        <v>1.1115091134834114</v>
      </c>
      <c r="S56" s="347">
        <v>21.494267836297507</v>
      </c>
      <c r="T56" s="346">
        <v>3.0222768100608772E-2</v>
      </c>
      <c r="U56" s="346">
        <v>0.35122904141823136</v>
      </c>
      <c r="V56" s="346">
        <v>0.11107250385867352</v>
      </c>
      <c r="W56" s="346">
        <v>0.66129005414821262</v>
      </c>
      <c r="X56" s="346">
        <v>6.2227442417112096E-2</v>
      </c>
      <c r="Y56" s="346">
        <v>0.56667991056129452</v>
      </c>
      <c r="Z56" s="346">
        <v>0.56667991056129452</v>
      </c>
      <c r="AA56" s="348">
        <v>0.22310557289136723</v>
      </c>
    </row>
    <row r="57" spans="1:27" s="313" customFormat="1">
      <c r="A57" s="345" t="s">
        <v>562</v>
      </c>
      <c r="B57" s="144">
        <v>160</v>
      </c>
      <c r="C57" s="346">
        <v>0.16266342592592586</v>
      </c>
      <c r="D57" s="346">
        <v>0.13764106149209218</v>
      </c>
      <c r="E57" s="346">
        <v>7.2426337450483824E-2</v>
      </c>
      <c r="F57" s="346">
        <v>0.17466296152727728</v>
      </c>
      <c r="G57" s="347">
        <v>0.82649851166714305</v>
      </c>
      <c r="H57" s="347">
        <v>1.284519579311278</v>
      </c>
      <c r="I57" s="346">
        <v>9.8583310001436983E-2</v>
      </c>
      <c r="J57" s="346">
        <v>0.33564192954750244</v>
      </c>
      <c r="K57" s="346">
        <v>4.0999999999999995E-2</v>
      </c>
      <c r="L57" s="346">
        <v>0.44484075792465516</v>
      </c>
      <c r="M57" s="346">
        <v>6.8280619670335288E-2</v>
      </c>
      <c r="N57" s="347">
        <v>0.58866678590217536</v>
      </c>
      <c r="O57" s="347">
        <v>2.8562332097373329</v>
      </c>
      <c r="P57" s="347">
        <v>12.796943816486792</v>
      </c>
      <c r="Q57" s="347">
        <v>20.580210713925556</v>
      </c>
      <c r="R57" s="347">
        <v>1.571090493924707</v>
      </c>
      <c r="S57" s="347">
        <v>25.88813288146477</v>
      </c>
      <c r="T57" s="346">
        <v>3.2992409412551355E-2</v>
      </c>
      <c r="U57" s="346">
        <v>0.17096661654853032</v>
      </c>
      <c r="V57" s="346">
        <v>0.10593171124848665</v>
      </c>
      <c r="W57" s="346">
        <v>0.92242330504246073</v>
      </c>
      <c r="X57" s="346">
        <v>7.2024209660029273E-2</v>
      </c>
      <c r="Y57" s="346">
        <v>1.2474336829679866</v>
      </c>
      <c r="Z57" s="346">
        <v>1.2474336829679866</v>
      </c>
      <c r="AA57" s="348">
        <v>0.13694775348672555</v>
      </c>
    </row>
    <row r="58" spans="1:27" s="313" customFormat="1">
      <c r="A58" s="345" t="s">
        <v>563</v>
      </c>
      <c r="B58" s="144">
        <v>508</v>
      </c>
      <c r="C58" s="346">
        <v>-9.0040625000000034E-3</v>
      </c>
      <c r="D58" s="346">
        <v>4.0123058864194136E-2</v>
      </c>
      <c r="E58" s="346">
        <v>8.2190649241649566E-2</v>
      </c>
      <c r="F58" s="346">
        <v>0.25931619515614268</v>
      </c>
      <c r="G58" s="347">
        <v>1.0641191695035244</v>
      </c>
      <c r="H58" s="347">
        <v>1.4085665192825956</v>
      </c>
      <c r="I58" s="346">
        <v>0.1062494108916644</v>
      </c>
      <c r="J58" s="346">
        <v>0.44967303754895699</v>
      </c>
      <c r="K58" s="346">
        <v>4.4999999999999998E-2</v>
      </c>
      <c r="L58" s="346">
        <v>0.35827861367981534</v>
      </c>
      <c r="M58" s="346">
        <v>8.0161564701486443E-2</v>
      </c>
      <c r="N58" s="347">
        <v>2.2417445395943716</v>
      </c>
      <c r="O58" s="347">
        <v>0.73889907503292751</v>
      </c>
      <c r="P58" s="347">
        <v>9.4509764852390035</v>
      </c>
      <c r="Q58" s="347">
        <v>17.827279620200901</v>
      </c>
      <c r="R58" s="347">
        <v>1.4267561678950909</v>
      </c>
      <c r="S58" s="347">
        <v>32.971714339756353</v>
      </c>
      <c r="T58" s="346">
        <v>5.7375218269329356E-2</v>
      </c>
      <c r="U58" s="346">
        <v>4.2437971571063618E-2</v>
      </c>
      <c r="V58" s="346">
        <v>2.2712263078881748E-2</v>
      </c>
      <c r="W58" s="346">
        <v>0.69998267234644718</v>
      </c>
      <c r="X58" s="346">
        <v>1.4502284171153399E-4</v>
      </c>
      <c r="Y58" s="346">
        <v>6.3520856311457645E-3</v>
      </c>
      <c r="Z58" s="346">
        <v>6.3520856311457541E-3</v>
      </c>
      <c r="AA58" s="348">
        <v>4.0881253051559124E-2</v>
      </c>
    </row>
    <row r="59" spans="1:27" s="313" customFormat="1">
      <c r="A59" s="345" t="s">
        <v>564</v>
      </c>
      <c r="B59" s="144">
        <v>400</v>
      </c>
      <c r="C59" s="346">
        <v>5.8877880794702006E-2</v>
      </c>
      <c r="D59" s="346">
        <v>8.9463540695019286E-2</v>
      </c>
      <c r="E59" s="346">
        <v>0.11674190130975308</v>
      </c>
      <c r="F59" s="346">
        <v>0.22958340808282582</v>
      </c>
      <c r="G59" s="347">
        <v>0.60732094340807496</v>
      </c>
      <c r="H59" s="347">
        <v>0.81689928226548547</v>
      </c>
      <c r="I59" s="346">
        <v>6.9684375644007007E-2</v>
      </c>
      <c r="J59" s="346">
        <v>0.35407118177715896</v>
      </c>
      <c r="K59" s="346">
        <v>4.0999999999999995E-2</v>
      </c>
      <c r="L59" s="346">
        <v>0.35422384567092174</v>
      </c>
      <c r="M59" s="346">
        <v>5.5791229130883017E-2</v>
      </c>
      <c r="N59" s="347">
        <v>1.5509105252362714</v>
      </c>
      <c r="O59" s="347">
        <v>1.4305643992275618</v>
      </c>
      <c r="P59" s="347">
        <v>9.3287206810476739</v>
      </c>
      <c r="Q59" s="347">
        <v>15.57817874342177</v>
      </c>
      <c r="R59" s="347">
        <v>2.2439903531804557</v>
      </c>
      <c r="S59" s="347">
        <v>31.035755025785154</v>
      </c>
      <c r="T59" s="346">
        <v>0.13829717966125121</v>
      </c>
      <c r="U59" s="346">
        <v>5.9509399657867147E-2</v>
      </c>
      <c r="V59" s="346">
        <v>8.4977305988162638E-2</v>
      </c>
      <c r="W59" s="346">
        <v>1.2423257835779116</v>
      </c>
      <c r="X59" s="346">
        <v>9.9197794966757416E-2</v>
      </c>
      <c r="Y59" s="346">
        <v>0.52442369878177542</v>
      </c>
      <c r="Z59" s="346">
        <v>0.52442369878177542</v>
      </c>
      <c r="AA59" s="348">
        <v>9.1399484726740005E-2</v>
      </c>
    </row>
    <row r="60" spans="1:27" s="313" customFormat="1">
      <c r="A60" s="345" t="s">
        <v>565</v>
      </c>
      <c r="B60" s="144">
        <v>279</v>
      </c>
      <c r="C60" s="346">
        <v>6.5150405405405371E-2</v>
      </c>
      <c r="D60" s="346">
        <v>7.6726922232164818E-2</v>
      </c>
      <c r="E60" s="346">
        <v>6.5063860728856324E-2</v>
      </c>
      <c r="F60" s="346">
        <v>0.21911751388685427</v>
      </c>
      <c r="G60" s="347">
        <v>0.74090564185291286</v>
      </c>
      <c r="H60" s="347">
        <v>1.0267113824102914</v>
      </c>
      <c r="I60" s="346">
        <v>8.2650763432956006E-2</v>
      </c>
      <c r="J60" s="346">
        <v>0.3534610963372517</v>
      </c>
      <c r="K60" s="346">
        <v>4.0999999999999995E-2</v>
      </c>
      <c r="L60" s="346">
        <v>0.39731251534261181</v>
      </c>
      <c r="M60" s="346">
        <v>6.191591187330308E-2</v>
      </c>
      <c r="N60" s="347">
        <v>0.98019274675302837</v>
      </c>
      <c r="O60" s="347">
        <v>1.3040643317926544</v>
      </c>
      <c r="P60" s="347">
        <v>9.4236982882191604</v>
      </c>
      <c r="Q60" s="347">
        <v>16.72555332449765</v>
      </c>
      <c r="R60" s="347">
        <v>1.2683112873626812</v>
      </c>
      <c r="S60" s="347">
        <v>31.859042795805642</v>
      </c>
      <c r="T60" s="346">
        <v>0.1879279234724347</v>
      </c>
      <c r="U60" s="346">
        <v>6.8800949365438499E-2</v>
      </c>
      <c r="V60" s="346">
        <v>6.815858382770143E-2</v>
      </c>
      <c r="W60" s="346">
        <v>1.2322155873874094</v>
      </c>
      <c r="X60" s="346">
        <v>5.4321572075995236E-2</v>
      </c>
      <c r="Y60" s="346">
        <v>0.72548430935517672</v>
      </c>
      <c r="Z60" s="346">
        <v>0.72548430935517672</v>
      </c>
      <c r="AA60" s="348">
        <v>7.7167483191109817E-2</v>
      </c>
    </row>
    <row r="61" spans="1:27" s="313" customFormat="1">
      <c r="A61" s="345" t="s">
        <v>566</v>
      </c>
      <c r="B61" s="144">
        <v>538</v>
      </c>
      <c r="C61" s="346">
        <v>6.9715902777777797E-2</v>
      </c>
      <c r="D61" s="346">
        <v>0.126201945434601</v>
      </c>
      <c r="E61" s="346">
        <v>6.1686329644961603E-2</v>
      </c>
      <c r="F61" s="346">
        <v>0.19465700965260932</v>
      </c>
      <c r="G61" s="347">
        <v>0.50506049862163127</v>
      </c>
      <c r="H61" s="347">
        <v>0.82473736705364742</v>
      </c>
      <c r="I61" s="346">
        <v>7.0168769283915411E-2</v>
      </c>
      <c r="J61" s="346">
        <v>0.26597166796336119</v>
      </c>
      <c r="K61" s="346">
        <v>4.0999999999999995E-2</v>
      </c>
      <c r="L61" s="346">
        <v>0.48634615560208538</v>
      </c>
      <c r="M61" s="346">
        <v>5.0858021037459782E-2</v>
      </c>
      <c r="N61" s="347">
        <v>0.60279799819930147</v>
      </c>
      <c r="O61" s="347">
        <v>2.2542214957160431</v>
      </c>
      <c r="P61" s="347">
        <v>9.6806921248123174</v>
      </c>
      <c r="Q61" s="347">
        <v>17.844814136467285</v>
      </c>
      <c r="R61" s="347">
        <v>1.3300226422708623</v>
      </c>
      <c r="S61" s="347">
        <v>29.29091828575206</v>
      </c>
      <c r="T61" s="346">
        <v>1.4584068958973522E-2</v>
      </c>
      <c r="U61" s="346">
        <v>0.15902933532528227</v>
      </c>
      <c r="V61" s="346">
        <v>8.2377207629714497E-2</v>
      </c>
      <c r="W61" s="346">
        <v>0.91175141853004038</v>
      </c>
      <c r="X61" s="346">
        <v>7.856767530460744E-2</v>
      </c>
      <c r="Y61" s="346">
        <v>0.68965688450109697</v>
      </c>
      <c r="Z61" s="346">
        <v>0.68965688450109697</v>
      </c>
      <c r="AA61" s="348">
        <v>0.12440659769151537</v>
      </c>
    </row>
    <row r="62" spans="1:27" s="313" customFormat="1">
      <c r="A62" s="345" t="s">
        <v>567</v>
      </c>
      <c r="B62" s="144">
        <v>844</v>
      </c>
      <c r="C62" s="346">
        <v>0.18559461883408074</v>
      </c>
      <c r="D62" s="346">
        <v>9.7111699491282177E-2</v>
      </c>
      <c r="E62" s="346">
        <v>6.8051884610602964E-2</v>
      </c>
      <c r="F62" s="346">
        <v>0.34321232051656553</v>
      </c>
      <c r="G62" s="347">
        <v>0.99834320467755722</v>
      </c>
      <c r="H62" s="347">
        <v>1.0764491693911828</v>
      </c>
      <c r="I62" s="346">
        <v>8.5724558668375098E-2</v>
      </c>
      <c r="J62" s="346">
        <v>0.8136897019026077</v>
      </c>
      <c r="K62" s="346">
        <v>7.7499999999999999E-2</v>
      </c>
      <c r="L62" s="346">
        <v>0.16000992472075454</v>
      </c>
      <c r="M62" s="346">
        <v>8.1221549979361346E-2</v>
      </c>
      <c r="N62" s="347">
        <v>0.71640269306383098</v>
      </c>
      <c r="O62" s="347">
        <v>3.13654165331937</v>
      </c>
      <c r="P62" s="347">
        <v>10.99996267026761</v>
      </c>
      <c r="Q62" s="347">
        <v>29.810712292358659</v>
      </c>
      <c r="R62" s="347">
        <v>2.0400298983499816</v>
      </c>
      <c r="S62" s="347">
        <v>75.406825930446416</v>
      </c>
      <c r="T62" s="346">
        <v>0.12299808581222174</v>
      </c>
      <c r="U62" s="346">
        <v>0.1740760619960503</v>
      </c>
      <c r="V62" s="346">
        <v>7.5107259771847137E-2</v>
      </c>
      <c r="W62" s="346">
        <v>1.6889508049167774</v>
      </c>
      <c r="X62" s="346">
        <v>3.5596731925167817E-2</v>
      </c>
      <c r="Y62" s="346">
        <v>1.0012416837278431</v>
      </c>
      <c r="Z62" s="346">
        <v>1.0012416837278431</v>
      </c>
      <c r="AA62" s="348">
        <v>9.8773382689714598E-2</v>
      </c>
    </row>
    <row r="63" spans="1:27" s="313" customFormat="1">
      <c r="A63" s="345" t="s">
        <v>653</v>
      </c>
      <c r="B63" s="144">
        <v>352</v>
      </c>
      <c r="C63" s="346">
        <v>9.6152964426877551E-3</v>
      </c>
      <c r="D63" s="346">
        <v>5.9456658645740054E-2</v>
      </c>
      <c r="E63" s="346">
        <v>7.2424863331369702E-2</v>
      </c>
      <c r="F63" s="346">
        <v>0.24197154470385415</v>
      </c>
      <c r="G63" s="347">
        <v>0.85202174609552306</v>
      </c>
      <c r="H63" s="347">
        <v>0.95661884595707092</v>
      </c>
      <c r="I63" s="346">
        <v>7.8319044680146985E-2</v>
      </c>
      <c r="J63" s="346">
        <v>0.37946234248709476</v>
      </c>
      <c r="K63" s="346">
        <v>4.0999999999999995E-2</v>
      </c>
      <c r="L63" s="346">
        <v>0.28480111968184063</v>
      </c>
      <c r="M63" s="346">
        <v>6.4689589571696932E-2</v>
      </c>
      <c r="N63" s="347">
        <v>1.4619259113046699</v>
      </c>
      <c r="O63" s="347">
        <v>1.2177476981960762</v>
      </c>
      <c r="P63" s="347">
        <v>10.07250134540489</v>
      </c>
      <c r="Q63" s="347">
        <v>19.765394967884895</v>
      </c>
      <c r="R63" s="347">
        <v>1.4382062980195205</v>
      </c>
      <c r="S63" s="347">
        <v>88.491185794259096</v>
      </c>
      <c r="T63" s="346">
        <v>0.12508062081341545</v>
      </c>
      <c r="U63" s="346">
        <v>3.5417281465972124E-2</v>
      </c>
      <c r="V63" s="346">
        <v>1.8512873041220596E-2</v>
      </c>
      <c r="W63" s="346">
        <v>0.37610889715056672</v>
      </c>
      <c r="X63" s="346">
        <v>2.7924217771103692E-2</v>
      </c>
      <c r="Y63" s="346">
        <v>1.2654456558623659</v>
      </c>
      <c r="Z63" s="346">
        <v>1.2654456558623659</v>
      </c>
      <c r="AA63" s="348">
        <v>5.835447554896081E-2</v>
      </c>
    </row>
    <row r="64" spans="1:27" s="313" customFormat="1">
      <c r="A64" s="345" t="s">
        <v>568</v>
      </c>
      <c r="B64" s="144">
        <v>753</v>
      </c>
      <c r="C64" s="346">
        <v>0.1128328278688525</v>
      </c>
      <c r="D64" s="346">
        <v>0.35993627620012686</v>
      </c>
      <c r="E64" s="346">
        <v>3.4826624471684921E-2</v>
      </c>
      <c r="F64" s="346">
        <v>3.3731099625356559E-2</v>
      </c>
      <c r="G64" s="347">
        <v>0.34523746097470087</v>
      </c>
      <c r="H64" s="347">
        <v>0.53248496028441905</v>
      </c>
      <c r="I64" s="346">
        <v>5.2107570545577089E-2</v>
      </c>
      <c r="J64" s="346">
        <v>0.18536628816240472</v>
      </c>
      <c r="K64" s="346">
        <v>3.5499999999999997E-2</v>
      </c>
      <c r="L64" s="346">
        <v>0.43483135318088056</v>
      </c>
      <c r="M64" s="346">
        <v>4.0918894321451106E-2</v>
      </c>
      <c r="N64" s="347">
        <v>0.10824190098808936</v>
      </c>
      <c r="O64" s="347">
        <v>13.77670810237405</v>
      </c>
      <c r="P64" s="347">
        <v>23.058377813586251</v>
      </c>
      <c r="Q64" s="347">
        <v>36.573947320283125</v>
      </c>
      <c r="R64" s="347">
        <v>1.6749590563587815</v>
      </c>
      <c r="S64" s="347">
        <v>65.475395130064754</v>
      </c>
      <c r="T64" s="346">
        <v>0.66892864020878162</v>
      </c>
      <c r="U64" s="346">
        <v>6.2952891245366238E-2</v>
      </c>
      <c r="V64" s="346">
        <v>1.6511084651054345E-2</v>
      </c>
      <c r="W64" s="346">
        <v>5.611043269263187E-2</v>
      </c>
      <c r="X64" s="346">
        <v>6.1141466146402978E-2</v>
      </c>
      <c r="Y64" s="346">
        <v>1.1869396388310514</v>
      </c>
      <c r="Z64" s="346">
        <v>1.1869396388310514</v>
      </c>
      <c r="AA64" s="348">
        <v>0.33109570038650638</v>
      </c>
    </row>
    <row r="65" spans="1:27" s="313" customFormat="1">
      <c r="A65" s="345" t="s">
        <v>569</v>
      </c>
      <c r="B65" s="144">
        <v>842</v>
      </c>
      <c r="C65" s="346">
        <v>0.1209779900332226</v>
      </c>
      <c r="D65" s="346">
        <v>0.20383784791336962</v>
      </c>
      <c r="E65" s="346">
        <v>9.1069837847680135E-2</v>
      </c>
      <c r="F65" s="346">
        <v>0.35445661869594042</v>
      </c>
      <c r="G65" s="347">
        <v>0.6358633022030139</v>
      </c>
      <c r="H65" s="347">
        <v>1.0752365872116536</v>
      </c>
      <c r="I65" s="346">
        <v>8.5649621089680189E-2</v>
      </c>
      <c r="J65" s="346">
        <v>0.33036699251442664</v>
      </c>
      <c r="K65" s="346">
        <v>4.0999999999999995E-2</v>
      </c>
      <c r="L65" s="346">
        <v>0.60016794327375422</v>
      </c>
      <c r="M65" s="346">
        <v>5.252838021405884E-2</v>
      </c>
      <c r="N65" s="347">
        <v>0.54583979679799854</v>
      </c>
      <c r="O65" s="347">
        <v>2.1019458364157995</v>
      </c>
      <c r="P65" s="347">
        <v>9.4522389457786389</v>
      </c>
      <c r="Q65" s="347">
        <v>10.108021135618332</v>
      </c>
      <c r="R65" s="347">
        <v>0.85552048207704723</v>
      </c>
      <c r="S65" s="347">
        <v>48.490655277372944</v>
      </c>
      <c r="T65" s="346">
        <v>1.6131076344036095</v>
      </c>
      <c r="U65" s="346">
        <v>2.9086903150392654E-2</v>
      </c>
      <c r="V65" s="346">
        <v>4.8785443080569001E-2</v>
      </c>
      <c r="W65" s="346">
        <v>1.3377306187540148</v>
      </c>
      <c r="X65" s="346">
        <v>0.12825494782302443</v>
      </c>
      <c r="Y65" s="346">
        <v>0.57020319614028758</v>
      </c>
      <c r="Z65" s="346">
        <v>0.57020319614028758</v>
      </c>
      <c r="AA65" s="348">
        <v>0.20329692202095281</v>
      </c>
    </row>
    <row r="66" spans="1:27" s="313" customFormat="1">
      <c r="A66" s="345" t="s">
        <v>570</v>
      </c>
      <c r="B66" s="144">
        <v>383</v>
      </c>
      <c r="C66" s="346">
        <v>8.6301141975308665E-2</v>
      </c>
      <c r="D66" s="346">
        <v>0.19832164454754869</v>
      </c>
      <c r="E66" s="346">
        <v>4.8869941498554975E-2</v>
      </c>
      <c r="F66" s="346">
        <v>0.22669290964855524</v>
      </c>
      <c r="G66" s="347">
        <v>0.64227623833699887</v>
      </c>
      <c r="H66" s="347">
        <v>1.0120709473405611</v>
      </c>
      <c r="I66" s="346">
        <v>8.1745984545646674E-2</v>
      </c>
      <c r="J66" s="346">
        <v>0.29901471534648544</v>
      </c>
      <c r="K66" s="346">
        <v>4.0999999999999995E-2</v>
      </c>
      <c r="L66" s="346">
        <v>0.49487160444406048</v>
      </c>
      <c r="M66" s="346">
        <v>5.6367491702862552E-2</v>
      </c>
      <c r="N66" s="347">
        <v>0.28938159691355392</v>
      </c>
      <c r="O66" s="347">
        <v>3.4326594185486994</v>
      </c>
      <c r="P66" s="347">
        <v>12.78582341652988</v>
      </c>
      <c r="Q66" s="347">
        <v>16.872006066024284</v>
      </c>
      <c r="R66" s="347">
        <v>0.72506117247392132</v>
      </c>
      <c r="S66" s="347">
        <v>39.257621050359035</v>
      </c>
      <c r="T66" s="346">
        <v>0.84316470100147722</v>
      </c>
      <c r="U66" s="346">
        <v>8.6674628770316758E-2</v>
      </c>
      <c r="V66" s="346">
        <v>0.10273835713129928</v>
      </c>
      <c r="W66" s="346">
        <v>1.3072468423110726</v>
      </c>
      <c r="X66" s="346">
        <v>7.655841688936918E-2</v>
      </c>
      <c r="Y66" s="346">
        <v>0.40857436301903988</v>
      </c>
      <c r="Z66" s="346">
        <v>0.40857436301903993</v>
      </c>
      <c r="AA66" s="348">
        <v>0.19868673568450781</v>
      </c>
    </row>
    <row r="67" spans="1:27" s="313" customFormat="1">
      <c r="A67" s="345" t="s">
        <v>571</v>
      </c>
      <c r="B67" s="144">
        <v>691</v>
      </c>
      <c r="C67" s="346">
        <v>7.8803837719298248E-2</v>
      </c>
      <c r="D67" s="346">
        <v>0.22999468418293015</v>
      </c>
      <c r="E67" s="346">
        <v>4.1197896079765157E-2</v>
      </c>
      <c r="F67" s="346">
        <v>0.20495001126935083</v>
      </c>
      <c r="G67" s="347">
        <v>0.49377906135395283</v>
      </c>
      <c r="H67" s="347">
        <v>0.71589618566065527</v>
      </c>
      <c r="I67" s="346">
        <v>6.3442384273828492E-2</v>
      </c>
      <c r="J67" s="346">
        <v>0.31570663147508748</v>
      </c>
      <c r="K67" s="346">
        <v>4.0999999999999995E-2</v>
      </c>
      <c r="L67" s="346">
        <v>0.41955717848392365</v>
      </c>
      <c r="M67" s="346">
        <v>4.9605646859763923E-2</v>
      </c>
      <c r="N67" s="347">
        <v>0.20713835833671432</v>
      </c>
      <c r="O67" s="347">
        <v>5.6351391272636153</v>
      </c>
      <c r="P67" s="347">
        <v>17.015583218679101</v>
      </c>
      <c r="Q67" s="347">
        <v>23.004922082382002</v>
      </c>
      <c r="R67" s="347">
        <v>1.0099484780001227</v>
      </c>
      <c r="S67" s="347">
        <v>429.93353824487235</v>
      </c>
      <c r="T67" s="346">
        <v>0.21015044461719662</v>
      </c>
      <c r="U67" s="346">
        <v>4.6603836466251887E-2</v>
      </c>
      <c r="V67" s="346">
        <v>4.5701351243339704E-2</v>
      </c>
      <c r="W67" s="346">
        <v>0.36886203189040634</v>
      </c>
      <c r="X67" s="346">
        <v>8.114350771634278E-2</v>
      </c>
      <c r="Y67" s="346">
        <v>0.30205466868285269</v>
      </c>
      <c r="Z67" s="346">
        <v>0.30205466868285269</v>
      </c>
      <c r="AA67" s="348">
        <v>0.23217400356367204</v>
      </c>
    </row>
    <row r="68" spans="1:27" s="313" customFormat="1">
      <c r="A68" s="345" t="s">
        <v>572</v>
      </c>
      <c r="B68" s="144">
        <v>315</v>
      </c>
      <c r="C68" s="346">
        <v>3.8755207373271899E-2</v>
      </c>
      <c r="D68" s="346">
        <v>0.1104227483742922</v>
      </c>
      <c r="E68" s="346">
        <v>0.10089221673315414</v>
      </c>
      <c r="F68" s="346">
        <v>0.25323988798941538</v>
      </c>
      <c r="G68" s="347">
        <v>0.83821337787899663</v>
      </c>
      <c r="H68" s="347">
        <v>0.92436659786949404</v>
      </c>
      <c r="I68" s="346">
        <v>7.6325855748334726E-2</v>
      </c>
      <c r="J68" s="346">
        <v>0.37723968888975518</v>
      </c>
      <c r="K68" s="346">
        <v>4.0999999999999995E-2</v>
      </c>
      <c r="L68" s="346">
        <v>0.21958671036274224</v>
      </c>
      <c r="M68" s="346">
        <v>6.6254982126716919E-2</v>
      </c>
      <c r="N68" s="347">
        <v>1.0737637509041547</v>
      </c>
      <c r="O68" s="347">
        <v>2.5141389427594936</v>
      </c>
      <c r="P68" s="347">
        <v>13.358837559477944</v>
      </c>
      <c r="Q68" s="347">
        <v>21.678583078606088</v>
      </c>
      <c r="R68" s="347">
        <v>2.9693660730409959</v>
      </c>
      <c r="S68" s="347">
        <v>40.729371779950348</v>
      </c>
      <c r="T68" s="346">
        <v>0.22900194588191186</v>
      </c>
      <c r="U68" s="346">
        <v>6.1900229530041651E-2</v>
      </c>
      <c r="V68" s="346">
        <v>3.9203645168466826E-2</v>
      </c>
      <c r="W68" s="346">
        <v>0.9536450983436876</v>
      </c>
      <c r="X68" s="346">
        <v>7.682173177094892E-2</v>
      </c>
      <c r="Y68" s="346">
        <v>0.66196265911522745</v>
      </c>
      <c r="Z68" s="346">
        <v>0.66196265911522745</v>
      </c>
      <c r="AA68" s="348">
        <v>0.11028814442769304</v>
      </c>
    </row>
    <row r="69" spans="1:27" s="313" customFormat="1">
      <c r="A69" s="345" t="s">
        <v>573</v>
      </c>
      <c r="B69" s="144">
        <v>34</v>
      </c>
      <c r="C69" s="346">
        <v>4.6812592592592593E-2</v>
      </c>
      <c r="D69" s="346">
        <v>5.8988817471321592E-2</v>
      </c>
      <c r="E69" s="346">
        <v>7.6319754696812972E-2</v>
      </c>
      <c r="F69" s="346">
        <v>0.17681743015310628</v>
      </c>
      <c r="G69" s="347">
        <v>0.91990370702925328</v>
      </c>
      <c r="H69" s="347">
        <v>0.949214676475434</v>
      </c>
      <c r="I69" s="346">
        <v>7.7861467006181823E-2</v>
      </c>
      <c r="J69" s="346">
        <v>0.23606953816563966</v>
      </c>
      <c r="K69" s="346">
        <v>3.5499999999999997E-2</v>
      </c>
      <c r="L69" s="346">
        <v>0.19109888073666839</v>
      </c>
      <c r="M69" s="346">
        <v>6.8022747436536177E-2</v>
      </c>
      <c r="N69" s="347">
        <v>1.4907288480712617</v>
      </c>
      <c r="O69" s="347">
        <v>0.87899399888602359</v>
      </c>
      <c r="P69" s="347">
        <v>13.21909695507575</v>
      </c>
      <c r="Q69" s="347">
        <v>14.84405900776726</v>
      </c>
      <c r="R69" s="347">
        <v>1.1149384137828904</v>
      </c>
      <c r="S69" s="347">
        <v>19.609752169849994</v>
      </c>
      <c r="T69" s="346">
        <v>-0.45514124283522039</v>
      </c>
      <c r="U69" s="346">
        <v>4.3772630848483395E-3</v>
      </c>
      <c r="V69" s="346">
        <v>6.8654540566242947E-3</v>
      </c>
      <c r="W69" s="346">
        <v>0.27823560683079818</v>
      </c>
      <c r="X69" s="346">
        <v>6.1165853151060857E-2</v>
      </c>
      <c r="Y69" s="346">
        <v>0.59032881120247305</v>
      </c>
      <c r="Z69" s="346">
        <v>0.59032881120247305</v>
      </c>
      <c r="AA69" s="348">
        <v>5.8945730557045016E-2</v>
      </c>
    </row>
    <row r="70" spans="1:27" s="313" customFormat="1">
      <c r="A70" s="345" t="s">
        <v>574</v>
      </c>
      <c r="B70" s="144">
        <v>376</v>
      </c>
      <c r="C70" s="346">
        <v>6.6971000000000031E-2</v>
      </c>
      <c r="D70" s="346">
        <v>0.10978382925321947</v>
      </c>
      <c r="E70" s="346">
        <v>0.15300838609033485</v>
      </c>
      <c r="F70" s="346">
        <v>0.22431969233325166</v>
      </c>
      <c r="G70" s="347">
        <v>0.66720034509729043</v>
      </c>
      <c r="H70" s="347">
        <v>0.8472048185802411</v>
      </c>
      <c r="I70" s="346">
        <v>7.1557257788258902E-2</v>
      </c>
      <c r="J70" s="346">
        <v>0.34399777463418152</v>
      </c>
      <c r="K70" s="346">
        <v>4.0999999999999995E-2</v>
      </c>
      <c r="L70" s="346">
        <v>0.29336266270734834</v>
      </c>
      <c r="M70" s="346">
        <v>5.9501736901513079E-2</v>
      </c>
      <c r="N70" s="347">
        <v>1.8252517838077875</v>
      </c>
      <c r="O70" s="347">
        <v>2.7801187999595762</v>
      </c>
      <c r="P70" s="347">
        <v>14.986211549385093</v>
      </c>
      <c r="Q70" s="347">
        <v>27.460190614322606</v>
      </c>
      <c r="R70" s="347">
        <v>13.250707227107672</v>
      </c>
      <c r="S70" s="347">
        <v>75.365061793999189</v>
      </c>
      <c r="T70" s="346">
        <v>-1.5110628531521036E-2</v>
      </c>
      <c r="U70" s="346">
        <v>4.861207102955728E-2</v>
      </c>
      <c r="V70" s="346">
        <v>2.3043884785558254E-2</v>
      </c>
      <c r="W70" s="346">
        <v>0.32871681991143642</v>
      </c>
      <c r="X70" s="346">
        <v>0.42104253385129231</v>
      </c>
      <c r="Y70" s="346">
        <v>0.52850155214640693</v>
      </c>
      <c r="Z70" s="346">
        <v>0.52850155214640693</v>
      </c>
      <c r="AA70" s="348">
        <v>0.10074955293383793</v>
      </c>
    </row>
    <row r="71" spans="1:27" s="313" customFormat="1">
      <c r="A71" s="345" t="s">
        <v>575</v>
      </c>
      <c r="B71" s="144">
        <v>184</v>
      </c>
      <c r="C71" s="346">
        <v>8.1573432835820942E-2</v>
      </c>
      <c r="D71" s="346">
        <v>4.2859370377592326E-2</v>
      </c>
      <c r="E71" s="346">
        <v>7.8734937212670594E-2</v>
      </c>
      <c r="F71" s="346">
        <v>0.25018240554327875</v>
      </c>
      <c r="G71" s="347">
        <v>0.66241578299518777</v>
      </c>
      <c r="H71" s="347">
        <v>0.9767463958647935</v>
      </c>
      <c r="I71" s="346">
        <v>7.9562927264444236E-2</v>
      </c>
      <c r="J71" s="346">
        <v>0.34448768828876619</v>
      </c>
      <c r="K71" s="346">
        <v>4.0999999999999995E-2</v>
      </c>
      <c r="L71" s="346">
        <v>0.42193212260757568</v>
      </c>
      <c r="M71" s="346">
        <v>5.8846090733879704E-2</v>
      </c>
      <c r="N71" s="347">
        <v>2.5074001533068242</v>
      </c>
      <c r="O71" s="347">
        <v>0.85591038801703079</v>
      </c>
      <c r="P71" s="347">
        <v>12.086402963062389</v>
      </c>
      <c r="Q71" s="347">
        <v>21.271060182428329</v>
      </c>
      <c r="R71" s="347">
        <v>3.0878339469672453</v>
      </c>
      <c r="S71" s="347">
        <v>42.523638738738818</v>
      </c>
      <c r="T71" s="346">
        <v>0.11143248741714006</v>
      </c>
      <c r="U71" s="346">
        <v>2.509053146064916E-2</v>
      </c>
      <c r="V71" s="346">
        <v>1.809641975747521E-2</v>
      </c>
      <c r="W71" s="346">
        <v>0.77043536324241202</v>
      </c>
      <c r="X71" s="346">
        <v>0.1486211832570094</v>
      </c>
      <c r="Y71" s="346">
        <v>0.34166447620701973</v>
      </c>
      <c r="Z71" s="346">
        <v>0.34166447620701978</v>
      </c>
      <c r="AA71" s="348">
        <v>3.8830692938863771E-2</v>
      </c>
    </row>
    <row r="72" spans="1:27" s="313" customFormat="1">
      <c r="A72" s="345" t="s">
        <v>576</v>
      </c>
      <c r="B72" s="144">
        <v>93</v>
      </c>
      <c r="C72" s="346">
        <v>4.1417164179104467E-2</v>
      </c>
      <c r="D72" s="346">
        <v>9.7760413234227378E-2</v>
      </c>
      <c r="E72" s="346">
        <v>0.19060188954944826</v>
      </c>
      <c r="F72" s="346">
        <v>0.25702228902333241</v>
      </c>
      <c r="G72" s="347">
        <v>0.90290093940983818</v>
      </c>
      <c r="H72" s="347">
        <v>1.0826099555086539</v>
      </c>
      <c r="I72" s="346">
        <v>8.610529525043481E-2</v>
      </c>
      <c r="J72" s="346">
        <v>0.36342968267598841</v>
      </c>
      <c r="K72" s="346">
        <v>4.0999999999999995E-2</v>
      </c>
      <c r="L72" s="346">
        <v>0.23069613644942932</v>
      </c>
      <c r="M72" s="346">
        <v>7.3268832712981055E-2</v>
      </c>
      <c r="N72" s="347">
        <v>2.4865199894921326</v>
      </c>
      <c r="O72" s="347">
        <v>1.7905120643841668</v>
      </c>
      <c r="P72" s="347">
        <v>12.881318467086654</v>
      </c>
      <c r="Q72" s="347">
        <v>18.866127646235903</v>
      </c>
      <c r="R72" s="347">
        <v>9.4561097510303878</v>
      </c>
      <c r="S72" s="347">
        <v>65.766513491480339</v>
      </c>
      <c r="T72" s="346">
        <v>8.0145611739527028E-2</v>
      </c>
      <c r="U72" s="346">
        <v>2.4212187947907117E-2</v>
      </c>
      <c r="V72" s="346">
        <v>6.4977424424769786E-3</v>
      </c>
      <c r="W72" s="346">
        <v>0.26619837402300656</v>
      </c>
      <c r="X72" s="346">
        <v>0.32904708372706254</v>
      </c>
      <c r="Y72" s="346">
        <v>0.54402651908042043</v>
      </c>
      <c r="Z72" s="346">
        <v>0.54402651908042043</v>
      </c>
      <c r="AA72" s="348">
        <v>9.4878273704645619E-2</v>
      </c>
    </row>
    <row r="73" spans="1:27" s="313" customFormat="1">
      <c r="A73" s="345" t="s">
        <v>577</v>
      </c>
      <c r="B73" s="144">
        <v>982</v>
      </c>
      <c r="C73" s="346">
        <v>0.11517992907801416</v>
      </c>
      <c r="D73" s="346">
        <v>4.1006918949685882E-2</v>
      </c>
      <c r="E73" s="346">
        <v>6.7919458813452668E-2</v>
      </c>
      <c r="F73" s="346">
        <v>0.23332191516922982</v>
      </c>
      <c r="G73" s="347">
        <v>0.60052870687959869</v>
      </c>
      <c r="H73" s="347">
        <v>0.92039389505625213</v>
      </c>
      <c r="I73" s="346">
        <v>7.6080342714476376E-2</v>
      </c>
      <c r="J73" s="346">
        <v>0.36068173383469204</v>
      </c>
      <c r="K73" s="346">
        <v>4.0999999999999995E-2</v>
      </c>
      <c r="L73" s="346">
        <v>0.47796963135924625</v>
      </c>
      <c r="M73" s="346">
        <v>5.4276638233649699E-2</v>
      </c>
      <c r="N73" s="347">
        <v>1.9436816791671818</v>
      </c>
      <c r="O73" s="347">
        <v>0.71918406117871803</v>
      </c>
      <c r="P73" s="347">
        <v>10.900637897546464</v>
      </c>
      <c r="Q73" s="347">
        <v>16.714995419812407</v>
      </c>
      <c r="R73" s="347">
        <v>1.2847610358944161</v>
      </c>
      <c r="S73" s="347">
        <v>114.37493779063372</v>
      </c>
      <c r="T73" s="346">
        <v>0.13943033141052072</v>
      </c>
      <c r="U73" s="346">
        <v>2.9956588457576802E-2</v>
      </c>
      <c r="V73" s="346">
        <v>2.6047831086072479E-2</v>
      </c>
      <c r="W73" s="346">
        <v>0.46958964717204288</v>
      </c>
      <c r="X73" s="346">
        <v>0.1043686316337913</v>
      </c>
      <c r="Y73" s="346">
        <v>0.40466319944423229</v>
      </c>
      <c r="Z73" s="346">
        <v>0.40466319944423224</v>
      </c>
      <c r="AA73" s="348">
        <v>4.2185495417349582E-2</v>
      </c>
    </row>
    <row r="74" spans="1:27" s="313" customFormat="1">
      <c r="A74" s="345" t="s">
        <v>578</v>
      </c>
      <c r="B74" s="144">
        <v>210</v>
      </c>
      <c r="C74" s="346">
        <v>1.561876404494382E-2</v>
      </c>
      <c r="D74" s="346">
        <v>4.294808336736141E-2</v>
      </c>
      <c r="E74" s="346">
        <v>8.3679371587906115E-2</v>
      </c>
      <c r="F74" s="346">
        <v>0.2800489268408578</v>
      </c>
      <c r="G74" s="347">
        <v>0.85514831941228187</v>
      </c>
      <c r="H74" s="347">
        <v>1.1193938285891893</v>
      </c>
      <c r="I74" s="346">
        <v>8.8378538606811899E-2</v>
      </c>
      <c r="J74" s="346">
        <v>0.2910392391283711</v>
      </c>
      <c r="K74" s="346">
        <v>4.0999999999999995E-2</v>
      </c>
      <c r="L74" s="346">
        <v>0.33473559235778211</v>
      </c>
      <c r="M74" s="346">
        <v>6.8992146484540717E-2</v>
      </c>
      <c r="N74" s="347">
        <v>2.763780581803851</v>
      </c>
      <c r="O74" s="347">
        <v>0.90944448948686618</v>
      </c>
      <c r="P74" s="347">
        <v>11.217753573611496</v>
      </c>
      <c r="Q74" s="347">
        <v>23.188277470998234</v>
      </c>
      <c r="R74" s="347">
        <v>2.8528467164366766</v>
      </c>
      <c r="S74" s="347">
        <v>36.010203846735543</v>
      </c>
      <c r="T74" s="346">
        <v>-4.2541712220388163E-3</v>
      </c>
      <c r="U74" s="346">
        <v>2.8703334630866859E-2</v>
      </c>
      <c r="V74" s="346">
        <v>7.4272074762155469E-3</v>
      </c>
      <c r="W74" s="346">
        <v>0.32891395205931578</v>
      </c>
      <c r="X74" s="346">
        <v>0.11465693170088317</v>
      </c>
      <c r="Y74" s="346">
        <v>0.50198899525810103</v>
      </c>
      <c r="Z74" s="346">
        <v>0.50198899525810103</v>
      </c>
      <c r="AA74" s="348">
        <v>3.9129380731371524E-2</v>
      </c>
    </row>
    <row r="75" spans="1:27" s="313" customFormat="1">
      <c r="A75" s="345" t="s">
        <v>579</v>
      </c>
      <c r="B75" s="144">
        <v>170</v>
      </c>
      <c r="C75" s="346">
        <v>3.2480000000000002E-2</v>
      </c>
      <c r="D75" s="346">
        <v>3.6910918471386604E-2</v>
      </c>
      <c r="E75" s="346">
        <v>7.7560110162122359E-2</v>
      </c>
      <c r="F75" s="346">
        <v>0.26876073798896255</v>
      </c>
      <c r="G75" s="347">
        <v>0.49493796663649808</v>
      </c>
      <c r="H75" s="347">
        <v>0.72746109303298789</v>
      </c>
      <c r="I75" s="346">
        <v>6.4157095549438645E-2</v>
      </c>
      <c r="J75" s="346">
        <v>0.29305447069022006</v>
      </c>
      <c r="K75" s="346">
        <v>4.0999999999999995E-2</v>
      </c>
      <c r="L75" s="346">
        <v>0.43750246258540504</v>
      </c>
      <c r="M75" s="346">
        <v>4.9415845771971306E-2</v>
      </c>
      <c r="N75" s="347">
        <v>3.0264246504531731</v>
      </c>
      <c r="O75" s="347">
        <v>0.73993730179094386</v>
      </c>
      <c r="P75" s="347">
        <v>9.4734042866334462</v>
      </c>
      <c r="Q75" s="347">
        <v>22.479328564728206</v>
      </c>
      <c r="R75" s="347">
        <v>2.0717852531761336</v>
      </c>
      <c r="S75" s="347">
        <v>243.18876604370811</v>
      </c>
      <c r="T75" s="346">
        <v>-3.8207207529592613E-2</v>
      </c>
      <c r="U75" s="346">
        <v>2.8581724683385892E-2</v>
      </c>
      <c r="V75" s="346">
        <v>7.6101356382989671E-3</v>
      </c>
      <c r="W75" s="346">
        <v>0.29659398174139301</v>
      </c>
      <c r="X75" s="346">
        <v>0.1017700033457872</v>
      </c>
      <c r="Y75" s="346">
        <v>0.56797690232982412</v>
      </c>
      <c r="Z75" s="346">
        <v>0.56797690232982412</v>
      </c>
      <c r="AA75" s="348">
        <v>3.2876396306680759E-2</v>
      </c>
    </row>
    <row r="76" spans="1:27" s="313" customFormat="1">
      <c r="A76" s="345" t="s">
        <v>580</v>
      </c>
      <c r="B76" s="144">
        <v>297</v>
      </c>
      <c r="C76" s="346">
        <v>0.14430561728395058</v>
      </c>
      <c r="D76" s="346">
        <v>5.0639662415794956E-2</v>
      </c>
      <c r="E76" s="346">
        <v>6.6864155140390222E-2</v>
      </c>
      <c r="F76" s="346">
        <v>0.13546589330930398</v>
      </c>
      <c r="G76" s="347">
        <v>1.2321072795638826</v>
      </c>
      <c r="H76" s="347">
        <v>1.282051089712587</v>
      </c>
      <c r="I76" s="346">
        <v>9.8430757344237868E-2</v>
      </c>
      <c r="J76" s="346">
        <v>0.51870747560317154</v>
      </c>
      <c r="K76" s="346">
        <v>4.4999999999999998E-2</v>
      </c>
      <c r="L76" s="346">
        <v>0.10634727454780772</v>
      </c>
      <c r="M76" s="346">
        <v>9.1518635693507516E-2</v>
      </c>
      <c r="N76" s="347">
        <v>1.587283682541945</v>
      </c>
      <c r="O76" s="347">
        <v>3.5783332193913608</v>
      </c>
      <c r="P76" s="347">
        <v>23.725096910077898</v>
      </c>
      <c r="Q76" s="347">
        <v>63.810673173102856</v>
      </c>
      <c r="R76" s="347">
        <v>7.5126140375278991</v>
      </c>
      <c r="S76" s="347">
        <v>82.737047129844157</v>
      </c>
      <c r="T76" s="346">
        <v>-4.9729202525911958E-3</v>
      </c>
      <c r="U76" s="346">
        <v>4.6700126250884766E-2</v>
      </c>
      <c r="V76" s="346">
        <v>5.0689062321411108E-3</v>
      </c>
      <c r="W76" s="346">
        <v>0.66254606495367219</v>
      </c>
      <c r="X76" s="346">
        <v>0.16747876029961914</v>
      </c>
      <c r="Y76" s="346">
        <v>8.9597589020913887E-2</v>
      </c>
      <c r="Z76" s="346">
        <v>8.9597589020913859E-2</v>
      </c>
      <c r="AA76" s="348">
        <v>4.7804496478668149E-2</v>
      </c>
    </row>
    <row r="77" spans="1:27" s="313" customFormat="1">
      <c r="A77" s="345" t="s">
        <v>581</v>
      </c>
      <c r="B77" s="144">
        <v>479</v>
      </c>
      <c r="C77" s="346">
        <v>2.9680197740113008E-2</v>
      </c>
      <c r="D77" s="346">
        <v>5.626341260666564E-2</v>
      </c>
      <c r="E77" s="346">
        <v>0.11989000735119668</v>
      </c>
      <c r="F77" s="346">
        <v>0.25090468479838851</v>
      </c>
      <c r="G77" s="347">
        <v>0.74855284173584302</v>
      </c>
      <c r="H77" s="347">
        <v>0.95678518050628281</v>
      </c>
      <c r="I77" s="346">
        <v>7.8329324155288274E-2</v>
      </c>
      <c r="J77" s="346">
        <v>0.37507504044786244</v>
      </c>
      <c r="K77" s="346">
        <v>4.0999999999999995E-2</v>
      </c>
      <c r="L77" s="346">
        <v>0.32533774150407951</v>
      </c>
      <c r="M77" s="346">
        <v>6.2756602360504621E-2</v>
      </c>
      <c r="N77" s="347">
        <v>2.4591436938081537</v>
      </c>
      <c r="O77" s="347">
        <v>1.1857438577780184</v>
      </c>
      <c r="P77" s="347">
        <v>10.297646207286689</v>
      </c>
      <c r="Q77" s="347">
        <v>19.695622041089699</v>
      </c>
      <c r="R77" s="347">
        <v>3.3461198794239664</v>
      </c>
      <c r="S77" s="347">
        <v>28.581629029155028</v>
      </c>
      <c r="T77" s="346">
        <v>7.4870120916320823E-2</v>
      </c>
      <c r="U77" s="346">
        <v>2.1983623092794381E-2</v>
      </c>
      <c r="V77" s="346">
        <v>3.3295131364691429E-3</v>
      </c>
      <c r="W77" s="346">
        <v>0.24333099408788406</v>
      </c>
      <c r="X77" s="346">
        <v>0.14114030912142378</v>
      </c>
      <c r="Y77" s="346">
        <v>0.41430433051917875</v>
      </c>
      <c r="Z77" s="346">
        <v>0.4143043305191787</v>
      </c>
      <c r="AA77" s="348">
        <v>5.9878478300670841E-2</v>
      </c>
    </row>
    <row r="78" spans="1:27" s="313" customFormat="1">
      <c r="A78" s="345" t="s">
        <v>582</v>
      </c>
      <c r="B78" s="144">
        <v>89</v>
      </c>
      <c r="C78" s="346">
        <v>6.3561194029850745E-3</v>
      </c>
      <c r="D78" s="346">
        <v>8.5693832274842771E-2</v>
      </c>
      <c r="E78" s="346">
        <v>8.5991258159573758E-2</v>
      </c>
      <c r="F78" s="346">
        <v>0.25612482024753491</v>
      </c>
      <c r="G78" s="347">
        <v>0.72096704561857894</v>
      </c>
      <c r="H78" s="347">
        <v>0.93645110191608893</v>
      </c>
      <c r="I78" s="346">
        <v>7.7072678098414296E-2</v>
      </c>
      <c r="J78" s="346">
        <v>0.28624770939829758</v>
      </c>
      <c r="K78" s="346">
        <v>4.0999999999999995E-2</v>
      </c>
      <c r="L78" s="346">
        <v>0.35424042552467483</v>
      </c>
      <c r="M78" s="346">
        <v>6.0561645895263902E-2</v>
      </c>
      <c r="N78" s="347">
        <v>1.1678428156501655</v>
      </c>
      <c r="O78" s="347">
        <v>1.043216446962713</v>
      </c>
      <c r="P78" s="347">
        <v>6.6346327458874619</v>
      </c>
      <c r="Q78" s="347">
        <v>11.795304350729205</v>
      </c>
      <c r="R78" s="347">
        <v>1.2277445503629398</v>
      </c>
      <c r="S78" s="347">
        <v>44.017195766928552</v>
      </c>
      <c r="T78" s="346">
        <v>0.21234864710302026</v>
      </c>
      <c r="U78" s="346">
        <v>5.8071429630415256E-2</v>
      </c>
      <c r="V78" s="346">
        <v>3.3782704527025954E-2</v>
      </c>
      <c r="W78" s="346">
        <v>0.64292070277711588</v>
      </c>
      <c r="X78" s="346">
        <v>9.7456465913242085E-2</v>
      </c>
      <c r="Y78" s="346">
        <v>0.41362458336771291</v>
      </c>
      <c r="Z78" s="346">
        <v>0.41362458336771291</v>
      </c>
      <c r="AA78" s="348">
        <v>8.8360488805403481E-2</v>
      </c>
    </row>
    <row r="79" spans="1:27" s="313" customFormat="1">
      <c r="A79" s="345" t="s">
        <v>583</v>
      </c>
      <c r="B79" s="144">
        <v>542</v>
      </c>
      <c r="C79" s="346">
        <v>4.3406957547169826E-2</v>
      </c>
      <c r="D79" s="346">
        <v>0.18187629290875904</v>
      </c>
      <c r="E79" s="346">
        <v>0.1260648970443346</v>
      </c>
      <c r="F79" s="346">
        <v>0.14516419296085961</v>
      </c>
      <c r="G79" s="347">
        <v>1.5295820455595976</v>
      </c>
      <c r="H79" s="347">
        <v>1.57034826289507</v>
      </c>
      <c r="I79" s="346">
        <v>0.11624752264691532</v>
      </c>
      <c r="J79" s="346">
        <v>0.38894935732145991</v>
      </c>
      <c r="K79" s="346">
        <v>4.0999999999999995E-2</v>
      </c>
      <c r="L79" s="346">
        <v>0.10841279417245589</v>
      </c>
      <c r="M79" s="346">
        <v>0.1069473828500129</v>
      </c>
      <c r="N79" s="347">
        <v>0.73614351686608093</v>
      </c>
      <c r="O79" s="347">
        <v>4.3876209629144531</v>
      </c>
      <c r="P79" s="347">
        <v>13.108867850310487</v>
      </c>
      <c r="Q79" s="347">
        <v>23.712066408904356</v>
      </c>
      <c r="R79" s="347">
        <v>3.857020918526425</v>
      </c>
      <c r="S79" s="347">
        <v>80.320978943351633</v>
      </c>
      <c r="T79" s="346">
        <v>0.17006208275536239</v>
      </c>
      <c r="U79" s="346">
        <v>0.17068958073516569</v>
      </c>
      <c r="V79" s="346">
        <v>0.13986113180716034</v>
      </c>
      <c r="W79" s="346">
        <v>0.90749944275579608</v>
      </c>
      <c r="X79" s="346">
        <v>0.14547154357130868</v>
      </c>
      <c r="Y79" s="346">
        <v>0.48633449157894226</v>
      </c>
      <c r="Z79" s="346">
        <v>0.48633449157894226</v>
      </c>
      <c r="AA79" s="348">
        <v>0.18901706841910554</v>
      </c>
    </row>
    <row r="80" spans="1:27" s="313" customFormat="1">
      <c r="A80" s="345" t="s">
        <v>584</v>
      </c>
      <c r="B80" s="144">
        <v>291</v>
      </c>
      <c r="C80" s="346">
        <v>6.2627268292682919E-2</v>
      </c>
      <c r="D80" s="346">
        <v>0.16341068601113221</v>
      </c>
      <c r="E80" s="346">
        <v>0.15099371054832447</v>
      </c>
      <c r="F80" s="346">
        <v>0.16155488872985746</v>
      </c>
      <c r="G80" s="347">
        <v>1.8210806223726346</v>
      </c>
      <c r="H80" s="347">
        <v>1.839451129460635</v>
      </c>
      <c r="I80" s="346">
        <v>0.13287807980066724</v>
      </c>
      <c r="J80" s="346">
        <v>0.40995730198456787</v>
      </c>
      <c r="K80" s="346">
        <v>4.4999999999999998E-2</v>
      </c>
      <c r="L80" s="346">
        <v>9.3216712484020262E-2</v>
      </c>
      <c r="M80" s="346">
        <v>0.12360832282236296</v>
      </c>
      <c r="N80" s="347">
        <v>1.0283405675450321</v>
      </c>
      <c r="O80" s="347">
        <v>3.9112607447835139</v>
      </c>
      <c r="P80" s="347">
        <v>17.314174563927541</v>
      </c>
      <c r="Q80" s="347">
        <v>23.373141318046773</v>
      </c>
      <c r="R80" s="347">
        <v>4.6449872363333622</v>
      </c>
      <c r="S80" s="347">
        <v>52.132706161159021</v>
      </c>
      <c r="T80" s="346">
        <v>0.29048978614399729</v>
      </c>
      <c r="U80" s="346">
        <v>6.8801170934645731E-2</v>
      </c>
      <c r="V80" s="346">
        <v>8.2284682733264253E-2</v>
      </c>
      <c r="W80" s="346">
        <v>0.62672397521900691</v>
      </c>
      <c r="X80" s="346">
        <v>0.17323358260661803</v>
      </c>
      <c r="Y80" s="346">
        <v>0.39602162915992128</v>
      </c>
      <c r="Z80" s="346">
        <v>0.39602162915992123</v>
      </c>
      <c r="AA80" s="348">
        <v>0.17024497796077201</v>
      </c>
    </row>
    <row r="81" spans="1:27" s="313" customFormat="1">
      <c r="A81" s="345" t="s">
        <v>585</v>
      </c>
      <c r="B81" s="144">
        <v>345</v>
      </c>
      <c r="C81" s="346">
        <v>3.9303111111111122E-2</v>
      </c>
      <c r="D81" s="346">
        <v>8.0899957603312575E-2</v>
      </c>
      <c r="E81" s="346">
        <v>4.4430136648651579E-2</v>
      </c>
      <c r="F81" s="346">
        <v>0.18467404184339148</v>
      </c>
      <c r="G81" s="347">
        <v>0.70840293478430694</v>
      </c>
      <c r="H81" s="347">
        <v>1.1297396255010554</v>
      </c>
      <c r="I81" s="346">
        <v>8.9017908855965222E-2</v>
      </c>
      <c r="J81" s="346">
        <v>0.33898462784581218</v>
      </c>
      <c r="K81" s="346">
        <v>4.0999999999999995E-2</v>
      </c>
      <c r="L81" s="346">
        <v>0.50259887512205004</v>
      </c>
      <c r="M81" s="346">
        <v>5.9588277532082928E-2</v>
      </c>
      <c r="N81" s="347">
        <v>0.62554528135853937</v>
      </c>
      <c r="O81" s="347">
        <v>1.9080540685037839</v>
      </c>
      <c r="P81" s="347">
        <v>9.5759634444317694</v>
      </c>
      <c r="Q81" s="347">
        <v>23.089808022646356</v>
      </c>
      <c r="R81" s="347">
        <v>1.0590838998195835</v>
      </c>
      <c r="S81" s="347">
        <v>25.969467892042044</v>
      </c>
      <c r="T81" s="346">
        <v>1.3369342467696848E-2</v>
      </c>
      <c r="U81" s="346">
        <v>9.4075559784250223E-2</v>
      </c>
      <c r="V81" s="346">
        <v>4.4234510087171809E-2</v>
      </c>
      <c r="W81" s="346">
        <v>0.67543444609138581</v>
      </c>
      <c r="X81" s="346">
        <v>5.1796742916598713E-2</v>
      </c>
      <c r="Y81" s="346">
        <v>0.76318163209899281</v>
      </c>
      <c r="Z81" s="346">
        <v>0.76318163209899281</v>
      </c>
      <c r="AA81" s="348">
        <v>8.1549969271670686E-2</v>
      </c>
    </row>
    <row r="82" spans="1:27" s="313" customFormat="1">
      <c r="A82" s="345" t="s">
        <v>586</v>
      </c>
      <c r="B82" s="144">
        <v>78</v>
      </c>
      <c r="C82" s="346">
        <v>-3.7266666666666603E-3</v>
      </c>
      <c r="D82" s="346">
        <v>9.7432591835018317E-2</v>
      </c>
      <c r="E82" s="346">
        <v>0.1666051271003659</v>
      </c>
      <c r="F82" s="346">
        <v>0.17938132456245531</v>
      </c>
      <c r="G82" s="347">
        <v>0.89886001274190919</v>
      </c>
      <c r="H82" s="347">
        <v>0.95392839570191745</v>
      </c>
      <c r="I82" s="346">
        <v>7.8152774854378493E-2</v>
      </c>
      <c r="J82" s="346">
        <v>0.34374714196352651</v>
      </c>
      <c r="K82" s="346">
        <v>4.0999999999999995E-2</v>
      </c>
      <c r="L82" s="346">
        <v>0.1159320539013652</v>
      </c>
      <c r="M82" s="346">
        <v>7.2624001305416713E-2</v>
      </c>
      <c r="N82" s="347">
        <v>2.0124005403939473</v>
      </c>
      <c r="O82" s="347">
        <v>2.667870191216001</v>
      </c>
      <c r="P82" s="347">
        <v>18.835231994219235</v>
      </c>
      <c r="Q82" s="347">
        <v>26.782249690015323</v>
      </c>
      <c r="R82" s="347">
        <v>5.9892268160242423</v>
      </c>
      <c r="S82" s="347">
        <v>27.965089370181143</v>
      </c>
      <c r="T82" s="346">
        <v>0.1999630671828922</v>
      </c>
      <c r="U82" s="346">
        <v>1.6877469846058098E-2</v>
      </c>
      <c r="V82" s="346">
        <v>-2.8218596857034588E-3</v>
      </c>
      <c r="W82" s="346">
        <v>4.681424212802953E-2</v>
      </c>
      <c r="X82" s="346">
        <v>0.20801497698435187</v>
      </c>
      <c r="Y82" s="346">
        <v>0.3684182782665939</v>
      </c>
      <c r="Z82" s="346">
        <v>0.3684182782665939</v>
      </c>
      <c r="AA82" s="348">
        <v>9.9316304007962361E-2</v>
      </c>
    </row>
    <row r="83" spans="1:27" s="313" customFormat="1">
      <c r="A83" s="345" t="s">
        <v>587</v>
      </c>
      <c r="B83" s="144">
        <v>280</v>
      </c>
      <c r="C83" s="346">
        <v>0.16813954954954952</v>
      </c>
      <c r="D83" s="346">
        <v>0.22152733438817873</v>
      </c>
      <c r="E83" s="346">
        <v>0.16320447642926339</v>
      </c>
      <c r="F83" s="346">
        <v>0.18873836575176431</v>
      </c>
      <c r="G83" s="347">
        <v>1.1764313768041483</v>
      </c>
      <c r="H83" s="347">
        <v>1.1759313200409354</v>
      </c>
      <c r="I83" s="346">
        <v>9.1872555578529802E-2</v>
      </c>
      <c r="J83" s="346">
        <v>0.55261886095542412</v>
      </c>
      <c r="K83" s="346">
        <v>4.4999999999999998E-2</v>
      </c>
      <c r="L83" s="346">
        <v>4.7686980762783597E-2</v>
      </c>
      <c r="M83" s="346">
        <v>8.9085844989832366E-2</v>
      </c>
      <c r="N83" s="347">
        <v>0.7595667060351502</v>
      </c>
      <c r="O83" s="347">
        <v>6.8556089518962731</v>
      </c>
      <c r="P83" s="347">
        <v>21.15804946995614</v>
      </c>
      <c r="Q83" s="347">
        <v>30.97616362379615</v>
      </c>
      <c r="R83" s="347">
        <v>5.33176455673168</v>
      </c>
      <c r="S83" s="347">
        <v>90.612507526227887</v>
      </c>
      <c r="T83" s="346">
        <v>3.100059405168348E-2</v>
      </c>
      <c r="U83" s="346">
        <v>0.13486206462781464</v>
      </c>
      <c r="V83" s="346">
        <v>8.9303817831091856E-2</v>
      </c>
      <c r="W83" s="346">
        <v>0.57936706872755617</v>
      </c>
      <c r="X83" s="346">
        <v>0.18697195922189153</v>
      </c>
      <c r="Y83" s="346">
        <v>3.6247965449341515E-2</v>
      </c>
      <c r="Z83" s="346">
        <v>3.6247965449341502E-2</v>
      </c>
      <c r="AA83" s="348">
        <v>0.23835164400973369</v>
      </c>
    </row>
    <row r="84" spans="1:27" s="313" customFormat="1">
      <c r="A84" s="345" t="s">
        <v>588</v>
      </c>
      <c r="B84" s="144">
        <v>131</v>
      </c>
      <c r="C84" s="346">
        <v>0.2900737878787879</v>
      </c>
      <c r="D84" s="346">
        <v>5.1277844728875914E-2</v>
      </c>
      <c r="E84" s="346">
        <v>8.3500710830329603E-2</v>
      </c>
      <c r="F84" s="346">
        <v>0.1569426017871457</v>
      </c>
      <c r="G84" s="347">
        <v>1.2196848734436523</v>
      </c>
      <c r="H84" s="347">
        <v>1.2944385564062693</v>
      </c>
      <c r="I84" s="346">
        <v>9.9196302785907436E-2</v>
      </c>
      <c r="J84" s="346">
        <v>0.46674359296639434</v>
      </c>
      <c r="K84" s="346">
        <v>4.4999999999999998E-2</v>
      </c>
      <c r="L84" s="346">
        <v>0.12998693514361939</v>
      </c>
      <c r="M84" s="346">
        <v>9.064819258571577E-2</v>
      </c>
      <c r="N84" s="347">
        <v>1.4618099638914319</v>
      </c>
      <c r="O84" s="347">
        <v>5.0370685932337587</v>
      </c>
      <c r="P84" s="347">
        <v>19.627893573004663</v>
      </c>
      <c r="Q84" s="347">
        <v>53.903386048791802</v>
      </c>
      <c r="R84" s="347">
        <v>8.0290284703604211</v>
      </c>
      <c r="S84" s="347">
        <v>62.065347734334885</v>
      </c>
      <c r="T84" s="346">
        <v>3.5723168197722484E-2</v>
      </c>
      <c r="U84" s="346">
        <v>7.6812175635507005E-2</v>
      </c>
      <c r="V84" s="346">
        <v>8.2066691833288324E-2</v>
      </c>
      <c r="W84" s="346">
        <v>2.4564545700754121</v>
      </c>
      <c r="X84" s="346">
        <v>4.2824888935468096E-3</v>
      </c>
      <c r="Y84" s="346">
        <v>5.8031437593539748</v>
      </c>
      <c r="Z84" s="346">
        <v>5.8031437593539748</v>
      </c>
      <c r="AA84" s="348">
        <v>6.1534722909709523E-2</v>
      </c>
    </row>
    <row r="85" spans="1:27" s="313" customFormat="1">
      <c r="A85" s="345" t="s">
        <v>589</v>
      </c>
      <c r="B85" s="144">
        <v>1375</v>
      </c>
      <c r="C85" s="346">
        <v>0.15156401685393273</v>
      </c>
      <c r="D85" s="346">
        <v>0.19629064166420293</v>
      </c>
      <c r="E85" s="346">
        <v>0.18191681674427446</v>
      </c>
      <c r="F85" s="346">
        <v>0.14000164258253717</v>
      </c>
      <c r="G85" s="347">
        <v>1.2452889901094526</v>
      </c>
      <c r="H85" s="347">
        <v>1.2831242640847385</v>
      </c>
      <c r="I85" s="346">
        <v>9.8497079520436834E-2</v>
      </c>
      <c r="J85" s="346">
        <v>0.50453754981461096</v>
      </c>
      <c r="K85" s="346">
        <v>4.4999999999999998E-2</v>
      </c>
      <c r="L85" s="346">
        <v>8.515673223863196E-2</v>
      </c>
      <c r="M85" s="346">
        <v>9.2956605435826414E-2</v>
      </c>
      <c r="N85" s="347">
        <v>0.93091009544910475</v>
      </c>
      <c r="O85" s="347">
        <v>7.7052379943792859</v>
      </c>
      <c r="P85" s="347">
        <v>24.34655998293438</v>
      </c>
      <c r="Q85" s="347">
        <v>35.570596024469424</v>
      </c>
      <c r="R85" s="347">
        <v>8.13277003583819</v>
      </c>
      <c r="S85" s="347">
        <v>99.436291594684718</v>
      </c>
      <c r="T85" s="346">
        <v>0.13720975600607932</v>
      </c>
      <c r="U85" s="346">
        <v>5.6165362883824232E-2</v>
      </c>
      <c r="V85" s="346">
        <v>8.2702178837844795E-2</v>
      </c>
      <c r="W85" s="346">
        <v>0.5905118828251199</v>
      </c>
      <c r="X85" s="346">
        <v>0.21168965087614794</v>
      </c>
      <c r="Y85" s="346">
        <v>0.32638991879574897</v>
      </c>
      <c r="Z85" s="346">
        <v>0.32638991879574897</v>
      </c>
      <c r="AA85" s="348">
        <v>0.21244027032201226</v>
      </c>
    </row>
    <row r="86" spans="1:27" s="313" customFormat="1">
      <c r="A86" s="345" t="s">
        <v>590</v>
      </c>
      <c r="B86" s="144">
        <v>695</v>
      </c>
      <c r="C86" s="346">
        <v>6.407765384615384E-2</v>
      </c>
      <c r="D86" s="346">
        <v>7.4304082761855184E-2</v>
      </c>
      <c r="E86" s="346">
        <v>6.4436253421011627E-2</v>
      </c>
      <c r="F86" s="346">
        <v>0.19888850182977028</v>
      </c>
      <c r="G86" s="347">
        <v>0.82250641914508082</v>
      </c>
      <c r="H86" s="347">
        <v>1.1256603947387225</v>
      </c>
      <c r="I86" s="346">
        <v>8.8765812394853039E-2</v>
      </c>
      <c r="J86" s="346">
        <v>0.37089099202556802</v>
      </c>
      <c r="K86" s="346">
        <v>4.0999999999999995E-2</v>
      </c>
      <c r="L86" s="346">
        <v>0.41412976979985011</v>
      </c>
      <c r="M86" s="346">
        <v>6.4620882119088702E-2</v>
      </c>
      <c r="N86" s="347">
        <v>0.98656723864855911</v>
      </c>
      <c r="O86" s="347">
        <v>0.7640304666682991</v>
      </c>
      <c r="P86" s="347">
        <v>5.9219806087466527</v>
      </c>
      <c r="Q86" s="347">
        <v>9.8824125289556122</v>
      </c>
      <c r="R86" s="347">
        <v>0.90153342810313741</v>
      </c>
      <c r="S86" s="347">
        <v>47.726567601889933</v>
      </c>
      <c r="T86" s="346">
        <v>0.13906021617318653</v>
      </c>
      <c r="U86" s="346">
        <v>4.934112957025643E-2</v>
      </c>
      <c r="V86" s="346">
        <v>2.7001791719470852E-2</v>
      </c>
      <c r="W86" s="346">
        <v>0.6220865680657679</v>
      </c>
      <c r="X86" s="346">
        <v>5.2145407137818942E-2</v>
      </c>
      <c r="Y86" s="346">
        <v>0.60954836377293631</v>
      </c>
      <c r="Z86" s="346">
        <v>0.60954836377293631</v>
      </c>
      <c r="AA86" s="348">
        <v>7.5391792770581764E-2</v>
      </c>
    </row>
    <row r="87" spans="1:27" s="313" customFormat="1">
      <c r="A87" s="345" t="s">
        <v>591</v>
      </c>
      <c r="B87" s="144">
        <v>103</v>
      </c>
      <c r="C87" s="346">
        <v>2.9157532467532467E-2</v>
      </c>
      <c r="D87" s="346">
        <v>0.13784183145869994</v>
      </c>
      <c r="E87" s="346">
        <v>8.456589383776851E-2</v>
      </c>
      <c r="F87" s="346">
        <v>0.2809778450687086</v>
      </c>
      <c r="G87" s="347">
        <v>0.6093112277506092</v>
      </c>
      <c r="H87" s="347">
        <v>0.9014014728143106</v>
      </c>
      <c r="I87" s="346">
        <v>7.4906611019924393E-2</v>
      </c>
      <c r="J87" s="346">
        <v>0.33974261079606466</v>
      </c>
      <c r="K87" s="346">
        <v>4.0999999999999995E-2</v>
      </c>
      <c r="L87" s="346">
        <v>0.43202911990747817</v>
      </c>
      <c r="M87" s="346">
        <v>5.5705676865476159E-2</v>
      </c>
      <c r="N87" s="347">
        <v>0.68447115283156545</v>
      </c>
      <c r="O87" s="347">
        <v>2.3168804690429678</v>
      </c>
      <c r="P87" s="347">
        <v>6.8064154892871835</v>
      </c>
      <c r="Q87" s="347">
        <v>15.957201155124588</v>
      </c>
      <c r="R87" s="347">
        <v>1.5640367088775415</v>
      </c>
      <c r="S87" s="347">
        <v>30.642342754689778</v>
      </c>
      <c r="T87" s="346">
        <v>-5.1883744553480576E-2</v>
      </c>
      <c r="U87" s="346">
        <v>0.125597277276007</v>
      </c>
      <c r="V87" s="346">
        <v>6.3077341849496751E-3</v>
      </c>
      <c r="W87" s="346">
        <v>0.22934433405412136</v>
      </c>
      <c r="X87" s="346">
        <v>6.2772056721145317E-2</v>
      </c>
      <c r="Y87" s="346">
        <v>0.89994384848232434</v>
      </c>
      <c r="Z87" s="346">
        <v>0.89994384848232434</v>
      </c>
      <c r="AA87" s="348">
        <v>0.14364799994299679</v>
      </c>
    </row>
    <row r="88" spans="1:27" s="313" customFormat="1">
      <c r="A88" s="345" t="s">
        <v>592</v>
      </c>
      <c r="B88" s="144">
        <v>474</v>
      </c>
      <c r="C88" s="346">
        <v>5.5277553516819608E-2</v>
      </c>
      <c r="D88" s="346">
        <v>0.10754020914860581</v>
      </c>
      <c r="E88" s="346">
        <v>0.11142995126152834</v>
      </c>
      <c r="F88" s="346">
        <v>0.23913534322905447</v>
      </c>
      <c r="G88" s="347">
        <v>1.2655330245200576</v>
      </c>
      <c r="H88" s="347">
        <v>1.3191415628341474</v>
      </c>
      <c r="I88" s="346">
        <v>0.10072294858315031</v>
      </c>
      <c r="J88" s="346">
        <v>0.42660275234298123</v>
      </c>
      <c r="K88" s="346">
        <v>4.4999999999999998E-2</v>
      </c>
      <c r="L88" s="346">
        <v>0.14825911651420848</v>
      </c>
      <c r="M88" s="346">
        <v>9.0746896774158967E-2</v>
      </c>
      <c r="N88" s="347">
        <v>1.1119310900535786</v>
      </c>
      <c r="O88" s="347">
        <v>2.3701774171262455</v>
      </c>
      <c r="P88" s="347">
        <v>14.179658491510805</v>
      </c>
      <c r="Q88" s="347">
        <v>20.883648898155741</v>
      </c>
      <c r="R88" s="347">
        <v>3.6375476347734943</v>
      </c>
      <c r="S88" s="347">
        <v>119.53687553542441</v>
      </c>
      <c r="T88" s="346">
        <v>0.21134425082069544</v>
      </c>
      <c r="U88" s="346">
        <v>3.7141311738761992E-2</v>
      </c>
      <c r="V88" s="346">
        <v>4.3197098809124632E-2</v>
      </c>
      <c r="W88" s="346">
        <v>0.69866012836821778</v>
      </c>
      <c r="X88" s="346">
        <v>7.6901147544258586E-2</v>
      </c>
      <c r="Y88" s="346">
        <v>0.81774943665528843</v>
      </c>
      <c r="Z88" s="346">
        <v>0.81774943665528843</v>
      </c>
      <c r="AA88" s="348">
        <v>0.11021431125517735</v>
      </c>
    </row>
    <row r="89" spans="1:27" s="313" customFormat="1">
      <c r="A89" s="345" t="s">
        <v>593</v>
      </c>
      <c r="B89" s="144">
        <v>317</v>
      </c>
      <c r="C89" s="346">
        <v>9.8767121951219519E-2</v>
      </c>
      <c r="D89" s="346">
        <v>0.15019014449663254</v>
      </c>
      <c r="E89" s="346">
        <v>0.10623786129360184</v>
      </c>
      <c r="F89" s="346">
        <v>0.23362563155769361</v>
      </c>
      <c r="G89" s="347">
        <v>0.58676099416411487</v>
      </c>
      <c r="H89" s="347">
        <v>0.88899986531857755</v>
      </c>
      <c r="I89" s="346">
        <v>7.4140191676688089E-2</v>
      </c>
      <c r="J89" s="346">
        <v>0.39022571850768173</v>
      </c>
      <c r="K89" s="346">
        <v>4.0999999999999995E-2</v>
      </c>
      <c r="L89" s="346">
        <v>0.43302255769699727</v>
      </c>
      <c r="M89" s="346">
        <v>5.5226982423826614E-2</v>
      </c>
      <c r="N89" s="347">
        <v>0.81191636603005801</v>
      </c>
      <c r="O89" s="347">
        <v>2.3534719990026405</v>
      </c>
      <c r="P89" s="347">
        <v>7.0609081605526542</v>
      </c>
      <c r="Q89" s="347">
        <v>15.543384706497056</v>
      </c>
      <c r="R89" s="347">
        <v>1.7350585960468268</v>
      </c>
      <c r="S89" s="347">
        <v>92.735170102606787</v>
      </c>
      <c r="T89" s="346">
        <v>1.5055436602075471E-2</v>
      </c>
      <c r="U89" s="346">
        <v>0.12945239018155277</v>
      </c>
      <c r="V89" s="346">
        <v>-3.3247556018034911E-2</v>
      </c>
      <c r="W89" s="346">
        <v>-0.30530240917215573</v>
      </c>
      <c r="X89" s="346">
        <v>7.756116991482688E-2</v>
      </c>
      <c r="Y89" s="346">
        <v>1.0079398260340624</v>
      </c>
      <c r="Z89" s="346">
        <v>1.0079398260340624</v>
      </c>
      <c r="AA89" s="348">
        <v>0.15099088699189669</v>
      </c>
    </row>
    <row r="90" spans="1:27" s="313" customFormat="1">
      <c r="A90" s="345" t="s">
        <v>594</v>
      </c>
      <c r="B90" s="144">
        <v>54</v>
      </c>
      <c r="C90" s="346">
        <v>2.5825945945945953E-2</v>
      </c>
      <c r="D90" s="346">
        <v>0.3197264984417853</v>
      </c>
      <c r="E90" s="346">
        <v>0.1932211280841413</v>
      </c>
      <c r="F90" s="346">
        <v>0.27132917495764514</v>
      </c>
      <c r="G90" s="347">
        <v>0.8656273334860688</v>
      </c>
      <c r="H90" s="347">
        <v>1.0379120997158167</v>
      </c>
      <c r="I90" s="346">
        <v>8.3342967762437464E-2</v>
      </c>
      <c r="J90" s="346">
        <v>0.29526458173585513</v>
      </c>
      <c r="K90" s="346">
        <v>4.0999999999999995E-2</v>
      </c>
      <c r="L90" s="346">
        <v>0.24468976398994705</v>
      </c>
      <c r="M90" s="346">
        <v>7.0403780930850632E-2</v>
      </c>
      <c r="N90" s="347">
        <v>0.73238859170149795</v>
      </c>
      <c r="O90" s="347">
        <v>4.0288122013152288</v>
      </c>
      <c r="P90" s="347">
        <v>11.102369090883284</v>
      </c>
      <c r="Q90" s="347">
        <v>12.541540128045591</v>
      </c>
      <c r="R90" s="347">
        <v>3.4963032267230565</v>
      </c>
      <c r="S90" s="347">
        <v>18.325082486391867</v>
      </c>
      <c r="T90" s="346">
        <v>0.19320407975465875</v>
      </c>
      <c r="U90" s="346">
        <v>3.5413127558190031E-2</v>
      </c>
      <c r="V90" s="346">
        <v>2.327332631423177E-2</v>
      </c>
      <c r="W90" s="346">
        <v>0.1969942866444816</v>
      </c>
      <c r="X90" s="346">
        <v>0.20837838031254807</v>
      </c>
      <c r="Y90" s="346">
        <v>0.94664308561097354</v>
      </c>
      <c r="Z90" s="346">
        <v>0.94664308561097354</v>
      </c>
      <c r="AA90" s="348">
        <v>0.32111584326550852</v>
      </c>
    </row>
    <row r="91" spans="1:27" s="313" customFormat="1">
      <c r="A91" s="345" t="s">
        <v>595</v>
      </c>
      <c r="B91" s="144">
        <v>265</v>
      </c>
      <c r="C91" s="346">
        <v>0.11458125000000002</v>
      </c>
      <c r="D91" s="346">
        <v>6.9074068160794769E-2</v>
      </c>
      <c r="E91" s="346">
        <v>0.10190940887978868</v>
      </c>
      <c r="F91" s="346">
        <v>0.23197501883469585</v>
      </c>
      <c r="G91" s="347">
        <v>0.79408581137578138</v>
      </c>
      <c r="H91" s="347">
        <v>1.0876685300485347</v>
      </c>
      <c r="I91" s="346">
        <v>8.6417915156999439E-2</v>
      </c>
      <c r="J91" s="346">
        <v>0.32744211394315736</v>
      </c>
      <c r="K91" s="346">
        <v>4.0999999999999995E-2</v>
      </c>
      <c r="L91" s="346">
        <v>0.38950390109512312</v>
      </c>
      <c r="M91" s="346">
        <v>6.4623257417901522E-2</v>
      </c>
      <c r="N91" s="347">
        <v>1.7767152393090468</v>
      </c>
      <c r="O91" s="347">
        <v>1.3048629010736359</v>
      </c>
      <c r="P91" s="347">
        <v>10.46762157330528</v>
      </c>
      <c r="Q91" s="347">
        <v>18.459982848266705</v>
      </c>
      <c r="R91" s="347">
        <v>1.8563730182897182</v>
      </c>
      <c r="S91" s="347">
        <v>85.833401677625943</v>
      </c>
      <c r="T91" s="346">
        <v>3.0977580576123147E-2</v>
      </c>
      <c r="U91" s="346">
        <v>5.2178692515681364E-2</v>
      </c>
      <c r="V91" s="346">
        <v>4.1030965791588214E-2</v>
      </c>
      <c r="W91" s="346">
        <v>0.98004683220829014</v>
      </c>
      <c r="X91" s="346">
        <v>0.12400914875672217</v>
      </c>
      <c r="Y91" s="346">
        <v>0.60765139720902905</v>
      </c>
      <c r="Z91" s="346">
        <v>0.60765139720902905</v>
      </c>
      <c r="AA91" s="348">
        <v>7.0518490580103468E-2</v>
      </c>
    </row>
    <row r="92" spans="1:27" s="313" customFormat="1">
      <c r="A92" s="345" t="s">
        <v>596</v>
      </c>
      <c r="B92" s="144">
        <v>52</v>
      </c>
      <c r="C92" s="346">
        <v>7.0365116279069759E-2</v>
      </c>
      <c r="D92" s="346">
        <v>0.23181237931035845</v>
      </c>
      <c r="E92" s="346">
        <v>9.4838513497118332E-2</v>
      </c>
      <c r="F92" s="346">
        <v>0.2488039189456572</v>
      </c>
      <c r="G92" s="347">
        <v>0.82726899943461329</v>
      </c>
      <c r="H92" s="347">
        <v>1.0441121159152091</v>
      </c>
      <c r="I92" s="346">
        <v>8.3726128763559921E-2</v>
      </c>
      <c r="J92" s="346">
        <v>0.19145465803549994</v>
      </c>
      <c r="K92" s="346">
        <v>3.5499999999999997E-2</v>
      </c>
      <c r="L92" s="346">
        <v>0.28228292334074701</v>
      </c>
      <c r="M92" s="346">
        <v>6.7537307903675639E-2</v>
      </c>
      <c r="N92" s="347">
        <v>0.52077612717180699</v>
      </c>
      <c r="O92" s="347">
        <v>3.7107544376568669</v>
      </c>
      <c r="P92" s="347">
        <v>10.91335560229394</v>
      </c>
      <c r="Q92" s="347">
        <v>15.821866749016179</v>
      </c>
      <c r="R92" s="347">
        <v>2.4781232111673721</v>
      </c>
      <c r="S92" s="347">
        <v>24.178380061480929</v>
      </c>
      <c r="T92" s="346">
        <v>0.10024262035331361</v>
      </c>
      <c r="U92" s="346">
        <v>0.17065120187116398</v>
      </c>
      <c r="V92" s="346">
        <v>0.11875510638389936</v>
      </c>
      <c r="W92" s="346">
        <v>0.7183144141858554</v>
      </c>
      <c r="X92" s="346">
        <v>0.15299034465361688</v>
      </c>
      <c r="Y92" s="346">
        <v>0.28574781455766601</v>
      </c>
      <c r="Z92" s="346">
        <v>0.28574781455766596</v>
      </c>
      <c r="AA92" s="348">
        <v>0.23458508945828258</v>
      </c>
    </row>
    <row r="93" spans="1:27" s="313" customFormat="1">
      <c r="A93" s="345" t="s">
        <v>597</v>
      </c>
      <c r="B93" s="144">
        <v>208</v>
      </c>
      <c r="C93" s="346">
        <v>6.0866052631578953E-2</v>
      </c>
      <c r="D93" s="346">
        <v>1.8905812975603571E-2</v>
      </c>
      <c r="E93" s="346">
        <v>4.2618428645194058E-2</v>
      </c>
      <c r="F93" s="346">
        <v>0.26864041811728145</v>
      </c>
      <c r="G93" s="347">
        <v>0.65401743584231042</v>
      </c>
      <c r="H93" s="347">
        <v>0.94132781113745656</v>
      </c>
      <c r="I93" s="346">
        <v>7.7374058728294809E-2</v>
      </c>
      <c r="J93" s="346">
        <v>0.32563675681766896</v>
      </c>
      <c r="K93" s="346">
        <v>4.0999999999999995E-2</v>
      </c>
      <c r="L93" s="346">
        <v>0.42740494417367786</v>
      </c>
      <c r="M93" s="346">
        <v>5.7324040291399841E-2</v>
      </c>
      <c r="N93" s="347">
        <v>1.197206345153875</v>
      </c>
      <c r="O93" s="347">
        <v>1.4673176364466112</v>
      </c>
      <c r="P93" s="347">
        <v>8.8441692235193745</v>
      </c>
      <c r="Q93" s="347">
        <v>46.036140744708312</v>
      </c>
      <c r="R93" s="347">
        <v>1.9990651194023896</v>
      </c>
      <c r="S93" s="347">
        <v>21.05308896631561</v>
      </c>
      <c r="T93" s="346">
        <v>8.028333995599489E-2</v>
      </c>
      <c r="U93" s="346">
        <v>0.10601418757672627</v>
      </c>
      <c r="V93" s="346">
        <v>8.3770387318102685E-2</v>
      </c>
      <c r="W93" s="346">
        <v>14.602381293277528</v>
      </c>
      <c r="X93" s="346">
        <v>-3.8896485864678872E-2</v>
      </c>
      <c r="Y93" s="346">
        <v>3.3624174974592204E-3</v>
      </c>
      <c r="Z93" s="346">
        <v>3.3624174974592469E-3</v>
      </c>
      <c r="AA93" s="348">
        <v>4.0952055566541468E-2</v>
      </c>
    </row>
    <row r="94" spans="1:27" s="313" customFormat="1">
      <c r="A94" s="345" t="s">
        <v>598</v>
      </c>
      <c r="B94" s="144">
        <v>52</v>
      </c>
      <c r="C94" s="346">
        <v>1.719816326530612E-2</v>
      </c>
      <c r="D94" s="346">
        <v>9.4763675704296127E-2</v>
      </c>
      <c r="E94" s="346">
        <v>5.8704495515214068E-2</v>
      </c>
      <c r="F94" s="346">
        <v>0.18512744182950677</v>
      </c>
      <c r="G94" s="347">
        <v>0.41409024327360072</v>
      </c>
      <c r="H94" s="347">
        <v>0.65440815968197519</v>
      </c>
      <c r="I94" s="346">
        <v>5.9642424268346067E-2</v>
      </c>
      <c r="J94" s="346">
        <v>0.2012628625899196</v>
      </c>
      <c r="K94" s="346">
        <v>3.5499999999999997E-2</v>
      </c>
      <c r="L94" s="346">
        <v>0.460421552298167</v>
      </c>
      <c r="M94" s="346">
        <v>4.4326075778080912E-2</v>
      </c>
      <c r="N94" s="347">
        <v>0.76217329275885226</v>
      </c>
      <c r="O94" s="347">
        <v>2.2773484960984192</v>
      </c>
      <c r="P94" s="347">
        <v>12.583122081418617</v>
      </c>
      <c r="Q94" s="347">
        <v>24.103653316433622</v>
      </c>
      <c r="R94" s="347">
        <v>1.71822357180121</v>
      </c>
      <c r="S94" s="347">
        <v>419.58719520206699</v>
      </c>
      <c r="T94" s="346">
        <v>-1.8934940114175066E-2</v>
      </c>
      <c r="U94" s="346">
        <v>0.13084440814504567</v>
      </c>
      <c r="V94" s="346">
        <v>9.1300807329208214E-2</v>
      </c>
      <c r="W94" s="346">
        <v>1.1766118784543311</v>
      </c>
      <c r="X94" s="346">
        <v>0.12235563989080055</v>
      </c>
      <c r="Y94" s="346">
        <v>0.58934507208716191</v>
      </c>
      <c r="Z94" s="346">
        <v>0.58934507208716191</v>
      </c>
      <c r="AA94" s="348">
        <v>9.4453872812237591E-2</v>
      </c>
    </row>
    <row r="95" spans="1:27" s="313" customFormat="1">
      <c r="A95" s="345" t="s">
        <v>599</v>
      </c>
      <c r="B95" s="144">
        <v>99</v>
      </c>
      <c r="C95" s="346">
        <v>0.11742507042253518</v>
      </c>
      <c r="D95" s="346">
        <v>0.28030104886340212</v>
      </c>
      <c r="E95" s="346">
        <v>7.6681974673509706E-2</v>
      </c>
      <c r="F95" s="346">
        <v>0.23313559748284818</v>
      </c>
      <c r="G95" s="347">
        <v>0.69323750701010378</v>
      </c>
      <c r="H95" s="347">
        <v>0.94873720922049143</v>
      </c>
      <c r="I95" s="346">
        <v>7.7831959529826369E-2</v>
      </c>
      <c r="J95" s="346">
        <v>0.26753958736892625</v>
      </c>
      <c r="K95" s="346">
        <v>4.0999999999999995E-2</v>
      </c>
      <c r="L95" s="346">
        <v>0.38063000661207469</v>
      </c>
      <c r="M95" s="346">
        <v>5.9801912150781462E-2</v>
      </c>
      <c r="N95" s="347">
        <v>0.33506870152733104</v>
      </c>
      <c r="O95" s="347">
        <v>4.9808975527590187</v>
      </c>
      <c r="P95" s="347">
        <v>12.470501405024097</v>
      </c>
      <c r="Q95" s="347">
        <v>17.826913556376731</v>
      </c>
      <c r="R95" s="347">
        <v>1.8607104377364327</v>
      </c>
      <c r="S95" s="347">
        <v>30.352382953858509</v>
      </c>
      <c r="T95" s="346">
        <v>2.5091962343796511E-2</v>
      </c>
      <c r="U95" s="346">
        <v>0.25788681671946634</v>
      </c>
      <c r="V95" s="346">
        <v>0.17603478894511421</v>
      </c>
      <c r="W95" s="346">
        <v>1.177599749568401</v>
      </c>
      <c r="X95" s="346">
        <v>0.10686793981989083</v>
      </c>
      <c r="Y95" s="346">
        <v>0.623891068582905</v>
      </c>
      <c r="Z95" s="346">
        <v>0.48534449568443838</v>
      </c>
      <c r="AA95" s="348">
        <v>0.27798498043394454</v>
      </c>
    </row>
    <row r="96" spans="1:27" ht="14">
      <c r="A96" s="345" t="s">
        <v>744</v>
      </c>
      <c r="B96" s="144">
        <v>44394</v>
      </c>
      <c r="C96" s="346">
        <v>8.3788721210638073E-2</v>
      </c>
      <c r="D96" s="346">
        <v>9.2822397338564039E-2</v>
      </c>
      <c r="E96" s="346">
        <v>6.1461844913619453E-2</v>
      </c>
      <c r="F96" s="346">
        <v>0.22437492147765753</v>
      </c>
      <c r="G96" s="347">
        <v>0.79436001619146235</v>
      </c>
      <c r="H96" s="347">
        <v>1.0770240808772962</v>
      </c>
      <c r="I96" s="346">
        <v>8.5760088198216899E-2</v>
      </c>
      <c r="J96" s="346">
        <v>0.39219614049933821</v>
      </c>
      <c r="K96" s="346">
        <v>4.0999999999999995E-2</v>
      </c>
      <c r="L96" s="346">
        <v>0.41491763375691759</v>
      </c>
      <c r="M96" s="346">
        <v>6.281635120936517E-2</v>
      </c>
      <c r="N96" s="347">
        <v>0.75207169160379705</v>
      </c>
      <c r="O96" s="347">
        <v>2.2831743272090628</v>
      </c>
      <c r="P96" s="347">
        <v>14.080259448228322</v>
      </c>
      <c r="Q96" s="347">
        <v>23.080331977115605</v>
      </c>
      <c r="R96" s="347">
        <v>1.9010573233512178</v>
      </c>
      <c r="S96" s="347">
        <v>65.24422428128095</v>
      </c>
      <c r="T96" s="346">
        <v>-1.1743124969509713</v>
      </c>
      <c r="U96" s="346">
        <v>5.8716791740073784E-2</v>
      </c>
      <c r="V96" s="346">
        <v>3.9667942141772557E-2</v>
      </c>
      <c r="W96" s="346">
        <v>0.69129623481873859</v>
      </c>
      <c r="X96" s="346">
        <v>0.10686793981989083</v>
      </c>
      <c r="Y96" s="346">
        <v>0.48534449568443844</v>
      </c>
      <c r="Z96" s="346">
        <v>0.48534449568443838</v>
      </c>
      <c r="AA96" s="348">
        <v>9.4154458234827126E-2</v>
      </c>
    </row>
    <row r="97" spans="1:27" ht="14">
      <c r="A97" s="345" t="s">
        <v>735</v>
      </c>
      <c r="B97" s="144">
        <v>39677</v>
      </c>
      <c r="C97" s="346">
        <v>8.0442976894037774E-2</v>
      </c>
      <c r="D97" s="346">
        <v>9.7838877726294335E-2</v>
      </c>
      <c r="E97" s="346">
        <v>9.7794756768123367E-2</v>
      </c>
      <c r="F97" s="346">
        <v>0.23581206034512411</v>
      </c>
      <c r="G97" s="347">
        <v>0.91554827933421679</v>
      </c>
      <c r="H97" s="347">
        <v>1.1123314545476997</v>
      </c>
      <c r="I97" s="346">
        <v>8.7942083891047837E-2</v>
      </c>
      <c r="J97" s="346">
        <v>0.40305931103252063</v>
      </c>
      <c r="K97" s="346">
        <v>4.4999999999999998E-2</v>
      </c>
      <c r="L97" s="346">
        <v>0.28486428891803139</v>
      </c>
      <c r="M97" s="346">
        <v>7.2414962197429003E-2</v>
      </c>
      <c r="N97" s="347">
        <v>1.1313438759338263</v>
      </c>
      <c r="O97" s="347">
        <v>1.8892079244115061</v>
      </c>
      <c r="P97" s="347">
        <v>11.186529601930104</v>
      </c>
      <c r="Q97" s="347">
        <v>18.662684597675376</v>
      </c>
      <c r="R97" s="347">
        <v>2.261506936776664</v>
      </c>
      <c r="S97" s="347">
        <v>66.065306616025794</v>
      </c>
      <c r="T97" s="346">
        <v>0.10920996537161921</v>
      </c>
      <c r="U97" s="346">
        <v>6.3241787581232944E-2</v>
      </c>
      <c r="V97" s="346">
        <v>4.0995832280716904E-2</v>
      </c>
      <c r="W97" s="346">
        <v>0.69362005722381381</v>
      </c>
      <c r="X97" s="346">
        <v>0.1040967822270143</v>
      </c>
      <c r="Y97" s="346">
        <v>0.54723408358956294</v>
      </c>
      <c r="Z97" s="346">
        <v>0.54723408358956294</v>
      </c>
      <c r="AA97" s="348">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737</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19">
        <v>172.47</v>
      </c>
      <c r="C17" s="204"/>
      <c r="D17" s="204" t="s">
        <v>99</v>
      </c>
      <c r="E17" s="205"/>
    </row>
    <row r="18" spans="1:5" ht="14">
      <c r="A18" s="63" t="s">
        <v>399</v>
      </c>
      <c r="B18" s="319">
        <v>139.4</v>
      </c>
      <c r="C18" s="432" t="s">
        <v>657</v>
      </c>
      <c r="D18" s="204" t="s">
        <v>99</v>
      </c>
      <c r="E18" s="205"/>
    </row>
    <row r="19" spans="1:5" ht="14">
      <c r="A19" s="63" t="s">
        <v>400</v>
      </c>
      <c r="B19" s="319">
        <v>145.18</v>
      </c>
      <c r="C19" s="432"/>
      <c r="D19" s="204" t="s">
        <v>99</v>
      </c>
      <c r="E19" s="205"/>
    </row>
    <row r="20" spans="1:5" ht="14">
      <c r="A20" s="63" t="s">
        <v>401</v>
      </c>
      <c r="B20" s="319">
        <v>156.53</v>
      </c>
      <c r="C20" s="432"/>
      <c r="D20" s="204" t="s">
        <v>99</v>
      </c>
      <c r="E20" s="205"/>
    </row>
    <row r="21" spans="1:5" ht="14">
      <c r="A21" s="63" t="s">
        <v>402</v>
      </c>
      <c r="B21" s="319">
        <v>151.19999999999999</v>
      </c>
      <c r="C21" s="432"/>
      <c r="D21" s="204" t="s">
        <v>99</v>
      </c>
      <c r="E21" s="205"/>
    </row>
    <row r="22" spans="1:5" ht="14">
      <c r="A22" s="63" t="s">
        <v>403</v>
      </c>
      <c r="B22" s="318">
        <v>943.63</v>
      </c>
      <c r="C22" s="432"/>
      <c r="D22" s="204" t="s">
        <v>99</v>
      </c>
      <c r="E22" s="205"/>
    </row>
    <row r="23" spans="1:5">
      <c r="B23" s="183"/>
      <c r="C23" s="432"/>
    </row>
    <row r="25" spans="1:5" ht="14">
      <c r="A25" s="63" t="s">
        <v>656</v>
      </c>
      <c r="B25" s="317">
        <v>107</v>
      </c>
    </row>
    <row r="29" spans="1:5">
      <c r="D29" s="201">
        <v>75872</v>
      </c>
    </row>
    <row r="30" spans="1:5">
      <c r="D30" s="201">
        <v>2404</v>
      </c>
    </row>
    <row r="31" spans="1:5">
      <c r="D31" s="201">
        <v>24171</v>
      </c>
    </row>
    <row r="32" spans="1:5">
      <c r="D32" s="201">
        <v>276</v>
      </c>
    </row>
    <row r="36" spans="1:5">
      <c r="A36" t="s">
        <v>738</v>
      </c>
      <c r="B36" s="181">
        <v>630.29</v>
      </c>
      <c r="C36" s="181">
        <v>286.14</v>
      </c>
      <c r="D36" s="181">
        <v>426.61</v>
      </c>
      <c r="E36">
        <f>B36-C36+D36</f>
        <v>770.76</v>
      </c>
    </row>
    <row r="37" spans="1:5">
      <c r="A37" t="s">
        <v>739</v>
      </c>
      <c r="B37" s="181">
        <v>2369.4699999999998</v>
      </c>
      <c r="C37" s="181">
        <v>1128.78</v>
      </c>
      <c r="D37" s="181">
        <v>1219.73</v>
      </c>
      <c r="E37">
        <f>B37-C37+D37</f>
        <v>2460.42</v>
      </c>
    </row>
    <row r="38" spans="1:5">
      <c r="A38" t="s">
        <v>740</v>
      </c>
      <c r="B38" s="181">
        <v>9967.5400000000009</v>
      </c>
      <c r="C38" s="181">
        <v>4703.01</v>
      </c>
      <c r="D38" s="181">
        <v>5876.21</v>
      </c>
      <c r="E38">
        <f>B38-C38+D38</f>
        <v>11140.740000000002</v>
      </c>
    </row>
    <row r="40" spans="1:5">
      <c r="A40" t="s">
        <v>741</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6" customFormat="1">
      <c r="A1" s="336" t="s">
        <v>240</v>
      </c>
      <c r="B1" s="336" t="s">
        <v>242</v>
      </c>
      <c r="C1" s="336" t="s">
        <v>441</v>
      </c>
      <c r="D1" s="336" t="s">
        <v>449</v>
      </c>
      <c r="E1" s="336" t="s">
        <v>451</v>
      </c>
      <c r="F1" s="336"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topLeftCell="A7" zoomScaleNormal="100" workbookViewId="0">
      <selection activeCell="B39" sqref="B39"/>
    </sheetView>
  </sheetViews>
  <sheetFormatPr baseColWidth="10"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0.5</v>
      </c>
      <c r="D2" s="90">
        <f>'Input sheet'!B25</f>
        <v>0.5</v>
      </c>
      <c r="E2" s="90">
        <f>D2</f>
        <v>0.5</v>
      </c>
      <c r="F2" s="90">
        <f>E2</f>
        <v>0.5</v>
      </c>
      <c r="G2" s="90">
        <f>F2</f>
        <v>0.5</v>
      </c>
      <c r="H2" s="90">
        <f>G2-((G2-$M$2)/5)</f>
        <v>0.40400000000000003</v>
      </c>
      <c r="I2" s="90">
        <f>G2-((G2-$M$2)/5)*2</f>
        <v>0.308</v>
      </c>
      <c r="J2" s="90">
        <f>G2-((G2-$M$2)/5)*3</f>
        <v>0.21199999999999997</v>
      </c>
      <c r="K2" s="90">
        <f>G2-((G2-$M$2)/5)*4</f>
        <v>0.11599999999999999</v>
      </c>
      <c r="L2" s="90">
        <f>G2-((G2-$M$2)/5)*5</f>
        <v>2.0000000000000018E-2</v>
      </c>
      <c r="M2" s="91">
        <f>IF('Input sheet'!B60="Yes",'Input sheet'!B61,IF('Input sheet'!B57="Yes",'Input sheet'!B58,'Input sheet'!B30))</f>
        <v>0.02</v>
      </c>
    </row>
    <row r="3" spans="1:14" ht="15" customHeight="1">
      <c r="A3" s="45" t="s">
        <v>11</v>
      </c>
      <c r="B3" s="92">
        <f>'Input sheet'!B8</f>
        <v>31536</v>
      </c>
      <c r="C3" s="93">
        <f>B3*(1+C2)</f>
        <v>47304</v>
      </c>
      <c r="D3" s="93">
        <f t="shared" ref="D3:L3" si="0">C3*(1+D2)</f>
        <v>70956</v>
      </c>
      <c r="E3" s="93">
        <f t="shared" si="0"/>
        <v>106434</v>
      </c>
      <c r="F3" s="93">
        <f t="shared" si="0"/>
        <v>159651</v>
      </c>
      <c r="G3" s="93">
        <f t="shared" si="0"/>
        <v>239476.5</v>
      </c>
      <c r="H3" s="93">
        <f t="shared" si="0"/>
        <v>336225.00599999999</v>
      </c>
      <c r="I3" s="93">
        <f t="shared" si="0"/>
        <v>439782.30784800003</v>
      </c>
      <c r="J3" s="93">
        <f t="shared" si="0"/>
        <v>533016.15711177606</v>
      </c>
      <c r="K3" s="93">
        <f t="shared" si="0"/>
        <v>594846.0313367421</v>
      </c>
      <c r="L3" s="93">
        <f t="shared" si="0"/>
        <v>606742.95196347695</v>
      </c>
      <c r="M3" s="109">
        <f>L3*(1+M2)</f>
        <v>618877.81100274646</v>
      </c>
    </row>
    <row r="4" spans="1:14" ht="15" customHeight="1">
      <c r="A4" s="45" t="s">
        <v>26</v>
      </c>
      <c r="B4" s="94">
        <f>B5/B3</f>
        <v>6.4986470488753584E-2</v>
      </c>
      <c r="C4" s="90">
        <f>'Input sheet'!B24</f>
        <v>7.0000000000000007E-2</v>
      </c>
      <c r="D4" s="90">
        <f>IF(D1&gt;'Input sheet'!$B$27,'Input sheet'!$B$26,'Input sheet'!$B$26-(('Input sheet'!$B$26-$C$4)/'Input sheet'!$B$27)*('Input sheet'!$B$27-D1))</f>
        <v>9.6000000000000002E-2</v>
      </c>
      <c r="E4" s="90">
        <f>IF(E1&gt;'Input sheet'!$B$27,'Input sheet'!$B$26,'Input sheet'!$B$26-(('Input sheet'!$B$26-$C$4)/'Input sheet'!$B$27)*('Input sheet'!$B$27-E1))</f>
        <v>0.109</v>
      </c>
      <c r="F4" s="90">
        <f>IF(F1&gt;'Input sheet'!$B$27,'Input sheet'!$B$26,'Input sheet'!$B$26-(('Input sheet'!$B$26-$C$4)/'Input sheet'!$B$27)*('Input sheet'!$B$27-F1))</f>
        <v>0.122</v>
      </c>
      <c r="G4" s="90">
        <f>IF(G1&gt;'Input sheet'!$B$27,'Input sheet'!$B$26,'Input sheet'!$B$26-(('Input sheet'!$B$26-$C$4)/'Input sheet'!$B$27)*('Input sheet'!$B$27-G1))</f>
        <v>0.13500000000000001</v>
      </c>
      <c r="H4" s="90">
        <f>IF(H1&gt;'Input sheet'!$B$27,'Input sheet'!$B$26,'Input sheet'!$B$26-(('Input sheet'!$B$26-$C$4)/'Input sheet'!$B$27)*('Input sheet'!$B$27-H1))</f>
        <v>0.14800000000000002</v>
      </c>
      <c r="I4" s="90">
        <f>IF(I1&gt;'Input sheet'!$B$27,'Input sheet'!$B$26,'Input sheet'!$B$26-(('Input sheet'!$B$26-$C$4)/'Input sheet'!$B$27)*('Input sheet'!$B$27-I1))</f>
        <v>0.161</v>
      </c>
      <c r="J4" s="90">
        <f>IF(J1&gt;'Input sheet'!$B$27,'Input sheet'!$B$26,'Input sheet'!$B$26-(('Input sheet'!$B$26-$C$4)/'Input sheet'!$B$27)*('Input sheet'!$B$27-J1))</f>
        <v>0.17400000000000002</v>
      </c>
      <c r="K4" s="90">
        <f>IF(K1&gt;'Input sheet'!$B$27,'Input sheet'!$B$26,'Input sheet'!$B$26-(('Input sheet'!$B$26-$C$4)/'Input sheet'!$B$27)*('Input sheet'!$B$27-K1))</f>
        <v>0.187</v>
      </c>
      <c r="L4" s="90">
        <f>IF(L1&gt;'Input sheet'!$B$27,'Input sheet'!$B$26,'Input sheet'!$B$26-(('Input sheet'!$B$26-$C$4)/'Input sheet'!$B$27)*('Input sheet'!$B$27-L1))</f>
        <v>0.2</v>
      </c>
      <c r="M4" s="91">
        <f>L4</f>
        <v>0.2</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2049.413333333333</v>
      </c>
      <c r="C5" s="93">
        <f t="shared" ref="C5:M5" si="1">C4*C3</f>
        <v>3311.28</v>
      </c>
      <c r="D5" s="93">
        <f t="shared" si="1"/>
        <v>6811.7759999999998</v>
      </c>
      <c r="E5" s="93">
        <f t="shared" si="1"/>
        <v>11601.306</v>
      </c>
      <c r="F5" s="93">
        <f t="shared" si="1"/>
        <v>19477.421999999999</v>
      </c>
      <c r="G5" s="93">
        <f t="shared" si="1"/>
        <v>32329.327500000003</v>
      </c>
      <c r="H5" s="93">
        <f t="shared" si="1"/>
        <v>49761.300888000005</v>
      </c>
      <c r="I5" s="93">
        <f t="shared" si="1"/>
        <v>70804.951563528011</v>
      </c>
      <c r="J5" s="93">
        <f t="shared" si="1"/>
        <v>92744.811337449049</v>
      </c>
      <c r="K5" s="93">
        <f t="shared" si="1"/>
        <v>111236.20785997077</v>
      </c>
      <c r="L5" s="93">
        <f t="shared" si="1"/>
        <v>121348.59039269539</v>
      </c>
      <c r="M5" s="109">
        <f t="shared" si="1"/>
        <v>123775.56220054929</v>
      </c>
      <c r="N5" s="111">
        <f>M5-B5</f>
        <v>121726.14886721596</v>
      </c>
    </row>
    <row r="6" spans="1:14" ht="15" customHeight="1">
      <c r="A6" s="45" t="s">
        <v>141</v>
      </c>
      <c r="B6" s="95">
        <f>'Input sheet'!B20</f>
        <v>0.25</v>
      </c>
      <c r="C6" s="96">
        <f>B6</f>
        <v>0.25</v>
      </c>
      <c r="D6" s="96">
        <f>C6</f>
        <v>0.25</v>
      </c>
      <c r="E6" s="96">
        <f>D6</f>
        <v>0.25</v>
      </c>
      <c r="F6" s="96">
        <f>E6</f>
        <v>0.25</v>
      </c>
      <c r="G6" s="96">
        <f>F6</f>
        <v>0.25</v>
      </c>
      <c r="H6" s="96">
        <f>G6+($M$6-$G$6)/5</f>
        <v>0.25</v>
      </c>
      <c r="I6" s="96">
        <f>H6+($M$6-$G$6)/5</f>
        <v>0.25</v>
      </c>
      <c r="J6" s="96">
        <f>I6+($M$6-$G$6)/5</f>
        <v>0.25</v>
      </c>
      <c r="K6" s="96">
        <f>J6+($M$6-$G$6)/5</f>
        <v>0.25</v>
      </c>
      <c r="L6" s="96">
        <f>K6+($M$6-$G$6)/5</f>
        <v>0.25</v>
      </c>
      <c r="M6" s="96">
        <f>IF('Input sheet'!B52="Yes",'Input sheet'!B20,'Input sheet'!B21)</f>
        <v>0.25</v>
      </c>
    </row>
    <row r="7" spans="1:14" ht="15" customHeight="1">
      <c r="A7" s="45" t="s">
        <v>12</v>
      </c>
      <c r="B7" s="92">
        <f>IF(B5&gt;0,B5*(1-B6),B5)</f>
        <v>1537.0599999999997</v>
      </c>
      <c r="C7" s="93">
        <f>IF(C5&gt;0,IF(C5&lt;B10,C5,C5-(C5-B10)*C6),C5)</f>
        <v>2483.46</v>
      </c>
      <c r="D7" s="93">
        <f t="shared" ref="D7:L7" si="2">IF(D5&gt;0,IF(D5&lt;C10,D5,D5-(D5-C10)*D6),D5)</f>
        <v>5108.8320000000003</v>
      </c>
      <c r="E7" s="93">
        <f t="shared" si="2"/>
        <v>8700.9795000000013</v>
      </c>
      <c r="F7" s="93">
        <f t="shared" si="2"/>
        <v>14608.066499999999</v>
      </c>
      <c r="G7" s="93">
        <f t="shared" si="2"/>
        <v>24246.995625000003</v>
      </c>
      <c r="H7" s="93">
        <f t="shared" si="2"/>
        <v>37320.975666000006</v>
      </c>
      <c r="I7" s="93">
        <f t="shared" si="2"/>
        <v>53103.713672646008</v>
      </c>
      <c r="J7" s="93">
        <f t="shared" si="2"/>
        <v>69558.608503086783</v>
      </c>
      <c r="K7" s="93">
        <f t="shared" si="2"/>
        <v>83427.155894978088</v>
      </c>
      <c r="L7" s="93">
        <f t="shared" si="2"/>
        <v>91011.442794521543</v>
      </c>
      <c r="M7" s="93">
        <f>M5*(1-M6)</f>
        <v>92831.671650411969</v>
      </c>
    </row>
    <row r="8" spans="1:14" ht="15" customHeight="1">
      <c r="A8" s="45" t="s">
        <v>15</v>
      </c>
      <c r="B8" s="92"/>
      <c r="C8" s="356">
        <f>IF(C3&gt;B3,(C3-B3)/'Input sheet'!B28,0)</f>
        <v>3153.6</v>
      </c>
      <c r="D8" s="93">
        <f t="shared" ref="D8:L8" si="3">(D3-C3)/D38</f>
        <v>4730.3999999999996</v>
      </c>
      <c r="E8" s="93">
        <f t="shared" si="3"/>
        <v>7095.6</v>
      </c>
      <c r="F8" s="93">
        <f t="shared" si="3"/>
        <v>10643.4</v>
      </c>
      <c r="G8" s="93">
        <f t="shared" si="3"/>
        <v>15965.1</v>
      </c>
      <c r="H8" s="93">
        <f t="shared" si="3"/>
        <v>19349.7012</v>
      </c>
      <c r="I8" s="93">
        <f t="shared" si="3"/>
        <v>20711.460369600005</v>
      </c>
      <c r="J8" s="93">
        <f t="shared" si="3"/>
        <v>18646.769852755206</v>
      </c>
      <c r="K8" s="93">
        <f t="shared" si="3"/>
        <v>12365.974844993209</v>
      </c>
      <c r="L8" s="93">
        <f t="shared" si="3"/>
        <v>2379.38412534697</v>
      </c>
      <c r="M8" s="97">
        <f>IF(M2&gt;0,(M2/M40)*M7,0)</f>
        <v>15471.945275068663</v>
      </c>
      <c r="N8" s="111">
        <f>SUM(C8:M8)</f>
        <v>130513.33566776405</v>
      </c>
    </row>
    <row r="9" spans="1:14" ht="15" customHeight="1">
      <c r="A9" s="45" t="s">
        <v>16</v>
      </c>
      <c r="B9" s="92"/>
      <c r="C9" s="93">
        <f t="shared" ref="C9:L9" si="4">C7-C8</f>
        <v>-670.13999999999987</v>
      </c>
      <c r="D9" s="93">
        <f t="shared" si="4"/>
        <v>378.4320000000007</v>
      </c>
      <c r="E9" s="93">
        <f t="shared" si="4"/>
        <v>1605.3795000000009</v>
      </c>
      <c r="F9" s="93">
        <f t="shared" si="4"/>
        <v>3964.6664999999994</v>
      </c>
      <c r="G9" s="93">
        <f t="shared" si="4"/>
        <v>8281.8956250000028</v>
      </c>
      <c r="H9" s="93">
        <f t="shared" si="4"/>
        <v>17971.274466000006</v>
      </c>
      <c r="I9" s="93">
        <f t="shared" si="4"/>
        <v>32392.253303046004</v>
      </c>
      <c r="J9" s="93">
        <f t="shared" si="4"/>
        <v>50911.838650331578</v>
      </c>
      <c r="K9" s="93">
        <f t="shared" si="4"/>
        <v>71061.18104998488</v>
      </c>
      <c r="L9" s="93">
        <f t="shared" si="4"/>
        <v>88632.05866917457</v>
      </c>
      <c r="M9" s="97">
        <f>M7-M8</f>
        <v>77359.726375343307</v>
      </c>
    </row>
    <row r="10" spans="1:14" ht="15" customHeight="1">
      <c r="A10" s="45" t="s">
        <v>48</v>
      </c>
      <c r="B10" s="92">
        <f>IF('Input sheet'!B54="Yes",'Input sheet'!B55,0)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0.08</v>
      </c>
      <c r="D12" s="90">
        <f>C12</f>
        <v>0.08</v>
      </c>
      <c r="E12" s="90">
        <f>D12</f>
        <v>0.08</v>
      </c>
      <c r="F12" s="90">
        <f>E12</f>
        <v>0.08</v>
      </c>
      <c r="G12" s="90">
        <f>F12</f>
        <v>0.08</v>
      </c>
      <c r="H12" s="90">
        <f>G12-($G$12-$M$12)/5</f>
        <v>7.8E-2</v>
      </c>
      <c r="I12" s="90">
        <f>H12-($G$12-$M$12)/5</f>
        <v>7.5999999999999998E-2</v>
      </c>
      <c r="J12" s="90">
        <f>I12-($G$12-$M$12)/5</f>
        <v>7.3999999999999996E-2</v>
      </c>
      <c r="K12" s="90">
        <f>J12-($G$12-$M$12)/5</f>
        <v>7.1999999999999995E-2</v>
      </c>
      <c r="L12" s="90">
        <f>K12-($G$12-$M$12)/5</f>
        <v>6.9999999999999993E-2</v>
      </c>
      <c r="M12" s="91">
        <f>IF('Input sheet'!B41="Yes",'Input sheet'!B42,IF('Input sheet'!B57="Yes",'Input sheet'!B58+'Country equity risk premiums'!B1,'Input sheet'!B30+'Country equity risk premiums'!B1))</f>
        <v>7.0000000000000007E-2</v>
      </c>
    </row>
    <row r="13" spans="1:14" ht="15" customHeight="1">
      <c r="A13" s="46" t="s">
        <v>147</v>
      </c>
      <c r="B13" s="89"/>
      <c r="C13" s="153">
        <f>1/(1+C12)</f>
        <v>0.92592592592592582</v>
      </c>
      <c r="D13" s="153">
        <f>C13*(1/(1+D12))</f>
        <v>0.8573388203017831</v>
      </c>
      <c r="E13" s="153">
        <f t="shared" ref="E13:L13" si="6">D13*(1/(1+E12))</f>
        <v>0.79383224102016947</v>
      </c>
      <c r="F13" s="153">
        <f t="shared" si="6"/>
        <v>0.73502985279645316</v>
      </c>
      <c r="G13" s="153">
        <f t="shared" si="6"/>
        <v>0.68058319703375281</v>
      </c>
      <c r="H13" s="153">
        <f t="shared" si="6"/>
        <v>0.6313387727585833</v>
      </c>
      <c r="I13" s="153">
        <f t="shared" si="6"/>
        <v>0.58674607133697332</v>
      </c>
      <c r="J13" s="153">
        <f t="shared" si="6"/>
        <v>0.54631850217595279</v>
      </c>
      <c r="K13" s="153">
        <f t="shared" si="6"/>
        <v>0.50962546844771706</v>
      </c>
      <c r="L13" s="153">
        <f t="shared" si="6"/>
        <v>0.47628548453057667</v>
      </c>
      <c r="M13" s="98"/>
    </row>
    <row r="14" spans="1:14" ht="15" customHeight="1">
      <c r="A14" s="46" t="s">
        <v>21</v>
      </c>
      <c r="B14" s="89"/>
      <c r="C14" s="93">
        <f t="shared" ref="C14:L14" si="7">C9*C13</f>
        <v>-620.49999999999977</v>
      </c>
      <c r="D14" s="93">
        <f t="shared" si="7"/>
        <v>324.44444444444497</v>
      </c>
      <c r="E14" s="93">
        <f t="shared" si="7"/>
        <v>1274.4020061728399</v>
      </c>
      <c r="F14" s="93">
        <f t="shared" si="7"/>
        <v>2914.1482338820288</v>
      </c>
      <c r="G14" s="93">
        <f t="shared" si="7"/>
        <v>5636.5190019623524</v>
      </c>
      <c r="H14" s="93">
        <f t="shared" si="7"/>
        <v>11345.962366272108</v>
      </c>
      <c r="I14" s="93">
        <f t="shared" si="7"/>
        <v>19006.027367314338</v>
      </c>
      <c r="J14" s="93">
        <f t="shared" si="7"/>
        <v>27814.079434472929</v>
      </c>
      <c r="K14" s="93">
        <f t="shared" si="7"/>
        <v>36214.587681046578</v>
      </c>
      <c r="L14" s="93">
        <f t="shared" si="7"/>
        <v>42214.163008190306</v>
      </c>
      <c r="M14" s="98"/>
    </row>
    <row r="15" spans="1:14" ht="15" customHeight="1">
      <c r="A15" s="46"/>
      <c r="B15" s="45"/>
      <c r="C15" s="51"/>
      <c r="D15" s="51"/>
      <c r="E15" s="51"/>
      <c r="F15" s="51"/>
      <c r="G15" s="51"/>
      <c r="H15" s="51"/>
      <c r="I15" s="51"/>
      <c r="J15" s="51"/>
      <c r="K15" s="51"/>
      <c r="L15" s="51"/>
    </row>
    <row r="16" spans="1:14" ht="15" customHeight="1">
      <c r="A16" s="48" t="s">
        <v>22</v>
      </c>
      <c r="B16" s="92">
        <f>M9</f>
        <v>77359.726375343307</v>
      </c>
      <c r="C16" s="51"/>
      <c r="D16" s="51"/>
      <c r="E16" s="51"/>
      <c r="F16" s="51"/>
      <c r="G16" s="51"/>
      <c r="H16" s="51"/>
      <c r="I16" s="51"/>
      <c r="J16" s="51"/>
      <c r="K16" s="51"/>
      <c r="L16" s="51"/>
    </row>
    <row r="17" spans="1:12" ht="15" customHeight="1">
      <c r="A17" s="48" t="s">
        <v>143</v>
      </c>
      <c r="B17" s="94">
        <f>M12</f>
        <v>7.0000000000000007E-2</v>
      </c>
      <c r="C17" s="51"/>
      <c r="D17" s="51"/>
      <c r="E17" s="51"/>
      <c r="F17" s="51"/>
      <c r="G17" s="51"/>
      <c r="H17" s="51"/>
      <c r="I17" s="51"/>
      <c r="J17" s="51"/>
      <c r="K17" s="51"/>
      <c r="L17" s="51"/>
    </row>
    <row r="18" spans="1:12">
      <c r="A18" s="48" t="s">
        <v>23</v>
      </c>
      <c r="B18" s="92">
        <f>B16/(B17-M2)</f>
        <v>1547194.527506866</v>
      </c>
      <c r="C18" s="51"/>
      <c r="D18" s="154"/>
      <c r="E18" s="51"/>
      <c r="F18" s="51"/>
      <c r="G18" s="51"/>
      <c r="H18" s="51"/>
      <c r="I18" s="51"/>
      <c r="J18" s="51"/>
      <c r="K18" s="51"/>
      <c r="L18" s="51"/>
    </row>
    <row r="19" spans="1:12">
      <c r="A19" s="48" t="s">
        <v>24</v>
      </c>
      <c r="B19" s="99">
        <f>B18*L13</f>
        <v>736906.29519666429</v>
      </c>
      <c r="C19" s="51"/>
      <c r="D19" s="51"/>
      <c r="E19" s="51"/>
      <c r="F19" s="51"/>
      <c r="G19" s="51"/>
      <c r="H19" s="51"/>
      <c r="I19" s="51"/>
      <c r="J19" s="51"/>
      <c r="K19" s="51"/>
      <c r="L19" s="51"/>
    </row>
    <row r="20" spans="1:12">
      <c r="A20" s="48" t="s">
        <v>46</v>
      </c>
      <c r="B20" s="99">
        <f>SUM(C14:L14)</f>
        <v>146123.83354375794</v>
      </c>
      <c r="C20" s="51"/>
      <c r="D20" s="51"/>
      <c r="E20" s="51"/>
      <c r="F20" s="51"/>
      <c r="G20" s="51"/>
      <c r="H20" s="51"/>
      <c r="I20" s="51"/>
      <c r="J20" s="51"/>
      <c r="K20" s="51"/>
      <c r="L20" s="51"/>
    </row>
    <row r="21" spans="1:12">
      <c r="A21" s="48" t="s">
        <v>47</v>
      </c>
      <c r="B21" s="99">
        <f>B19+B20</f>
        <v>883030.12874042219</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441515.0643702111</v>
      </c>
      <c r="C23" s="51"/>
      <c r="D23" s="51"/>
      <c r="E23" s="51"/>
      <c r="F23" s="51"/>
      <c r="G23" s="51"/>
      <c r="H23" s="51"/>
      <c r="I23" s="51"/>
      <c r="J23" s="51"/>
      <c r="K23" s="51"/>
      <c r="L23" s="51"/>
    </row>
    <row r="24" spans="1:12">
      <c r="A24" s="48" t="s">
        <v>44</v>
      </c>
      <c r="B24" s="92">
        <f>B21*(1-B22)+B23*B22</f>
        <v>883030.12874042219</v>
      </c>
      <c r="C24" s="51"/>
      <c r="D24" s="51"/>
      <c r="E24" s="51"/>
      <c r="F24" s="51"/>
      <c r="G24" s="51"/>
      <c r="H24" s="51"/>
      <c r="I24" s="51"/>
      <c r="J24" s="51"/>
      <c r="K24" s="51"/>
      <c r="L24" s="51"/>
    </row>
    <row r="25" spans="1:12">
      <c r="A25" s="48" t="s">
        <v>390</v>
      </c>
      <c r="B25" s="92">
        <f>IF('Input sheet'!B14="Yes",'Input sheet'!B12+'Operating lease converter'!C28,'Input sheet'!B12)</f>
        <v>13337</v>
      </c>
      <c r="C25" s="51"/>
      <c r="D25" s="51"/>
      <c r="E25" s="51"/>
      <c r="F25" s="51"/>
      <c r="G25" s="51"/>
      <c r="H25" s="51"/>
      <c r="I25" s="51"/>
      <c r="J25" s="51"/>
      <c r="K25" s="51"/>
      <c r="L25" s="51"/>
    </row>
    <row r="26" spans="1:12">
      <c r="A26" s="48" t="s">
        <v>392</v>
      </c>
      <c r="B26" s="92">
        <f>'Input sheet'!B17</f>
        <v>0</v>
      </c>
      <c r="C26" s="51"/>
      <c r="D26" s="51"/>
      <c r="E26" s="51"/>
      <c r="F26" s="51"/>
      <c r="G26" s="51"/>
      <c r="H26" s="51"/>
      <c r="I26" s="51"/>
      <c r="J26" s="51"/>
      <c r="K26" s="51"/>
      <c r="L26" s="51"/>
    </row>
    <row r="27" spans="1:12">
      <c r="A27" s="48" t="s">
        <v>389</v>
      </c>
      <c r="B27" s="92">
        <f>IF('Input sheet'!B63="YES",'Input sheet'!B15-'Input sheet'!B64*('Input sheet'!B21-'Input sheet'!B65),'Input sheet'!B15)</f>
        <v>19384</v>
      </c>
      <c r="C27" s="51"/>
      <c r="D27" s="51"/>
      <c r="E27" s="51"/>
      <c r="F27" s="51"/>
      <c r="G27" s="51"/>
      <c r="H27" s="51"/>
      <c r="I27" s="51"/>
      <c r="J27" s="51"/>
      <c r="K27" s="51"/>
      <c r="L27" s="51"/>
    </row>
    <row r="28" spans="1:12">
      <c r="A28" s="48" t="s">
        <v>388</v>
      </c>
      <c r="B28" s="92">
        <f>'Input sheet'!B16</f>
        <v>0</v>
      </c>
      <c r="C28" s="51"/>
      <c r="D28" s="51"/>
      <c r="E28" s="51"/>
      <c r="F28" s="51"/>
      <c r="G28" s="51"/>
      <c r="H28" s="51"/>
      <c r="I28" s="51"/>
      <c r="J28" s="51"/>
      <c r="K28" s="51"/>
      <c r="L28" s="51"/>
    </row>
    <row r="29" spans="1:12">
      <c r="A29" s="48" t="s">
        <v>53</v>
      </c>
      <c r="B29" s="99">
        <f>B24-B25-B26+B27+B28</f>
        <v>889077.12874042219</v>
      </c>
      <c r="C29" s="51"/>
      <c r="D29" s="51"/>
      <c r="E29" s="51"/>
      <c r="F29" s="51"/>
      <c r="G29" s="51"/>
      <c r="H29" s="51"/>
      <c r="I29" s="51"/>
      <c r="J29" s="51"/>
      <c r="K29" s="51"/>
      <c r="L29" s="51"/>
    </row>
    <row r="30" spans="1:12">
      <c r="A30" s="48" t="s">
        <v>59</v>
      </c>
      <c r="B30" s="102">
        <f ca="1">IF('Input sheet'!B33="No",0,'Option value'!D27)</f>
        <v>94101.387625311007</v>
      </c>
      <c r="C30" s="51"/>
      <c r="D30" s="51"/>
      <c r="E30" s="51"/>
      <c r="F30" s="51"/>
      <c r="G30" s="51"/>
      <c r="H30" s="51"/>
      <c r="I30" s="51"/>
      <c r="J30" s="51"/>
      <c r="K30" s="51"/>
      <c r="L30" s="51"/>
    </row>
    <row r="31" spans="1:12">
      <c r="A31" s="48" t="s">
        <v>60</v>
      </c>
      <c r="B31" s="99">
        <f ca="1">B29-B30</f>
        <v>794975.74111511116</v>
      </c>
      <c r="C31" s="51"/>
      <c r="D31" s="51"/>
      <c r="E31" s="51"/>
      <c r="F31" s="51"/>
      <c r="G31" s="51"/>
      <c r="H31" s="51"/>
      <c r="I31" s="51"/>
      <c r="J31" s="51"/>
      <c r="K31" s="51"/>
      <c r="L31" s="51"/>
    </row>
    <row r="32" spans="1:12">
      <c r="A32" s="48" t="s">
        <v>13</v>
      </c>
      <c r="B32" s="103">
        <f>'Input sheet'!B18</f>
        <v>959.85</v>
      </c>
      <c r="C32" s="51"/>
      <c r="D32" s="51"/>
      <c r="E32" s="51"/>
      <c r="F32" s="51"/>
      <c r="G32" s="51"/>
      <c r="H32" s="51"/>
      <c r="I32" s="51"/>
      <c r="J32" s="51"/>
      <c r="K32" s="51"/>
      <c r="L32" s="51"/>
    </row>
    <row r="33" spans="1:13">
      <c r="A33" s="48" t="s">
        <v>95</v>
      </c>
      <c r="B33" s="104">
        <f ca="1">B31/B32</f>
        <v>828.22914113154252</v>
      </c>
      <c r="C33" s="51"/>
      <c r="D33" s="51"/>
      <c r="E33" s="51"/>
      <c r="F33" s="51"/>
      <c r="G33" s="51"/>
      <c r="H33" s="51"/>
      <c r="I33" s="51"/>
      <c r="J33" s="51"/>
      <c r="K33" s="51"/>
      <c r="L33" s="51"/>
    </row>
    <row r="34" spans="1:13">
      <c r="A34" s="48" t="s">
        <v>102</v>
      </c>
      <c r="B34" s="105">
        <f>'Input sheet'!B19</f>
        <v>661.75</v>
      </c>
      <c r="C34" s="51"/>
      <c r="D34" s="51"/>
      <c r="E34" s="51"/>
      <c r="F34" s="51"/>
      <c r="G34" s="51"/>
      <c r="H34" s="51"/>
      <c r="I34" s="51"/>
      <c r="J34" s="51"/>
      <c r="K34" s="51"/>
      <c r="L34" s="51"/>
    </row>
    <row r="35" spans="1:13">
      <c r="A35" s="48" t="s">
        <v>51</v>
      </c>
      <c r="B35" s="95">
        <f ca="1">B34/B33</f>
        <v>0.79899386188694654</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6">
        <f>'Input sheet'!B28</f>
        <v>5</v>
      </c>
      <c r="D38" s="106">
        <f>C38</f>
        <v>5</v>
      </c>
      <c r="E38" s="106">
        <f t="shared" ref="E38:L38" si="8">D38</f>
        <v>5</v>
      </c>
      <c r="F38" s="106">
        <f t="shared" si="8"/>
        <v>5</v>
      </c>
      <c r="G38" s="106">
        <f t="shared" si="8"/>
        <v>5</v>
      </c>
      <c r="H38" s="106">
        <f t="shared" si="8"/>
        <v>5</v>
      </c>
      <c r="I38" s="106">
        <f t="shared" si="8"/>
        <v>5</v>
      </c>
      <c r="J38" s="106">
        <f t="shared" si="8"/>
        <v>5</v>
      </c>
      <c r="K38" s="106">
        <f t="shared" si="8"/>
        <v>5</v>
      </c>
      <c r="L38" s="106">
        <f t="shared" si="8"/>
        <v>5</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19051</v>
      </c>
      <c r="C39" s="108">
        <f t="shared" ref="C39:L39" si="9">B39+C8</f>
        <v>22204.6</v>
      </c>
      <c r="D39" s="108">
        <f t="shared" si="9"/>
        <v>26935</v>
      </c>
      <c r="E39" s="108">
        <f t="shared" si="9"/>
        <v>34030.6</v>
      </c>
      <c r="F39" s="108">
        <f t="shared" si="9"/>
        <v>44674</v>
      </c>
      <c r="G39" s="108">
        <f t="shared" si="9"/>
        <v>60639.1</v>
      </c>
      <c r="H39" s="108">
        <f t="shared" si="9"/>
        <v>79988.801200000002</v>
      </c>
      <c r="I39" s="108">
        <f t="shared" si="9"/>
        <v>100700.2615696</v>
      </c>
      <c r="J39" s="108">
        <f t="shared" si="9"/>
        <v>119347.03142235521</v>
      </c>
      <c r="K39" s="108">
        <f t="shared" si="9"/>
        <v>131713.00626734842</v>
      </c>
      <c r="L39" s="108">
        <f t="shared" si="9"/>
        <v>134092.39039269538</v>
      </c>
      <c r="M39" s="98"/>
    </row>
    <row r="40" spans="1:13">
      <c r="A40" s="44" t="s">
        <v>19</v>
      </c>
      <c r="B40" s="94">
        <f t="shared" ref="B40:L40" si="10">B7/B39</f>
        <v>8.0681329064091103E-2</v>
      </c>
      <c r="C40" s="90">
        <f t="shared" si="10"/>
        <v>0.11184439260333445</v>
      </c>
      <c r="D40" s="90">
        <f t="shared" si="10"/>
        <v>0.18967261926860962</v>
      </c>
      <c r="E40" s="90">
        <f t="shared" si="10"/>
        <v>0.25568104882076725</v>
      </c>
      <c r="F40" s="90">
        <f t="shared" si="10"/>
        <v>0.32699257957648742</v>
      </c>
      <c r="G40" s="90">
        <f t="shared" si="10"/>
        <v>0.3998574455260715</v>
      </c>
      <c r="H40" s="90">
        <f t="shared" si="10"/>
        <v>0.46657750967769229</v>
      </c>
      <c r="I40" s="90">
        <f t="shared" si="10"/>
        <v>0.52734434692548282</v>
      </c>
      <c r="J40" s="90">
        <f t="shared" si="10"/>
        <v>0.58282646559449802</v>
      </c>
      <c r="K40" s="90">
        <f t="shared" si="10"/>
        <v>0.63340104564646649</v>
      </c>
      <c r="L40" s="110">
        <f t="shared" si="10"/>
        <v>0.67872190605291316</v>
      </c>
      <c r="M40" s="90">
        <f>IF('Input sheet'!B44="Yes",'Input sheet'!B45,'Valuation output'!L12)</f>
        <v>0.12</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abSelected="1" zoomScale="88" zoomScaleNormal="88" workbookViewId="0">
      <selection activeCell="A3" sqref="A3:G6"/>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5.5" style="298" customWidth="1"/>
    <col min="8" max="8" width="17" customWidth="1"/>
    <col min="13" max="13" width="12.5" bestFit="1" customWidth="1"/>
  </cols>
  <sheetData>
    <row r="1" spans="1:11">
      <c r="A1" s="373" t="str">
        <f>'Input sheet'!B2</f>
        <v>Tesla</v>
      </c>
      <c r="B1" s="373"/>
      <c r="C1" s="373"/>
      <c r="D1" s="373"/>
      <c r="E1" s="373"/>
      <c r="F1" s="373"/>
      <c r="G1" s="373"/>
    </row>
    <row r="2" spans="1:11">
      <c r="A2" s="374" t="s">
        <v>623</v>
      </c>
      <c r="B2" s="374"/>
      <c r="C2" s="374"/>
      <c r="D2" s="374"/>
      <c r="E2" s="374"/>
      <c r="F2" s="374"/>
      <c r="G2" s="374"/>
    </row>
    <row r="3" spans="1:11" ht="16" customHeight="1">
      <c r="A3" s="433" t="s">
        <v>775</v>
      </c>
      <c r="B3" s="383"/>
      <c r="C3" s="383"/>
      <c r="D3" s="383"/>
      <c r="E3" s="383"/>
      <c r="F3" s="383"/>
      <c r="G3" s="384"/>
      <c r="H3" s="391" t="s">
        <v>647</v>
      </c>
      <c r="I3" s="392"/>
      <c r="J3" s="392"/>
      <c r="K3" s="393"/>
    </row>
    <row r="4" spans="1:11" ht="16" customHeight="1">
      <c r="A4" s="385"/>
      <c r="B4" s="386"/>
      <c r="C4" s="386"/>
      <c r="D4" s="386"/>
      <c r="E4" s="386"/>
      <c r="F4" s="386"/>
      <c r="G4" s="387"/>
      <c r="H4" s="394"/>
      <c r="I4" s="395"/>
      <c r="J4" s="395"/>
      <c r="K4" s="396"/>
    </row>
    <row r="5" spans="1:11" ht="12" customHeight="1">
      <c r="A5" s="385"/>
      <c r="B5" s="386"/>
      <c r="C5" s="386"/>
      <c r="D5" s="386"/>
      <c r="E5" s="386"/>
      <c r="F5" s="386"/>
      <c r="G5" s="387"/>
      <c r="H5" s="394"/>
      <c r="I5" s="395"/>
      <c r="J5" s="395"/>
      <c r="K5" s="396"/>
    </row>
    <row r="6" spans="1:11" ht="17" customHeight="1">
      <c r="A6" s="388"/>
      <c r="B6" s="389"/>
      <c r="C6" s="389"/>
      <c r="D6" s="389"/>
      <c r="E6" s="389"/>
      <c r="F6" s="389"/>
      <c r="G6" s="390"/>
      <c r="H6" s="397"/>
      <c r="I6" s="398"/>
      <c r="J6" s="398"/>
      <c r="K6" s="399"/>
    </row>
    <row r="7" spans="1:11">
      <c r="A7" s="375" t="s">
        <v>624</v>
      </c>
      <c r="B7" s="376"/>
      <c r="C7" s="376"/>
      <c r="D7" s="376"/>
      <c r="E7" s="376"/>
      <c r="F7" s="376"/>
      <c r="G7" s="377"/>
    </row>
    <row r="8" spans="1:11">
      <c r="A8" s="271"/>
      <c r="B8" s="266" t="s">
        <v>625</v>
      </c>
      <c r="C8" s="353" t="s">
        <v>759</v>
      </c>
      <c r="D8" s="267" t="s">
        <v>626</v>
      </c>
      <c r="E8" s="266" t="s">
        <v>627</v>
      </c>
      <c r="F8" s="266" t="s">
        <v>43</v>
      </c>
      <c r="G8" s="268" t="s">
        <v>634</v>
      </c>
    </row>
    <row r="9" spans="1:11">
      <c r="A9" s="272" t="s">
        <v>635</v>
      </c>
      <c r="B9" s="273">
        <f>'Valuation output'!B3</f>
        <v>31536</v>
      </c>
      <c r="C9" s="352">
        <f>'Input sheet'!B23</f>
        <v>0.5</v>
      </c>
      <c r="D9" s="274">
        <f>'Input sheet'!B25</f>
        <v>0.5</v>
      </c>
      <c r="E9" s="274">
        <f>F9</f>
        <v>0.02</v>
      </c>
      <c r="F9" s="274">
        <f>'Valuation output'!M2</f>
        <v>0.02</v>
      </c>
      <c r="G9" s="296" t="s">
        <v>774</v>
      </c>
      <c r="H9" s="400" t="s">
        <v>648</v>
      </c>
      <c r="I9" s="401"/>
      <c r="J9" s="401"/>
      <c r="K9" s="402"/>
    </row>
    <row r="10" spans="1:11" ht="34">
      <c r="A10" s="272" t="s">
        <v>636</v>
      </c>
      <c r="B10" s="274">
        <f>'Valuation output'!B4</f>
        <v>6.4986470488753584E-2</v>
      </c>
      <c r="C10" s="352">
        <f>'Input sheet'!B24</f>
        <v>7.0000000000000007E-2</v>
      </c>
      <c r="D10" s="276">
        <f>B10</f>
        <v>6.4986470488753584E-2</v>
      </c>
      <c r="E10" s="277">
        <f>F10</f>
        <v>0.2</v>
      </c>
      <c r="F10" s="274">
        <f>'Valuation output'!M4</f>
        <v>0.2</v>
      </c>
      <c r="G10" s="357" t="s">
        <v>770</v>
      </c>
      <c r="H10" s="403"/>
      <c r="I10" s="404"/>
      <c r="J10" s="404"/>
      <c r="K10" s="405"/>
    </row>
    <row r="11" spans="1:11">
      <c r="A11" s="272" t="s">
        <v>141</v>
      </c>
      <c r="B11" s="274">
        <f>'Valuation output'!B6</f>
        <v>0.25</v>
      </c>
      <c r="C11" s="274"/>
      <c r="D11" s="276">
        <f>B11</f>
        <v>0.25</v>
      </c>
      <c r="E11" s="277">
        <f>F11</f>
        <v>0.25</v>
      </c>
      <c r="F11" s="274">
        <f>'Valuation output'!M6</f>
        <v>0.25</v>
      </c>
      <c r="G11" s="301" t="s">
        <v>762</v>
      </c>
      <c r="H11" s="403"/>
      <c r="I11" s="404"/>
      <c r="J11" s="404"/>
      <c r="K11" s="405"/>
    </row>
    <row r="12" spans="1:11">
      <c r="A12" s="272" t="s">
        <v>637</v>
      </c>
      <c r="B12" s="275"/>
      <c r="C12" s="275" t="s">
        <v>760</v>
      </c>
      <c r="D12" s="278"/>
      <c r="E12" s="354">
        <f>'Input sheet'!B28</f>
        <v>5</v>
      </c>
      <c r="F12" s="279">
        <f>'Valuation output'!M2/'Valuation output'!M40</f>
        <v>0.16666666666666669</v>
      </c>
      <c r="G12" s="301" t="s">
        <v>771</v>
      </c>
      <c r="H12" s="403"/>
      <c r="I12" s="404"/>
      <c r="J12" s="404"/>
      <c r="K12" s="405"/>
    </row>
    <row r="13" spans="1:11">
      <c r="A13" s="302" t="s">
        <v>650</v>
      </c>
      <c r="B13" s="305">
        <f>'Valuation output'!B40</f>
        <v>8.0681329064091103E-2</v>
      </c>
      <c r="C13" s="274" t="s">
        <v>651</v>
      </c>
      <c r="D13" s="307"/>
      <c r="E13" s="355">
        <f>Diagnostics!B6</f>
        <v>1.0370109110480381</v>
      </c>
      <c r="F13" s="303">
        <f>'Valuation output'!M40</f>
        <v>0.12</v>
      </c>
      <c r="G13" s="304" t="s">
        <v>772</v>
      </c>
      <c r="H13" s="403"/>
      <c r="I13" s="404"/>
      <c r="J13" s="404"/>
      <c r="K13" s="405"/>
    </row>
    <row r="14" spans="1:11" ht="18" thickBot="1">
      <c r="A14" s="280" t="s">
        <v>638</v>
      </c>
      <c r="B14" s="306"/>
      <c r="C14" s="275"/>
      <c r="D14" s="276">
        <f>'Valuation output'!C12</f>
        <v>0.08</v>
      </c>
      <c r="E14" s="277">
        <f>F14</f>
        <v>7.0000000000000007E-2</v>
      </c>
      <c r="F14" s="281">
        <f>'Valuation output'!M12</f>
        <v>7.0000000000000007E-2</v>
      </c>
      <c r="G14" s="361" t="s">
        <v>773</v>
      </c>
      <c r="H14" s="406"/>
      <c r="I14" s="407"/>
      <c r="J14" s="407"/>
      <c r="K14" s="408"/>
    </row>
    <row r="15" spans="1:11" ht="17" thickBot="1">
      <c r="A15" s="378" t="s">
        <v>629</v>
      </c>
      <c r="B15" s="378"/>
      <c r="C15" s="378"/>
      <c r="D15" s="378"/>
      <c r="E15" s="378"/>
      <c r="F15" s="378"/>
      <c r="G15" s="378"/>
    </row>
    <row r="16" spans="1:11">
      <c r="A16" s="265"/>
      <c r="B16" s="269" t="s">
        <v>11</v>
      </c>
      <c r="C16" s="269" t="s">
        <v>628</v>
      </c>
      <c r="D16" s="269" t="s">
        <v>641</v>
      </c>
      <c r="E16" s="269" t="s">
        <v>630</v>
      </c>
      <c r="F16" s="269" t="s">
        <v>639</v>
      </c>
      <c r="G16" s="309" t="s">
        <v>16</v>
      </c>
      <c r="H16" s="409" t="s">
        <v>649</v>
      </c>
      <c r="I16" s="410"/>
      <c r="J16" s="410"/>
      <c r="K16" s="411"/>
    </row>
    <row r="17" spans="1:11">
      <c r="A17" s="282">
        <v>1</v>
      </c>
      <c r="B17" s="283">
        <f>'Valuation output'!C3</f>
        <v>47304</v>
      </c>
      <c r="C17" s="284">
        <f>'Valuation output'!C4</f>
        <v>7.0000000000000007E-2</v>
      </c>
      <c r="D17" s="273">
        <f>B17*C17</f>
        <v>3311.28</v>
      </c>
      <c r="E17" s="283">
        <f>'Valuation output'!C7</f>
        <v>2483.46</v>
      </c>
      <c r="F17" s="283">
        <f>'Valuation output'!C8</f>
        <v>3153.6</v>
      </c>
      <c r="G17" s="310">
        <f>E17-F17</f>
        <v>-670.13999999999987</v>
      </c>
      <c r="H17" s="412"/>
      <c r="I17" s="413"/>
      <c r="J17" s="413"/>
      <c r="K17" s="414"/>
    </row>
    <row r="18" spans="1:11">
      <c r="A18" s="282">
        <v>2</v>
      </c>
      <c r="B18" s="283">
        <f>'Valuation output'!D3</f>
        <v>70956</v>
      </c>
      <c r="C18" s="284">
        <f>'Valuation output'!D4</f>
        <v>9.6000000000000002E-2</v>
      </c>
      <c r="D18" s="273">
        <f t="shared" ref="D18:D27" si="0">B18*C18</f>
        <v>6811.7759999999998</v>
      </c>
      <c r="E18" s="283">
        <f>'Valuation output'!D7</f>
        <v>5108.8320000000003</v>
      </c>
      <c r="F18" s="283">
        <f>'Valuation output'!D8</f>
        <v>4730.3999999999996</v>
      </c>
      <c r="G18" s="310">
        <f t="shared" ref="G18:G27" si="1">E18-F18</f>
        <v>378.4320000000007</v>
      </c>
      <c r="H18" s="412"/>
      <c r="I18" s="413"/>
      <c r="J18" s="413"/>
      <c r="K18" s="414"/>
    </row>
    <row r="19" spans="1:11">
      <c r="A19" s="282">
        <v>3</v>
      </c>
      <c r="B19" s="283">
        <f>'Valuation output'!E3</f>
        <v>106434</v>
      </c>
      <c r="C19" s="284">
        <f>'Valuation output'!E4</f>
        <v>0.109</v>
      </c>
      <c r="D19" s="273">
        <f t="shared" si="0"/>
        <v>11601.306</v>
      </c>
      <c r="E19" s="283">
        <f>'Valuation output'!E7</f>
        <v>8700.9795000000013</v>
      </c>
      <c r="F19" s="283">
        <f>'Valuation output'!E8</f>
        <v>7095.6</v>
      </c>
      <c r="G19" s="310">
        <f t="shared" si="1"/>
        <v>1605.3795000000009</v>
      </c>
      <c r="H19" s="412"/>
      <c r="I19" s="413"/>
      <c r="J19" s="413"/>
      <c r="K19" s="414"/>
    </row>
    <row r="20" spans="1:11">
      <c r="A20" s="282">
        <v>4</v>
      </c>
      <c r="B20" s="283">
        <f>'Valuation output'!F3</f>
        <v>159651</v>
      </c>
      <c r="C20" s="284">
        <f>'Valuation output'!F4</f>
        <v>0.122</v>
      </c>
      <c r="D20" s="273">
        <f t="shared" si="0"/>
        <v>19477.421999999999</v>
      </c>
      <c r="E20" s="283">
        <f>'Valuation output'!F7</f>
        <v>14608.066499999999</v>
      </c>
      <c r="F20" s="283">
        <f>'Valuation output'!F8</f>
        <v>10643.4</v>
      </c>
      <c r="G20" s="310">
        <f t="shared" si="1"/>
        <v>3964.6664999999994</v>
      </c>
      <c r="H20" s="412"/>
      <c r="I20" s="413"/>
      <c r="J20" s="413"/>
      <c r="K20" s="414"/>
    </row>
    <row r="21" spans="1:11">
      <c r="A21" s="282">
        <v>5</v>
      </c>
      <c r="B21" s="283">
        <f>'Valuation output'!G3</f>
        <v>239476.5</v>
      </c>
      <c r="C21" s="284">
        <f>'Valuation output'!G4</f>
        <v>0.13500000000000001</v>
      </c>
      <c r="D21" s="273">
        <f t="shared" si="0"/>
        <v>32329.327500000003</v>
      </c>
      <c r="E21" s="283">
        <f>'Valuation output'!G7</f>
        <v>24246.995625000003</v>
      </c>
      <c r="F21" s="283">
        <f>'Valuation output'!G8</f>
        <v>15965.1</v>
      </c>
      <c r="G21" s="310">
        <f t="shared" si="1"/>
        <v>8281.8956250000028</v>
      </c>
      <c r="H21" s="412"/>
      <c r="I21" s="413"/>
      <c r="J21" s="413"/>
      <c r="K21" s="414"/>
    </row>
    <row r="22" spans="1:11">
      <c r="A22" s="282">
        <v>6</v>
      </c>
      <c r="B22" s="283">
        <f>'Valuation output'!H3</f>
        <v>336225.00599999999</v>
      </c>
      <c r="C22" s="284">
        <f>'Valuation output'!H4</f>
        <v>0.14800000000000002</v>
      </c>
      <c r="D22" s="273">
        <f t="shared" si="0"/>
        <v>49761.300888000005</v>
      </c>
      <c r="E22" s="283">
        <f>'Valuation output'!H7</f>
        <v>37320.975666000006</v>
      </c>
      <c r="F22" s="283">
        <f>'Valuation output'!H8</f>
        <v>19349.7012</v>
      </c>
      <c r="G22" s="310">
        <f t="shared" si="1"/>
        <v>17971.274466000006</v>
      </c>
      <c r="H22" s="412"/>
      <c r="I22" s="413"/>
      <c r="J22" s="413"/>
      <c r="K22" s="414"/>
    </row>
    <row r="23" spans="1:11">
      <c r="A23" s="282">
        <v>7</v>
      </c>
      <c r="B23" s="283">
        <f>'Valuation output'!I3</f>
        <v>439782.30784800003</v>
      </c>
      <c r="C23" s="284">
        <f>'Valuation output'!I4</f>
        <v>0.161</v>
      </c>
      <c r="D23" s="273">
        <f t="shared" si="0"/>
        <v>70804.951563528011</v>
      </c>
      <c r="E23" s="283">
        <f>'Valuation output'!I7</f>
        <v>53103.713672646008</v>
      </c>
      <c r="F23" s="283">
        <f>'Valuation output'!I8</f>
        <v>20711.460369600005</v>
      </c>
      <c r="G23" s="310">
        <f t="shared" si="1"/>
        <v>32392.253303046004</v>
      </c>
      <c r="H23" s="412"/>
      <c r="I23" s="413"/>
      <c r="J23" s="413"/>
      <c r="K23" s="414"/>
    </row>
    <row r="24" spans="1:11">
      <c r="A24" s="282">
        <v>8</v>
      </c>
      <c r="B24" s="283">
        <f>'Valuation output'!J3</f>
        <v>533016.15711177606</v>
      </c>
      <c r="C24" s="284">
        <f>'Valuation output'!J4</f>
        <v>0.17400000000000002</v>
      </c>
      <c r="D24" s="273">
        <f t="shared" si="0"/>
        <v>92744.811337449049</v>
      </c>
      <c r="E24" s="283">
        <f>'Valuation output'!J7</f>
        <v>69558.608503086783</v>
      </c>
      <c r="F24" s="283">
        <f>'Valuation output'!J8</f>
        <v>18646.769852755206</v>
      </c>
      <c r="G24" s="310">
        <f t="shared" si="1"/>
        <v>50911.838650331578</v>
      </c>
      <c r="H24" s="412"/>
      <c r="I24" s="413"/>
      <c r="J24" s="413"/>
      <c r="K24" s="414"/>
    </row>
    <row r="25" spans="1:11">
      <c r="A25" s="282">
        <v>9</v>
      </c>
      <c r="B25" s="283">
        <f>'Valuation output'!K3</f>
        <v>594846.0313367421</v>
      </c>
      <c r="C25" s="284">
        <f>'Valuation output'!K4</f>
        <v>0.187</v>
      </c>
      <c r="D25" s="273">
        <f t="shared" si="0"/>
        <v>111236.20785997077</v>
      </c>
      <c r="E25" s="283">
        <f>'Valuation output'!K7</f>
        <v>83427.155894978088</v>
      </c>
      <c r="F25" s="283">
        <f>'Valuation output'!K8</f>
        <v>12365.974844993209</v>
      </c>
      <c r="G25" s="310">
        <f t="shared" si="1"/>
        <v>71061.18104998488</v>
      </c>
      <c r="H25" s="412"/>
      <c r="I25" s="413"/>
      <c r="J25" s="413"/>
      <c r="K25" s="414"/>
    </row>
    <row r="26" spans="1:11">
      <c r="A26" s="282">
        <v>10</v>
      </c>
      <c r="B26" s="283">
        <f>'Valuation output'!L3</f>
        <v>606742.95196347695</v>
      </c>
      <c r="C26" s="284">
        <f>'Valuation output'!L4</f>
        <v>0.2</v>
      </c>
      <c r="D26" s="273">
        <f t="shared" si="0"/>
        <v>121348.59039269539</v>
      </c>
      <c r="E26" s="283">
        <f>'Valuation output'!L7</f>
        <v>91011.442794521543</v>
      </c>
      <c r="F26" s="283">
        <f>'Valuation output'!L8</f>
        <v>2379.38412534697</v>
      </c>
      <c r="G26" s="310">
        <f t="shared" si="1"/>
        <v>88632.05866917457</v>
      </c>
      <c r="H26" s="412"/>
      <c r="I26" s="413"/>
      <c r="J26" s="413"/>
      <c r="K26" s="414"/>
    </row>
    <row r="27" spans="1:11" ht="17" thickBot="1">
      <c r="A27" s="285" t="s">
        <v>45</v>
      </c>
      <c r="B27" s="286">
        <f>'Valuation output'!M3</f>
        <v>618877.81100274646</v>
      </c>
      <c r="C27" s="287">
        <f>'Valuation output'!M4</f>
        <v>0.2</v>
      </c>
      <c r="D27" s="273">
        <f t="shared" si="0"/>
        <v>123775.56220054929</v>
      </c>
      <c r="E27" s="286">
        <f>'Valuation output'!M7</f>
        <v>92831.671650411969</v>
      </c>
      <c r="F27" s="286">
        <f>'Valuation output'!M8</f>
        <v>15471.945275068663</v>
      </c>
      <c r="G27" s="310">
        <f t="shared" si="1"/>
        <v>77359.726375343307</v>
      </c>
      <c r="H27" s="415"/>
      <c r="I27" s="416"/>
      <c r="J27" s="416"/>
      <c r="K27" s="417"/>
    </row>
    <row r="28" spans="1:11" ht="17" thickBot="1">
      <c r="A28" s="379" t="s">
        <v>631</v>
      </c>
      <c r="B28" s="379"/>
      <c r="C28" s="379"/>
      <c r="D28" s="379"/>
      <c r="E28" s="379"/>
      <c r="F28" s="379"/>
      <c r="G28" s="379"/>
    </row>
    <row r="29" spans="1:11">
      <c r="A29" s="380" t="s">
        <v>632</v>
      </c>
      <c r="B29" s="381"/>
      <c r="C29" s="382"/>
      <c r="D29" s="288">
        <f>'Valuation output'!B18</f>
        <v>1547194.527506866</v>
      </c>
      <c r="E29" s="289"/>
      <c r="F29" s="290"/>
      <c r="G29" s="291"/>
      <c r="H29" s="418" t="s">
        <v>652</v>
      </c>
      <c r="I29" s="419"/>
      <c r="J29" s="419"/>
      <c r="K29" s="419"/>
    </row>
    <row r="30" spans="1:11">
      <c r="A30" s="370" t="s">
        <v>633</v>
      </c>
      <c r="B30" s="371"/>
      <c r="C30" s="372"/>
      <c r="D30" s="292">
        <f>'Valuation output'!B19</f>
        <v>736906.29519666429</v>
      </c>
      <c r="E30" s="293"/>
      <c r="F30" s="294"/>
      <c r="G30" s="295"/>
      <c r="H30" s="418"/>
      <c r="I30" s="419"/>
      <c r="J30" s="419"/>
      <c r="K30" s="419"/>
    </row>
    <row r="31" spans="1:11">
      <c r="A31" s="370" t="s">
        <v>46</v>
      </c>
      <c r="B31" s="371"/>
      <c r="C31" s="372"/>
      <c r="D31" s="292">
        <f>'Valuation output'!B20</f>
        <v>146123.83354375794</v>
      </c>
      <c r="E31" s="293"/>
      <c r="F31" s="294"/>
      <c r="G31" s="295"/>
      <c r="H31" s="418"/>
      <c r="I31" s="419"/>
      <c r="J31" s="419"/>
      <c r="K31" s="419"/>
    </row>
    <row r="32" spans="1:11">
      <c r="A32" s="370" t="s">
        <v>44</v>
      </c>
      <c r="B32" s="371"/>
      <c r="C32" s="372"/>
      <c r="D32" s="292">
        <f>'Valuation output'!B21</f>
        <v>883030.12874042219</v>
      </c>
      <c r="E32" s="293"/>
      <c r="F32" s="294"/>
      <c r="G32" s="295"/>
      <c r="H32" s="418"/>
      <c r="I32" s="419"/>
      <c r="J32" s="419"/>
      <c r="K32" s="419"/>
    </row>
    <row r="33" spans="1:13">
      <c r="A33" s="370" t="s">
        <v>642</v>
      </c>
      <c r="B33" s="371"/>
      <c r="C33" s="372"/>
      <c r="D33" s="311">
        <f>D32-'Valuation output'!B24</f>
        <v>0</v>
      </c>
      <c r="E33" s="420" t="s">
        <v>111</v>
      </c>
      <c r="F33" s="421"/>
      <c r="G33" s="312">
        <f>'Valuation output'!B22</f>
        <v>0</v>
      </c>
      <c r="H33" s="404"/>
      <c r="I33" s="419"/>
      <c r="J33" s="419"/>
      <c r="K33" s="419"/>
    </row>
    <row r="34" spans="1:13">
      <c r="A34" s="370" t="s">
        <v>643</v>
      </c>
      <c r="B34" s="371"/>
      <c r="C34" s="372"/>
      <c r="D34" s="292">
        <f>'Valuation output'!B25+'Valuation output'!B26</f>
        <v>13337</v>
      </c>
      <c r="E34" s="293"/>
      <c r="F34" s="294"/>
      <c r="G34" s="295"/>
      <c r="H34" s="418"/>
      <c r="I34" s="419"/>
      <c r="J34" s="419"/>
      <c r="K34" s="419"/>
    </row>
    <row r="35" spans="1:13">
      <c r="A35" s="370" t="s">
        <v>644</v>
      </c>
      <c r="B35" s="371"/>
      <c r="C35" s="372"/>
      <c r="D35" s="292">
        <f>'Valuation output'!B27+'Valuation output'!B28</f>
        <v>19384</v>
      </c>
      <c r="E35" s="293"/>
      <c r="F35" s="294"/>
      <c r="G35" s="295"/>
      <c r="H35" s="418"/>
      <c r="I35" s="419"/>
      <c r="J35" s="419"/>
      <c r="K35" s="419"/>
    </row>
    <row r="36" spans="1:13">
      <c r="A36" s="370" t="s">
        <v>53</v>
      </c>
      <c r="B36" s="371"/>
      <c r="C36" s="372"/>
      <c r="D36" s="292">
        <f>D32-D33-D34+D35</f>
        <v>889077.12874042219</v>
      </c>
      <c r="E36" s="293"/>
      <c r="F36" s="294"/>
      <c r="G36" s="295"/>
      <c r="H36" s="418"/>
      <c r="I36" s="419"/>
      <c r="J36" s="419"/>
      <c r="K36" s="419"/>
    </row>
    <row r="37" spans="1:13">
      <c r="A37" s="370" t="s">
        <v>645</v>
      </c>
      <c r="B37" s="371"/>
      <c r="C37" s="372"/>
      <c r="D37" s="292">
        <f ca="1">'Valuation output'!B30</f>
        <v>94101.387625311007</v>
      </c>
      <c r="E37" s="293"/>
      <c r="F37" s="294"/>
      <c r="G37" s="295"/>
      <c r="H37" s="418"/>
      <c r="I37" s="419"/>
      <c r="J37" s="419"/>
      <c r="K37" s="419"/>
    </row>
    <row r="38" spans="1:13" ht="17" thickBot="1">
      <c r="A38" s="422" t="s">
        <v>640</v>
      </c>
      <c r="B38" s="423"/>
      <c r="C38" s="423"/>
      <c r="D38" s="300">
        <f>'Valuation output'!B32</f>
        <v>959.85</v>
      </c>
      <c r="E38" s="294"/>
      <c r="F38" s="297"/>
      <c r="G38" s="295"/>
      <c r="H38" s="418"/>
      <c r="I38" s="419"/>
      <c r="J38" s="419"/>
      <c r="K38" s="419"/>
    </row>
    <row r="39" spans="1:13" ht="17" thickBot="1">
      <c r="A39" s="424" t="s">
        <v>617</v>
      </c>
      <c r="B39" s="425"/>
      <c r="C39" s="425"/>
      <c r="D39" s="270">
        <f ca="1">(D36-D37)/D38</f>
        <v>828.22914113154252</v>
      </c>
      <c r="E39" s="426" t="s">
        <v>646</v>
      </c>
      <c r="F39" s="427"/>
      <c r="G39" s="308">
        <f>'Input sheet'!B19</f>
        <v>661.75</v>
      </c>
      <c r="H39" s="418"/>
      <c r="I39" s="419"/>
      <c r="J39" s="419"/>
      <c r="K39" s="419"/>
      <c r="M39" s="358"/>
    </row>
    <row r="40" spans="1:13">
      <c r="M40" s="324"/>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19051</v>
      </c>
    </row>
    <row r="3" spans="1:4" s="144" customFormat="1" ht="13">
      <c r="A3" s="147" t="s">
        <v>8</v>
      </c>
      <c r="B3" s="148">
        <f>'Valuation output'!L39</f>
        <v>134092.39039269538</v>
      </c>
    </row>
    <row r="4" spans="1:4" s="144" customFormat="1" ht="13">
      <c r="A4" s="147" t="s">
        <v>9</v>
      </c>
      <c r="B4" s="148">
        <f>B3-B2</f>
        <v>115041.39039269538</v>
      </c>
    </row>
    <row r="5" spans="1:4" s="144" customFormat="1" ht="13">
      <c r="A5" s="147" t="s">
        <v>10</v>
      </c>
      <c r="B5" s="148">
        <f>'Valuation output'!L5-'Valuation output'!B5</f>
        <v>119299.17705936206</v>
      </c>
    </row>
    <row r="6" spans="1:4" s="144" customFormat="1" ht="13">
      <c r="A6" s="147" t="s">
        <v>4</v>
      </c>
      <c r="B6" s="149">
        <f>B5/B4</f>
        <v>1.0370109110480381</v>
      </c>
    </row>
    <row r="7" spans="1:4" s="144" customFormat="1" ht="13">
      <c r="A7" s="147" t="s">
        <v>5</v>
      </c>
      <c r="B7" s="149">
        <f>'Valuation output'!L40</f>
        <v>0.67872190605291316</v>
      </c>
    </row>
    <row r="8" spans="1:4" s="144" customFormat="1" ht="13">
      <c r="A8" s="147" t="s">
        <v>238</v>
      </c>
      <c r="B8" s="149">
        <f>(1/'Valuation output'!L13)^(1/10)-1</f>
        <v>7.6993954317707836E-2</v>
      </c>
    </row>
    <row r="9" spans="1:4" s="144" customFormat="1" ht="14" thickBot="1">
      <c r="A9" s="150" t="s">
        <v>28</v>
      </c>
      <c r="B9" s="151">
        <f ca="1">'Valuation output'!B33/'Valuation output'!B34</f>
        <v>1.251574070467008</v>
      </c>
    </row>
    <row r="10" spans="1:4" s="144" customFormat="1" ht="14" thickBot="1">
      <c r="A10" s="152"/>
      <c r="B10" s="428" t="str">
        <f ca="1">IF(B9="NA","Value is negative. See below",IF(B9&gt;2,"Value seems high. See below",IF(B9&lt;0.5,"Value seems low. See below"," ")))</f>
        <v xml:space="preserve"> </v>
      </c>
      <c r="C10" s="429"/>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baseColWidth="10" defaultRowHeight="13"/>
  <sheetData>
    <row r="1" spans="1:8" s="321" customFormat="1" ht="46" thickBot="1">
      <c r="A1" s="320" t="s">
        <v>119</v>
      </c>
      <c r="B1" s="320" t="s">
        <v>11</v>
      </c>
      <c r="C1" s="320" t="s">
        <v>658</v>
      </c>
      <c r="D1" s="320" t="s">
        <v>674</v>
      </c>
      <c r="E1" s="320" t="s">
        <v>659</v>
      </c>
      <c r="F1" s="320" t="s">
        <v>48</v>
      </c>
      <c r="G1" s="320" t="s">
        <v>660</v>
      </c>
      <c r="H1" s="320" t="s">
        <v>661</v>
      </c>
    </row>
    <row r="2" spans="1:8" s="321" customFormat="1" ht="12">
      <c r="A2" s="321" t="s">
        <v>673</v>
      </c>
      <c r="B2" s="322">
        <f>'Valuation output'!B3</f>
        <v>31536</v>
      </c>
      <c r="D2" s="323">
        <f>'Valuation output'!B4</f>
        <v>6.4986470488753584E-2</v>
      </c>
      <c r="E2" s="322">
        <f>B2*D2</f>
        <v>2049.413333333333</v>
      </c>
      <c r="F2" s="322">
        <f>'Valuation output'!B10</f>
        <v>0</v>
      </c>
      <c r="G2" s="322">
        <f>E2-H2</f>
        <v>512.35333333333324</v>
      </c>
      <c r="H2" s="322">
        <f>'Valuation output'!B7</f>
        <v>1537.0599999999997</v>
      </c>
    </row>
    <row r="3" spans="1:8" s="321" customFormat="1" ht="12">
      <c r="A3" s="321">
        <v>1</v>
      </c>
      <c r="B3" s="322">
        <f>'Valuation output'!C3</f>
        <v>47304</v>
      </c>
      <c r="C3" s="323">
        <f>'Valuation output'!C2</f>
        <v>0.5</v>
      </c>
      <c r="D3" s="323">
        <f>'Valuation output'!C4</f>
        <v>7.0000000000000007E-2</v>
      </c>
      <c r="E3" s="322">
        <f>B3*D3</f>
        <v>3311.28</v>
      </c>
      <c r="F3" s="322">
        <f>'Valuation output'!C10</f>
        <v>0</v>
      </c>
      <c r="G3" s="322">
        <f t="shared" ref="G3:G12" si="0">E3-H3</f>
        <v>827.82000000000016</v>
      </c>
      <c r="H3" s="322">
        <f>'Valuation output'!C7</f>
        <v>2483.46</v>
      </c>
    </row>
    <row r="4" spans="1:8" s="321" customFormat="1" ht="12">
      <c r="A4" s="321">
        <v>2</v>
      </c>
      <c r="B4" s="325">
        <f>'Valuation output'!D3</f>
        <v>70956</v>
      </c>
      <c r="C4" s="323">
        <f>B4/B3-1</f>
        <v>0.5</v>
      </c>
      <c r="D4" s="323">
        <f>'Valuation output'!D4</f>
        <v>9.6000000000000002E-2</v>
      </c>
      <c r="E4" s="322">
        <f t="shared" ref="E4:E12" si="1">B4*D4</f>
        <v>6811.7759999999998</v>
      </c>
      <c r="F4" s="322">
        <f>'Valuation output'!D10</f>
        <v>0</v>
      </c>
      <c r="G4" s="322">
        <f t="shared" si="0"/>
        <v>1702.9439999999995</v>
      </c>
      <c r="H4" s="322">
        <f>'Valuation output'!D7</f>
        <v>5108.8320000000003</v>
      </c>
    </row>
    <row r="5" spans="1:8" s="321" customFormat="1" ht="12">
      <c r="A5" s="321">
        <v>3</v>
      </c>
      <c r="B5" s="322">
        <f>'Valuation output'!E3</f>
        <v>106434</v>
      </c>
      <c r="C5" s="323">
        <f t="shared" ref="C5:C12" si="2">B5/B4-1</f>
        <v>0.5</v>
      </c>
      <c r="D5" s="323">
        <f>'Valuation output'!E4</f>
        <v>0.109</v>
      </c>
      <c r="E5" s="322">
        <f t="shared" si="1"/>
        <v>11601.306</v>
      </c>
      <c r="F5" s="322">
        <f>'Valuation output'!E10</f>
        <v>0</v>
      </c>
      <c r="G5" s="322">
        <f t="shared" si="0"/>
        <v>2900.3264999999992</v>
      </c>
      <c r="H5" s="322">
        <f>'Valuation output'!E7</f>
        <v>8700.9795000000013</v>
      </c>
    </row>
    <row r="6" spans="1:8" s="321" customFormat="1" ht="12">
      <c r="A6" s="321">
        <v>4</v>
      </c>
      <c r="B6" s="322">
        <f>'Valuation output'!F3</f>
        <v>159651</v>
      </c>
      <c r="C6" s="323">
        <f t="shared" si="2"/>
        <v>0.5</v>
      </c>
      <c r="D6" s="323">
        <f>'Valuation output'!F4</f>
        <v>0.122</v>
      </c>
      <c r="E6" s="322">
        <f t="shared" si="1"/>
        <v>19477.421999999999</v>
      </c>
      <c r="F6" s="322">
        <f>'Valuation output'!F10</f>
        <v>0</v>
      </c>
      <c r="G6" s="322">
        <f t="shared" si="0"/>
        <v>4869.3554999999997</v>
      </c>
      <c r="H6" s="322">
        <f>'Valuation output'!F7</f>
        <v>14608.066499999999</v>
      </c>
    </row>
    <row r="7" spans="1:8" s="321" customFormat="1" ht="12">
      <c r="A7" s="321">
        <v>5</v>
      </c>
      <c r="B7" s="322">
        <f>'Valuation output'!G3</f>
        <v>239476.5</v>
      </c>
      <c r="C7" s="323">
        <f t="shared" si="2"/>
        <v>0.5</v>
      </c>
      <c r="D7" s="323">
        <f>'Valuation output'!G4</f>
        <v>0.13500000000000001</v>
      </c>
      <c r="E7" s="322">
        <f t="shared" si="1"/>
        <v>32329.327500000003</v>
      </c>
      <c r="F7" s="322">
        <f>'Valuation output'!G10</f>
        <v>0</v>
      </c>
      <c r="G7" s="322">
        <f t="shared" si="0"/>
        <v>8082.3318749999999</v>
      </c>
      <c r="H7" s="322">
        <f>'Valuation output'!G7</f>
        <v>24246.995625000003</v>
      </c>
    </row>
    <row r="8" spans="1:8" s="321" customFormat="1" ht="12">
      <c r="A8" s="321">
        <v>6</v>
      </c>
      <c r="B8" s="322">
        <f>'Valuation output'!H3</f>
        <v>336225.00599999999</v>
      </c>
      <c r="C8" s="323">
        <f t="shared" si="2"/>
        <v>0.40399999999999991</v>
      </c>
      <c r="D8" s="323">
        <f>'Valuation output'!H4</f>
        <v>0.14800000000000002</v>
      </c>
      <c r="E8" s="322">
        <f t="shared" si="1"/>
        <v>49761.300888000005</v>
      </c>
      <c r="F8" s="322">
        <f>'Valuation output'!H10</f>
        <v>0</v>
      </c>
      <c r="G8" s="322">
        <f t="shared" si="0"/>
        <v>12440.325221999999</v>
      </c>
      <c r="H8" s="322">
        <f>'Valuation output'!H7</f>
        <v>37320.975666000006</v>
      </c>
    </row>
    <row r="9" spans="1:8" s="321" customFormat="1" ht="12">
      <c r="A9" s="321">
        <v>7</v>
      </c>
      <c r="B9" s="322">
        <f>'Valuation output'!I3</f>
        <v>439782.30784800003</v>
      </c>
      <c r="C9" s="323">
        <f t="shared" si="2"/>
        <v>0.30800000000000005</v>
      </c>
      <c r="D9" s="323">
        <f>'Valuation output'!I4</f>
        <v>0.161</v>
      </c>
      <c r="E9" s="322">
        <f t="shared" si="1"/>
        <v>70804.951563528011</v>
      </c>
      <c r="F9" s="322">
        <f>'Valuation output'!I10</f>
        <v>0</v>
      </c>
      <c r="G9" s="322">
        <f t="shared" si="0"/>
        <v>17701.237890882003</v>
      </c>
      <c r="H9" s="322">
        <f>'Valuation output'!I7</f>
        <v>53103.713672646008</v>
      </c>
    </row>
    <row r="10" spans="1:8" s="321" customFormat="1" ht="12">
      <c r="A10" s="321">
        <v>8</v>
      </c>
      <c r="B10" s="322">
        <f>'Valuation output'!J3</f>
        <v>533016.15711177606</v>
      </c>
      <c r="C10" s="323">
        <f t="shared" si="2"/>
        <v>0.21199999999999997</v>
      </c>
      <c r="D10" s="323">
        <f>'Valuation output'!J4</f>
        <v>0.17400000000000002</v>
      </c>
      <c r="E10" s="322">
        <f t="shared" si="1"/>
        <v>92744.811337449049</v>
      </c>
      <c r="F10" s="322">
        <f>'Valuation output'!J10</f>
        <v>0</v>
      </c>
      <c r="G10" s="322">
        <f t="shared" si="0"/>
        <v>23186.202834362266</v>
      </c>
      <c r="H10" s="322">
        <f>'Valuation output'!J7</f>
        <v>69558.608503086783</v>
      </c>
    </row>
    <row r="11" spans="1:8" s="321" customFormat="1" ht="12">
      <c r="A11" s="321">
        <v>9</v>
      </c>
      <c r="B11" s="322">
        <f>'Valuation output'!K3</f>
        <v>594846.0313367421</v>
      </c>
      <c r="C11" s="323">
        <f t="shared" si="2"/>
        <v>0.1160000000000001</v>
      </c>
      <c r="D11" s="323">
        <f>'Valuation output'!K4</f>
        <v>0.187</v>
      </c>
      <c r="E11" s="322">
        <f t="shared" si="1"/>
        <v>111236.20785997077</v>
      </c>
      <c r="F11" s="322">
        <f>'Valuation output'!K10</f>
        <v>0</v>
      </c>
      <c r="G11" s="322">
        <f t="shared" si="0"/>
        <v>27809.051964992686</v>
      </c>
      <c r="H11" s="322">
        <f>'Valuation output'!K7</f>
        <v>83427.155894978088</v>
      </c>
    </row>
    <row r="12" spans="1:8" s="321" customFormat="1" ht="12">
      <c r="A12" s="321">
        <v>10</v>
      </c>
      <c r="B12" s="322">
        <f>'Valuation output'!L3</f>
        <v>606742.95196347695</v>
      </c>
      <c r="C12" s="323">
        <f t="shared" si="2"/>
        <v>2.0000000000000018E-2</v>
      </c>
      <c r="D12" s="323">
        <f>'Valuation output'!L4</f>
        <v>0.2</v>
      </c>
      <c r="E12" s="322">
        <f t="shared" si="1"/>
        <v>121348.59039269539</v>
      </c>
      <c r="F12" s="322">
        <f>'Valuation output'!L10</f>
        <v>0</v>
      </c>
      <c r="G12" s="322">
        <f t="shared" si="0"/>
        <v>30337.147598173848</v>
      </c>
      <c r="H12" s="322">
        <f>'Valuation output'!L7</f>
        <v>91011.442794521543</v>
      </c>
    </row>
    <row r="13" spans="1:8" s="321" customFormat="1" thickBot="1"/>
    <row r="14" spans="1:8" s="321" customFormat="1" ht="46" thickBot="1">
      <c r="A14" s="320" t="s">
        <v>119</v>
      </c>
      <c r="B14" s="320" t="s">
        <v>661</v>
      </c>
      <c r="C14" s="320" t="s">
        <v>662</v>
      </c>
      <c r="D14" s="320" t="s">
        <v>663</v>
      </c>
      <c r="E14" s="320" t="s">
        <v>664</v>
      </c>
      <c r="F14" s="320" t="s">
        <v>16</v>
      </c>
      <c r="G14" s="320" t="s">
        <v>665</v>
      </c>
      <c r="H14" s="320" t="s">
        <v>666</v>
      </c>
    </row>
    <row r="15" spans="1:8" s="321" customFormat="1" ht="12">
      <c r="A15" s="321" t="str">
        <f>A2</f>
        <v>Traling 12 month</v>
      </c>
      <c r="B15" s="322">
        <f>H2</f>
        <v>1537.0599999999997</v>
      </c>
      <c r="G15" s="327">
        <f>'Valuation output'!B39</f>
        <v>19051</v>
      </c>
      <c r="H15" s="328">
        <f>B15/G15</f>
        <v>8.0681329064091103E-2</v>
      </c>
    </row>
    <row r="16" spans="1:8" s="321" customFormat="1" ht="12">
      <c r="A16" s="321">
        <f t="shared" ref="A16:A24" si="3">A3</f>
        <v>1</v>
      </c>
      <c r="B16" s="322">
        <f t="shared" ref="B16:B25" si="4">H3</f>
        <v>2483.46</v>
      </c>
      <c r="C16" s="322">
        <f>B3-B2</f>
        <v>15768</v>
      </c>
      <c r="D16" s="326">
        <f>'Valuation output'!C38</f>
        <v>5</v>
      </c>
      <c r="E16" s="322">
        <f>C16/D16</f>
        <v>3153.6</v>
      </c>
      <c r="F16" s="322">
        <f>B16-E16</f>
        <v>-670.13999999999987</v>
      </c>
      <c r="G16" s="322">
        <f>G15+E16</f>
        <v>22204.6</v>
      </c>
      <c r="H16" s="328">
        <f t="shared" ref="H16:H25" si="5">B16/G16</f>
        <v>0.11184439260333445</v>
      </c>
    </row>
    <row r="17" spans="1:8" s="321" customFormat="1" ht="12">
      <c r="A17" s="321">
        <f t="shared" si="3"/>
        <v>2</v>
      </c>
      <c r="B17" s="322">
        <f t="shared" si="4"/>
        <v>5108.8320000000003</v>
      </c>
      <c r="C17" s="322">
        <f t="shared" ref="C17:C25" si="6">B4-B3</f>
        <v>23652</v>
      </c>
      <c r="D17" s="326">
        <f>'Valuation output'!D38</f>
        <v>5</v>
      </c>
      <c r="E17" s="322">
        <f t="shared" ref="E17:E25" si="7">C17/D17</f>
        <v>4730.3999999999996</v>
      </c>
      <c r="F17" s="322">
        <f t="shared" ref="F17:F25" si="8">B17-E17</f>
        <v>378.4320000000007</v>
      </c>
      <c r="G17" s="322">
        <f t="shared" ref="G17:G25" si="9">G16+E17</f>
        <v>26935</v>
      </c>
      <c r="H17" s="328">
        <f t="shared" si="5"/>
        <v>0.18967261926860962</v>
      </c>
    </row>
    <row r="18" spans="1:8" s="321" customFormat="1" ht="12">
      <c r="A18" s="321">
        <f t="shared" si="3"/>
        <v>3</v>
      </c>
      <c r="B18" s="322">
        <f t="shared" si="4"/>
        <v>8700.9795000000013</v>
      </c>
      <c r="C18" s="322">
        <f t="shared" si="6"/>
        <v>35478</v>
      </c>
      <c r="D18" s="326">
        <f>'Valuation output'!E38</f>
        <v>5</v>
      </c>
      <c r="E18" s="322">
        <f t="shared" si="7"/>
        <v>7095.6</v>
      </c>
      <c r="F18" s="322">
        <f t="shared" si="8"/>
        <v>1605.3795000000009</v>
      </c>
      <c r="G18" s="322">
        <f t="shared" si="9"/>
        <v>34030.6</v>
      </c>
      <c r="H18" s="328">
        <f t="shared" si="5"/>
        <v>0.25568104882076725</v>
      </c>
    </row>
    <row r="19" spans="1:8" s="321" customFormat="1" ht="12">
      <c r="A19" s="321">
        <f t="shared" si="3"/>
        <v>4</v>
      </c>
      <c r="B19" s="322">
        <f t="shared" si="4"/>
        <v>14608.066499999999</v>
      </c>
      <c r="C19" s="322">
        <f t="shared" si="6"/>
        <v>53217</v>
      </c>
      <c r="D19" s="326">
        <f>'Valuation output'!F38</f>
        <v>5</v>
      </c>
      <c r="E19" s="322">
        <f t="shared" si="7"/>
        <v>10643.4</v>
      </c>
      <c r="F19" s="322">
        <f t="shared" si="8"/>
        <v>3964.6664999999994</v>
      </c>
      <c r="G19" s="322">
        <f t="shared" si="9"/>
        <v>44674</v>
      </c>
      <c r="H19" s="328">
        <f t="shared" si="5"/>
        <v>0.32699257957648742</v>
      </c>
    </row>
    <row r="20" spans="1:8" s="321" customFormat="1" ht="12">
      <c r="A20" s="321">
        <f t="shared" si="3"/>
        <v>5</v>
      </c>
      <c r="B20" s="322">
        <f t="shared" si="4"/>
        <v>24246.995625000003</v>
      </c>
      <c r="C20" s="322">
        <f t="shared" si="6"/>
        <v>79825.5</v>
      </c>
      <c r="D20" s="326">
        <f>'Valuation output'!G38</f>
        <v>5</v>
      </c>
      <c r="E20" s="322">
        <f t="shared" si="7"/>
        <v>15965.1</v>
      </c>
      <c r="F20" s="322">
        <f t="shared" si="8"/>
        <v>8281.8956250000028</v>
      </c>
      <c r="G20" s="322">
        <f t="shared" si="9"/>
        <v>60639.1</v>
      </c>
      <c r="H20" s="328">
        <f t="shared" si="5"/>
        <v>0.3998574455260715</v>
      </c>
    </row>
    <row r="21" spans="1:8" s="321" customFormat="1" ht="12">
      <c r="A21" s="321">
        <f t="shared" si="3"/>
        <v>6</v>
      </c>
      <c r="B21" s="322">
        <f t="shared" si="4"/>
        <v>37320.975666000006</v>
      </c>
      <c r="C21" s="322">
        <f t="shared" si="6"/>
        <v>96748.505999999994</v>
      </c>
      <c r="D21" s="326">
        <f>'Valuation output'!H38</f>
        <v>5</v>
      </c>
      <c r="E21" s="322">
        <f t="shared" si="7"/>
        <v>19349.7012</v>
      </c>
      <c r="F21" s="322">
        <f t="shared" si="8"/>
        <v>17971.274466000006</v>
      </c>
      <c r="G21" s="322">
        <f t="shared" si="9"/>
        <v>79988.801200000002</v>
      </c>
      <c r="H21" s="328">
        <f t="shared" si="5"/>
        <v>0.46657750967769229</v>
      </c>
    </row>
    <row r="22" spans="1:8" s="321" customFormat="1" ht="12">
      <c r="A22" s="321">
        <f t="shared" si="3"/>
        <v>7</v>
      </c>
      <c r="B22" s="322">
        <f t="shared" si="4"/>
        <v>53103.713672646008</v>
      </c>
      <c r="C22" s="322">
        <f t="shared" si="6"/>
        <v>103557.30184800003</v>
      </c>
      <c r="D22" s="326">
        <f>'Valuation output'!I38</f>
        <v>5</v>
      </c>
      <c r="E22" s="322">
        <f t="shared" si="7"/>
        <v>20711.460369600005</v>
      </c>
      <c r="F22" s="322">
        <f t="shared" si="8"/>
        <v>32392.253303046004</v>
      </c>
      <c r="G22" s="322">
        <f t="shared" si="9"/>
        <v>100700.2615696</v>
      </c>
      <c r="H22" s="328">
        <f t="shared" si="5"/>
        <v>0.52734434692548282</v>
      </c>
    </row>
    <row r="23" spans="1:8" s="321" customFormat="1" ht="12">
      <c r="A23" s="321">
        <f t="shared" si="3"/>
        <v>8</v>
      </c>
      <c r="B23" s="322">
        <f t="shared" si="4"/>
        <v>69558.608503086783</v>
      </c>
      <c r="C23" s="322">
        <f t="shared" si="6"/>
        <v>93233.849263776036</v>
      </c>
      <c r="D23" s="326">
        <f>'Valuation output'!J38</f>
        <v>5</v>
      </c>
      <c r="E23" s="322">
        <f t="shared" si="7"/>
        <v>18646.769852755206</v>
      </c>
      <c r="F23" s="322">
        <f t="shared" si="8"/>
        <v>50911.838650331578</v>
      </c>
      <c r="G23" s="322">
        <f t="shared" si="9"/>
        <v>119347.03142235521</v>
      </c>
      <c r="H23" s="328">
        <f t="shared" si="5"/>
        <v>0.58282646559449802</v>
      </c>
    </row>
    <row r="24" spans="1:8" s="321" customFormat="1" ht="12">
      <c r="A24" s="321">
        <f t="shared" si="3"/>
        <v>9</v>
      </c>
      <c r="B24" s="322">
        <f t="shared" si="4"/>
        <v>83427.155894978088</v>
      </c>
      <c r="C24" s="322">
        <f t="shared" si="6"/>
        <v>61829.874224966043</v>
      </c>
      <c r="D24" s="326">
        <f>'Valuation output'!K38</f>
        <v>5</v>
      </c>
      <c r="E24" s="322">
        <f t="shared" si="7"/>
        <v>12365.974844993209</v>
      </c>
      <c r="F24" s="322">
        <f t="shared" si="8"/>
        <v>71061.18104998488</v>
      </c>
      <c r="G24" s="322">
        <f t="shared" si="9"/>
        <v>131713.00626734842</v>
      </c>
      <c r="H24" s="328">
        <f t="shared" si="5"/>
        <v>0.63340104564646649</v>
      </c>
    </row>
    <row r="25" spans="1:8" s="321" customFormat="1" ht="12">
      <c r="A25" s="321">
        <f>A12</f>
        <v>10</v>
      </c>
      <c r="B25" s="322">
        <f t="shared" si="4"/>
        <v>91011.442794521543</v>
      </c>
      <c r="C25" s="322">
        <f t="shared" si="6"/>
        <v>11896.920626734849</v>
      </c>
      <c r="D25" s="326">
        <f>'Valuation output'!L38</f>
        <v>5</v>
      </c>
      <c r="E25" s="322">
        <f t="shared" si="7"/>
        <v>2379.38412534697</v>
      </c>
      <c r="F25" s="322">
        <f t="shared" si="8"/>
        <v>88632.05866917457</v>
      </c>
      <c r="G25" s="322">
        <f t="shared" si="9"/>
        <v>134092.39039269538</v>
      </c>
      <c r="H25" s="328">
        <f t="shared" si="5"/>
        <v>0.67872190605291316</v>
      </c>
    </row>
    <row r="26" spans="1:8" s="321" customFormat="1" thickBot="1"/>
    <row r="27" spans="1:8" s="321" customFormat="1" ht="31" thickBot="1">
      <c r="A27" s="320" t="s">
        <v>119</v>
      </c>
      <c r="B27" s="320" t="s">
        <v>475</v>
      </c>
      <c r="C27" s="320" t="s">
        <v>667</v>
      </c>
      <c r="D27" s="320" t="s">
        <v>668</v>
      </c>
      <c r="E27" s="320" t="s">
        <v>669</v>
      </c>
      <c r="F27" s="320" t="s">
        <v>670</v>
      </c>
      <c r="G27" s="320" t="s">
        <v>671</v>
      </c>
      <c r="H27" s="320" t="s">
        <v>672</v>
      </c>
    </row>
    <row r="28" spans="1:8">
      <c r="A28">
        <f>A16</f>
        <v>1</v>
      </c>
      <c r="H28" s="316">
        <f>'Valuation output'!C12</f>
        <v>0.08</v>
      </c>
    </row>
    <row r="29" spans="1:8">
      <c r="A29">
        <f t="shared" ref="A29:A37" si="10">A17</f>
        <v>2</v>
      </c>
      <c r="H29" s="316">
        <f>'Valuation output'!D12</f>
        <v>0.08</v>
      </c>
    </row>
    <row r="30" spans="1:8">
      <c r="A30">
        <f t="shared" si="10"/>
        <v>3</v>
      </c>
      <c r="H30" s="316">
        <f>'Valuation output'!E12</f>
        <v>0.08</v>
      </c>
    </row>
    <row r="31" spans="1:8">
      <c r="A31">
        <f t="shared" si="10"/>
        <v>4</v>
      </c>
      <c r="H31" s="316">
        <f>'Valuation output'!F12</f>
        <v>0.08</v>
      </c>
    </row>
    <row r="32" spans="1:8">
      <c r="A32">
        <f t="shared" si="10"/>
        <v>5</v>
      </c>
      <c r="H32" s="316">
        <f>'Valuation output'!G12</f>
        <v>0.08</v>
      </c>
    </row>
    <row r="33" spans="1:8">
      <c r="A33">
        <f t="shared" si="10"/>
        <v>6</v>
      </c>
      <c r="H33" s="316">
        <f>'Valuation output'!H12</f>
        <v>7.8E-2</v>
      </c>
    </row>
    <row r="34" spans="1:8">
      <c r="A34">
        <f t="shared" si="10"/>
        <v>7</v>
      </c>
      <c r="H34" s="316">
        <f>'Valuation output'!I12</f>
        <v>7.5999999999999998E-2</v>
      </c>
    </row>
    <row r="35" spans="1:8">
      <c r="A35">
        <f t="shared" si="10"/>
        <v>8</v>
      </c>
      <c r="H35" s="316">
        <f>'Valuation output'!J12</f>
        <v>7.3999999999999996E-2</v>
      </c>
    </row>
    <row r="36" spans="1:8">
      <c r="A36">
        <f t="shared" si="10"/>
        <v>9</v>
      </c>
      <c r="H36" s="316">
        <f>'Valuation output'!K12</f>
        <v>7.1999999999999995E-2</v>
      </c>
    </row>
    <row r="37" spans="1:8">
      <c r="A37">
        <f t="shared" si="10"/>
        <v>10</v>
      </c>
      <c r="H37" s="316">
        <f>'Valuation output'!L12</f>
        <v>6.9999999999999993E-2</v>
      </c>
    </row>
    <row r="38" spans="1:8" ht="14" thickBot="1"/>
    <row r="39" spans="1:8" ht="31" thickBot="1">
      <c r="A39" s="320" t="s">
        <v>119</v>
      </c>
      <c r="B39" s="320" t="s">
        <v>672</v>
      </c>
      <c r="C39" s="320" t="s">
        <v>675</v>
      </c>
      <c r="D39" s="320" t="s">
        <v>16</v>
      </c>
      <c r="E39" s="320" t="s">
        <v>676</v>
      </c>
      <c r="F39" s="320" t="s">
        <v>129</v>
      </c>
    </row>
    <row r="40" spans="1:8">
      <c r="A40">
        <f>A28</f>
        <v>1</v>
      </c>
      <c r="B40" s="329">
        <f>H28</f>
        <v>0.08</v>
      </c>
      <c r="C40" s="330">
        <f>(1+'Summary Sheet'!B40)</f>
        <v>1.08</v>
      </c>
      <c r="D40" s="324">
        <f>F16</f>
        <v>-670.13999999999987</v>
      </c>
      <c r="F40" s="324">
        <f>D40/C40</f>
        <v>-620.49999999999989</v>
      </c>
    </row>
    <row r="41" spans="1:8">
      <c r="A41">
        <f t="shared" ref="A41:A49" si="11">A29</f>
        <v>2</v>
      </c>
      <c r="B41" s="329">
        <f t="shared" ref="B41:B49" si="12">H29</f>
        <v>0.08</v>
      </c>
      <c r="C41" s="330">
        <f>C40*(1+B41)</f>
        <v>1.1664000000000001</v>
      </c>
      <c r="D41" s="324">
        <f t="shared" ref="D41:D49" si="13">F17</f>
        <v>378.4320000000007</v>
      </c>
      <c r="F41" s="324">
        <f t="shared" ref="F41:F48" si="14">D41/C41</f>
        <v>324.44444444444503</v>
      </c>
    </row>
    <row r="42" spans="1:8">
      <c r="A42">
        <f t="shared" si="11"/>
        <v>3</v>
      </c>
      <c r="B42" s="329">
        <f t="shared" si="12"/>
        <v>0.08</v>
      </c>
      <c r="C42" s="330">
        <f t="shared" ref="C42:C49" si="15">C41*(1+B42)</f>
        <v>1.2597120000000002</v>
      </c>
      <c r="D42" s="324">
        <f t="shared" si="13"/>
        <v>1605.3795000000009</v>
      </c>
      <c r="F42" s="324">
        <f t="shared" si="14"/>
        <v>1274.4020061728402</v>
      </c>
    </row>
    <row r="43" spans="1:8">
      <c r="A43">
        <f t="shared" si="11"/>
        <v>4</v>
      </c>
      <c r="B43" s="329">
        <f t="shared" si="12"/>
        <v>0.08</v>
      </c>
      <c r="C43" s="330">
        <f t="shared" si="15"/>
        <v>1.3604889600000003</v>
      </c>
      <c r="D43" s="324">
        <f t="shared" si="13"/>
        <v>3964.6664999999994</v>
      </c>
      <c r="F43" s="324">
        <f t="shared" si="14"/>
        <v>2914.1482338820292</v>
      </c>
    </row>
    <row r="44" spans="1:8">
      <c r="A44">
        <f t="shared" si="11"/>
        <v>5</v>
      </c>
      <c r="B44" s="329">
        <f t="shared" si="12"/>
        <v>0.08</v>
      </c>
      <c r="C44" s="330">
        <f t="shared" si="15"/>
        <v>1.4693280768000003</v>
      </c>
      <c r="D44" s="324">
        <f t="shared" si="13"/>
        <v>8281.8956250000028</v>
      </c>
      <c r="F44" s="324">
        <f t="shared" si="14"/>
        <v>5636.5190019623542</v>
      </c>
    </row>
    <row r="45" spans="1:8">
      <c r="A45">
        <f t="shared" si="11"/>
        <v>6</v>
      </c>
      <c r="B45" s="329">
        <f t="shared" si="12"/>
        <v>7.8E-2</v>
      </c>
      <c r="C45" s="330">
        <f t="shared" si="15"/>
        <v>1.5839356667904005</v>
      </c>
      <c r="D45" s="324">
        <f t="shared" si="13"/>
        <v>17971.274466000006</v>
      </c>
      <c r="F45" s="324">
        <f t="shared" si="14"/>
        <v>11345.962366272111</v>
      </c>
    </row>
    <row r="46" spans="1:8">
      <c r="A46">
        <f t="shared" si="11"/>
        <v>7</v>
      </c>
      <c r="B46" s="329">
        <f t="shared" si="12"/>
        <v>7.5999999999999998E-2</v>
      </c>
      <c r="C46" s="330">
        <f t="shared" si="15"/>
        <v>1.7043147774664711</v>
      </c>
      <c r="D46" s="324">
        <f t="shared" si="13"/>
        <v>32392.253303046004</v>
      </c>
      <c r="F46" s="324">
        <f t="shared" si="14"/>
        <v>19006.027367314342</v>
      </c>
    </row>
    <row r="47" spans="1:8">
      <c r="A47">
        <f t="shared" si="11"/>
        <v>8</v>
      </c>
      <c r="B47" s="329">
        <f t="shared" si="12"/>
        <v>7.3999999999999996E-2</v>
      </c>
      <c r="C47" s="330">
        <f t="shared" si="15"/>
        <v>1.8304340709989901</v>
      </c>
      <c r="D47" s="324">
        <f t="shared" si="13"/>
        <v>50911.838650331578</v>
      </c>
      <c r="F47" s="324">
        <f t="shared" si="14"/>
        <v>27814.079434472933</v>
      </c>
    </row>
    <row r="48" spans="1:8">
      <c r="A48">
        <f t="shared" si="11"/>
        <v>9</v>
      </c>
      <c r="B48" s="329">
        <f t="shared" si="12"/>
        <v>7.1999999999999995E-2</v>
      </c>
      <c r="C48" s="330">
        <f t="shared" si="15"/>
        <v>1.9622253241109175</v>
      </c>
      <c r="D48" s="324">
        <f t="shared" si="13"/>
        <v>71061.18104998488</v>
      </c>
      <c r="F48" s="324">
        <f t="shared" si="14"/>
        <v>36214.587681046585</v>
      </c>
    </row>
    <row r="49" spans="1:6">
      <c r="A49">
        <f t="shared" si="11"/>
        <v>10</v>
      </c>
      <c r="B49" s="329">
        <f t="shared" si="12"/>
        <v>6.9999999999999993E-2</v>
      </c>
      <c r="C49" s="330">
        <f t="shared" si="15"/>
        <v>2.0995810967986821</v>
      </c>
      <c r="D49" s="324">
        <f t="shared" si="13"/>
        <v>88632.05866917457</v>
      </c>
      <c r="E49" s="324">
        <f>'Valuation output'!B18</f>
        <v>1547194.527506866</v>
      </c>
      <c r="F49" s="324">
        <f>(D49+E49)/C49</f>
        <v>779120.45820485475</v>
      </c>
    </row>
    <row r="50" spans="1:6">
      <c r="A50" t="s">
        <v>44</v>
      </c>
      <c r="F50" s="324">
        <f>SUM(F40:F49)</f>
        <v>883030.12874042243</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7" sqref="C17"/>
    </sheetView>
  </sheetViews>
  <sheetFormatPr baseColWidth="10" defaultRowHeight="13"/>
  <sheetData>
    <row r="1" spans="1:7" s="7" customFormat="1" ht="19">
      <c r="A1" s="6" t="s">
        <v>61</v>
      </c>
      <c r="B1" s="6"/>
    </row>
    <row r="2" spans="1:7" ht="14">
      <c r="A2" s="8" t="s">
        <v>62</v>
      </c>
      <c r="B2" s="8"/>
      <c r="D2" s="28">
        <f>'Input sheet'!B19</f>
        <v>661.75</v>
      </c>
    </row>
    <row r="3" spans="1:7" ht="14">
      <c r="A3" s="8" t="s">
        <v>63</v>
      </c>
      <c r="B3" s="8"/>
      <c r="D3" s="9">
        <f>'Input sheet'!B35</f>
        <v>70</v>
      </c>
    </row>
    <row r="4" spans="1:7" ht="14">
      <c r="A4" s="8" t="s">
        <v>64</v>
      </c>
      <c r="B4" s="8"/>
      <c r="D4" s="12">
        <f>'Input sheet'!B36</f>
        <v>5</v>
      </c>
    </row>
    <row r="5" spans="1:7" ht="14">
      <c r="A5" s="8" t="s">
        <v>65</v>
      </c>
      <c r="B5" s="8"/>
      <c r="D5" s="10">
        <f>'Input sheet'!B37</f>
        <v>0.4</v>
      </c>
      <c r="E5" s="8" t="s">
        <v>66</v>
      </c>
    </row>
    <row r="6" spans="1:7" ht="14">
      <c r="A6" s="8" t="s">
        <v>67</v>
      </c>
      <c r="B6" s="8"/>
      <c r="D6" s="11">
        <v>0</v>
      </c>
    </row>
    <row r="7" spans="1:7" ht="14">
      <c r="A7" s="8" t="s">
        <v>68</v>
      </c>
      <c r="B7" s="8"/>
      <c r="D7" s="11">
        <f>'Input sheet'!B30</f>
        <v>0.02</v>
      </c>
    </row>
    <row r="8" spans="1:7" ht="14">
      <c r="A8" s="8" t="s">
        <v>69</v>
      </c>
      <c r="B8" s="8"/>
      <c r="D8" s="12">
        <f>'Input sheet'!B34</f>
        <v>160</v>
      </c>
    </row>
    <row r="9" spans="1:7" ht="14">
      <c r="A9" s="8" t="s">
        <v>70</v>
      </c>
      <c r="B9" s="8"/>
      <c r="D9" s="13">
        <f>'Input sheet'!B18</f>
        <v>959.85</v>
      </c>
    </row>
    <row r="10" spans="1:7" ht="14">
      <c r="A10" s="8"/>
      <c r="B10" s="8"/>
    </row>
    <row r="11" spans="1:7" s="16" customFormat="1" ht="14">
      <c r="A11" s="14" t="s">
        <v>71</v>
      </c>
      <c r="B11" s="15"/>
    </row>
    <row r="12" spans="1:7" s="8" customFormat="1" ht="14">
      <c r="A12" s="17" t="s">
        <v>72</v>
      </c>
    </row>
    <row r="13" spans="1:7" s="8" customFormat="1" ht="14">
      <c r="A13" s="8" t="s">
        <v>73</v>
      </c>
      <c r="C13" s="18">
        <f>D2</f>
        <v>661.75</v>
      </c>
      <c r="D13" s="8" t="s">
        <v>74</v>
      </c>
      <c r="F13" s="19">
        <f>D8</f>
        <v>160</v>
      </c>
      <c r="G13" s="20"/>
    </row>
    <row r="14" spans="1:7" s="8" customFormat="1" ht="14">
      <c r="A14" s="8" t="s">
        <v>75</v>
      </c>
      <c r="C14" s="18">
        <f>D3</f>
        <v>70</v>
      </c>
      <c r="D14" s="8" t="s">
        <v>76</v>
      </c>
      <c r="F14" s="21">
        <f>D9</f>
        <v>959.85</v>
      </c>
      <c r="G14" s="20"/>
    </row>
    <row r="15" spans="1:7" s="8" customFormat="1" ht="14">
      <c r="A15" s="8" t="s">
        <v>77</v>
      </c>
      <c r="C15" s="18">
        <f ca="1">(C13*F14+C26*F13)/(F14+F13)</f>
        <v>651.2319731440025</v>
      </c>
      <c r="D15" s="8" t="s">
        <v>78</v>
      </c>
      <c r="F15" s="22">
        <f>D7</f>
        <v>0.02</v>
      </c>
    </row>
    <row r="16" spans="1:7" s="8" customFormat="1" ht="14">
      <c r="A16" s="8" t="s">
        <v>79</v>
      </c>
      <c r="C16" s="18">
        <f>C14</f>
        <v>70</v>
      </c>
      <c r="D16" s="8" t="s">
        <v>80</v>
      </c>
      <c r="F16" s="23">
        <f>D5^2</f>
        <v>0.16000000000000003</v>
      </c>
    </row>
    <row r="17" spans="1:7" s="8" customFormat="1" ht="14">
      <c r="A17" s="8" t="s">
        <v>81</v>
      </c>
      <c r="C17" s="18">
        <f>D4</f>
        <v>5</v>
      </c>
      <c r="D17" s="8" t="s">
        <v>82</v>
      </c>
      <c r="F17" s="22">
        <f>D6</f>
        <v>0</v>
      </c>
    </row>
    <row r="18" spans="1:7" s="8" customFormat="1" ht="14">
      <c r="C18" s="17"/>
      <c r="D18" s="8" t="s">
        <v>83</v>
      </c>
      <c r="F18" s="24">
        <f>F15-F17</f>
        <v>0.02</v>
      </c>
    </row>
    <row r="19" spans="1:7" s="8" customFormat="1" ht="14"/>
    <row r="20" spans="1:7" s="8" customFormat="1" ht="14">
      <c r="A20" s="8" t="s">
        <v>84</v>
      </c>
      <c r="B20" s="19">
        <f ca="1">(LN(C15/C16)+(F18+(F16/2))*C17)/(((F16)^(0.5))*(C17^0.5))</f>
        <v>3.0526472112164114</v>
      </c>
    </row>
    <row r="21" spans="1:7" s="8" customFormat="1" ht="14">
      <c r="A21" s="8" t="s">
        <v>85</v>
      </c>
      <c r="B21" s="19">
        <f ca="1">NORMSDIST(B20)</f>
        <v>0.99886583779747717</v>
      </c>
    </row>
    <row r="22" spans="1:7" s="8" customFormat="1" ht="14"/>
    <row r="23" spans="1:7" s="8" customFormat="1" ht="15.75" customHeight="1">
      <c r="A23" s="8" t="s">
        <v>86</v>
      </c>
      <c r="B23" s="19">
        <f ca="1">B20-((F16^0.5)*(C17^(0.5)))</f>
        <v>2.1582200202164952</v>
      </c>
    </row>
    <row r="24" spans="1:7" s="8" customFormat="1" ht="14">
      <c r="A24" s="8" t="s">
        <v>87</v>
      </c>
      <c r="B24" s="19">
        <f ca="1">NORMSDIST(B23)</f>
        <v>0.98454463521433178</v>
      </c>
    </row>
    <row r="25" spans="1:7" ht="15" thickBot="1">
      <c r="A25" s="8"/>
      <c r="B25" s="8"/>
    </row>
    <row r="26" spans="1:7" s="8" customFormat="1" ht="15" thickBot="1">
      <c r="A26" s="8" t="s">
        <v>88</v>
      </c>
      <c r="C26" s="25">
        <f ca="1">((EXP((0-F17)*C17))*C15*B21-C16*(EXP((0-F15)*C17))*B24)</f>
        <v>588.13367265819375</v>
      </c>
      <c r="G26" s="26"/>
    </row>
    <row r="27" spans="1:7" s="8" customFormat="1" ht="15" thickBot="1">
      <c r="A27" s="8" t="s">
        <v>89</v>
      </c>
      <c r="D27" s="27">
        <f ca="1">C26*D8</f>
        <v>94101.387625311007</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B15" sqref="B15"/>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431" t="s">
        <v>729</v>
      </c>
      <c r="B1" s="431"/>
      <c r="C1" s="431"/>
      <c r="D1" s="431"/>
      <c r="E1" s="431"/>
      <c r="F1" s="431"/>
      <c r="G1" s="431"/>
      <c r="H1" s="431"/>
      <c r="I1" s="431"/>
      <c r="J1" s="431"/>
      <c r="K1" s="431"/>
    </row>
    <row r="2" spans="1:17">
      <c r="A2" s="431"/>
      <c r="B2" s="431"/>
      <c r="C2" s="431"/>
      <c r="D2" s="431"/>
      <c r="E2" s="431"/>
      <c r="F2" s="431"/>
      <c r="G2" s="431"/>
      <c r="H2" s="431"/>
      <c r="I2" s="431"/>
      <c r="J2" s="431"/>
      <c r="K2" s="431"/>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v>30230</v>
      </c>
      <c r="I5" s="123">
        <f>IF(H5=0,0,VLOOKUP(G5,'Country equity risk premiums'!$A$5:$D$181,4))</f>
        <v>5.0099999999999999E-2</v>
      </c>
      <c r="J5" s="123">
        <f t="shared" ref="J5:J12" si="0">IF(H5&gt;0,H5/$H$18,)</f>
        <v>0.31206771962423868</v>
      </c>
      <c r="K5" s="123">
        <f t="shared" ref="K5:K12" si="1">IF(J5=0,0,I5*J5)</f>
        <v>1.5634592753174359E-2</v>
      </c>
      <c r="M5" s="430" t="s">
        <v>655</v>
      </c>
      <c r="N5" s="430"/>
      <c r="O5" s="430"/>
      <c r="P5" s="430"/>
      <c r="Q5" s="430"/>
    </row>
    <row r="6" spans="1:17" s="8" customFormat="1" ht="15" customHeight="1">
      <c r="A6" s="114" t="s">
        <v>183</v>
      </c>
      <c r="B6" s="120">
        <f>'Input sheet'!B18</f>
        <v>959.85</v>
      </c>
      <c r="G6" s="230" t="s">
        <v>268</v>
      </c>
      <c r="H6" s="162">
        <v>1976</v>
      </c>
      <c r="I6" s="123">
        <f>IF(H6=0,0,VLOOKUP(G6,'Country equity risk premiums'!$A$5:$D$181,4))</f>
        <v>5.0099999999999999E-2</v>
      </c>
      <c r="J6" s="123">
        <f t="shared" si="0"/>
        <v>2.0398472179209249E-2</v>
      </c>
      <c r="K6" s="123">
        <f t="shared" si="1"/>
        <v>1.0219634561783833E-3</v>
      </c>
      <c r="M6" s="430"/>
      <c r="N6" s="430"/>
      <c r="O6" s="430"/>
      <c r="P6" s="430"/>
      <c r="Q6" s="430"/>
    </row>
    <row r="7" spans="1:17" s="8" customFormat="1" ht="15" customHeight="1">
      <c r="A7" s="114" t="s">
        <v>184</v>
      </c>
      <c r="B7" s="121">
        <f>'Input sheet'!B19</f>
        <v>661.75</v>
      </c>
      <c r="G7" s="230" t="s">
        <v>346</v>
      </c>
      <c r="H7" s="162">
        <v>17527</v>
      </c>
      <c r="I7" s="123">
        <f>IF(H7=0,0,VLOOKUP(G7,'Country equity risk premiums'!$A$5:$D$181,4))</f>
        <v>5.7390703655369198E-2</v>
      </c>
      <c r="J7" s="123">
        <f t="shared" si="0"/>
        <v>0.18093320945597191</v>
      </c>
      <c r="K7" s="123">
        <f t="shared" si="1"/>
        <v>1.0383884205302528E-2</v>
      </c>
      <c r="M7" s="430"/>
      <c r="N7" s="430"/>
      <c r="O7" s="430"/>
      <c r="P7" s="430"/>
      <c r="Q7" s="430"/>
    </row>
    <row r="8" spans="1:17" s="8" customFormat="1" ht="15" customHeight="1">
      <c r="B8" s="116"/>
      <c r="G8" s="230" t="s">
        <v>299</v>
      </c>
      <c r="H8" s="162">
        <v>16002</v>
      </c>
      <c r="I8" s="123">
        <f>IF(H8=0,0,VLOOKUP(G8,'Country equity risk premiums'!$A$5:$D$181,4))</f>
        <v>6.0439543365796322E-2</v>
      </c>
      <c r="J8" s="123">
        <f t="shared" si="0"/>
        <v>0.16519046144317126</v>
      </c>
      <c r="K8" s="123">
        <f t="shared" si="1"/>
        <v>9.984036058010454E-3</v>
      </c>
      <c r="M8" s="430"/>
      <c r="N8" s="430"/>
      <c r="O8" s="430"/>
      <c r="P8" s="430"/>
      <c r="Q8" s="430"/>
    </row>
    <row r="9" spans="1:17" s="8" customFormat="1" ht="15" customHeight="1">
      <c r="A9" s="8" t="s">
        <v>474</v>
      </c>
      <c r="B9" s="230" t="s">
        <v>482</v>
      </c>
      <c r="G9" s="230"/>
      <c r="H9" s="174"/>
      <c r="I9" s="123">
        <f>IF(H9=0,0,VLOOKUP(G9,'Country equity risk premiums'!$A$5:$D$181,4))</f>
        <v>0</v>
      </c>
      <c r="J9" s="123">
        <f t="shared" si="0"/>
        <v>0</v>
      </c>
      <c r="K9" s="123">
        <f t="shared" si="1"/>
        <v>0</v>
      </c>
      <c r="M9" s="430"/>
      <c r="N9" s="430"/>
      <c r="O9" s="430"/>
      <c r="P9" s="430"/>
      <c r="Q9" s="430"/>
    </row>
    <row r="10" spans="1:17" s="8" customFormat="1" ht="15" customHeight="1">
      <c r="A10" s="8" t="s">
        <v>476</v>
      </c>
      <c r="B10" s="239">
        <v>1.2</v>
      </c>
      <c r="G10" s="230"/>
      <c r="H10" s="162"/>
      <c r="I10" s="123">
        <f>IF(H10=0,0,VLOOKUP(G10,'Country equity risk premiums'!$A$5:$D$181,4))</f>
        <v>0</v>
      </c>
      <c r="J10" s="123">
        <f t="shared" si="0"/>
        <v>0</v>
      </c>
      <c r="K10" s="123">
        <f t="shared" si="1"/>
        <v>0</v>
      </c>
      <c r="M10" s="430"/>
      <c r="N10" s="430"/>
      <c r="O10" s="430"/>
      <c r="P10" s="430"/>
      <c r="Q10" s="430"/>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0.93495314294485965</v>
      </c>
      <c r="G11" s="230"/>
      <c r="H11" s="162"/>
      <c r="I11" s="123">
        <f>IF(H11=0,0,VLOOKUP(G11,'Country equity risk premiums'!$A$5:$D$181,4))</f>
        <v>0</v>
      </c>
      <c r="J11" s="123">
        <f t="shared" si="0"/>
        <v>0</v>
      </c>
      <c r="K11" s="123">
        <f t="shared" si="1"/>
        <v>0</v>
      </c>
      <c r="M11" s="430"/>
      <c r="N11" s="430"/>
      <c r="O11" s="430"/>
      <c r="P11" s="430"/>
      <c r="Q11" s="430"/>
    </row>
    <row r="12" spans="1:17" s="8" customFormat="1" ht="15" customHeight="1">
      <c r="A12" s="8" t="s">
        <v>185</v>
      </c>
      <c r="B12" s="125">
        <f>'Input sheet'!B30</f>
        <v>0.02</v>
      </c>
      <c r="G12" s="230"/>
      <c r="H12" s="162"/>
      <c r="I12" s="123">
        <f>IF(H12=0,0,VLOOKUP(G12,'Country equity risk premiums'!$A$5:$D$181,4))</f>
        <v>0</v>
      </c>
      <c r="J12" s="123">
        <f t="shared" si="0"/>
        <v>0</v>
      </c>
      <c r="K12" s="123">
        <f t="shared" si="1"/>
        <v>0</v>
      </c>
      <c r="M12" s="430"/>
      <c r="N12" s="430"/>
      <c r="O12" s="430"/>
      <c r="P12" s="430"/>
      <c r="Q12" s="430"/>
    </row>
    <row r="13" spans="1:17" s="8" customFormat="1" ht="15" customHeight="1">
      <c r="A13" s="8" t="s">
        <v>440</v>
      </c>
      <c r="B13" s="231" t="s">
        <v>444</v>
      </c>
      <c r="G13" s="230"/>
      <c r="H13" s="162"/>
      <c r="I13" s="123">
        <f>IF(H13=0,0,VLOOKUP(G13,'Country equity risk premiums'!$A$5:$D$181,4))</f>
        <v>0</v>
      </c>
      <c r="J13" s="123">
        <f>IF(H13&gt;0,H13/$H$18,)</f>
        <v>0</v>
      </c>
      <c r="K13" s="123">
        <f>IF(J13=0,0,I13*J13)</f>
        <v>0</v>
      </c>
      <c r="M13" s="430"/>
      <c r="N13" s="430"/>
      <c r="O13" s="430"/>
      <c r="P13" s="430"/>
      <c r="Q13" s="430"/>
    </row>
    <row r="14" spans="1:17" s="8" customFormat="1" ht="15" customHeight="1">
      <c r="A14" s="8" t="s">
        <v>446</v>
      </c>
      <c r="B14" s="231">
        <v>0.06</v>
      </c>
      <c r="G14" s="230"/>
      <c r="H14" s="230"/>
      <c r="I14" s="123">
        <f>IF(H14=0,0,VLOOKUP(G14,'Country equity risk premiums'!$A$5:$D$181,4))</f>
        <v>0</v>
      </c>
      <c r="J14" s="123">
        <f>IF(H14&gt;0,H14/$H$18,)</f>
        <v>0</v>
      </c>
      <c r="K14" s="123">
        <f>IF(J14=0,0,I14*J14)</f>
        <v>0</v>
      </c>
      <c r="M14" s="430"/>
      <c r="N14" s="430"/>
      <c r="O14" s="430"/>
      <c r="P14" s="430"/>
      <c r="Q14" s="430"/>
    </row>
    <row r="15" spans="1:17" s="8" customFormat="1" ht="15" customHeight="1">
      <c r="A15" s="8" t="s">
        <v>447</v>
      </c>
      <c r="B15" s="233">
        <f>IF(B13="Will Input",B14,IF(B13="Country of Incorporation",VLOOKUP('Input sheet'!B5,'Country equity risk premiums'!A5:E181,4),IF(B13="Operating regions",'Cost of capital worksheet'!K32,'Cost of capital worksheet'!K18)))</f>
        <v>5.7714754361844076E-2</v>
      </c>
      <c r="G15" s="230"/>
      <c r="H15" s="230"/>
      <c r="I15" s="123">
        <f>IF(H15=0,0,VLOOKUP(G15,'Country equity risk premiums'!$A$5:$D$181,4))</f>
        <v>0</v>
      </c>
      <c r="J15" s="123">
        <f>IF(H15&gt;0,H15/$H$18,)</f>
        <v>0</v>
      </c>
      <c r="K15" s="123">
        <f>IF(J15=0,0,I15*J15)</f>
        <v>0</v>
      </c>
      <c r="M15" s="430"/>
      <c r="N15" s="430"/>
      <c r="O15" s="430"/>
      <c r="P15" s="430"/>
      <c r="Q15" s="430"/>
    </row>
    <row r="16" spans="1:17" s="8" customFormat="1" ht="15" customHeight="1">
      <c r="B16" s="116"/>
      <c r="G16" s="314" t="s">
        <v>736</v>
      </c>
      <c r="H16" s="162">
        <v>31135</v>
      </c>
      <c r="I16" s="334">
        <v>6.54E-2</v>
      </c>
      <c r="J16" s="123">
        <f>IF(H16&gt;0,H16/$H$18,)</f>
        <v>0.32141013729740892</v>
      </c>
      <c r="K16" s="123">
        <f>IF(J16=0,0,I16*J16)</f>
        <v>2.1020222979250543E-2</v>
      </c>
      <c r="M16" s="430"/>
      <c r="N16" s="430"/>
      <c r="O16" s="430"/>
      <c r="P16" s="430"/>
      <c r="Q16" s="430"/>
    </row>
    <row r="17" spans="1:17" s="8" customFormat="1" ht="15" customHeight="1">
      <c r="A17" s="17" t="s">
        <v>186</v>
      </c>
      <c r="B17" s="116"/>
      <c r="G17" s="314"/>
      <c r="H17" s="162"/>
      <c r="I17" s="314"/>
      <c r="J17" s="123">
        <f>IF(H17&gt;0,H17/$H$18,)</f>
        <v>0</v>
      </c>
      <c r="K17" s="123">
        <f>IF(J17=0,0,I17*J17)</f>
        <v>0</v>
      </c>
      <c r="M17" s="430"/>
      <c r="N17" s="430"/>
      <c r="O17" s="430"/>
      <c r="P17" s="430"/>
      <c r="Q17" s="430"/>
    </row>
    <row r="18" spans="1:17" s="8" customFormat="1" ht="15" customHeight="1">
      <c r="A18" s="8" t="s">
        <v>187</v>
      </c>
      <c r="B18" s="121">
        <f>'Input sheet'!B12</f>
        <v>13337</v>
      </c>
      <c r="G18" s="163" t="s">
        <v>382</v>
      </c>
      <c r="H18" s="163">
        <f>SUM(H5:H17)</f>
        <v>96870</v>
      </c>
      <c r="I18" s="163"/>
      <c r="J18" s="123">
        <f>SUM(J5:J17)</f>
        <v>1</v>
      </c>
      <c r="K18" s="123">
        <f>SUM(K5:K17)</f>
        <v>5.8044699451916273E-2</v>
      </c>
      <c r="M18" s="430"/>
      <c r="N18" s="430"/>
      <c r="O18" s="430"/>
      <c r="P18" s="430"/>
      <c r="Q18" s="430"/>
    </row>
    <row r="19" spans="1:17" s="8" customFormat="1" ht="15" customHeight="1">
      <c r="A19" s="8" t="s">
        <v>188</v>
      </c>
      <c r="B19" s="121">
        <f>'Input sheet'!B10</f>
        <v>0</v>
      </c>
      <c r="G19" s="129" t="s">
        <v>448</v>
      </c>
      <c r="M19" s="430"/>
      <c r="N19" s="430"/>
      <c r="O19" s="430"/>
      <c r="P19" s="430"/>
      <c r="Q19" s="430"/>
    </row>
    <row r="20" spans="1:17" s="8" customFormat="1" ht="15" customHeight="1">
      <c r="A20" s="8" t="s">
        <v>189</v>
      </c>
      <c r="B20" s="115">
        <v>3</v>
      </c>
      <c r="G20" s="19" t="s">
        <v>355</v>
      </c>
      <c r="H20" s="19" t="s">
        <v>11</v>
      </c>
      <c r="I20" s="19" t="s">
        <v>379</v>
      </c>
      <c r="J20" s="19" t="s">
        <v>381</v>
      </c>
      <c r="K20" s="19" t="s">
        <v>380</v>
      </c>
    </row>
    <row r="21" spans="1:17" s="8" customFormat="1" ht="15" customHeight="1">
      <c r="A21" s="8" t="s">
        <v>453</v>
      </c>
      <c r="B21" s="132" t="s">
        <v>451</v>
      </c>
      <c r="G21" s="19" t="str">
        <f>'Country equity risk premiums'!A185</f>
        <v>Africa</v>
      </c>
      <c r="H21" s="230"/>
      <c r="I21" s="24">
        <f>'Country equity risk premiums'!B185</f>
        <v>0.12203055515219111</v>
      </c>
      <c r="J21" s="123">
        <f t="shared" ref="J21:J29" si="2">H21/$H$32</f>
        <v>0</v>
      </c>
      <c r="K21" s="165">
        <f>I21*J21</f>
        <v>0</v>
      </c>
    </row>
    <row r="22" spans="1:17" s="8" customFormat="1" ht="15" customHeight="1">
      <c r="A22" s="8" t="s">
        <v>455</v>
      </c>
      <c r="B22" s="234">
        <v>0.04</v>
      </c>
      <c r="G22" s="19" t="str">
        <f>'Country equity risk premiums'!A186</f>
        <v>Asia</v>
      </c>
      <c r="H22" s="230">
        <v>15406</v>
      </c>
      <c r="I22" s="24">
        <f>'Country equity risk premiums'!B186</f>
        <v>6.5648639425947938E-2</v>
      </c>
      <c r="J22" s="123">
        <f t="shared" si="2"/>
        <v>0.21782346204419811</v>
      </c>
      <c r="K22" s="165">
        <f t="shared" ref="K22:K29" si="3">I22*J22</f>
        <v>1.4299813918251218E-2</v>
      </c>
    </row>
    <row r="23" spans="1:17" s="8" customFormat="1" ht="15" customHeight="1">
      <c r="A23" s="8" t="s">
        <v>454</v>
      </c>
      <c r="B23" s="132" t="s">
        <v>467</v>
      </c>
      <c r="G23" s="19" t="str">
        <f>'Country equity risk premiums'!A187</f>
        <v>Australia &amp; New Zealand</v>
      </c>
      <c r="H23" s="230"/>
      <c r="I23" s="24">
        <f>'Country equity risk premiums'!B187</f>
        <v>5.0148399092075066E-2</v>
      </c>
      <c r="J23" s="123">
        <f t="shared" si="2"/>
        <v>0</v>
      </c>
      <c r="K23" s="165">
        <f t="shared" si="3"/>
        <v>0</v>
      </c>
    </row>
    <row r="24" spans="1:17" s="8" customFormat="1" ht="15" customHeight="1">
      <c r="A24" s="8" t="s">
        <v>471</v>
      </c>
      <c r="B24" s="132">
        <v>2</v>
      </c>
      <c r="G24" s="19" t="str">
        <f>'Country equity risk premiums'!A188</f>
        <v>Caribbean</v>
      </c>
      <c r="H24" s="230"/>
      <c r="I24" s="24">
        <f>'Country equity risk premiums'!B188</f>
        <v>0.13146240608476523</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2.76E-2</v>
      </c>
      <c r="G25" s="19" t="str">
        <f>'Country equity risk premiums'!A189</f>
        <v>Central and South America</v>
      </c>
      <c r="H25" s="230"/>
      <c r="I25" s="24">
        <f>'Country equity risk premiums'!B189</f>
        <v>0.10477565534475422</v>
      </c>
      <c r="J25" s="123">
        <f t="shared" si="2"/>
        <v>0</v>
      </c>
      <c r="K25" s="165">
        <f t="shared" si="3"/>
        <v>0</v>
      </c>
    </row>
    <row r="26" spans="1:17" s="8" customFormat="1" ht="15" customHeight="1">
      <c r="A26" s="8" t="s">
        <v>190</v>
      </c>
      <c r="B26" s="236">
        <f>'Input sheet'!B21</f>
        <v>0.25</v>
      </c>
      <c r="G26" s="19" t="str">
        <f>'Country equity risk premiums'!A190</f>
        <v>Eastern Europe &amp; Russia</v>
      </c>
      <c r="H26" s="230"/>
      <c r="I26" s="24">
        <f>'Country equity risk premiums'!B190</f>
        <v>8.1962832218168608E-2</v>
      </c>
      <c r="J26" s="123">
        <f t="shared" si="2"/>
        <v>0</v>
      </c>
      <c r="K26" s="165">
        <f t="shared" si="3"/>
        <v>0</v>
      </c>
    </row>
    <row r="27" spans="1:17" s="8" customFormat="1" ht="15" customHeight="1">
      <c r="B27" s="116"/>
      <c r="G27" s="19" t="str">
        <f>'Country equity risk premiums'!A191</f>
        <v>Middle East</v>
      </c>
      <c r="H27" s="230"/>
      <c r="I27" s="24">
        <f>'Country equity risk premiums'!B191</f>
        <v>7.4837844888540311E-2</v>
      </c>
      <c r="J27" s="123">
        <f t="shared" si="2"/>
        <v>0</v>
      </c>
      <c r="K27" s="165">
        <f t="shared" si="3"/>
        <v>0</v>
      </c>
    </row>
    <row r="28" spans="1:17" s="8" customFormat="1" ht="15" customHeight="1">
      <c r="A28" s="8" t="s">
        <v>191</v>
      </c>
      <c r="B28" s="115">
        <v>0</v>
      </c>
      <c r="G28" s="19" t="str">
        <f>'Country equity risk premiums'!A192</f>
        <v>North America</v>
      </c>
      <c r="H28" s="230">
        <f>30260+1976</f>
        <v>32236</v>
      </c>
      <c r="I28" s="24">
        <f>'Country equity risk premiums'!B192</f>
        <v>5.0099999999999999E-2</v>
      </c>
      <c r="J28" s="123">
        <f t="shared" si="2"/>
        <v>0.45578067781752374</v>
      </c>
      <c r="K28" s="165">
        <f t="shared" si="3"/>
        <v>2.2834611958657939E-2</v>
      </c>
    </row>
    <row r="29" spans="1:17" s="8" customFormat="1" ht="15" customHeight="1">
      <c r="A29" s="8" t="s">
        <v>192</v>
      </c>
      <c r="B29" s="115">
        <v>0</v>
      </c>
      <c r="G29" s="19" t="str">
        <f>'Country equity risk premiums'!A193</f>
        <v>Western Europe</v>
      </c>
      <c r="H29" s="230">
        <v>16826</v>
      </c>
      <c r="I29" s="24">
        <f>'Country equity risk premiums'!B193</f>
        <v>6.2180333576250565E-2</v>
      </c>
      <c r="J29" s="123">
        <f t="shared" si="2"/>
        <v>0.23790066028532245</v>
      </c>
      <c r="K29" s="165">
        <f t="shared" si="3"/>
        <v>1.4792742414551615E-2</v>
      </c>
    </row>
    <row r="30" spans="1:17" s="8" customFormat="1" ht="15" customHeight="1">
      <c r="A30" s="8" t="s">
        <v>193</v>
      </c>
      <c r="B30" s="115">
        <v>0</v>
      </c>
      <c r="G30" s="230"/>
      <c r="H30" s="230"/>
      <c r="I30" s="315"/>
      <c r="J30" s="123">
        <f>H30/$H$32</f>
        <v>0</v>
      </c>
      <c r="K30" s="165">
        <f>I30*J30</f>
        <v>0</v>
      </c>
    </row>
    <row r="31" spans="1:17" s="8" customFormat="1" ht="15" customHeight="1">
      <c r="A31" s="8" t="s">
        <v>194</v>
      </c>
      <c r="B31" s="115">
        <v>0</v>
      </c>
      <c r="G31" s="230" t="s">
        <v>736</v>
      </c>
      <c r="H31" s="230">
        <v>6259</v>
      </c>
      <c r="I31" s="315">
        <v>6.54E-2</v>
      </c>
      <c r="J31" s="123">
        <f>H31/$H$32</f>
        <v>8.849519985295573E-2</v>
      </c>
      <c r="K31" s="165">
        <f>I31*J31</f>
        <v>5.787586070383305E-3</v>
      </c>
    </row>
    <row r="32" spans="1:17" s="8" customFormat="1" ht="15" customHeight="1">
      <c r="B32" s="116"/>
      <c r="G32" s="163" t="s">
        <v>382</v>
      </c>
      <c r="H32" s="163">
        <f>SUM(H21:H31)</f>
        <v>70727</v>
      </c>
      <c r="I32" s="125"/>
      <c r="J32" s="123">
        <f>SUM(J21:J31)</f>
        <v>1</v>
      </c>
      <c r="K32" s="166">
        <f>SUM(K21:K31)</f>
        <v>5.7714754361844076E-2</v>
      </c>
    </row>
    <row r="33" spans="1:11" s="8" customFormat="1" ht="15" customHeight="1">
      <c r="A33" s="8" t="s">
        <v>195</v>
      </c>
      <c r="B33" s="121">
        <f>IF('Input sheet'!B14="Yes",'Operating lease converter'!F33,0)</f>
        <v>0</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G36" s="230" t="s">
        <v>98</v>
      </c>
      <c r="H36" s="175">
        <v>75157</v>
      </c>
      <c r="I36" s="176">
        <f>IF(G36=0,,VLOOKUP(G36,'Industry Average Beta (US)'!$A$2:$S$95,15))</f>
        <v>1.93894991479811</v>
      </c>
      <c r="J36" s="177">
        <f>H36*I36</f>
        <v>145725.65874648155</v>
      </c>
      <c r="K36" s="176">
        <f>IF(I36=0,0,VLOOKUP(G36,'Industry Average Beta (US)'!$A$2:$S$95,7))</f>
        <v>0.93495314294485965</v>
      </c>
    </row>
    <row r="37" spans="1:11" s="8" customFormat="1" ht="15" customHeight="1">
      <c r="A37" s="8" t="s">
        <v>198</v>
      </c>
      <c r="B37" s="115">
        <v>70</v>
      </c>
      <c r="G37" s="230"/>
      <c r="H37" s="175"/>
      <c r="I37" s="176">
        <f>IF(G37=0,,VLOOKUP(G37,'Industry Average Beta (US)'!$A$2:$S$95,15))</f>
        <v>0</v>
      </c>
      <c r="J37" s="177">
        <f>H37*I37</f>
        <v>0</v>
      </c>
      <c r="K37" s="176">
        <f>IF(I37=0,0,VLOOKUP(G37,'Industry Average Beta (US)'!$A$2:$S$95,7))</f>
        <v>0</v>
      </c>
    </row>
    <row r="38" spans="1:11" s="8" customFormat="1" ht="15" customHeight="1">
      <c r="A38" s="8" t="s">
        <v>199</v>
      </c>
      <c r="B38" s="115">
        <v>5</v>
      </c>
      <c r="G38" s="230"/>
      <c r="H38" s="175"/>
      <c r="I38" s="176">
        <f>IF(G38=0,,VLOOKUP(G38,'Industry Average Beta (US)'!$A$2:$S$95,15))</f>
        <v>0</v>
      </c>
      <c r="J38" s="177">
        <f t="shared" ref="J38:J47" si="4">H38*I38</f>
        <v>0</v>
      </c>
      <c r="K38" s="176">
        <f>IF(I38=0,0,VLOOKUP(G38,'Industry Average Beta (US)'!$A$2:$S$95,7))</f>
        <v>0</v>
      </c>
    </row>
    <row r="39" spans="1:11" s="8" customFormat="1" ht="15" customHeight="1">
      <c r="G39" s="230"/>
      <c r="H39" s="175"/>
      <c r="I39" s="176">
        <f>IF(G39=0,,VLOOKUP(G39,'Industry Average Beta (US)'!$A$2:$S$95,15))</f>
        <v>0</v>
      </c>
      <c r="J39" s="177">
        <f t="shared" si="4"/>
        <v>0</v>
      </c>
      <c r="K39" s="176">
        <f>IF(I39=0,0,VLOOKUP(G39,'Industry Average Beta (US)'!$A$2:$S$95,7))</f>
        <v>0</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12290.9616723786</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4">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0.9485218871230533</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f>
        <v>635180.73750000005</v>
      </c>
      <c r="C48" s="122">
        <f>C41+C42+C43</f>
        <v>12290.9616723786</v>
      </c>
      <c r="D48" s="122">
        <f>B36*B37</f>
        <v>0</v>
      </c>
      <c r="E48" s="121">
        <f>SUM(B48:D48)</f>
        <v>647471.69917237863</v>
      </c>
      <c r="F48" s="8"/>
      <c r="G48" s="178" t="s">
        <v>239</v>
      </c>
      <c r="H48" s="179">
        <f>SUM(H36:H47)</f>
        <v>75157</v>
      </c>
      <c r="I48" s="180"/>
      <c r="J48" s="177">
        <f>SUM(J36:J47)</f>
        <v>145725.65874648155</v>
      </c>
      <c r="K48" s="180">
        <f>K36*(J36/J48)+K37*J37/J48+K38*J38/J48+K39*J39/J48+K40*J40/J48+K41*J41/J48+K42*J42/J48+K43*J43/J48+K44*J44/J48+K45*J45/J48+K46*J46/J48+K47*J47/J48</f>
        <v>0.93495314294485965</v>
      </c>
    </row>
    <row r="49" spans="1:11" ht="15" thickBot="1">
      <c r="A49" s="19" t="s">
        <v>207</v>
      </c>
      <c r="B49" s="123">
        <f>B48/$E$48</f>
        <v>0.9810169901046033</v>
      </c>
      <c r="C49" s="123">
        <f>C48/$E$48</f>
        <v>1.8983009895396735E-2</v>
      </c>
      <c r="D49" s="123">
        <f>D48/$E$48</f>
        <v>0</v>
      </c>
      <c r="E49" s="124">
        <f>SUM(B49:D49)</f>
        <v>1</v>
      </c>
      <c r="F49" s="8"/>
    </row>
    <row r="50" spans="1:11" ht="20" thickBot="1">
      <c r="A50" s="19" t="s">
        <v>208</v>
      </c>
      <c r="B50" s="125">
        <f>B12+C45*B15</f>
        <v>7.4743707722139813E-2</v>
      </c>
      <c r="C50" s="123">
        <f>B25*(1-B26)</f>
        <v>2.07E-2</v>
      </c>
      <c r="D50" s="126">
        <f>B38/B37</f>
        <v>7.1428571428571425E-2</v>
      </c>
      <c r="E50" s="127">
        <f>B49*B50+C49*C50+D49*D50</f>
        <v>7.3717795483666512E-2</v>
      </c>
      <c r="F50" s="8"/>
      <c r="G50" s="240" t="s">
        <v>478</v>
      </c>
    </row>
    <row r="51" spans="1:11" ht="14">
      <c r="G51" s="19" t="s">
        <v>393</v>
      </c>
      <c r="H51" s="19" t="s">
        <v>11</v>
      </c>
      <c r="I51" s="19" t="s">
        <v>168</v>
      </c>
      <c r="J51" s="19" t="s">
        <v>394</v>
      </c>
      <c r="K51" s="19" t="s">
        <v>210</v>
      </c>
    </row>
    <row r="52" spans="1:11" ht="14">
      <c r="G52" s="230" t="s">
        <v>515</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G7" sqref="G7"/>
    </sheetView>
  </sheetViews>
  <sheetFormatPr baseColWidth="10" defaultRowHeight="13"/>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v>1491</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v>1343</v>
      </c>
      <c r="C11" s="185" t="s">
        <v>414</v>
      </c>
      <c r="D11" s="185"/>
      <c r="E11" s="185"/>
      <c r="F11" s="185"/>
      <c r="G11" s="185"/>
      <c r="H11" s="185"/>
      <c r="I11" s="185"/>
    </row>
    <row r="12" spans="1:10" s="186" customFormat="1" ht="14">
      <c r="A12" s="187">
        <f>IF((0-A11)&lt;$F$6,IF(A11&gt;-1,,A11-1),)</f>
        <v>-2</v>
      </c>
      <c r="B12" s="188">
        <v>1460</v>
      </c>
      <c r="C12" s="185" t="s">
        <v>415</v>
      </c>
      <c r="D12" s="185"/>
      <c r="E12" s="185"/>
      <c r="F12" s="185"/>
      <c r="G12" s="185"/>
      <c r="H12" s="185"/>
      <c r="I12" s="185"/>
    </row>
    <row r="13" spans="1:10" s="186" customFormat="1" ht="14">
      <c r="A13" s="187">
        <f t="shared" ref="A13:A20" si="0">IF((0-A12)&lt;$F$6,IF(A12&gt;-1,,A12-1),)</f>
        <v>-3</v>
      </c>
      <c r="B13" s="188">
        <v>1378</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9" s="186" customFormat="1" ht="14">
      <c r="A17" s="187">
        <f t="shared" si="0"/>
        <v>0</v>
      </c>
      <c r="B17" s="188"/>
      <c r="C17" s="185"/>
      <c r="D17" s="185"/>
      <c r="E17" s="185"/>
      <c r="F17" s="185"/>
      <c r="G17" s="185"/>
      <c r="H17" s="185"/>
      <c r="I17" s="185"/>
    </row>
    <row r="18" spans="1:9" s="186" customFormat="1" ht="14">
      <c r="A18" s="187">
        <f t="shared" si="0"/>
        <v>0</v>
      </c>
      <c r="B18" s="188"/>
      <c r="C18" s="185"/>
      <c r="D18" s="185"/>
      <c r="E18" s="185"/>
      <c r="F18" s="185"/>
      <c r="G18" s="185"/>
      <c r="H18" s="185"/>
      <c r="I18" s="185"/>
    </row>
    <row r="19" spans="1:9" s="186" customFormat="1" ht="14">
      <c r="A19" s="187">
        <f t="shared" si="0"/>
        <v>0</v>
      </c>
      <c r="B19" s="188"/>
      <c r="C19" s="185"/>
      <c r="D19" s="185"/>
      <c r="E19" s="185"/>
      <c r="F19" s="185"/>
      <c r="G19" s="185"/>
      <c r="H19" s="185"/>
      <c r="I19" s="185"/>
    </row>
    <row r="20" spans="1:9" s="186" customFormat="1" ht="14">
      <c r="A20" s="187">
        <f t="shared" si="0"/>
        <v>0</v>
      </c>
      <c r="B20" s="188"/>
      <c r="C20" s="185"/>
      <c r="D20" s="185"/>
      <c r="E20" s="185"/>
      <c r="F20" s="185"/>
      <c r="G20" s="185"/>
      <c r="H20" s="185"/>
      <c r="I20" s="185"/>
    </row>
    <row r="21" spans="1:9" s="186" customFormat="1" ht="14">
      <c r="A21" s="185"/>
      <c r="B21" s="185"/>
      <c r="C21" s="185"/>
      <c r="D21" s="185"/>
      <c r="E21" s="185"/>
      <c r="F21" s="185"/>
      <c r="G21" s="185"/>
      <c r="H21" s="185"/>
      <c r="I21" s="185"/>
    </row>
    <row r="22" spans="1:9" s="186" customFormat="1" ht="14">
      <c r="A22" s="189" t="s">
        <v>123</v>
      </c>
      <c r="B22" s="185"/>
      <c r="C22" s="185"/>
      <c r="D22" s="185"/>
      <c r="E22" s="185"/>
      <c r="F22" s="185"/>
      <c r="G22" s="185"/>
      <c r="H22" s="185"/>
      <c r="I22" s="185"/>
    </row>
    <row r="23" spans="1:9" s="186" customFormat="1" ht="14">
      <c r="A23" s="184" t="s">
        <v>119</v>
      </c>
      <c r="B23" s="184" t="s">
        <v>416</v>
      </c>
      <c r="C23" s="190" t="s">
        <v>417</v>
      </c>
      <c r="D23" s="191"/>
      <c r="E23" s="185" t="s">
        <v>418</v>
      </c>
      <c r="F23" s="185"/>
      <c r="G23" s="185"/>
      <c r="H23" s="185"/>
      <c r="I23" s="185"/>
    </row>
    <row r="24" spans="1:9" s="186" customFormat="1" ht="14">
      <c r="A24" s="184" t="s">
        <v>419</v>
      </c>
      <c r="B24" s="184">
        <f>F7</f>
        <v>1491</v>
      </c>
      <c r="C24" s="184">
        <f>1</f>
        <v>1</v>
      </c>
      <c r="D24" s="184">
        <f>B24*C24</f>
        <v>1491</v>
      </c>
      <c r="E24" s="185"/>
      <c r="F24" s="185"/>
      <c r="G24" s="185"/>
      <c r="H24" s="185"/>
      <c r="I24" s="185"/>
    </row>
    <row r="25" spans="1:9" s="186" customFormat="1" ht="14">
      <c r="A25" s="187">
        <f>A11</f>
        <v>-1</v>
      </c>
      <c r="B25" s="184">
        <f>B11</f>
        <v>1343</v>
      </c>
      <c r="C25" s="184">
        <f>IF(A25&lt;0,($F$6+A25)/$F$6,0)</f>
        <v>0.66666666666666663</v>
      </c>
      <c r="D25" s="184">
        <f>B25*C25</f>
        <v>895.33333333333326</v>
      </c>
      <c r="E25" s="192">
        <f t="shared" ref="E25:E34" si="1">IF(A25&lt;0,B25/$F$6,0)</f>
        <v>447.66666666666669</v>
      </c>
      <c r="F25" s="185"/>
      <c r="G25" s="185"/>
      <c r="H25" s="185"/>
      <c r="I25" s="185"/>
    </row>
    <row r="26" spans="1:9" s="186" customFormat="1" ht="14">
      <c r="A26" s="187">
        <f t="shared" ref="A26:B34" si="2">A12</f>
        <v>-2</v>
      </c>
      <c r="B26" s="184">
        <f t="shared" si="2"/>
        <v>1460</v>
      </c>
      <c r="C26" s="184">
        <f>IF(A26&lt;0,($F$6+A26)/$F$6,0)</f>
        <v>0.33333333333333331</v>
      </c>
      <c r="D26" s="184">
        <f t="shared" ref="D26:D34" si="3">B26*C26</f>
        <v>486.66666666666663</v>
      </c>
      <c r="E26" s="192">
        <f t="shared" si="1"/>
        <v>486.66666666666669</v>
      </c>
      <c r="F26" s="185"/>
      <c r="G26" s="185"/>
      <c r="H26" s="185"/>
      <c r="I26" s="185"/>
    </row>
    <row r="27" spans="1:9" s="186" customFormat="1" ht="14">
      <c r="A27" s="187">
        <f t="shared" si="2"/>
        <v>-3</v>
      </c>
      <c r="B27" s="184">
        <f t="shared" si="2"/>
        <v>1378</v>
      </c>
      <c r="C27" s="184">
        <f>IF(A27&lt;0,($F$6+A27)/$F$6,0)</f>
        <v>0</v>
      </c>
      <c r="D27" s="184">
        <f t="shared" si="3"/>
        <v>0</v>
      </c>
      <c r="E27" s="192">
        <f t="shared" si="1"/>
        <v>459.33333333333331</v>
      </c>
      <c r="F27" s="185"/>
      <c r="G27" s="185"/>
      <c r="H27" s="185"/>
      <c r="I27" s="185"/>
    </row>
    <row r="28" spans="1:9" s="186" customFormat="1" ht="14">
      <c r="A28" s="187">
        <f t="shared" si="2"/>
        <v>0</v>
      </c>
      <c r="B28" s="184">
        <f t="shared" si="2"/>
        <v>0</v>
      </c>
      <c r="C28" s="184">
        <f t="shared" ref="C28:C34" si="4">IF(A28&lt;0,($F$6+A28)/$F$6,0)</f>
        <v>0</v>
      </c>
      <c r="D28" s="184">
        <f t="shared" si="3"/>
        <v>0</v>
      </c>
      <c r="E28" s="192">
        <f t="shared" si="1"/>
        <v>0</v>
      </c>
      <c r="F28" s="185"/>
      <c r="G28" s="185"/>
      <c r="H28" s="185"/>
      <c r="I28" s="185"/>
    </row>
    <row r="29" spans="1:9" s="186" customFormat="1" ht="14">
      <c r="A29" s="187">
        <f t="shared" si="2"/>
        <v>0</v>
      </c>
      <c r="B29" s="184">
        <f t="shared" si="2"/>
        <v>0</v>
      </c>
      <c r="C29" s="184">
        <f t="shared" si="4"/>
        <v>0</v>
      </c>
      <c r="D29" s="184">
        <f t="shared" si="3"/>
        <v>0</v>
      </c>
      <c r="E29" s="192">
        <f t="shared" si="1"/>
        <v>0</v>
      </c>
      <c r="F29" s="185"/>
      <c r="G29" s="185"/>
      <c r="H29" s="185"/>
      <c r="I29" s="185"/>
    </row>
    <row r="30" spans="1:9" s="186" customFormat="1" ht="14">
      <c r="A30" s="187">
        <f t="shared" si="2"/>
        <v>0</v>
      </c>
      <c r="B30" s="184">
        <f t="shared" si="2"/>
        <v>0</v>
      </c>
      <c r="C30" s="184">
        <f t="shared" si="4"/>
        <v>0</v>
      </c>
      <c r="D30" s="184">
        <f t="shared" si="3"/>
        <v>0</v>
      </c>
      <c r="E30" s="192">
        <f t="shared" si="1"/>
        <v>0</v>
      </c>
      <c r="F30" s="185"/>
      <c r="G30" s="185"/>
      <c r="H30" s="185"/>
      <c r="I30" s="185"/>
    </row>
    <row r="31" spans="1:9" s="186" customFormat="1" ht="14">
      <c r="A31" s="187">
        <f t="shared" si="2"/>
        <v>0</v>
      </c>
      <c r="B31" s="184">
        <f t="shared" si="2"/>
        <v>0</v>
      </c>
      <c r="C31" s="184">
        <f t="shared" si="4"/>
        <v>0</v>
      </c>
      <c r="D31" s="184">
        <f t="shared" si="3"/>
        <v>0</v>
      </c>
      <c r="E31" s="192">
        <f t="shared" si="1"/>
        <v>0</v>
      </c>
      <c r="F31" s="185"/>
      <c r="G31" s="185"/>
      <c r="H31" s="185"/>
      <c r="I31" s="185"/>
    </row>
    <row r="32" spans="1:9" s="186" customFormat="1" ht="14">
      <c r="A32" s="187">
        <f t="shared" si="2"/>
        <v>0</v>
      </c>
      <c r="B32" s="184">
        <f t="shared" si="2"/>
        <v>0</v>
      </c>
      <c r="C32" s="184">
        <f t="shared" si="4"/>
        <v>0</v>
      </c>
      <c r="D32" s="184">
        <f t="shared" si="3"/>
        <v>0</v>
      </c>
      <c r="E32" s="192">
        <f t="shared" si="1"/>
        <v>0</v>
      </c>
      <c r="F32" s="185"/>
      <c r="G32" s="185"/>
      <c r="H32" s="185"/>
      <c r="I32" s="185"/>
    </row>
    <row r="33" spans="1:9" s="186" customFormat="1" ht="14">
      <c r="A33" s="187">
        <f t="shared" si="2"/>
        <v>0</v>
      </c>
      <c r="B33" s="184">
        <f t="shared" si="2"/>
        <v>0</v>
      </c>
      <c r="C33" s="184">
        <f t="shared" si="4"/>
        <v>0</v>
      </c>
      <c r="D33" s="184">
        <f t="shared" si="3"/>
        <v>0</v>
      </c>
      <c r="E33" s="192">
        <f t="shared" si="1"/>
        <v>0</v>
      </c>
      <c r="F33" s="185"/>
      <c r="G33" s="185"/>
      <c r="H33" s="185"/>
      <c r="I33" s="185"/>
    </row>
    <row r="34" spans="1:9" s="186" customFormat="1" ht="16" customHeight="1" thickBot="1">
      <c r="A34" s="187">
        <f t="shared" si="2"/>
        <v>0</v>
      </c>
      <c r="B34" s="184">
        <f t="shared" si="2"/>
        <v>0</v>
      </c>
      <c r="C34" s="184">
        <f t="shared" si="4"/>
        <v>0</v>
      </c>
      <c r="D34" s="193">
        <f t="shared" si="3"/>
        <v>0</v>
      </c>
      <c r="E34" s="194">
        <f t="shared" si="1"/>
        <v>0</v>
      </c>
      <c r="F34" s="185"/>
      <c r="G34" s="185"/>
      <c r="H34" s="185"/>
      <c r="I34" s="185"/>
    </row>
    <row r="35" spans="1:9" s="8" customFormat="1" ht="15" thickBot="1">
      <c r="A35" s="8" t="s">
        <v>420</v>
      </c>
      <c r="D35" s="195">
        <f>SUM(D24:D34)</f>
        <v>2872.9999999999995</v>
      </c>
      <c r="E35" s="25">
        <f>SUM(E25:E34)</f>
        <v>1393.6666666666667</v>
      </c>
    </row>
    <row r="36" spans="1:9" ht="14" thickBot="1"/>
    <row r="37" spans="1:9" s="8" customFormat="1" ht="15" thickBot="1">
      <c r="A37" s="8" t="s">
        <v>421</v>
      </c>
      <c r="D37" s="195">
        <f>E35</f>
        <v>1393.6666666666667</v>
      </c>
    </row>
    <row r="38" spans="1:9" s="8" customFormat="1" ht="15" thickBot="1"/>
    <row r="39" spans="1:9" s="8" customFormat="1" ht="14">
      <c r="A39" s="8" t="s">
        <v>422</v>
      </c>
      <c r="D39" s="196">
        <f>F7-D37</f>
        <v>97.333333333333258</v>
      </c>
      <c r="E39" s="8" t="s">
        <v>423</v>
      </c>
    </row>
    <row r="40" spans="1:9" ht="14">
      <c r="A40" t="s">
        <v>424</v>
      </c>
      <c r="D40" s="197">
        <f>D39*'Input sheet'!B21</f>
        <v>24.333333333333314</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295</v>
      </c>
    </row>
    <row r="5" spans="1:11" s="15" customFormat="1" ht="14">
      <c r="A5" s="15" t="s">
        <v>118</v>
      </c>
    </row>
    <row r="6" spans="1:11" s="8" customFormat="1" ht="14">
      <c r="A6" s="30" t="s">
        <v>119</v>
      </c>
      <c r="B6" s="30" t="s">
        <v>120</v>
      </c>
      <c r="C6" s="8" t="s">
        <v>121</v>
      </c>
    </row>
    <row r="7" spans="1:11" s="8" customFormat="1" ht="14">
      <c r="A7" s="30">
        <v>1</v>
      </c>
      <c r="B7" s="319">
        <v>287</v>
      </c>
    </row>
    <row r="8" spans="1:11" s="8" customFormat="1" ht="14">
      <c r="A8" s="30">
        <v>2</v>
      </c>
      <c r="B8" s="319">
        <v>235</v>
      </c>
    </row>
    <row r="9" spans="1:11" s="8" customFormat="1" ht="14">
      <c r="A9" s="30">
        <v>3</v>
      </c>
      <c r="B9" s="319">
        <v>194</v>
      </c>
    </row>
    <row r="10" spans="1:11" s="8" customFormat="1" ht="14">
      <c r="A10" s="30">
        <v>4</v>
      </c>
      <c r="B10" s="319">
        <v>151</v>
      </c>
    </row>
    <row r="11" spans="1:11" s="8" customFormat="1" ht="14">
      <c r="A11" s="30">
        <v>5</v>
      </c>
      <c r="B11" s="319">
        <v>98</v>
      </c>
    </row>
    <row r="12" spans="1:11" s="8" customFormat="1" ht="14">
      <c r="A12" s="30" t="s">
        <v>122</v>
      </c>
      <c r="B12" s="318">
        <v>605</v>
      </c>
    </row>
    <row r="13" spans="1:11" s="8" customFormat="1" ht="14"/>
    <row r="14" spans="1:11" s="31" customFormat="1" ht="17" thickBot="1">
      <c r="A14" s="31" t="s">
        <v>123</v>
      </c>
    </row>
    <row r="15" spans="1:11" s="8" customFormat="1" ht="15" thickBot="1">
      <c r="A15" s="8" t="s">
        <v>124</v>
      </c>
      <c r="C15" s="80">
        <f>'Cost of capital worksheet'!B25</f>
        <v>2.76E-2</v>
      </c>
      <c r="D15" s="8" t="s">
        <v>235</v>
      </c>
    </row>
    <row r="16" spans="1:11" s="8" customFormat="1" ht="14"/>
    <row r="17" spans="1:7" s="8" customFormat="1" ht="14">
      <c r="D17" s="34"/>
    </row>
    <row r="18" spans="1:7" s="8" customFormat="1" ht="14">
      <c r="A18" s="8" t="s">
        <v>125</v>
      </c>
      <c r="D18" s="35">
        <f>IF(B12&gt;0,ROUND(B12/AVERAGE(B7:B11),0),0)</f>
        <v>3</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287</v>
      </c>
      <c r="C22" s="9">
        <f>B22/(1+$C$15)^A22</f>
        <v>279.29155313351498</v>
      </c>
    </row>
    <row r="23" spans="1:7" s="8" customFormat="1" ht="14">
      <c r="A23" s="19">
        <f t="shared" ref="A23:B26" si="0">A8</f>
        <v>2</v>
      </c>
      <c r="B23" s="28">
        <f t="shared" si="0"/>
        <v>235</v>
      </c>
      <c r="C23" s="9">
        <f>B23/(1+$C$15)^A23</f>
        <v>222.54593764834814</v>
      </c>
    </row>
    <row r="24" spans="1:7" s="8" customFormat="1" ht="14">
      <c r="A24" s="19">
        <f t="shared" si="0"/>
        <v>3</v>
      </c>
      <c r="B24" s="28">
        <f t="shared" si="0"/>
        <v>194</v>
      </c>
      <c r="C24" s="9">
        <f>B24/(1+$C$15)^A24</f>
        <v>178.78432664328173</v>
      </c>
    </row>
    <row r="25" spans="1:7" s="8" customFormat="1" ht="14">
      <c r="A25" s="19">
        <f t="shared" si="0"/>
        <v>4</v>
      </c>
      <c r="B25" s="28">
        <f t="shared" si="0"/>
        <v>151</v>
      </c>
      <c r="C25" s="9">
        <f>B25/(1+$C$15)^A25</f>
        <v>135.4193001164536</v>
      </c>
    </row>
    <row r="26" spans="1:7" s="8" customFormat="1" ht="14">
      <c r="A26" s="19">
        <f t="shared" si="0"/>
        <v>5</v>
      </c>
      <c r="B26" s="28">
        <f t="shared" si="0"/>
        <v>98</v>
      </c>
      <c r="C26" s="9">
        <f>B26/(1+$C$15)^A26</f>
        <v>85.52746457000336</v>
      </c>
    </row>
    <row r="27" spans="1:7" s="8" customFormat="1" ht="15" thickBot="1">
      <c r="A27" s="36" t="str">
        <f>A12</f>
        <v>6 and beyond</v>
      </c>
      <c r="B27" s="37">
        <f>IF(B12&gt;0,IF(D18&gt;0,B12/D18,B12),0)</f>
        <v>201.66666666666666</v>
      </c>
      <c r="C27" s="38">
        <f>IF(D18&gt;0,(B27*(1-(1+C15)^(-D18))/C15)/(1+$C$15)^5,B27/(1+C15)^6)</f>
        <v>500.14278305724685</v>
      </c>
      <c r="D27" s="8" t="s">
        <v>130</v>
      </c>
    </row>
    <row r="28" spans="1:7" s="8" customFormat="1" ht="15" thickBot="1">
      <c r="A28" s="32" t="s">
        <v>131</v>
      </c>
      <c r="B28" s="39"/>
      <c r="C28" s="40">
        <f>SUM(C22:C27)</f>
        <v>1401.7113651688485</v>
      </c>
    </row>
    <row r="29" spans="1:7" s="8" customFormat="1" ht="14"/>
    <row r="30" spans="1:7" s="8" customFormat="1" ht="14">
      <c r="A30" s="15" t="s">
        <v>132</v>
      </c>
    </row>
    <row r="31" spans="1:7" s="8" customFormat="1" ht="15" thickBot="1">
      <c r="A31" s="8" t="s">
        <v>133</v>
      </c>
      <c r="F31" s="38">
        <f>C28/(5+D18)</f>
        <v>175.21392064610606</v>
      </c>
      <c r="G31" s="8" t="s">
        <v>134</v>
      </c>
    </row>
    <row r="32" spans="1:7" s="8" customFormat="1" ht="15" thickBot="1">
      <c r="A32" s="8" t="s">
        <v>135</v>
      </c>
      <c r="F32" s="81">
        <f>E4-F31</f>
        <v>119.78607935389394</v>
      </c>
      <c r="G32" s="8" t="s">
        <v>137</v>
      </c>
    </row>
    <row r="33" spans="1:7" s="8" customFormat="1" ht="15" thickBot="1">
      <c r="A33" s="8" t="s">
        <v>136</v>
      </c>
      <c r="F33" s="41">
        <f>C28</f>
        <v>1401.7113651688485</v>
      </c>
      <c r="G33" s="8" t="s">
        <v>138</v>
      </c>
    </row>
    <row r="34" spans="1:7" ht="14">
      <c r="A34" s="8" t="s">
        <v>495</v>
      </c>
      <c r="F34" s="241">
        <f>C28/(5+D18)</f>
        <v>175.21392064610606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2021-04-10T17:51:51Z</dcterms:modified>
</cp:coreProperties>
</file>